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6" windowHeight="11760" tabRatio="899" firstSheet="9"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项目情况" sheetId="82" r:id="rId15"/>
    <sheet name="全部明细" sheetId="88" r:id="rId16"/>
    <sheet name="最新车位清单" sheetId="89" r:id="rId17"/>
    <sheet name="最新仓储清单" sheetId="90" r:id="rId18"/>
    <sheet name="最新商业清单" sheetId="92" r:id="rId19"/>
    <sheet name="数据-取费表" sheetId="1" r:id="rId20"/>
    <sheet name="估价对象房地状况" sheetId="20" r:id="rId21"/>
    <sheet name="系统读取表" sheetId="74" r:id="rId22"/>
    <sheet name="结果表产权车位" sheetId="9" r:id="rId23"/>
    <sheet name="比较法-车位" sheetId="35" r:id="rId24"/>
    <sheet name="车位案例" sheetId="86" r:id="rId25"/>
    <sheet name="典型户型修正" sheetId="31" r:id="rId26"/>
    <sheet name="成本法" sheetId="68" r:id="rId27"/>
    <sheet name="收益法" sheetId="15" state="hidden" r:id="rId28"/>
    <sheet name="结果表仓储" sheetId="83" r:id="rId29"/>
    <sheet name="假设开发法" sheetId="12" state="hidden" r:id="rId30"/>
    <sheet name="比较法-仓储" sheetId="36" r:id="rId31"/>
    <sheet name="仓储案例" sheetId="87" r:id="rId32"/>
    <sheet name="收益法-酒店模型" sheetId="77" state="hidden" r:id="rId33"/>
    <sheet name="收益法（汇总）" sheetId="70" state="hidden" r:id="rId34"/>
    <sheet name="比较法-住宅" sheetId="21" state="hidden" r:id="rId35"/>
    <sheet name="比较法-办公" sheetId="34" state="hidden" r:id="rId36"/>
    <sheet name="比较法-工业" sheetId="37" state="hidden" r:id="rId37"/>
    <sheet name="土地比较法-住宅、综合" sheetId="39" state="hidden" r:id="rId38"/>
    <sheet name="土地比较法-工业" sheetId="40" state="hidden" r:id="rId39"/>
    <sheet name="基准地价（汇总）" sheetId="76" state="hidden" r:id="rId40"/>
    <sheet name="成本法 (2)" sheetId="84" r:id="rId41"/>
    <sheet name="基准地价修正" sheetId="43" r:id="rId42"/>
    <sheet name="结果表地下商业" sheetId="91" r:id="rId43"/>
    <sheet name="比较法-商业" sheetId="33" r:id="rId44"/>
    <sheet name="商业案例" sheetId="93" r:id="rId45"/>
    <sheet name="成本法 (元)" sheetId="69" r:id="rId46"/>
    <sheet name="基准地价修正 (2)" sheetId="94" r:id="rId47"/>
    <sheet name="收益法 (元)" sheetId="67" r:id="rId48"/>
    <sheet name="典型户型修正 (2)" sheetId="85" state="hidden" r:id="rId49"/>
    <sheet name="修正" sheetId="45" state="hidden" r:id="rId50"/>
    <sheet name="容积率修正" sheetId="46" state="hidden" r:id="rId51"/>
    <sheet name="成本法（废）" sheetId="11" state="hidden" r:id="rId52"/>
    <sheet name="区片价" sheetId="44" state="hidden" r:id="rId53"/>
    <sheet name="因素修正幅度" sheetId="65" state="hidden" r:id="rId54"/>
    <sheet name="区片价（范围）" sheetId="75" state="hidden" r:id="rId55"/>
    <sheet name="地价-分区" sheetId="79" state="hidden" r:id="rId56"/>
    <sheet name="地价" sheetId="71" state="hidden" r:id="rId57"/>
    <sheet name="存贷款利率" sheetId="73" state="hidden" r:id="rId58"/>
  </sheets>
  <externalReferences>
    <externalReference r:id="rId59"/>
    <externalReference r:id="rId60"/>
  </externalReferences>
  <definedNames>
    <definedName name="_xlnm._FilterDatabase" localSheetId="35" hidden="1">'比较法-办公'!$A$1:$L$50</definedName>
    <definedName name="_xlnm._FilterDatabase" localSheetId="30" hidden="1">'比较法-仓储'!$A$1:$L$37</definedName>
    <definedName name="_xlnm._FilterDatabase" localSheetId="23" hidden="1">'比较法-车位'!$A$1:$L$39</definedName>
    <definedName name="_xlnm._FilterDatabase" localSheetId="36" hidden="1">'比较法-工业'!$A$1:$L$43</definedName>
    <definedName name="_xlnm._FilterDatabase" localSheetId="43" hidden="1">'比较法-商业'!$A$1:$L$49</definedName>
    <definedName name="_xlnm._FilterDatabase" localSheetId="34" hidden="1">'比较法-住宅'!$A$1:$L$49</definedName>
    <definedName name="_xlnm._FilterDatabase" localSheetId="15" hidden="1">全部明细!$A$1:$AS$2044</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_FilterDatabase" localSheetId="17" hidden="1">最新仓储清单!$A$1:$O$237</definedName>
    <definedName name="_xlnm._FilterDatabase" localSheetId="16" hidden="1">最新车位清单!$A$1:$N$34</definedName>
    <definedName name="_xlnm.Print_Area" localSheetId="35">'比较法-办公'!$A$1:$K$55,'比较法-办公'!$A$58:$M$132</definedName>
    <definedName name="_xlnm.Print_Area" localSheetId="30">'比较法-仓储'!$A$1:$K$42,'比较法-仓储'!$A$45:$M$96</definedName>
    <definedName name="_xlnm.Print_Area" localSheetId="23">'比较法-车位'!$A$1:$K$44,'比较法-车位'!$A$47:$M$102</definedName>
    <definedName name="_xlnm.Print_Area" localSheetId="36">'比较法-工业'!$A$1:$K$48,'比较法-工业'!$A$51:$M$113</definedName>
    <definedName name="_xlnm.Print_Area" localSheetId="43">'比较法-商业'!$A$1:$K$54,'比较法-商业'!$A$57:$M$131</definedName>
    <definedName name="_xlnm.Print_Area" localSheetId="34">'比较法-住宅'!$A$1:$K$54,'比较法-住宅'!$A$57:$M$131</definedName>
    <definedName name="_xlnm.Print_Area" localSheetId="26">成本法!$A$1:$G$57</definedName>
    <definedName name="_xlnm.Print_Area" localSheetId="40">'成本法 (2)'!$A$1:$G$57</definedName>
    <definedName name="_xlnm.Print_Area" localSheetId="45">'成本法 (元)'!$A$1:$G$57</definedName>
    <definedName name="_xlnm.Print_Area" localSheetId="20">估价对象房地状况!$A$1:$G$24</definedName>
    <definedName name="_xlnm.Print_Area" localSheetId="8">估价师及机构信息!$A$1:$G$22</definedName>
    <definedName name="_xlnm.Print_Area" localSheetId="39">'基准地价（汇总）'!$A$1:$E$13</definedName>
    <definedName name="_xlnm.Print_Area" localSheetId="41">基准地价修正!$A$1:$J$44,基准地价修正!$A$47:$H$101,基准地价修正!$R$1:$V$16</definedName>
    <definedName name="_xlnm.Print_Area" localSheetId="46">'基准地价修正 (2)'!$A$1:$J$44,'基准地价修正 (2)'!$A$47:$H$101,'基准地价修正 (2)'!$R$1:$V$16</definedName>
    <definedName name="_xlnm.Print_Area" localSheetId="29">假设开发法!$A$1:$K$32</definedName>
    <definedName name="_xlnm.Print_Area" localSheetId="28">结果表仓储!$A$1:$I$127</definedName>
    <definedName name="_xlnm.Print_Area" localSheetId="22">结果表产权车位!$A$1:$I$127</definedName>
    <definedName name="_xlnm.Print_Area" localSheetId="42">结果表地下商业!$A$1:$I$127</definedName>
    <definedName name="_xlnm.Print_Area" localSheetId="27">收益法!$A$1:$F$43,收益法!$H$3:$M$29,收益法!$A$46:$F$71,收益法!$I$46:$N$65</definedName>
    <definedName name="_xlnm.Print_Area" localSheetId="47">'收益法 (元)'!$A$1:$F$43,'收益法 (元)'!$H$3:$M$29,'收益法 (元)'!$A$45:$F$71,'收益法 (元)'!$I$46:$N$65</definedName>
    <definedName name="_xlnm.Print_Area" localSheetId="33">'收益法（汇总）'!$A$1:$F$13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21">系统读取表!$A$1:$I$26</definedName>
    <definedName name="_xlnm.Print_Area" localSheetId="11">项目基本情况!$A$1:$I$38</definedName>
    <definedName name="_xlnm.Print_Titles" localSheetId="15">全部明细!#REF!</definedName>
    <definedName name="八级" localSheetId="17">[1]区片价!$P$1:$P$44</definedName>
    <definedName name="八级" localSheetId="16">[1]区片价!$P$1:$P$44</definedName>
    <definedName name="八级" localSheetId="18">[1]区片价!$P$1:$P$44</definedName>
    <definedName name="八级">区片价!$P$1:$P$44</definedName>
    <definedName name="办公层高" localSheetId="17">'[1]比较法-办公'!$B$119:$M$119</definedName>
    <definedName name="办公层高" localSheetId="16">'[1]比较法-办公'!$B$119:$M$119</definedName>
    <definedName name="办公层高" localSheetId="18">'[1]比较法-办公'!$B$119:$M$119</definedName>
    <definedName name="办公层高">'比较法-办公'!$B$119:$M$119</definedName>
    <definedName name="办公朝向" localSheetId="17">'[1]比较法-办公'!$B$91:$M$91</definedName>
    <definedName name="办公朝向" localSheetId="16">'[1]比较法-办公'!$B$91:$M$91</definedName>
    <definedName name="办公朝向" localSheetId="18">'[1]比较法-办公'!$B$91:$M$91</definedName>
    <definedName name="办公朝向">'比较法-办公'!$B$91:$M$91</definedName>
    <definedName name="办公道路级别" localSheetId="17">'[1]比较法-办公'!$B$87:$M$87</definedName>
    <definedName name="办公道路级别" localSheetId="16">'[1]比较法-办公'!$B$87:$M$87</definedName>
    <definedName name="办公道路级别" localSheetId="18">'[1]比较法-办公'!$B$87:$M$87</definedName>
    <definedName name="办公道路级别">'比较法-办公'!$B$87:$M$87</definedName>
    <definedName name="办公公共部分装修" localSheetId="17">'[1]比较法-办公'!$B$108:$M$108</definedName>
    <definedName name="办公公共部分装修" localSheetId="16">'[1]比较法-办公'!$B$108:$M$108</definedName>
    <definedName name="办公公共部分装修" localSheetId="18">'[1]比较法-办公'!$B$108:$M$108</definedName>
    <definedName name="办公公共部分装修">'比较法-办公'!$B$108:$M$108</definedName>
    <definedName name="办公基础设施水平" localSheetId="17">'[1]比较法-办公'!$B$117:$M$117</definedName>
    <definedName name="办公基础设施水平" localSheetId="16">'[1]比较法-办公'!$B$117:$M$117</definedName>
    <definedName name="办公基础设施水平" localSheetId="18">'[1]比较法-办公'!$B$117:$M$117</definedName>
    <definedName name="办公基础设施水平">'比较法-办公'!$B$117:$M$117</definedName>
    <definedName name="办公集聚程度" localSheetId="17">[1]定义!$M$1:$M$6</definedName>
    <definedName name="办公集聚程度" localSheetId="16">[1]定义!$M$1:$M$6</definedName>
    <definedName name="办公集聚程度" localSheetId="18">[1]定义!$M$1:$M$6</definedName>
    <definedName name="办公集聚程度">定义!$M$1:$M$6</definedName>
    <definedName name="办公建筑结构" localSheetId="17">'[1]比较法-办公'!$B$106:$M$106</definedName>
    <definedName name="办公建筑结构" localSheetId="16">'[1]比较法-办公'!$B$106:$M$106</definedName>
    <definedName name="办公建筑结构" localSheetId="18">'[1]比较法-办公'!$B$106:$M$106</definedName>
    <definedName name="办公建筑结构">'比较法-办公'!$B$106:$M$106</definedName>
    <definedName name="办公建筑类型" localSheetId="17">'[1]比较法-办公'!$B$101:$M$101</definedName>
    <definedName name="办公建筑类型" localSheetId="16">'[1]比较法-办公'!$B$101:$M$101</definedName>
    <definedName name="办公建筑类型" localSheetId="18">'[1]比较法-办公'!$B$101:$M$101</definedName>
    <definedName name="办公建筑类型">'比较法-办公'!$B$101:$M$101</definedName>
    <definedName name="办公交易情况" localSheetId="17">'[1]比较法-办公'!$A$62:$M$62</definedName>
    <definedName name="办公交易情况" localSheetId="16">'[1]比较法-办公'!$A$62:$M$62</definedName>
    <definedName name="办公交易情况" localSheetId="18">'[1]比较法-办公'!$A$62:$M$62</definedName>
    <definedName name="办公交易情况">'比较法-办公'!$A$62:$M$62</definedName>
    <definedName name="办公楼层" localSheetId="17">'[1]比较法-办公'!$B$89:$M$89</definedName>
    <definedName name="办公楼层" localSheetId="16">'[1]比较法-办公'!$B$89:$M$89</definedName>
    <definedName name="办公楼层" localSheetId="18">'[1]比较法-办公'!$B$89:$M$89</definedName>
    <definedName name="办公楼层">'比较法-办公'!$B$89:$M$89</definedName>
    <definedName name="办公内部装修" localSheetId="17">'[1]比较法-办公'!$B$123:$M$123</definedName>
    <definedName name="办公内部装修" localSheetId="16">'[1]比较法-办公'!$B$123:$M$123</definedName>
    <definedName name="办公内部装修" localSheetId="18">'[1]比较法-办公'!$B$123:$M$123</definedName>
    <definedName name="办公内部装修">'比较法-办公'!$B$123:$M$123</definedName>
    <definedName name="办公物业管理" localSheetId="17">'[1]比较法-办公'!$B$115:$M$115</definedName>
    <definedName name="办公物业管理" localSheetId="16">'[1]比较法-办公'!$B$115:$M$115</definedName>
    <definedName name="办公物业管理" localSheetId="18">'[1]比较法-办公'!$B$115:$M$115</definedName>
    <definedName name="办公物业管理">'比较法-办公'!$B$115:$M$115</definedName>
    <definedName name="办公用途" localSheetId="17">'[1]比较法-办公'!$B$64:$M$64</definedName>
    <definedName name="办公用途" localSheetId="16">'[1]比较法-办公'!$B$64:$M$64</definedName>
    <definedName name="办公用途" localSheetId="18">'[1]比较法-办公'!$B$64:$M$64</definedName>
    <definedName name="办公用途">'比较法-办公'!$B$64:$M$64</definedName>
    <definedName name="仓储公共部分装修" localSheetId="17">'[1]比较法-仓储'!$B$77:$M$77</definedName>
    <definedName name="仓储公共部分装修" localSheetId="16">'[1]比较法-仓储'!$B$77:$M$77</definedName>
    <definedName name="仓储公共部分装修" localSheetId="18">'[1]比较法-仓储'!$B$77:$M$77</definedName>
    <definedName name="仓储公共部分装修">'比较法-仓储'!$B$77:$M$77</definedName>
    <definedName name="仓储交易情况" localSheetId="17">'[1]比较法-仓储'!$A$49:$M$49</definedName>
    <definedName name="仓储交易情况" localSheetId="16">'[1]比较法-仓储'!$A$49:$M$49</definedName>
    <definedName name="仓储交易情况" localSheetId="18">'[1]比较法-仓储'!$A$49:$M$49</definedName>
    <definedName name="仓储交易情况">'比较法-仓储'!$A$49:$M$49</definedName>
    <definedName name="仓储楼层" localSheetId="17">'[1]比较法-仓储'!$B$69:$M$69</definedName>
    <definedName name="仓储楼层" localSheetId="16">'[1]比较法-仓储'!$B$69:$M$69</definedName>
    <definedName name="仓储楼层" localSheetId="18">'[1]比较法-仓储'!$B$69:$M$69</definedName>
    <definedName name="仓储楼层">'比较法-仓储'!$B$69:$M$69</definedName>
    <definedName name="仓储物业等级" localSheetId="17">'[1]比较法-仓储'!$B$82:$M$82</definedName>
    <definedName name="仓储物业等级" localSheetId="16">'[1]比较法-仓储'!$B$82:$M$82</definedName>
    <definedName name="仓储物业等级" localSheetId="18">'[1]比较法-仓储'!$B$82:$M$82</definedName>
    <definedName name="仓储物业等级">'比较法-仓储'!$B$82:$M$82</definedName>
    <definedName name="仓储用途" localSheetId="17">'[1]比较法-仓储'!$B$51:$M$51</definedName>
    <definedName name="仓储用途" localSheetId="16">'[1]比较法-仓储'!$B$51:$M$51</definedName>
    <definedName name="仓储用途" localSheetId="18">'[1]比较法-仓储'!$B$51:$M$51</definedName>
    <definedName name="仓储用途">'比较法-仓储'!$B$51:$M$51</definedName>
    <definedName name="产业集聚程度" localSheetId="17">[1]定义!$N$1:$N$6</definedName>
    <definedName name="产业集聚程度" localSheetId="16">[1]定义!$N$1:$N$6</definedName>
    <definedName name="产业集聚程度" localSheetId="18">[1]定义!$N$1:$N$6</definedName>
    <definedName name="产业集聚程度">定义!$N$1:$N$6</definedName>
    <definedName name="车位公共部分装修" localSheetId="17">'[1]比较法-车位'!$B$83:$M$83</definedName>
    <definedName name="车位公共部分装修" localSheetId="16">'[1]比较法-车位'!$B$83:$M$83</definedName>
    <definedName name="车位公共部分装修" localSheetId="18">'[1]比较法-车位'!$B$83:$M$83</definedName>
    <definedName name="车位公共部分装修">'比较法-车位'!$B$83:$M$83</definedName>
    <definedName name="车位交易情况" localSheetId="17">'[1]比较法-车位'!$A$51:$M$51</definedName>
    <definedName name="车位交易情况" localSheetId="16">'[1]比较法-车位'!$A$51:$M$51</definedName>
    <definedName name="车位交易情况" localSheetId="18">'[1]比较法-车位'!$A$51:$M$51</definedName>
    <definedName name="车位交易情况">'比较法-车位'!$A$51:$M$51</definedName>
    <definedName name="车位类型" localSheetId="17">'[1]比较法-车位'!$B$93:$M$93</definedName>
    <definedName name="车位类型" localSheetId="16">'[1]比较法-车位'!$B$93:$M$93</definedName>
    <definedName name="车位类型" localSheetId="18">'[1]比较法-车位'!$B$93:$M$93</definedName>
    <definedName name="车位类型">'比较法-车位'!$B$93:$M$93</definedName>
    <definedName name="车位楼层" localSheetId="17">'[1]比较法-车位'!$B$71:$M$71</definedName>
    <definedName name="车位楼层" localSheetId="16">'[1]比较法-车位'!$B$71:$M$71</definedName>
    <definedName name="车位楼层" localSheetId="18">'[1]比较法-车位'!$B$71:$M$71</definedName>
    <definedName name="车位楼层">'比较法-车位'!$B$71:$M$71</definedName>
    <definedName name="车位配套类型" localSheetId="17">'[1]比较法-车位'!$B$79:$M$79</definedName>
    <definedName name="车位配套类型" localSheetId="16">'[1]比较法-车位'!$B$79:$M$79</definedName>
    <definedName name="车位配套类型" localSheetId="18">'[1]比较法-车位'!$B$79:$M$79</definedName>
    <definedName name="车位配套类型">'比较法-车位'!$B$79:$M$79</definedName>
    <definedName name="车位物业等级" localSheetId="17">'[1]比较法-车位'!$B$88:$M$88</definedName>
    <definedName name="车位物业等级" localSheetId="16">'[1]比较法-车位'!$B$88:$M$88</definedName>
    <definedName name="车位物业等级" localSheetId="18">'[1]比较法-车位'!$B$88:$M$88</definedName>
    <definedName name="车位物业等级">'比较法-车位'!$B$88:$M$88</definedName>
    <definedName name="车位用途" localSheetId="17">'[1]比较法-车位'!$B$53:$M$53</definedName>
    <definedName name="车位用途" localSheetId="16">'[1]比较法-车位'!$B$53:$M$53</definedName>
    <definedName name="车位用途" localSheetId="18">'[1]比较法-车位'!$B$53:$M$53</definedName>
    <definedName name="车位用途">'比较法-车位'!$B$53:$M$53</definedName>
    <definedName name="城镇土地纳税等级分级范围" localSheetId="17">'[1]数据-取费表'!$A$53:$A$63</definedName>
    <definedName name="城镇土地纳税等级分级范围" localSheetId="16">'[1]数据-取费表'!$A$53:$A$63</definedName>
    <definedName name="城镇土地纳税等级分级范围" localSheetId="18">'[1]数据-取费表'!$A$53:$A$63</definedName>
    <definedName name="城镇土地纳税等级分级范围">'数据-取费表'!$A$53:$A$63</definedName>
    <definedName name="单价内涵" localSheetId="17">[1]定义!$V$1:$V$3</definedName>
    <definedName name="单价内涵" localSheetId="16">[1]定义!$V$1:$V$3</definedName>
    <definedName name="单价内涵" localSheetId="18">[1]定义!$V$1:$V$3</definedName>
    <definedName name="单价内涵">定义!$V$1:$V$3</definedName>
    <definedName name="地类判定" localSheetId="17">[1]定义!$H$1:$H$9</definedName>
    <definedName name="地类判定" localSheetId="16">[1]定义!$H$1:$H$9</definedName>
    <definedName name="地类判定" localSheetId="18">[1]定义!$H$1:$H$9</definedName>
    <definedName name="地类判定">定义!$H$1:$H$9</definedName>
    <definedName name="二级" localSheetId="17">[1]区片价!$J$1:$J$21</definedName>
    <definedName name="二级" localSheetId="16">[1]区片价!$J$1:$J$21</definedName>
    <definedName name="二级" localSheetId="18">[1]区片价!$J$1:$J$21</definedName>
    <definedName name="二级">区片价!$J$1:$J$21</definedName>
    <definedName name="二级分类" localSheetId="17">[1]修正!$C$19:$C$51</definedName>
    <definedName name="二级分类" localSheetId="16">[1]修正!$C$19:$C$51</definedName>
    <definedName name="二级分类" localSheetId="18">[1]修正!$C$19:$C$51</definedName>
    <definedName name="二级分类">修正!$C$19:$C$51</definedName>
    <definedName name="法定最高年限" localSheetId="17">[1]定义!$G$1:$G$6</definedName>
    <definedName name="法定最高年限" localSheetId="16">[1]定义!$G$1:$G$6</definedName>
    <definedName name="法定最高年限" localSheetId="18">[1]定义!$G$1:$G$6</definedName>
    <definedName name="法定最高年限">定义!$G$1:$G$6</definedName>
    <definedName name="工业公共部分装修" localSheetId="17">'[1]比较法-工业'!$B$95:$M$95</definedName>
    <definedName name="工业公共部分装修" localSheetId="16">'[1]比较法-工业'!$B$95:$M$95</definedName>
    <definedName name="工业公共部分装修" localSheetId="18">'[1]比较法-工业'!$B$95:$M$95</definedName>
    <definedName name="工业公共部分装修">'比较法-工业'!$B$95:$M$95</definedName>
    <definedName name="工业基础设施水平" localSheetId="17">'[1]比较法-工业'!$B$102:$M$102</definedName>
    <definedName name="工业基础设施水平" localSheetId="16">'[1]比较法-工业'!$B$102:$M$102</definedName>
    <definedName name="工业基础设施水平" localSheetId="18">'[1]比较法-工业'!$B$102:$M$102</definedName>
    <definedName name="工业基础设施水平">'比较法-工业'!$B$102:$M$102</definedName>
    <definedName name="工业建筑结构" localSheetId="17">'[1]比较法-工业'!$B$93:$M$93</definedName>
    <definedName name="工业建筑结构" localSheetId="16">'[1]比较法-工业'!$B$93:$M$93</definedName>
    <definedName name="工业建筑结构" localSheetId="18">'[1]比较法-工业'!$B$93:$M$93</definedName>
    <definedName name="工业建筑结构">'比较法-工业'!$B$93:$M$93</definedName>
    <definedName name="工业建筑类型" localSheetId="17">'[1]比较法-工业'!$B$88:$M$88</definedName>
    <definedName name="工业建筑类型" localSheetId="16">'[1]比较法-工业'!$B$88:$M$88</definedName>
    <definedName name="工业建筑类型" localSheetId="18">'[1]比较法-工业'!$B$88:$M$88</definedName>
    <definedName name="工业建筑类型">'比较法-工业'!$B$88:$M$88</definedName>
    <definedName name="工业交易情况" localSheetId="17">'[1]比较法-工业'!$A$55:$M$55</definedName>
    <definedName name="工业交易情况" localSheetId="16">'[1]比较法-工业'!$A$55:$M$55</definedName>
    <definedName name="工业交易情况" localSheetId="18">'[1]比较法-工业'!$A$55:$M$55</definedName>
    <definedName name="工业交易情况">'比较法-工业'!$A$55:$M$55</definedName>
    <definedName name="工业内部装修" localSheetId="17">'[1]比较法-工业'!$B$104:$M$104</definedName>
    <definedName name="工业内部装修" localSheetId="16">'[1]比较法-工业'!$B$104:$M$104</definedName>
    <definedName name="工业内部装修" localSheetId="18">'[1]比较法-工业'!$B$104:$M$104</definedName>
    <definedName name="工业内部装修">'比较法-工业'!$B$104:$M$104</definedName>
    <definedName name="工业物业管理" localSheetId="17">'[1]比较法-工业'!$B$100:$M$100</definedName>
    <definedName name="工业物业管理" localSheetId="16">'[1]比较法-工业'!$B$100:$M$100</definedName>
    <definedName name="工业物业管理" localSheetId="18">'[1]比较法-工业'!$B$100:$M$100</definedName>
    <definedName name="工业物业管理">'比较法-工业'!$B$100:$M$100</definedName>
    <definedName name="工业用途" localSheetId="17">'[1]比较法-工业'!$B$57:$M$57</definedName>
    <definedName name="工业用途" localSheetId="16">'[1]比较法-工业'!$B$57:$M$57</definedName>
    <definedName name="工业用途" localSheetId="18">'[1]比较法-工业'!$B$57:$M$57</definedName>
    <definedName name="工业用途">'比较法-工业'!$B$57:$M$57</definedName>
    <definedName name="公共配套设施" localSheetId="17">[1]定义!$Q$1:$Q$6</definedName>
    <definedName name="公共配套设施" localSheetId="16">[1]定义!$Q$1:$Q$6</definedName>
    <definedName name="公共配套设施" localSheetId="18">[1]定义!$Q$1:$Q$6</definedName>
    <definedName name="公共配套设施">定义!$Q$1:$Q$6</definedName>
    <definedName name="估价范围判定" localSheetId="17">[1]定义!$D$1:$D$4</definedName>
    <definedName name="估价范围判定" localSheetId="16">[1]定义!$D$1:$D$4</definedName>
    <definedName name="估价范围判定" localSheetId="18">[1]定义!$D$1:$D$4</definedName>
    <definedName name="估价范围判定">定义!$D$1:$D$4</definedName>
    <definedName name="估价方法" localSheetId="17">[1]定义!$B$1:$B$50</definedName>
    <definedName name="估价方法" localSheetId="16">[1]定义!$B$1:$B$50</definedName>
    <definedName name="估价方法" localSheetId="18">[1]定义!$B$1:$B$50</definedName>
    <definedName name="估价方法">定义!$B$1:$B$50</definedName>
    <definedName name="环境" localSheetId="17">[1]定义!$S$1:$S$6</definedName>
    <definedName name="环境" localSheetId="16">[1]定义!$S$1:$S$6</definedName>
    <definedName name="环境" localSheetId="18">[1]定义!$S$1:$S$6</definedName>
    <definedName name="环境">定义!$S$1:$S$6</definedName>
    <definedName name="基础设施水平" localSheetId="17">[1]定义!$R$1:$R$6</definedName>
    <definedName name="基础设施水平" localSheetId="16">[1]定义!$R$1:$R$6</definedName>
    <definedName name="基础设施水平" localSheetId="18">[1]定义!$R$1:$R$6</definedName>
    <definedName name="基础设施水平">定义!$R$1:$R$6</definedName>
    <definedName name="季度" localSheetId="46">'基准地价修正 (2)'!$Q$19:$AD$19</definedName>
    <definedName name="季度" localSheetId="17">[1]基准地价修正!$Q$19:$AD$19</definedName>
    <definedName name="季度" localSheetId="16">[1]基准地价修正!$Q$19:$AD$19</definedName>
    <definedName name="季度" localSheetId="18">[1]基准地价修正!$Q$19:$AD$19</definedName>
    <definedName name="季度">基准地价修正!$Q$19:$AD$19</definedName>
    <definedName name="价值类型2" localSheetId="17">[1]定义!$B$54:$B$56</definedName>
    <definedName name="价值类型2" localSheetId="16">[1]定义!$B$54:$B$56</definedName>
    <definedName name="价值类型2" localSheetId="18">[1]定义!$B$54:$B$56</definedName>
    <definedName name="价值类型2">定义!$B$54:$B$56</definedName>
    <definedName name="交通便捷度" localSheetId="17">[1]定义!$O$1:$O$6</definedName>
    <definedName name="交通便捷度" localSheetId="16">[1]定义!$O$1:$O$6</definedName>
    <definedName name="交通便捷度" localSheetId="18">[1]定义!$O$1:$O$6</definedName>
    <definedName name="交通便捷度">定义!$O$1:$O$6</definedName>
    <definedName name="九级" localSheetId="17">[1]区片价!$Q$1:$Q$51</definedName>
    <definedName name="九级" localSheetId="16">[1]区片价!$Q$1:$Q$51</definedName>
    <definedName name="九级" localSheetId="18">[1]区片价!$Q$1:$Q$51</definedName>
    <definedName name="九级">区片价!$Q$1:$Q$51</definedName>
    <definedName name="居住社区成熟度" localSheetId="17">[1]定义!$K$1:$K$6</definedName>
    <definedName name="居住社区成熟度" localSheetId="16">[1]定义!$K$1:$K$6</definedName>
    <definedName name="居住社区成熟度" localSheetId="18">[1]定义!$K$1:$K$6</definedName>
    <definedName name="居住社区成熟度">定义!$K$1:$K$6</definedName>
    <definedName name="类别" localSheetId="17">[1]定义!$J$1:$J$3</definedName>
    <definedName name="类别" localSheetId="16">[1]定义!$J$1:$J$3</definedName>
    <definedName name="类别" localSheetId="18">[1]定义!$J$1:$J$3</definedName>
    <definedName name="类别">定义!$J$1:$J$3</definedName>
    <definedName name="临街状况" localSheetId="17">[1]定义!$T$1:$T$5</definedName>
    <definedName name="临街状况" localSheetId="16">[1]定义!$T$1:$T$5</definedName>
    <definedName name="临街状况" localSheetId="18">[1]定义!$T$1:$T$5</definedName>
    <definedName name="临街状况">定义!$T$1:$T$5</definedName>
    <definedName name="六级" localSheetId="17">[1]区片价!$N$1:$N$64</definedName>
    <definedName name="六级" localSheetId="16">[1]区片价!$N$1:$N$64</definedName>
    <definedName name="六级" localSheetId="18">[1]区片价!$N$1:$N$64</definedName>
    <definedName name="六级">区片价!$N$1:$N$64</definedName>
    <definedName name="内部装修维护情况" localSheetId="17">[1]定义!$U$1:$U$6</definedName>
    <definedName name="内部装修维护情况" localSheetId="16">[1]定义!$U$1:$U$6</definedName>
    <definedName name="内部装修维护情况" localSheetId="18">[1]定义!$U$1:$U$6</definedName>
    <definedName name="内部装修维护情况">定义!$U$1:$U$6</definedName>
    <definedName name="七级" localSheetId="17">[1]区片价!$O$1:$O$45</definedName>
    <definedName name="七级" localSheetId="16">[1]区片价!$O$1:$O$45</definedName>
    <definedName name="七级" localSheetId="18">[1]区片价!$O$1:$O$45</definedName>
    <definedName name="七级">区片价!$O$1:$O$45</definedName>
    <definedName name="七通一平" localSheetId="17">[1]修正!$A$8:$A$16</definedName>
    <definedName name="七通一平" localSheetId="16">[1]修正!$A$8:$A$16</definedName>
    <definedName name="七通一平" localSheetId="18">[1]修正!$A$8:$A$16</definedName>
    <definedName name="七通一平">修正!$A$8:$A$16</definedName>
    <definedName name="区域土地利用方向" localSheetId="17">[1]定义!$P$1:$P$6</definedName>
    <definedName name="区域土地利用方向" localSheetId="16">[1]定义!$P$1:$P$6</definedName>
    <definedName name="区域土地利用方向" localSheetId="18">[1]定义!$P$1:$P$6</definedName>
    <definedName name="区域土地利用方向">定义!$P$1:$P$6</definedName>
    <definedName name="三级" localSheetId="17">[1]区片价!$K$1:$K$26</definedName>
    <definedName name="三级" localSheetId="16">[1]区片价!$K$1:$K$26</definedName>
    <definedName name="三级" localSheetId="18">[1]区片价!$K$1:$K$26</definedName>
    <definedName name="三级">区片价!$K$1:$K$26</definedName>
    <definedName name="商业层高" localSheetId="17">'[1]比较法-商业'!$B$116:$M$116</definedName>
    <definedName name="商业层高" localSheetId="16">'[1]比较法-商业'!$B$116:$M$116</definedName>
    <definedName name="商业层高" localSheetId="18">'[1]比较法-商业'!$B$116:$M$116</definedName>
    <definedName name="商业层高">'比较法-商业'!$B$116:$M$116</definedName>
    <definedName name="商业成新度" localSheetId="17">'[1]比较法-商业'!$B$109:$M$109</definedName>
    <definedName name="商业成新度" localSheetId="16">'[1]比较法-商业'!$B$109:$M$109</definedName>
    <definedName name="商业成新度" localSheetId="18">'[1]比较法-商业'!$B$109:$M$109</definedName>
    <definedName name="商业成新度">'比较法-商业'!$B$109:$M$109</definedName>
    <definedName name="商业繁华度" localSheetId="17">[1]定义!$L$1:$L$6</definedName>
    <definedName name="商业繁华度" localSheetId="16">[1]定义!$L$1:$L$6</definedName>
    <definedName name="商业繁华度" localSheetId="18">[1]定义!$L$1:$L$6</definedName>
    <definedName name="商业繁华度">定义!$L$1:$L$6</definedName>
    <definedName name="商业公共部分装修" localSheetId="17">'[1]比较法-商业'!$B$107:$M$107</definedName>
    <definedName name="商业公共部分装修" localSheetId="16">'[1]比较法-商业'!$B$107:$M$107</definedName>
    <definedName name="商业公共部分装修" localSheetId="18">'[1]比较法-商业'!$B$107:$M$107</definedName>
    <definedName name="商业公共部分装修">'比较法-商业'!$B$107:$M$107</definedName>
    <definedName name="商业基础设施水平" localSheetId="17">'[1]比较法-商业'!$B$112:$M$112</definedName>
    <definedName name="商业基础设施水平" localSheetId="16">'[1]比较法-商业'!$B$112:$M$112</definedName>
    <definedName name="商业基础设施水平" localSheetId="18">'[1]比较法-商业'!$B$112:$M$112</definedName>
    <definedName name="商业基础设施水平">'比较法-商业'!$B$112:$M$112</definedName>
    <definedName name="商业建筑结构" localSheetId="17">'[1]比较法-商业'!$B$105:$M$105</definedName>
    <definedName name="商业建筑结构" localSheetId="16">'[1]比较法-商业'!$B$105:$M$105</definedName>
    <definedName name="商业建筑结构" localSheetId="18">'[1]比较法-商业'!$B$105:$M$105</definedName>
    <definedName name="商业建筑结构">'比较法-商业'!$B$105:$M$105</definedName>
    <definedName name="商业交易情况" localSheetId="17">'[1]比较法-商业'!$A$61:$M$61</definedName>
    <definedName name="商业交易情况" localSheetId="16">'[1]比较法-商业'!$A$61:$M$61</definedName>
    <definedName name="商业交易情况" localSheetId="18">'[1]比较法-商业'!$A$61:$M$61</definedName>
    <definedName name="商业交易情况">'比较法-商业'!$A$61:$M$61</definedName>
    <definedName name="商业街名称" localSheetId="17">[1]修正!$C$71:$C$138</definedName>
    <definedName name="商业街名称" localSheetId="16">[1]修正!$C$71:$C$138</definedName>
    <definedName name="商业街名称" localSheetId="18">[1]修正!$C$71:$C$138</definedName>
    <definedName name="商业街名称">修正!$C$71:$C$138</definedName>
    <definedName name="商业进深比" localSheetId="17">'[1]比较法-商业'!$B$120:$M$120</definedName>
    <definedName name="商业进深比" localSheetId="16">'[1]比较法-商业'!$B$120:$M$120</definedName>
    <definedName name="商业进深比" localSheetId="18">'[1]比较法-商业'!$B$120:$M$120</definedName>
    <definedName name="商业进深比">'比较法-商业'!$B$120:$M$120</definedName>
    <definedName name="商业类型" localSheetId="17">'[1]比较法-商业'!$B$100:$M$100</definedName>
    <definedName name="商业类型" localSheetId="16">'[1]比较法-商业'!$B$100:$M$100</definedName>
    <definedName name="商业类型" localSheetId="18">'[1]比较法-商业'!$B$100:$M$100</definedName>
    <definedName name="商业类型">'比较法-商业'!$B$100:$M$100</definedName>
    <definedName name="商业临街状况" localSheetId="17">'[1]比较法-商业'!$B$86:$M$86</definedName>
    <definedName name="商业临街状况" localSheetId="16">'[1]比较法-商业'!$B$86:$M$86</definedName>
    <definedName name="商业临街状况" localSheetId="18">'[1]比较法-商业'!$B$86:$M$86</definedName>
    <definedName name="商业临街状况">'比较法-商业'!$B$86:$M$86</definedName>
    <definedName name="商业楼层" localSheetId="17">'[1]比较法-商业'!$B$92:$M$92</definedName>
    <definedName name="商业楼层" localSheetId="16">'[1]比较法-商业'!$B$92:$M$92</definedName>
    <definedName name="商业楼层" localSheetId="18">'[1]比较法-商业'!$B$92:$M$92</definedName>
    <definedName name="商业楼层">'比较法-商业'!$B$92:$M$92</definedName>
    <definedName name="商业内部装修" localSheetId="17">'[1]比较法-商业'!$B$122:$M$122</definedName>
    <definedName name="商业内部装修" localSheetId="16">'[1]比较法-商业'!$B$122:$M$122</definedName>
    <definedName name="商业内部装修" localSheetId="18">'[1]比较法-商业'!$B$122:$M$122</definedName>
    <definedName name="商业内部装修">'比较法-商业'!$B$122:$M$122</definedName>
    <definedName name="商业人流量" localSheetId="17">'[1]比较法-商业'!$B$90:$M$90</definedName>
    <definedName name="商业人流量" localSheetId="16">'[1]比较法-商业'!$B$90:$M$90</definedName>
    <definedName name="商业人流量" localSheetId="18">'[1]比较法-商业'!$B$90:$M$90</definedName>
    <definedName name="商业人流量">'比较法-商业'!$B$90:$M$90</definedName>
    <definedName name="商业业态" localSheetId="17">'[1]比较法-商业'!$B$114:$M$114</definedName>
    <definedName name="商业业态" localSheetId="16">'[1]比较法-商业'!$B$114:$M$114</definedName>
    <definedName name="商业业态" localSheetId="18">'[1]比较法-商业'!$B$114:$M$114</definedName>
    <definedName name="商业业态">'比较法-商业'!$B$114:$M$114</definedName>
    <definedName name="商业用途" localSheetId="17">'[1]比较法-商业'!$B$63:$M$63</definedName>
    <definedName name="商业用途" localSheetId="16">'[1]比较法-商业'!$B$63:$M$63</definedName>
    <definedName name="商业用途" localSheetId="18">'[1]比较法-商业'!$B$63:$M$63</definedName>
    <definedName name="商业用途">'比较法-商业'!$B$63:$M$63</definedName>
    <definedName name="十二级" localSheetId="17">[1]区片价!$T$1:$T$8</definedName>
    <definedName name="十二级" localSheetId="16">[1]区片价!$T$1:$T$8</definedName>
    <definedName name="十二级" localSheetId="18">[1]区片价!$T$1:$T$8</definedName>
    <definedName name="十二级">区片价!$T$1:$T$8</definedName>
    <definedName name="十级" localSheetId="17">[1]区片价!$R$1:$R$32</definedName>
    <definedName name="十级" localSheetId="16">[1]区片价!$R$1:$R$32</definedName>
    <definedName name="十级" localSheetId="18">[1]区片价!$R$1:$R$32</definedName>
    <definedName name="十级">区片价!$R$1:$R$32</definedName>
    <definedName name="十一级" localSheetId="17">[1]区片价!$S$1:$S$21</definedName>
    <definedName name="十一级" localSheetId="16">[1]区片价!$S$1:$S$21</definedName>
    <definedName name="十一级" localSheetId="18">[1]区片价!$S$1:$S$21</definedName>
    <definedName name="十一级">区片价!$S$1:$S$21</definedName>
    <definedName name="是否封闭" localSheetId="17">'[1]比较法-仓储'!$B$89:$M$89</definedName>
    <definedName name="是否封闭" localSheetId="16">'[1]比较法-仓储'!$B$89:$M$89</definedName>
    <definedName name="是否封闭" localSheetId="18">'[1]比较法-仓储'!$B$89:$M$89</definedName>
    <definedName name="是否封闭">'比较法-仓储'!$B$89:$M$89</definedName>
    <definedName name="是否直接入户" localSheetId="17">'[1]比较法-车位'!$B$95:$M$95</definedName>
    <definedName name="是否直接入户" localSheetId="16">'[1]比较法-车位'!$B$95:$M$95</definedName>
    <definedName name="是否直接入户" localSheetId="18">'[1]比较法-车位'!$B$95:$M$95</definedName>
    <definedName name="是否直接入户">'比较法-车位'!$B$95:$M$95</definedName>
    <definedName name="四级" localSheetId="17">[1]区片价!$L$1:$L$33</definedName>
    <definedName name="四级" localSheetId="16">[1]区片价!$L$1:$L$33</definedName>
    <definedName name="四级" localSheetId="18">[1]区片价!$L$1:$L$33</definedName>
    <definedName name="四级">区片价!$L$1:$L$33</definedName>
    <definedName name="套工道路等级" localSheetId="17">'[1]土地比较法-工业'!$B$97:$M$97</definedName>
    <definedName name="套工道路等级" localSheetId="16">'[1]土地比较法-工业'!$B$97:$M$97</definedName>
    <definedName name="套工道路等级" localSheetId="18">'[1]土地比较法-工业'!$B$97:$M$97</definedName>
    <definedName name="套工道路等级">'土地比较法-工业'!$B$97:$M$97</definedName>
    <definedName name="套工地质条件" localSheetId="17">'[1]土地比较法-工业'!$B$114:$M$114</definedName>
    <definedName name="套工地质条件" localSheetId="16">'[1]土地比较法-工业'!$B$114:$M$114</definedName>
    <definedName name="套工地质条件" localSheetId="18">'[1]土地比较法-工业'!$B$114:$M$114</definedName>
    <definedName name="套工地质条件">'土地比较法-工业'!$B$114:$M$114</definedName>
    <definedName name="套工交易情况" localSheetId="17">'[1]土地比较法-住宅、综合'!$A$72:$M$72</definedName>
    <definedName name="套工交易情况" localSheetId="16">'[1]土地比较法-住宅、综合'!$A$72:$M$72</definedName>
    <definedName name="套工交易情况" localSheetId="18">'[1]土地比较法-住宅、综合'!$A$72:$M$72</definedName>
    <definedName name="套工交易情况">'土地比较法-住宅、综合'!$A$72:$M$72</definedName>
    <definedName name="套工土地级别" localSheetId="17">'[1]土地比较法-工业'!$B$99:$M$99</definedName>
    <definedName name="套工土地级别" localSheetId="16">'[1]土地比较法-工业'!$B$99:$M$99</definedName>
    <definedName name="套工土地级别" localSheetId="18">'[1]土地比较法-工业'!$B$99:$M$99</definedName>
    <definedName name="套工土地级别">'土地比较法-工业'!$B$99:$M$99</definedName>
    <definedName name="套工用途" localSheetId="17">'[1]土地比较法-工业'!$B$70:$M$70</definedName>
    <definedName name="套工用途" localSheetId="16">'[1]土地比较法-工业'!$B$70:$M$70</definedName>
    <definedName name="套工用途" localSheetId="18">'[1]土地比较法-工业'!$B$70:$M$70</definedName>
    <definedName name="套工用途">'土地比较法-工业'!$B$70:$M$70</definedName>
    <definedName name="套工宗地开发程度" localSheetId="17">'[1]土地比较法-工业'!$B$112:$M$112</definedName>
    <definedName name="套工宗地开发程度" localSheetId="16">'[1]土地比较法-工业'!$B$112:$M$112</definedName>
    <definedName name="套工宗地开发程度" localSheetId="18">'[1]土地比较法-工业'!$B$112:$M$112</definedName>
    <definedName name="套工宗地开发程度">'土地比较法-工业'!$B$112:$M$112</definedName>
    <definedName name="套工宗地形状" localSheetId="17">'[1]土地比较法-工业'!$B$110:$M$110</definedName>
    <definedName name="套工宗地形状" localSheetId="16">'[1]土地比较法-工业'!$B$110:$M$110</definedName>
    <definedName name="套工宗地形状" localSheetId="18">'[1]土地比较法-工业'!$B$110:$M$110</definedName>
    <definedName name="套工宗地形状">'土地比较法-工业'!$B$110:$M$110</definedName>
    <definedName name="套综道路等级" localSheetId="17">'[1]土地比较法-住宅、综合'!$B$105:$M$105</definedName>
    <definedName name="套综道路等级" localSheetId="16">'[1]土地比较法-住宅、综合'!$B$105:$M$105</definedName>
    <definedName name="套综道路等级" localSheetId="18">'[1]土地比较法-住宅、综合'!$B$105:$M$105</definedName>
    <definedName name="套综道路等级">'土地比较法-住宅、综合'!$B$105:$M$105</definedName>
    <definedName name="套综工程地质条件" localSheetId="17">'[1]土地比较法-住宅、综合'!$B$124:$M$124</definedName>
    <definedName name="套综工程地质条件" localSheetId="16">'[1]土地比较法-住宅、综合'!$B$124:$M$124</definedName>
    <definedName name="套综工程地质条件" localSheetId="18">'[1]土地比较法-住宅、综合'!$B$124:$M$124</definedName>
    <definedName name="套综工程地质条件">'土地比较法-住宅、综合'!$B$124:$M$124</definedName>
    <definedName name="套综交易情况" localSheetId="17">'[1]土地比较法-住宅、综合'!$A$72:$M$72</definedName>
    <definedName name="套综交易情况" localSheetId="16">'[1]土地比较法-住宅、综合'!$A$72:$M$72</definedName>
    <definedName name="套综交易情况" localSheetId="18">'[1]土地比较法-住宅、综合'!$A$72:$M$72</definedName>
    <definedName name="套综交易情况">'土地比较法-住宅、综合'!$A$72:$M$72</definedName>
    <definedName name="套综临街宽度及深度" localSheetId="17">'[1]土地比较法-住宅、综合'!$B$120:$M$120</definedName>
    <definedName name="套综临街宽度及深度" localSheetId="16">'[1]土地比较法-住宅、综合'!$B$120:$M$120</definedName>
    <definedName name="套综临街宽度及深度" localSheetId="18">'[1]土地比较法-住宅、综合'!$B$120:$M$120</definedName>
    <definedName name="套综临街宽度及深度">'土地比较法-住宅、综合'!$B$120:$M$120</definedName>
    <definedName name="套综土地级别" localSheetId="17">'[1]土地比较法-住宅、综合'!$B$107:$M$107</definedName>
    <definedName name="套综土地级别" localSheetId="16">'[1]土地比较法-住宅、综合'!$B$107:$M$107</definedName>
    <definedName name="套综土地级别" localSheetId="18">'[1]土地比较法-住宅、综合'!$B$107:$M$107</definedName>
    <definedName name="套综土地级别">'土地比较法-住宅、综合'!$B$107:$M$107</definedName>
    <definedName name="套综用途" localSheetId="17">'[1]土地比较法-住宅、综合'!$B$74:$M$74</definedName>
    <definedName name="套综用途" localSheetId="16">'[1]土地比较法-住宅、综合'!$B$74:$M$74</definedName>
    <definedName name="套综用途" localSheetId="18">'[1]土地比较法-住宅、综合'!$B$74:$M$74</definedName>
    <definedName name="套综用途">'土地比较法-住宅、综合'!$B$74:$M$74</definedName>
    <definedName name="套综宗地内开发程度" localSheetId="17">'[1]土地比较法-住宅、综合'!$B$122:$M$122</definedName>
    <definedName name="套综宗地内开发程度" localSheetId="16">'[1]土地比较法-住宅、综合'!$B$122:$M$122</definedName>
    <definedName name="套综宗地内开发程度" localSheetId="18">'[1]土地比较法-住宅、综合'!$B$122:$M$122</definedName>
    <definedName name="套综宗地内开发程度">'土地比较法-住宅、综合'!$B$122:$M$122</definedName>
    <definedName name="套综宗地形状" localSheetId="17">'[1]土地比较法-住宅、综合'!$B$118:$M$118</definedName>
    <definedName name="套综宗地形状" localSheetId="16">'[1]土地比较法-住宅、综合'!$B$118:$M$118</definedName>
    <definedName name="套综宗地形状" localSheetId="18">'[1]土地比较法-住宅、综合'!$B$118:$M$118</definedName>
    <definedName name="套综宗地形状">'土地比较法-住宅、综合'!$B$118:$M$118</definedName>
    <definedName name="土地估价师" localSheetId="17">[1]估价师及机构信息!$D$3:$D$24</definedName>
    <definedName name="土地估价师" localSheetId="16">[1]估价师及机构信息!$D$3:$D$24</definedName>
    <definedName name="土地估价师" localSheetId="18">[1]估价师及机构信息!$D$3:$D$24</definedName>
    <definedName name="土地估价师">估价师及机构信息!$D$3:$D$24</definedName>
    <definedName name="土地级别" localSheetId="17">[1]定义!$C$1:$C$14</definedName>
    <definedName name="土地级别" localSheetId="16">[1]定义!$C$1:$C$14</definedName>
    <definedName name="土地级别" localSheetId="18">[1]定义!$C$1:$C$14</definedName>
    <definedName name="土地级别">定义!$C$1:$C$14</definedName>
    <definedName name="土地利用方向" localSheetId="17">[1]定义!$P$1:$P$6</definedName>
    <definedName name="土地利用方向" localSheetId="16">[1]定义!$P$1:$P$6</definedName>
    <definedName name="土地利用方向" localSheetId="18">[1]定义!$P$1:$P$6</definedName>
    <definedName name="土地利用方向">定义!$P$1:$P$6</definedName>
    <definedName name="土地年限区间" localSheetId="17">[1]定义!$I$1:$I$16</definedName>
    <definedName name="土地年限区间" localSheetId="16">[1]定义!$I$1:$I$16</definedName>
    <definedName name="土地年限区间" localSheetId="18">[1]定义!$I$1:$I$16</definedName>
    <definedName name="土地年限区间">定义!$I$1:$I$16</definedName>
    <definedName name="位置" localSheetId="17">[1]定义!$E$2:$E$4</definedName>
    <definedName name="位置" localSheetId="16">[1]定义!$E$2:$E$4</definedName>
    <definedName name="位置" localSheetId="18">[1]定义!$E$2:$E$4</definedName>
    <definedName name="位置">定义!$E$2:$E$4</definedName>
    <definedName name="五等判定" localSheetId="17">[1]定义!$W$1:$W$6</definedName>
    <definedName name="五等判定" localSheetId="16">[1]定义!$W$1:$W$6</definedName>
    <definedName name="五等判定" localSheetId="18">[1]定义!$W$1:$W$6</definedName>
    <definedName name="五等判定">定义!$W$1:$W$6</definedName>
    <definedName name="五级" localSheetId="17">[1]区片价!$M$1:$M$41</definedName>
    <definedName name="五级" localSheetId="16">[1]区片价!$M$1:$M$41</definedName>
    <definedName name="五级" localSheetId="18">[1]区片价!$M$1:$M$41</definedName>
    <definedName name="五级">区片价!$M$1:$M$41</definedName>
    <definedName name="项目类型" localSheetId="32">'[2]数据-汇总表'!$C$17:$C$26</definedName>
    <definedName name="项目类型" localSheetId="17">'[1]数据-汇总表'!$C$17:$C$26</definedName>
    <definedName name="项目类型" localSheetId="16">'[1]数据-汇总表'!$C$17:$C$26</definedName>
    <definedName name="项目类型" localSheetId="18">'[1]数据-汇总表'!$C$17:$C$26</definedName>
    <definedName name="项目类型">'数据-汇总表'!$C$17:$C$26</definedName>
    <definedName name="写字楼等级" localSheetId="17">'[1]比较法-办公'!$B$113:$M$113</definedName>
    <definedName name="写字楼等级" localSheetId="16">'[1]比较法-办公'!$B$113:$M$113</definedName>
    <definedName name="写字楼等级" localSheetId="18">'[1]比较法-办公'!$B$113:$M$113</definedName>
    <definedName name="写字楼等级">'比较法-办公'!$B$113:$M$113</definedName>
    <definedName name="一级" localSheetId="17">[1]区片价!$I$1:$I$6</definedName>
    <definedName name="一级" localSheetId="16">[1]区片价!$I$1:$I$6</definedName>
    <definedName name="一级" localSheetId="18">[1]区片价!$I$1:$I$6</definedName>
    <definedName name="一级">区片价!$I$1:$I$6</definedName>
    <definedName name="一修多修正项2" localSheetId="48">'典型户型修正 (2)'!$5:$5</definedName>
    <definedName name="一修多修正项2" localSheetId="17">[1]典型户型修正!$5:$5</definedName>
    <definedName name="一修多修正项2" localSheetId="16">[1]典型户型修正!$5:$5</definedName>
    <definedName name="一修多修正项2" localSheetId="18">[1]典型户型修正!$5:$5</definedName>
    <definedName name="一修多修正项2">典型户型修正!$5:$5</definedName>
    <definedName name="一修多修正项3" localSheetId="48">'典型户型修正 (2)'!$7:$7</definedName>
    <definedName name="一修多修正项3" localSheetId="17">[1]典型户型修正!$7:$7</definedName>
    <definedName name="一修多修正项3" localSheetId="16">[1]典型户型修正!$7:$7</definedName>
    <definedName name="一修多修正项3" localSheetId="18">[1]典型户型修正!$7:$7</definedName>
    <definedName name="一修多修正项3">典型户型修正!$7:$7</definedName>
    <definedName name="一修多修正项4" localSheetId="48">'典型户型修正 (2)'!$9:$9</definedName>
    <definedName name="一修多修正项4" localSheetId="17">[1]典型户型修正!$9:$9</definedName>
    <definedName name="一修多修正项4" localSheetId="16">[1]典型户型修正!$9:$9</definedName>
    <definedName name="一修多修正项4" localSheetId="18">[1]典型户型修正!$9:$9</definedName>
    <definedName name="一修多修正项4">典型户型修正!$9:$9</definedName>
    <definedName name="一修多修正项5" localSheetId="48">'典型户型修正 (2)'!$11:$11</definedName>
    <definedName name="一修多修正项5" localSheetId="17">[1]典型户型修正!$11:$11</definedName>
    <definedName name="一修多修正项5" localSheetId="16">[1]典型户型修正!$11:$11</definedName>
    <definedName name="一修多修正项5" localSheetId="18">[1]典型户型修正!$11:$11</definedName>
    <definedName name="一修多修正项5">典型户型修正!$11:$11</definedName>
    <definedName name="一修多修正项6" localSheetId="48">'典型户型修正 (2)'!$13:$13</definedName>
    <definedName name="一修多修正项6" localSheetId="17">[1]典型户型修正!$13:$13</definedName>
    <definedName name="一修多修正项6" localSheetId="16">[1]典型户型修正!$13:$13</definedName>
    <definedName name="一修多修正项6" localSheetId="18">[1]典型户型修正!$13:$13</definedName>
    <definedName name="一修多修正项6">典型户型修正!$13:$13</definedName>
    <definedName name="一修多修正项7" localSheetId="48">'典型户型修正 (2)'!$15:$15</definedName>
    <definedName name="一修多修正项7" localSheetId="17">[1]典型户型修正!$15:$15</definedName>
    <definedName name="一修多修正项7" localSheetId="16">[1]典型户型修正!$15:$15</definedName>
    <definedName name="一修多修正项7" localSheetId="18">[1]典型户型修正!$15:$15</definedName>
    <definedName name="一修多修正项7">典型户型修正!$15:$15</definedName>
    <definedName name="一修多修正项8" localSheetId="48">'典型户型修正 (2)'!$17:$17</definedName>
    <definedName name="一修多修正项8" localSheetId="17">[1]典型户型修正!$17:$17</definedName>
    <definedName name="一修多修正项8" localSheetId="16">[1]典型户型修正!$17:$17</definedName>
    <definedName name="一修多修正项8" localSheetId="18">[1]典型户型修正!$17:$17</definedName>
    <definedName name="一修多修正项8">典型户型修正!$17:$17</definedName>
    <definedName name="用途明细" localSheetId="17">[1]定义!$A$1:$A$50</definedName>
    <definedName name="用途明细" localSheetId="16">[1]定义!$A$1:$A$50</definedName>
    <definedName name="用途明细" localSheetId="18">[1]定义!$A$1:$A$50</definedName>
    <definedName name="用途明细">定义!$A$1:$A$50</definedName>
    <definedName name="有无电梯" localSheetId="17">'[1]比较法-仓储'!$B$84:$M$84</definedName>
    <definedName name="有无电梯" localSheetId="16">'[1]比较法-仓储'!$B$84:$M$84</definedName>
    <definedName name="有无电梯" localSheetId="18">'[1]比较法-仓储'!$B$84:$M$84</definedName>
    <definedName name="有无电梯">'比较法-仓储'!$B$84:$M$84</definedName>
    <definedName name="主用途" localSheetId="17">[1]定义!$F$1:$F$12</definedName>
    <definedName name="主用途" localSheetId="16">[1]定义!$F$1:$F$12</definedName>
    <definedName name="主用途" localSheetId="18">[1]定义!$F$1:$F$12</definedName>
    <definedName name="主用途">定义!$F$1:$F$12</definedName>
    <definedName name="住宅朝向" localSheetId="17">'[1]比较法-住宅'!$B$88:$M$88</definedName>
    <definedName name="住宅朝向" localSheetId="16">'[1]比较法-住宅'!$B$88:$M$88</definedName>
    <definedName name="住宅朝向" localSheetId="18">'[1]比较法-住宅'!$B$88:$M$88</definedName>
    <definedName name="住宅朝向">'比较法-住宅'!$B$88:$M$88</definedName>
    <definedName name="住宅房型" localSheetId="17">'[1]比较法-住宅'!$B$118:$M$118</definedName>
    <definedName name="住宅房型" localSheetId="16">'[1]比较法-住宅'!$B$118:$M$118</definedName>
    <definedName name="住宅房型" localSheetId="18">'[1]比较法-住宅'!$B$118:$M$118</definedName>
    <definedName name="住宅房型">'比较法-住宅'!$B$118:$M$118</definedName>
    <definedName name="住宅公共部分装修" localSheetId="17">'[1]比较法-住宅'!$B$109:$M$109</definedName>
    <definedName name="住宅公共部分装修" localSheetId="16">'[1]比较法-住宅'!$B$109:$M$109</definedName>
    <definedName name="住宅公共部分装修" localSheetId="18">'[1]比较法-住宅'!$B$109:$M$109</definedName>
    <definedName name="住宅公共部分装修">'比较法-住宅'!$B$109:$M$109</definedName>
    <definedName name="住宅基础设施水平" localSheetId="17">'[1]比较法-住宅'!$B$116:$M$116</definedName>
    <definedName name="住宅基础设施水平" localSheetId="16">'[1]比较法-住宅'!$B$116:$M$116</definedName>
    <definedName name="住宅基础设施水平" localSheetId="18">'[1]比较法-住宅'!$B$116:$M$116</definedName>
    <definedName name="住宅基础设施水平">'比较法-住宅'!$B$116:$M$116</definedName>
    <definedName name="住宅建筑结构" localSheetId="17">'[1]比较法-住宅'!$B$105:$M$105</definedName>
    <definedName name="住宅建筑结构" localSheetId="16">'[1]比较法-住宅'!$B$105:$M$105</definedName>
    <definedName name="住宅建筑结构" localSheetId="18">'[1]比较法-住宅'!$B$105:$M$105</definedName>
    <definedName name="住宅建筑结构">'比较法-住宅'!$B$105:$M$105</definedName>
    <definedName name="住宅建筑类型" localSheetId="17">'[1]比较法-住宅'!$B$100:$M$100</definedName>
    <definedName name="住宅建筑类型" localSheetId="16">'[1]比较法-住宅'!$B$100:$M$100</definedName>
    <definedName name="住宅建筑类型" localSheetId="18">'[1]比较法-住宅'!$B$100:$M$100</definedName>
    <definedName name="住宅建筑类型">'比较法-住宅'!$B$100:$M$100</definedName>
    <definedName name="住宅建筑品质" localSheetId="17">'[1]比较法-住宅'!$B$107:$M$107</definedName>
    <definedName name="住宅建筑品质" localSheetId="16">'[1]比较法-住宅'!$B$107:$M$107</definedName>
    <definedName name="住宅建筑品质" localSheetId="18">'[1]比较法-住宅'!$B$107:$M$107</definedName>
    <definedName name="住宅建筑品质">'比较法-住宅'!$B$107:$M$107</definedName>
    <definedName name="住宅交易情况" localSheetId="17">'[1]比较法-住宅'!$A$61:$M$61</definedName>
    <definedName name="住宅交易情况" localSheetId="16">'[1]比较法-住宅'!$A$61:$M$61</definedName>
    <definedName name="住宅交易情况" localSheetId="18">'[1]比较法-住宅'!$A$61:$M$61</definedName>
    <definedName name="住宅交易情况">'比较法-住宅'!$A$61:$M$61</definedName>
    <definedName name="住宅楼层" localSheetId="17">'[1]比较法-住宅'!$B$86:$M$86</definedName>
    <definedName name="住宅楼层" localSheetId="16">'[1]比较法-住宅'!$B$86:$M$86</definedName>
    <definedName name="住宅楼层" localSheetId="18">'[1]比较法-住宅'!$B$86:$M$86</definedName>
    <definedName name="住宅楼层">'比较法-住宅'!$B$86:$M$86</definedName>
    <definedName name="住宅内部装修" localSheetId="17">'[1]比较法-住宅'!$B$122:$M$122</definedName>
    <definedName name="住宅内部装修" localSheetId="16">'[1]比较法-住宅'!$B$122:$M$122</definedName>
    <definedName name="住宅内部装修" localSheetId="18">'[1]比较法-住宅'!$B$122:$M$122</definedName>
    <definedName name="住宅内部装修">'比较法-住宅'!$B$122:$M$122</definedName>
    <definedName name="住宅物业管理" localSheetId="17">'[1]比较法-住宅'!$B$114:$M$114</definedName>
    <definedName name="住宅物业管理" localSheetId="16">'[1]比较法-住宅'!$B$114:$M$114</definedName>
    <definedName name="住宅物业管理" localSheetId="18">'[1]比较法-住宅'!$B$114:$M$114</definedName>
    <definedName name="住宅物业管理">'比较法-住宅'!$B$114:$M$114</definedName>
    <definedName name="住宅用途" localSheetId="17">'[1]比较法-住宅'!$B$63:$M$63</definedName>
    <definedName name="住宅用途" localSheetId="16">'[1]比较法-住宅'!$B$63:$M$63</definedName>
    <definedName name="住宅用途" localSheetId="18">'[1]比较法-住宅'!$B$63:$M$63</definedName>
    <definedName name="住宅用途">'比较法-住宅'!$B$63:$M$63</definedName>
    <definedName name="住宅主力户型面积" localSheetId="17">'[1]比较法-住宅'!$B$120:$M$120</definedName>
    <definedName name="住宅主力户型面积" localSheetId="16">'[1]比较法-住宅'!$B$120:$M$120</definedName>
    <definedName name="住宅主力户型面积" localSheetId="18">'[1]比较法-住宅'!$B$120:$M$120</definedName>
    <definedName name="住宅主力户型面积">'比较法-住宅'!$B$120:$M$120</definedName>
    <definedName name="注册房地产估价师" localSheetId="17">[1]估价师及机构信息!$A$3:$A$16</definedName>
    <definedName name="注册房地产估价师" localSheetId="16">[1]估价师及机构信息!$A$3:$A$16</definedName>
    <definedName name="注册房地产估价师" localSheetId="18">[1]估价师及机构信息!$A$3:$A$16</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C47" i="11"/>
  <c r="D45" i="11"/>
  <c r="G41" i="11"/>
  <c r="C40" i="11"/>
  <c r="F38" i="11"/>
  <c r="E37" i="11"/>
  <c r="D37" i="11"/>
  <c r="F36" i="11"/>
  <c r="F35" i="11"/>
  <c r="F34" i="11"/>
  <c r="C37" i="11" s="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85"/>
  <c r="R524" i="85"/>
  <c r="Q524" i="85"/>
  <c r="O524" i="85"/>
  <c r="M524" i="85"/>
  <c r="K524" i="85"/>
  <c r="I524" i="85"/>
  <c r="G524" i="85"/>
  <c r="E524" i="85"/>
  <c r="C524" i="85"/>
  <c r="S523" i="85"/>
  <c r="R523" i="85"/>
  <c r="Q523" i="85"/>
  <c r="O523" i="85"/>
  <c r="M523" i="85"/>
  <c r="K523" i="85"/>
  <c r="I523" i="85"/>
  <c r="G523" i="85"/>
  <c r="E523" i="85"/>
  <c r="C523" i="85"/>
  <c r="S522" i="85"/>
  <c r="R522" i="85"/>
  <c r="Q522" i="85"/>
  <c r="O522" i="85"/>
  <c r="M522" i="85"/>
  <c r="K522" i="85"/>
  <c r="I522" i="85"/>
  <c r="G522" i="85"/>
  <c r="E522" i="85"/>
  <c r="C522" i="85"/>
  <c r="S521" i="85"/>
  <c r="R521" i="85"/>
  <c r="Q521" i="85"/>
  <c r="O521" i="85"/>
  <c r="M521" i="85"/>
  <c r="K521" i="85"/>
  <c r="I521" i="85"/>
  <c r="G521" i="85"/>
  <c r="E521" i="85"/>
  <c r="C521" i="85"/>
  <c r="S520" i="85"/>
  <c r="R520" i="85"/>
  <c r="Q520" i="85"/>
  <c r="O520" i="85"/>
  <c r="M520" i="85"/>
  <c r="K520" i="85"/>
  <c r="I520" i="85"/>
  <c r="G520" i="85"/>
  <c r="E520" i="85"/>
  <c r="C520" i="85"/>
  <c r="S519" i="85"/>
  <c r="R519" i="85"/>
  <c r="Q519" i="85"/>
  <c r="O519" i="85"/>
  <c r="M519" i="85"/>
  <c r="K519" i="85"/>
  <c r="I519" i="85"/>
  <c r="G519" i="85"/>
  <c r="E519" i="85"/>
  <c r="C519" i="85"/>
  <c r="S518" i="85"/>
  <c r="R518" i="85"/>
  <c r="Q518" i="85"/>
  <c r="O518" i="85"/>
  <c r="M518" i="85"/>
  <c r="K518" i="85"/>
  <c r="I518" i="85"/>
  <c r="G518" i="85"/>
  <c r="E518" i="85"/>
  <c r="C518" i="85"/>
  <c r="S517" i="85"/>
  <c r="R517" i="85"/>
  <c r="Q517" i="85"/>
  <c r="O517" i="85"/>
  <c r="M517" i="85"/>
  <c r="K517" i="85"/>
  <c r="I517" i="85"/>
  <c r="G517" i="85"/>
  <c r="E517" i="85"/>
  <c r="C517" i="85"/>
  <c r="S516" i="85"/>
  <c r="R516" i="85"/>
  <c r="Q516" i="85"/>
  <c r="O516" i="85"/>
  <c r="M516" i="85"/>
  <c r="K516" i="85"/>
  <c r="I516" i="85"/>
  <c r="G516" i="85"/>
  <c r="E516" i="85"/>
  <c r="C516" i="85"/>
  <c r="S515" i="85"/>
  <c r="R515" i="85"/>
  <c r="Q515" i="85"/>
  <c r="O515" i="85"/>
  <c r="M515" i="85"/>
  <c r="K515" i="85"/>
  <c r="I515" i="85"/>
  <c r="G515" i="85"/>
  <c r="E515" i="85"/>
  <c r="C515" i="85"/>
  <c r="S514" i="85"/>
  <c r="R514" i="85"/>
  <c r="Q514" i="85"/>
  <c r="O514" i="85"/>
  <c r="M514" i="85"/>
  <c r="K514" i="85"/>
  <c r="I514" i="85"/>
  <c r="G514" i="85"/>
  <c r="E514" i="85"/>
  <c r="C514" i="85"/>
  <c r="S513" i="85"/>
  <c r="R513" i="85"/>
  <c r="Q513" i="85"/>
  <c r="O513" i="85"/>
  <c r="M513" i="85"/>
  <c r="K513" i="85"/>
  <c r="I513" i="85"/>
  <c r="G513" i="85"/>
  <c r="E513" i="85"/>
  <c r="C513" i="85"/>
  <c r="S512" i="85"/>
  <c r="R512" i="85"/>
  <c r="Q512" i="85"/>
  <c r="O512" i="85"/>
  <c r="M512" i="85"/>
  <c r="K512" i="85"/>
  <c r="I512" i="85"/>
  <c r="G512" i="85"/>
  <c r="E512" i="85"/>
  <c r="C512" i="85"/>
  <c r="S511" i="85"/>
  <c r="R511" i="85"/>
  <c r="Q511" i="85"/>
  <c r="O511" i="85"/>
  <c r="M511" i="85"/>
  <c r="K511" i="85"/>
  <c r="I511" i="85"/>
  <c r="G511" i="85"/>
  <c r="E511" i="85"/>
  <c r="C511" i="85"/>
  <c r="S510" i="85"/>
  <c r="R510" i="85"/>
  <c r="Q510" i="85"/>
  <c r="O510" i="85"/>
  <c r="M510" i="85"/>
  <c r="K510" i="85"/>
  <c r="I510" i="85"/>
  <c r="G510" i="85"/>
  <c r="E510" i="85"/>
  <c r="C510" i="85"/>
  <c r="S509" i="85"/>
  <c r="R509" i="85"/>
  <c r="Q509" i="85"/>
  <c r="O509" i="85"/>
  <c r="M509" i="85"/>
  <c r="K509" i="85"/>
  <c r="I509" i="85"/>
  <c r="G509" i="85"/>
  <c r="E509" i="85"/>
  <c r="C509" i="85"/>
  <c r="S508" i="85"/>
  <c r="R508" i="85"/>
  <c r="Q508" i="85"/>
  <c r="O508" i="85"/>
  <c r="M508" i="85"/>
  <c r="K508" i="85"/>
  <c r="I508" i="85"/>
  <c r="G508" i="85"/>
  <c r="E508" i="85"/>
  <c r="C508" i="85"/>
  <c r="S507" i="85"/>
  <c r="R507" i="85"/>
  <c r="Q507" i="85"/>
  <c r="O507" i="85"/>
  <c r="M507" i="85"/>
  <c r="K507" i="85"/>
  <c r="I507" i="85"/>
  <c r="G507" i="85"/>
  <c r="E507" i="85"/>
  <c r="C507" i="85"/>
  <c r="S506" i="85"/>
  <c r="R506" i="85"/>
  <c r="Q506" i="85"/>
  <c r="O506" i="85"/>
  <c r="M506" i="85"/>
  <c r="K506" i="85"/>
  <c r="I506" i="85"/>
  <c r="G506" i="85"/>
  <c r="E506" i="85"/>
  <c r="C506" i="85"/>
  <c r="S505" i="85"/>
  <c r="R505" i="85"/>
  <c r="Q505" i="85"/>
  <c r="O505" i="85"/>
  <c r="M505" i="85"/>
  <c r="K505" i="85"/>
  <c r="I505" i="85"/>
  <c r="G505" i="85"/>
  <c r="E505" i="85"/>
  <c r="C505" i="85"/>
  <c r="S504" i="85"/>
  <c r="R504" i="85"/>
  <c r="Q504" i="85"/>
  <c r="O504" i="85"/>
  <c r="M504" i="85"/>
  <c r="K504" i="85"/>
  <c r="I504" i="85"/>
  <c r="G504" i="85"/>
  <c r="E504" i="85"/>
  <c r="C504" i="85"/>
  <c r="S503" i="85"/>
  <c r="R503" i="85"/>
  <c r="Q503" i="85"/>
  <c r="O503" i="85"/>
  <c r="M503" i="85"/>
  <c r="K503" i="85"/>
  <c r="I503" i="85"/>
  <c r="G503" i="85"/>
  <c r="E503" i="85"/>
  <c r="C503" i="85"/>
  <c r="S502" i="85"/>
  <c r="R502" i="85"/>
  <c r="Q502" i="85"/>
  <c r="O502" i="85"/>
  <c r="M502" i="85"/>
  <c r="K502" i="85"/>
  <c r="I502" i="85"/>
  <c r="G502" i="85"/>
  <c r="E502" i="85"/>
  <c r="C502" i="85"/>
  <c r="S501" i="85"/>
  <c r="R501" i="85"/>
  <c r="Q501" i="85"/>
  <c r="O501" i="85"/>
  <c r="M501" i="85"/>
  <c r="K501" i="85"/>
  <c r="I501" i="85"/>
  <c r="G501" i="85"/>
  <c r="E501" i="85"/>
  <c r="C501" i="85"/>
  <c r="S500" i="85"/>
  <c r="R500" i="85"/>
  <c r="Q500" i="85"/>
  <c r="O500" i="85"/>
  <c r="M500" i="85"/>
  <c r="K500" i="85"/>
  <c r="I500" i="85"/>
  <c r="G500" i="85"/>
  <c r="E500" i="85"/>
  <c r="C500" i="85"/>
  <c r="S499" i="85"/>
  <c r="R499" i="85"/>
  <c r="Q499" i="85"/>
  <c r="O499" i="85"/>
  <c r="M499" i="85"/>
  <c r="K499" i="85"/>
  <c r="I499" i="85"/>
  <c r="G499" i="85"/>
  <c r="E499" i="85"/>
  <c r="C499" i="85"/>
  <c r="S498" i="85"/>
  <c r="R498" i="85"/>
  <c r="Q498" i="85"/>
  <c r="O498" i="85"/>
  <c r="M498" i="85"/>
  <c r="K498" i="85"/>
  <c r="I498" i="85"/>
  <c r="G498" i="85"/>
  <c r="E498" i="85"/>
  <c r="C498" i="85"/>
  <c r="S497" i="85"/>
  <c r="R497" i="85"/>
  <c r="Q497" i="85"/>
  <c r="O497" i="85"/>
  <c r="M497" i="85"/>
  <c r="K497" i="85"/>
  <c r="I497" i="85"/>
  <c r="G497" i="85"/>
  <c r="E497" i="85"/>
  <c r="C497" i="85"/>
  <c r="S496" i="85"/>
  <c r="R496" i="85"/>
  <c r="Q496" i="85"/>
  <c r="O496" i="85"/>
  <c r="M496" i="85"/>
  <c r="K496" i="85"/>
  <c r="I496" i="85"/>
  <c r="G496" i="85"/>
  <c r="E496" i="85"/>
  <c r="C496" i="85"/>
  <c r="S495" i="85"/>
  <c r="R495" i="85"/>
  <c r="Q495" i="85"/>
  <c r="O495" i="85"/>
  <c r="M495" i="85"/>
  <c r="K495" i="85"/>
  <c r="I495" i="85"/>
  <c r="G495" i="85"/>
  <c r="E495" i="85"/>
  <c r="C495" i="85"/>
  <c r="S494" i="85"/>
  <c r="R494" i="85"/>
  <c r="Q494" i="85"/>
  <c r="O494" i="85"/>
  <c r="M494" i="85"/>
  <c r="K494" i="85"/>
  <c r="I494" i="85"/>
  <c r="G494" i="85"/>
  <c r="E494" i="85"/>
  <c r="C494" i="85"/>
  <c r="S493" i="85"/>
  <c r="R493" i="85"/>
  <c r="Q493" i="85"/>
  <c r="O493" i="85"/>
  <c r="M493" i="85"/>
  <c r="K493" i="85"/>
  <c r="I493" i="85"/>
  <c r="G493" i="85"/>
  <c r="E493" i="85"/>
  <c r="C493" i="85"/>
  <c r="S492" i="85"/>
  <c r="R492" i="85"/>
  <c r="Q492" i="85"/>
  <c r="O492" i="85"/>
  <c r="M492" i="85"/>
  <c r="K492" i="85"/>
  <c r="I492" i="85"/>
  <c r="G492" i="85"/>
  <c r="E492" i="85"/>
  <c r="C492" i="85"/>
  <c r="S491" i="85"/>
  <c r="R491" i="85"/>
  <c r="Q491" i="85"/>
  <c r="O491" i="85"/>
  <c r="M491" i="85"/>
  <c r="K491" i="85"/>
  <c r="I491" i="85"/>
  <c r="G491" i="85"/>
  <c r="E491" i="85"/>
  <c r="C491" i="85"/>
  <c r="S490" i="85"/>
  <c r="R490" i="85"/>
  <c r="Q490" i="85"/>
  <c r="O490" i="85"/>
  <c r="M490" i="85"/>
  <c r="K490" i="85"/>
  <c r="I490" i="85"/>
  <c r="G490" i="85"/>
  <c r="E490" i="85"/>
  <c r="C490" i="85"/>
  <c r="S489" i="85"/>
  <c r="R489" i="85"/>
  <c r="Q489" i="85"/>
  <c r="O489" i="85"/>
  <c r="M489" i="85"/>
  <c r="K489" i="85"/>
  <c r="I489" i="85"/>
  <c r="G489" i="85"/>
  <c r="E489" i="85"/>
  <c r="C489" i="85"/>
  <c r="S488" i="85"/>
  <c r="R488" i="85"/>
  <c r="Q488" i="85"/>
  <c r="O488" i="85"/>
  <c r="M488" i="85"/>
  <c r="K488" i="85"/>
  <c r="I488" i="85"/>
  <c r="G488" i="85"/>
  <c r="E488" i="85"/>
  <c r="C488" i="85"/>
  <c r="S487" i="85"/>
  <c r="R487" i="85"/>
  <c r="Q487" i="85"/>
  <c r="O487" i="85"/>
  <c r="M487" i="85"/>
  <c r="K487" i="85"/>
  <c r="I487" i="85"/>
  <c r="G487" i="85"/>
  <c r="E487" i="85"/>
  <c r="C487" i="85"/>
  <c r="S486" i="85"/>
  <c r="R486" i="85"/>
  <c r="Q486" i="85"/>
  <c r="O486" i="85"/>
  <c r="M486" i="85"/>
  <c r="K486" i="85"/>
  <c r="I486" i="85"/>
  <c r="G486" i="85"/>
  <c r="E486" i="85"/>
  <c r="C486" i="85"/>
  <c r="S485" i="85"/>
  <c r="R485" i="85"/>
  <c r="Q485" i="85"/>
  <c r="O485" i="85"/>
  <c r="M485" i="85"/>
  <c r="K485" i="85"/>
  <c r="I485" i="85"/>
  <c r="G485" i="85"/>
  <c r="E485" i="85"/>
  <c r="C485" i="85"/>
  <c r="S484" i="85"/>
  <c r="R484" i="85"/>
  <c r="Q484" i="85"/>
  <c r="O484" i="85"/>
  <c r="M484" i="85"/>
  <c r="K484" i="85"/>
  <c r="I484" i="85"/>
  <c r="G484" i="85"/>
  <c r="E484" i="85"/>
  <c r="C484" i="85"/>
  <c r="S483" i="85"/>
  <c r="R483" i="85"/>
  <c r="Q483" i="85"/>
  <c r="O483" i="85"/>
  <c r="M483" i="85"/>
  <c r="K483" i="85"/>
  <c r="I483" i="85"/>
  <c r="G483" i="85"/>
  <c r="E483" i="85"/>
  <c r="C483" i="85"/>
  <c r="S482" i="85"/>
  <c r="R482" i="85"/>
  <c r="Q482" i="85"/>
  <c r="O482" i="85"/>
  <c r="M482" i="85"/>
  <c r="K482" i="85"/>
  <c r="I482" i="85"/>
  <c r="G482" i="85"/>
  <c r="E482" i="85"/>
  <c r="C482" i="85"/>
  <c r="S481" i="85"/>
  <c r="R481" i="85"/>
  <c r="Q481" i="85"/>
  <c r="O481" i="85"/>
  <c r="M481" i="85"/>
  <c r="K481" i="85"/>
  <c r="I481" i="85"/>
  <c r="G481" i="85"/>
  <c r="E481" i="85"/>
  <c r="C481" i="85"/>
  <c r="S480" i="85"/>
  <c r="R480" i="85"/>
  <c r="Q480" i="85"/>
  <c r="O480" i="85"/>
  <c r="M480" i="85"/>
  <c r="K480" i="85"/>
  <c r="I480" i="85"/>
  <c r="G480" i="85"/>
  <c r="E480" i="85"/>
  <c r="C480" i="85"/>
  <c r="S479" i="85"/>
  <c r="R479" i="85"/>
  <c r="Q479" i="85"/>
  <c r="O479" i="85"/>
  <c r="M479" i="85"/>
  <c r="K479" i="85"/>
  <c r="I479" i="85"/>
  <c r="G479" i="85"/>
  <c r="E479" i="85"/>
  <c r="C479" i="85"/>
  <c r="S478" i="85"/>
  <c r="R478" i="85"/>
  <c r="Q478" i="85"/>
  <c r="O478" i="85"/>
  <c r="M478" i="85"/>
  <c r="K478" i="85"/>
  <c r="I478" i="85"/>
  <c r="G478" i="85"/>
  <c r="E478" i="85"/>
  <c r="C478" i="85"/>
  <c r="S477" i="85"/>
  <c r="R477" i="85"/>
  <c r="Q477" i="85"/>
  <c r="O477" i="85"/>
  <c r="M477" i="85"/>
  <c r="K477" i="85"/>
  <c r="I477" i="85"/>
  <c r="G477" i="85"/>
  <c r="E477" i="85"/>
  <c r="C477" i="85"/>
  <c r="S476" i="85"/>
  <c r="R476" i="85"/>
  <c r="Q476" i="85"/>
  <c r="O476" i="85"/>
  <c r="M476" i="85"/>
  <c r="K476" i="85"/>
  <c r="I476" i="85"/>
  <c r="G476" i="85"/>
  <c r="E476" i="85"/>
  <c r="C476" i="85"/>
  <c r="S475" i="85"/>
  <c r="R475" i="85"/>
  <c r="Q475" i="85"/>
  <c r="O475" i="85"/>
  <c r="M475" i="85"/>
  <c r="K475" i="85"/>
  <c r="I475" i="85"/>
  <c r="G475" i="85"/>
  <c r="E475" i="85"/>
  <c r="C475" i="85"/>
  <c r="S474" i="85"/>
  <c r="R474" i="85"/>
  <c r="Q474" i="85"/>
  <c r="O474" i="85"/>
  <c r="M474" i="85"/>
  <c r="K474" i="85"/>
  <c r="I474" i="85"/>
  <c r="G474" i="85"/>
  <c r="E474" i="85"/>
  <c r="C474" i="85"/>
  <c r="S473" i="85"/>
  <c r="R473" i="85"/>
  <c r="Q473" i="85"/>
  <c r="O473" i="85"/>
  <c r="M473" i="85"/>
  <c r="K473" i="85"/>
  <c r="I473" i="85"/>
  <c r="G473" i="85"/>
  <c r="E473" i="85"/>
  <c r="C473" i="85"/>
  <c r="S472" i="85"/>
  <c r="R472" i="85"/>
  <c r="Q472" i="85"/>
  <c r="O472" i="85"/>
  <c r="M472" i="85"/>
  <c r="K472" i="85"/>
  <c r="I472" i="85"/>
  <c r="G472" i="85"/>
  <c r="E472" i="85"/>
  <c r="C472" i="85"/>
  <c r="S471" i="85"/>
  <c r="R471" i="85"/>
  <c r="Q471" i="85"/>
  <c r="O471" i="85"/>
  <c r="M471" i="85"/>
  <c r="K471" i="85"/>
  <c r="I471" i="85"/>
  <c r="G471" i="85"/>
  <c r="E471" i="85"/>
  <c r="C471" i="85"/>
  <c r="S470" i="85"/>
  <c r="R470" i="85"/>
  <c r="Q470" i="85"/>
  <c r="O470" i="85"/>
  <c r="M470" i="85"/>
  <c r="K470" i="85"/>
  <c r="I470" i="85"/>
  <c r="G470" i="85"/>
  <c r="E470" i="85"/>
  <c r="C470" i="85"/>
  <c r="S469" i="85"/>
  <c r="R469" i="85"/>
  <c r="Q469" i="85"/>
  <c r="O469" i="85"/>
  <c r="M469" i="85"/>
  <c r="K469" i="85"/>
  <c r="I469" i="85"/>
  <c r="G469" i="85"/>
  <c r="E469" i="85"/>
  <c r="C469" i="85"/>
  <c r="S468" i="85"/>
  <c r="R468" i="85"/>
  <c r="Q468" i="85"/>
  <c r="O468" i="85"/>
  <c r="M468" i="85"/>
  <c r="K468" i="85"/>
  <c r="I468" i="85"/>
  <c r="G468" i="85"/>
  <c r="E468" i="85"/>
  <c r="C468" i="85"/>
  <c r="S467" i="85"/>
  <c r="R467" i="85"/>
  <c r="Q467" i="85"/>
  <c r="O467" i="85"/>
  <c r="M467" i="85"/>
  <c r="K467" i="85"/>
  <c r="I467" i="85"/>
  <c r="G467" i="85"/>
  <c r="E467" i="85"/>
  <c r="C467" i="85"/>
  <c r="S466" i="85"/>
  <c r="R466" i="85"/>
  <c r="Q466" i="85"/>
  <c r="O466" i="85"/>
  <c r="M466" i="85"/>
  <c r="K466" i="85"/>
  <c r="I466" i="85"/>
  <c r="G466" i="85"/>
  <c r="E466" i="85"/>
  <c r="C466" i="85"/>
  <c r="S465" i="85"/>
  <c r="R465" i="85"/>
  <c r="Q465" i="85"/>
  <c r="O465" i="85"/>
  <c r="M465" i="85"/>
  <c r="K465" i="85"/>
  <c r="I465" i="85"/>
  <c r="G465" i="85"/>
  <c r="E465" i="85"/>
  <c r="C465" i="85"/>
  <c r="S464" i="85"/>
  <c r="R464" i="85"/>
  <c r="Q464" i="85"/>
  <c r="O464" i="85"/>
  <c r="M464" i="85"/>
  <c r="K464" i="85"/>
  <c r="I464" i="85"/>
  <c r="G464" i="85"/>
  <c r="E464" i="85"/>
  <c r="C464" i="85"/>
  <c r="S463" i="85"/>
  <c r="R463" i="85"/>
  <c r="Q463" i="85"/>
  <c r="O463" i="85"/>
  <c r="M463" i="85"/>
  <c r="K463" i="85"/>
  <c r="I463" i="85"/>
  <c r="G463" i="85"/>
  <c r="E463" i="85"/>
  <c r="C463" i="85"/>
  <c r="S462" i="85"/>
  <c r="R462" i="85"/>
  <c r="Q462" i="85"/>
  <c r="O462" i="85"/>
  <c r="M462" i="85"/>
  <c r="K462" i="85"/>
  <c r="I462" i="85"/>
  <c r="G462" i="85"/>
  <c r="E462" i="85"/>
  <c r="C462" i="85"/>
  <c r="S461" i="85"/>
  <c r="R461" i="85"/>
  <c r="Q461" i="85"/>
  <c r="O461" i="85"/>
  <c r="M461" i="85"/>
  <c r="K461" i="85"/>
  <c r="I461" i="85"/>
  <c r="G461" i="85"/>
  <c r="E461" i="85"/>
  <c r="C461" i="85"/>
  <c r="S460" i="85"/>
  <c r="R460" i="85"/>
  <c r="Q460" i="85"/>
  <c r="O460" i="85"/>
  <c r="M460" i="85"/>
  <c r="K460" i="85"/>
  <c r="I460" i="85"/>
  <c r="G460" i="85"/>
  <c r="E460" i="85"/>
  <c r="C460" i="85"/>
  <c r="S459" i="85"/>
  <c r="R459" i="85"/>
  <c r="Q459" i="85"/>
  <c r="O459" i="85"/>
  <c r="M459" i="85"/>
  <c r="K459" i="85"/>
  <c r="I459" i="85"/>
  <c r="G459" i="85"/>
  <c r="E459" i="85"/>
  <c r="C459" i="85"/>
  <c r="S458" i="85"/>
  <c r="R458" i="85"/>
  <c r="Q458" i="85"/>
  <c r="O458" i="85"/>
  <c r="M458" i="85"/>
  <c r="K458" i="85"/>
  <c r="I458" i="85"/>
  <c r="G458" i="85"/>
  <c r="E458" i="85"/>
  <c r="C458" i="85"/>
  <c r="S457" i="85"/>
  <c r="R457" i="85"/>
  <c r="Q457" i="85"/>
  <c r="O457" i="85"/>
  <c r="M457" i="85"/>
  <c r="K457" i="85"/>
  <c r="I457" i="85"/>
  <c r="G457" i="85"/>
  <c r="E457" i="85"/>
  <c r="C457" i="85"/>
  <c r="S456" i="85"/>
  <c r="R456" i="85"/>
  <c r="Q456" i="85"/>
  <c r="O456" i="85"/>
  <c r="M456" i="85"/>
  <c r="K456" i="85"/>
  <c r="I456" i="85"/>
  <c r="G456" i="85"/>
  <c r="E456" i="85"/>
  <c r="C456" i="85"/>
  <c r="S455" i="85"/>
  <c r="R455" i="85"/>
  <c r="Q455" i="85"/>
  <c r="O455" i="85"/>
  <c r="M455" i="85"/>
  <c r="K455" i="85"/>
  <c r="I455" i="85"/>
  <c r="G455" i="85"/>
  <c r="E455" i="85"/>
  <c r="C455" i="85"/>
  <c r="S454" i="85"/>
  <c r="R454" i="85"/>
  <c r="Q454" i="85"/>
  <c r="O454" i="85"/>
  <c r="M454" i="85"/>
  <c r="K454" i="85"/>
  <c r="I454" i="85"/>
  <c r="G454" i="85"/>
  <c r="E454" i="85"/>
  <c r="C454" i="85"/>
  <c r="S453" i="85"/>
  <c r="R453" i="85"/>
  <c r="Q453" i="85"/>
  <c r="O453" i="85"/>
  <c r="M453" i="85"/>
  <c r="K453" i="85"/>
  <c r="I453" i="85"/>
  <c r="G453" i="85"/>
  <c r="E453" i="85"/>
  <c r="C453" i="85"/>
  <c r="S452" i="85"/>
  <c r="R452" i="85"/>
  <c r="Q452" i="85"/>
  <c r="O452" i="85"/>
  <c r="M452" i="85"/>
  <c r="K452" i="85"/>
  <c r="I452" i="85"/>
  <c r="G452" i="85"/>
  <c r="E452" i="85"/>
  <c r="C452" i="85"/>
  <c r="S451" i="85"/>
  <c r="R451" i="85"/>
  <c r="Q451" i="85"/>
  <c r="O451" i="85"/>
  <c r="M451" i="85"/>
  <c r="K451" i="85"/>
  <c r="I451" i="85"/>
  <c r="G451" i="85"/>
  <c r="E451" i="85"/>
  <c r="C451" i="85"/>
  <c r="S450" i="85"/>
  <c r="R450" i="85"/>
  <c r="Q450" i="85"/>
  <c r="O450" i="85"/>
  <c r="M450" i="85"/>
  <c r="K450" i="85"/>
  <c r="I450" i="85"/>
  <c r="G450" i="85"/>
  <c r="E450" i="85"/>
  <c r="C450" i="85"/>
  <c r="S449" i="85"/>
  <c r="R449" i="85"/>
  <c r="Q449" i="85"/>
  <c r="O449" i="85"/>
  <c r="M449" i="85"/>
  <c r="K449" i="85"/>
  <c r="I449" i="85"/>
  <c r="G449" i="85"/>
  <c r="E449" i="85"/>
  <c r="C449" i="85"/>
  <c r="S448" i="85"/>
  <c r="R448" i="85"/>
  <c r="Q448" i="85"/>
  <c r="O448" i="85"/>
  <c r="M448" i="85"/>
  <c r="K448" i="85"/>
  <c r="I448" i="85"/>
  <c r="G448" i="85"/>
  <c r="E448" i="85"/>
  <c r="C448" i="85"/>
  <c r="S447" i="85"/>
  <c r="R447" i="85"/>
  <c r="Q447" i="85"/>
  <c r="O447" i="85"/>
  <c r="M447" i="85"/>
  <c r="K447" i="85"/>
  <c r="I447" i="85"/>
  <c r="G447" i="85"/>
  <c r="E447" i="85"/>
  <c r="C447" i="85"/>
  <c r="S446" i="85"/>
  <c r="R446" i="85"/>
  <c r="Q446" i="85"/>
  <c r="O446" i="85"/>
  <c r="M446" i="85"/>
  <c r="K446" i="85"/>
  <c r="I446" i="85"/>
  <c r="G446" i="85"/>
  <c r="E446" i="85"/>
  <c r="C446" i="85"/>
  <c r="S445" i="85"/>
  <c r="R445" i="85"/>
  <c r="Q445" i="85"/>
  <c r="O445" i="85"/>
  <c r="M445" i="85"/>
  <c r="K445" i="85"/>
  <c r="I445" i="85"/>
  <c r="G445" i="85"/>
  <c r="E445" i="85"/>
  <c r="C445" i="85"/>
  <c r="S444" i="85"/>
  <c r="R444" i="85"/>
  <c r="Q444" i="85"/>
  <c r="O444" i="85"/>
  <c r="M444" i="85"/>
  <c r="K444" i="85"/>
  <c r="I444" i="85"/>
  <c r="G444" i="85"/>
  <c r="E444" i="85"/>
  <c r="C444" i="85"/>
  <c r="S443" i="85"/>
  <c r="R443" i="85"/>
  <c r="Q443" i="85"/>
  <c r="O443" i="85"/>
  <c r="M443" i="85"/>
  <c r="K443" i="85"/>
  <c r="I443" i="85"/>
  <c r="G443" i="85"/>
  <c r="E443" i="85"/>
  <c r="C443" i="85"/>
  <c r="S442" i="85"/>
  <c r="R442" i="85"/>
  <c r="Q442" i="85"/>
  <c r="O442" i="85"/>
  <c r="M442" i="85"/>
  <c r="K442" i="85"/>
  <c r="I442" i="85"/>
  <c r="G442" i="85"/>
  <c r="E442" i="85"/>
  <c r="C442" i="85"/>
  <c r="S441" i="85"/>
  <c r="R441" i="85"/>
  <c r="Q441" i="85"/>
  <c r="O441" i="85"/>
  <c r="M441" i="85"/>
  <c r="K441" i="85"/>
  <c r="I441" i="85"/>
  <c r="G441" i="85"/>
  <c r="E441" i="85"/>
  <c r="C441" i="85"/>
  <c r="S440" i="85"/>
  <c r="R440" i="85"/>
  <c r="Q440" i="85"/>
  <c r="O440" i="85"/>
  <c r="M440" i="85"/>
  <c r="K440" i="85"/>
  <c r="I440" i="85"/>
  <c r="G440" i="85"/>
  <c r="E440" i="85"/>
  <c r="C440" i="85"/>
  <c r="S439" i="85"/>
  <c r="R439" i="85"/>
  <c r="Q439" i="85"/>
  <c r="O439" i="85"/>
  <c r="M439" i="85"/>
  <c r="K439" i="85"/>
  <c r="I439" i="85"/>
  <c r="G439" i="85"/>
  <c r="E439" i="85"/>
  <c r="C439" i="85"/>
  <c r="S438" i="85"/>
  <c r="R438" i="85"/>
  <c r="Q438" i="85"/>
  <c r="O438" i="85"/>
  <c r="M438" i="85"/>
  <c r="K438" i="85"/>
  <c r="I438" i="85"/>
  <c r="G438" i="85"/>
  <c r="E438" i="85"/>
  <c r="C438" i="85"/>
  <c r="S437" i="85"/>
  <c r="R437" i="85"/>
  <c r="Q437" i="85"/>
  <c r="O437" i="85"/>
  <c r="M437" i="85"/>
  <c r="K437" i="85"/>
  <c r="I437" i="85"/>
  <c r="G437" i="85"/>
  <c r="E437" i="85"/>
  <c r="C437" i="85"/>
  <c r="S436" i="85"/>
  <c r="R436" i="85"/>
  <c r="Q436" i="85"/>
  <c r="O436" i="85"/>
  <c r="M436" i="85"/>
  <c r="K436" i="85"/>
  <c r="I436" i="85"/>
  <c r="G436" i="85"/>
  <c r="E436" i="85"/>
  <c r="C436" i="85"/>
  <c r="S435" i="85"/>
  <c r="R435" i="85"/>
  <c r="Q435" i="85"/>
  <c r="O435" i="85"/>
  <c r="M435" i="85"/>
  <c r="K435" i="85"/>
  <c r="I435" i="85"/>
  <c r="G435" i="85"/>
  <c r="E435" i="85"/>
  <c r="C435" i="85"/>
  <c r="S434" i="85"/>
  <c r="R434" i="85"/>
  <c r="Q434" i="85"/>
  <c r="O434" i="85"/>
  <c r="M434" i="85"/>
  <c r="K434" i="85"/>
  <c r="I434" i="85"/>
  <c r="G434" i="85"/>
  <c r="E434" i="85"/>
  <c r="C434" i="85"/>
  <c r="S433" i="85"/>
  <c r="R433" i="85"/>
  <c r="Q433" i="85"/>
  <c r="O433" i="85"/>
  <c r="M433" i="85"/>
  <c r="K433" i="85"/>
  <c r="I433" i="85"/>
  <c r="G433" i="85"/>
  <c r="E433" i="85"/>
  <c r="C433" i="85"/>
  <c r="S432" i="85"/>
  <c r="R432" i="85"/>
  <c r="Q432" i="85"/>
  <c r="O432" i="85"/>
  <c r="M432" i="85"/>
  <c r="K432" i="85"/>
  <c r="I432" i="85"/>
  <c r="G432" i="85"/>
  <c r="E432" i="85"/>
  <c r="C432" i="85"/>
  <c r="S431" i="85"/>
  <c r="R431" i="85"/>
  <c r="Q431" i="85"/>
  <c r="O431" i="85"/>
  <c r="M431" i="85"/>
  <c r="K431" i="85"/>
  <c r="I431" i="85"/>
  <c r="G431" i="85"/>
  <c r="E431" i="85"/>
  <c r="C431" i="85"/>
  <c r="S430" i="85"/>
  <c r="R430" i="85"/>
  <c r="Q430" i="85"/>
  <c r="O430" i="85"/>
  <c r="M430" i="85"/>
  <c r="K430" i="85"/>
  <c r="I430" i="85"/>
  <c r="G430" i="85"/>
  <c r="E430" i="85"/>
  <c r="C430" i="85"/>
  <c r="S429" i="85"/>
  <c r="R429" i="85"/>
  <c r="Q429" i="85"/>
  <c r="O429" i="85"/>
  <c r="M429" i="85"/>
  <c r="K429" i="85"/>
  <c r="I429" i="85"/>
  <c r="G429" i="85"/>
  <c r="E429" i="85"/>
  <c r="C429" i="85"/>
  <c r="S428" i="85"/>
  <c r="R428" i="85"/>
  <c r="Q428" i="85"/>
  <c r="O428" i="85"/>
  <c r="M428" i="85"/>
  <c r="K428" i="85"/>
  <c r="I428" i="85"/>
  <c r="G428" i="85"/>
  <c r="E428" i="85"/>
  <c r="C428" i="85"/>
  <c r="S427" i="85"/>
  <c r="R427" i="85"/>
  <c r="Q427" i="85"/>
  <c r="O427" i="85"/>
  <c r="M427" i="85"/>
  <c r="K427" i="85"/>
  <c r="I427" i="85"/>
  <c r="G427" i="85"/>
  <c r="E427" i="85"/>
  <c r="C427" i="85"/>
  <c r="S426" i="85"/>
  <c r="R426" i="85"/>
  <c r="Q426" i="85"/>
  <c r="O426" i="85"/>
  <c r="M426" i="85"/>
  <c r="K426" i="85"/>
  <c r="I426" i="85"/>
  <c r="G426" i="85"/>
  <c r="E426" i="85"/>
  <c r="C426" i="85"/>
  <c r="S425" i="85"/>
  <c r="R425" i="85"/>
  <c r="Q425" i="85"/>
  <c r="O425" i="85"/>
  <c r="M425" i="85"/>
  <c r="K425" i="85"/>
  <c r="I425" i="85"/>
  <c r="G425" i="85"/>
  <c r="E425" i="85"/>
  <c r="C425" i="85"/>
  <c r="S424" i="85"/>
  <c r="R424" i="85"/>
  <c r="Q424" i="85"/>
  <c r="O424" i="85"/>
  <c r="M424" i="85"/>
  <c r="K424" i="85"/>
  <c r="I424" i="85"/>
  <c r="G424" i="85"/>
  <c r="E424" i="85"/>
  <c r="C424" i="85"/>
  <c r="S423" i="85"/>
  <c r="R423" i="85"/>
  <c r="Q423" i="85"/>
  <c r="O423" i="85"/>
  <c r="M423" i="85"/>
  <c r="K423" i="85"/>
  <c r="I423" i="85"/>
  <c r="G423" i="85"/>
  <c r="E423" i="85"/>
  <c r="C423" i="85"/>
  <c r="S422" i="85"/>
  <c r="R422" i="85"/>
  <c r="Q422" i="85"/>
  <c r="O422" i="85"/>
  <c r="M422" i="85"/>
  <c r="K422" i="85"/>
  <c r="I422" i="85"/>
  <c r="G422" i="85"/>
  <c r="E422" i="85"/>
  <c r="C422" i="85"/>
  <c r="S421" i="85"/>
  <c r="R421" i="85"/>
  <c r="Q421" i="85"/>
  <c r="O421" i="85"/>
  <c r="M421" i="85"/>
  <c r="K421" i="85"/>
  <c r="I421" i="85"/>
  <c r="G421" i="85"/>
  <c r="E421" i="85"/>
  <c r="C421" i="85"/>
  <c r="S420" i="85"/>
  <c r="R420" i="85"/>
  <c r="Q420" i="85"/>
  <c r="O420" i="85"/>
  <c r="M420" i="85"/>
  <c r="K420" i="85"/>
  <c r="I420" i="85"/>
  <c r="G420" i="85"/>
  <c r="E420" i="85"/>
  <c r="C420" i="85"/>
  <c r="S419" i="85"/>
  <c r="R419" i="85"/>
  <c r="Q419" i="85"/>
  <c r="O419" i="85"/>
  <c r="M419" i="85"/>
  <c r="K419" i="85"/>
  <c r="I419" i="85"/>
  <c r="G419" i="85"/>
  <c r="E419" i="85"/>
  <c r="C419" i="85"/>
  <c r="S418" i="85"/>
  <c r="R418" i="85"/>
  <c r="Q418" i="85"/>
  <c r="O418" i="85"/>
  <c r="M418" i="85"/>
  <c r="K418" i="85"/>
  <c r="I418" i="85"/>
  <c r="G418" i="85"/>
  <c r="E418" i="85"/>
  <c r="C418" i="85"/>
  <c r="S417" i="85"/>
  <c r="R417" i="85"/>
  <c r="Q417" i="85"/>
  <c r="O417" i="85"/>
  <c r="M417" i="85"/>
  <c r="K417" i="85"/>
  <c r="I417" i="85"/>
  <c r="G417" i="85"/>
  <c r="E417" i="85"/>
  <c r="C417" i="85"/>
  <c r="S416" i="85"/>
  <c r="R416" i="85"/>
  <c r="Q416" i="85"/>
  <c r="O416" i="85"/>
  <c r="M416" i="85"/>
  <c r="K416" i="85"/>
  <c r="I416" i="85"/>
  <c r="G416" i="85"/>
  <c r="E416" i="85"/>
  <c r="C416" i="85"/>
  <c r="S415" i="85"/>
  <c r="R415" i="85"/>
  <c r="Q415" i="85"/>
  <c r="O415" i="85"/>
  <c r="M415" i="85"/>
  <c r="K415" i="85"/>
  <c r="I415" i="85"/>
  <c r="G415" i="85"/>
  <c r="E415" i="85"/>
  <c r="C415" i="85"/>
  <c r="S414" i="85"/>
  <c r="R414" i="85"/>
  <c r="Q414" i="85"/>
  <c r="O414" i="85"/>
  <c r="M414" i="85"/>
  <c r="K414" i="85"/>
  <c r="I414" i="85"/>
  <c r="G414" i="85"/>
  <c r="E414" i="85"/>
  <c r="C414" i="85"/>
  <c r="S413" i="85"/>
  <c r="R413" i="85"/>
  <c r="Q413" i="85"/>
  <c r="O413" i="85"/>
  <c r="M413" i="85"/>
  <c r="K413" i="85"/>
  <c r="I413" i="85"/>
  <c r="G413" i="85"/>
  <c r="E413" i="85"/>
  <c r="C413" i="85"/>
  <c r="S412" i="85"/>
  <c r="R412" i="85"/>
  <c r="Q412" i="85"/>
  <c r="O412" i="85"/>
  <c r="M412" i="85"/>
  <c r="K412" i="85"/>
  <c r="I412" i="85"/>
  <c r="G412" i="85"/>
  <c r="E412" i="85"/>
  <c r="C412" i="85"/>
  <c r="S411" i="85"/>
  <c r="R411" i="85"/>
  <c r="Q411" i="85"/>
  <c r="O411" i="85"/>
  <c r="M411" i="85"/>
  <c r="K411" i="85"/>
  <c r="I411" i="85"/>
  <c r="G411" i="85"/>
  <c r="E411" i="85"/>
  <c r="C411" i="85"/>
  <c r="S410" i="85"/>
  <c r="R410" i="85"/>
  <c r="Q410" i="85"/>
  <c r="O410" i="85"/>
  <c r="M410" i="85"/>
  <c r="K410" i="85"/>
  <c r="I410" i="85"/>
  <c r="G410" i="85"/>
  <c r="E410" i="85"/>
  <c r="C410" i="85"/>
  <c r="S409" i="85"/>
  <c r="R409" i="85"/>
  <c r="Q409" i="85"/>
  <c r="O409" i="85"/>
  <c r="M409" i="85"/>
  <c r="K409" i="85"/>
  <c r="I409" i="85"/>
  <c r="G409" i="85"/>
  <c r="E409" i="85"/>
  <c r="C409" i="85"/>
  <c r="S408" i="85"/>
  <c r="R408" i="85"/>
  <c r="Q408" i="85"/>
  <c r="O408" i="85"/>
  <c r="M408" i="85"/>
  <c r="K408" i="85"/>
  <c r="I408" i="85"/>
  <c r="G408" i="85"/>
  <c r="E408" i="85"/>
  <c r="C408" i="85"/>
  <c r="S407" i="85"/>
  <c r="R407" i="85"/>
  <c r="Q407" i="85"/>
  <c r="O407" i="85"/>
  <c r="M407" i="85"/>
  <c r="K407" i="85"/>
  <c r="I407" i="85"/>
  <c r="G407" i="85"/>
  <c r="E407" i="85"/>
  <c r="C407" i="85"/>
  <c r="S406" i="85"/>
  <c r="R406" i="85"/>
  <c r="Q406" i="85"/>
  <c r="O406" i="85"/>
  <c r="M406" i="85"/>
  <c r="K406" i="85"/>
  <c r="I406" i="85"/>
  <c r="G406" i="85"/>
  <c r="E406" i="85"/>
  <c r="C406" i="85"/>
  <c r="S405" i="85"/>
  <c r="R405" i="85"/>
  <c r="Q405" i="85"/>
  <c r="O405" i="85"/>
  <c r="M405" i="85"/>
  <c r="K405" i="85"/>
  <c r="I405" i="85"/>
  <c r="G405" i="85"/>
  <c r="E405" i="85"/>
  <c r="C405" i="85"/>
  <c r="S404" i="85"/>
  <c r="R404" i="85"/>
  <c r="Q404" i="85"/>
  <c r="O404" i="85"/>
  <c r="M404" i="85"/>
  <c r="K404" i="85"/>
  <c r="I404" i="85"/>
  <c r="G404" i="85"/>
  <c r="E404" i="85"/>
  <c r="C404" i="85"/>
  <c r="S403" i="85"/>
  <c r="R403" i="85"/>
  <c r="Q403" i="85"/>
  <c r="O403" i="85"/>
  <c r="M403" i="85"/>
  <c r="K403" i="85"/>
  <c r="I403" i="85"/>
  <c r="G403" i="85"/>
  <c r="E403" i="85"/>
  <c r="C403" i="85"/>
  <c r="S402" i="85"/>
  <c r="R402" i="85"/>
  <c r="Q402" i="85"/>
  <c r="O402" i="85"/>
  <c r="M402" i="85"/>
  <c r="K402" i="85"/>
  <c r="I402" i="85"/>
  <c r="G402" i="85"/>
  <c r="E402" i="85"/>
  <c r="C402" i="85"/>
  <c r="S401" i="85"/>
  <c r="R401" i="85"/>
  <c r="Q401" i="85"/>
  <c r="O401" i="85"/>
  <c r="M401" i="85"/>
  <c r="K401" i="85"/>
  <c r="I401" i="85"/>
  <c r="G401" i="85"/>
  <c r="E401" i="85"/>
  <c r="C401" i="85"/>
  <c r="S400" i="85"/>
  <c r="R400" i="85"/>
  <c r="Q400" i="85"/>
  <c r="O400" i="85"/>
  <c r="M400" i="85"/>
  <c r="K400" i="85"/>
  <c r="I400" i="85"/>
  <c r="G400" i="85"/>
  <c r="E400" i="85"/>
  <c r="C400" i="85"/>
  <c r="S399" i="85"/>
  <c r="R399" i="85"/>
  <c r="Q399" i="85"/>
  <c r="O399" i="85"/>
  <c r="M399" i="85"/>
  <c r="K399" i="85"/>
  <c r="I399" i="85"/>
  <c r="G399" i="85"/>
  <c r="E399" i="85"/>
  <c r="C399" i="85"/>
  <c r="S398" i="85"/>
  <c r="R398" i="85"/>
  <c r="Q398" i="85"/>
  <c r="O398" i="85"/>
  <c r="M398" i="85"/>
  <c r="K398" i="85"/>
  <c r="I398" i="85"/>
  <c r="G398" i="85"/>
  <c r="E398" i="85"/>
  <c r="C398" i="85"/>
  <c r="S397" i="85"/>
  <c r="R397" i="85"/>
  <c r="Q397" i="85"/>
  <c r="O397" i="85"/>
  <c r="M397" i="85"/>
  <c r="K397" i="85"/>
  <c r="I397" i="85"/>
  <c r="G397" i="85"/>
  <c r="E397" i="85"/>
  <c r="C397" i="85"/>
  <c r="S396" i="85"/>
  <c r="R396" i="85"/>
  <c r="Q396" i="85"/>
  <c r="O396" i="85"/>
  <c r="M396" i="85"/>
  <c r="K396" i="85"/>
  <c r="I396" i="85"/>
  <c r="G396" i="85"/>
  <c r="E396" i="85"/>
  <c r="C396" i="85"/>
  <c r="S395" i="85"/>
  <c r="R395" i="85"/>
  <c r="Q395" i="85"/>
  <c r="O395" i="85"/>
  <c r="M395" i="85"/>
  <c r="K395" i="85"/>
  <c r="I395" i="85"/>
  <c r="G395" i="85"/>
  <c r="E395" i="85"/>
  <c r="C395" i="85"/>
  <c r="S394" i="85"/>
  <c r="R394" i="85"/>
  <c r="Q394" i="85"/>
  <c r="O394" i="85"/>
  <c r="M394" i="85"/>
  <c r="K394" i="85"/>
  <c r="I394" i="85"/>
  <c r="G394" i="85"/>
  <c r="E394" i="85"/>
  <c r="C394" i="85"/>
  <c r="S393" i="85"/>
  <c r="R393" i="85"/>
  <c r="Q393" i="85"/>
  <c r="O393" i="85"/>
  <c r="M393" i="85"/>
  <c r="K393" i="85"/>
  <c r="I393" i="85"/>
  <c r="G393" i="85"/>
  <c r="E393" i="85"/>
  <c r="C393" i="85"/>
  <c r="S392" i="85"/>
  <c r="R392" i="85"/>
  <c r="Q392" i="85"/>
  <c r="O392" i="85"/>
  <c r="M392" i="85"/>
  <c r="K392" i="85"/>
  <c r="I392" i="85"/>
  <c r="G392" i="85"/>
  <c r="E392" i="85"/>
  <c r="C392" i="85"/>
  <c r="S391" i="85"/>
  <c r="R391" i="85"/>
  <c r="Q391" i="85"/>
  <c r="O391" i="85"/>
  <c r="M391" i="85"/>
  <c r="K391" i="85"/>
  <c r="I391" i="85"/>
  <c r="G391" i="85"/>
  <c r="E391" i="85"/>
  <c r="C391" i="85"/>
  <c r="S390" i="85"/>
  <c r="R390" i="85"/>
  <c r="Q390" i="85"/>
  <c r="O390" i="85"/>
  <c r="M390" i="85"/>
  <c r="K390" i="85"/>
  <c r="I390" i="85"/>
  <c r="G390" i="85"/>
  <c r="E390" i="85"/>
  <c r="C390" i="85"/>
  <c r="S389" i="85"/>
  <c r="R389" i="85"/>
  <c r="Q389" i="85"/>
  <c r="O389" i="85"/>
  <c r="M389" i="85"/>
  <c r="K389" i="85"/>
  <c r="I389" i="85"/>
  <c r="G389" i="85"/>
  <c r="E389" i="85"/>
  <c r="C389" i="85"/>
  <c r="S388" i="85"/>
  <c r="R388" i="85"/>
  <c r="Q388" i="85"/>
  <c r="O388" i="85"/>
  <c r="M388" i="85"/>
  <c r="K388" i="85"/>
  <c r="I388" i="85"/>
  <c r="G388" i="85"/>
  <c r="E388" i="85"/>
  <c r="C388" i="85"/>
  <c r="S387" i="85"/>
  <c r="R387" i="85"/>
  <c r="Q387" i="85"/>
  <c r="O387" i="85"/>
  <c r="M387" i="85"/>
  <c r="K387" i="85"/>
  <c r="I387" i="85"/>
  <c r="G387" i="85"/>
  <c r="E387" i="85"/>
  <c r="C387" i="85"/>
  <c r="S386" i="85"/>
  <c r="R386" i="85"/>
  <c r="Q386" i="85"/>
  <c r="O386" i="85"/>
  <c r="M386" i="85"/>
  <c r="K386" i="85"/>
  <c r="I386" i="85"/>
  <c r="G386" i="85"/>
  <c r="E386" i="85"/>
  <c r="C386" i="85"/>
  <c r="S385" i="85"/>
  <c r="R385" i="85"/>
  <c r="Q385" i="85"/>
  <c r="O385" i="85"/>
  <c r="M385" i="85"/>
  <c r="K385" i="85"/>
  <c r="I385" i="85"/>
  <c r="G385" i="85"/>
  <c r="E385" i="85"/>
  <c r="C385" i="85"/>
  <c r="S384" i="85"/>
  <c r="R384" i="85"/>
  <c r="Q384" i="85"/>
  <c r="O384" i="85"/>
  <c r="M384" i="85"/>
  <c r="K384" i="85"/>
  <c r="I384" i="85"/>
  <c r="G384" i="85"/>
  <c r="E384" i="85"/>
  <c r="C384" i="85"/>
  <c r="S383" i="85"/>
  <c r="R383" i="85"/>
  <c r="Q383" i="85"/>
  <c r="O383" i="85"/>
  <c r="M383" i="85"/>
  <c r="K383" i="85"/>
  <c r="I383" i="85"/>
  <c r="G383" i="85"/>
  <c r="E383" i="85"/>
  <c r="C383" i="85"/>
  <c r="S382" i="85"/>
  <c r="R382" i="85"/>
  <c r="Q382" i="85"/>
  <c r="O382" i="85"/>
  <c r="M382" i="85"/>
  <c r="K382" i="85"/>
  <c r="I382" i="85"/>
  <c r="G382" i="85"/>
  <c r="E382" i="85"/>
  <c r="C382" i="85"/>
  <c r="S381" i="85"/>
  <c r="R381" i="85"/>
  <c r="Q381" i="85"/>
  <c r="O381" i="85"/>
  <c r="M381" i="85"/>
  <c r="K381" i="85"/>
  <c r="I381" i="85"/>
  <c r="G381" i="85"/>
  <c r="E381" i="85"/>
  <c r="C381" i="85"/>
  <c r="S380" i="85"/>
  <c r="R380" i="85"/>
  <c r="Q380" i="85"/>
  <c r="O380" i="85"/>
  <c r="M380" i="85"/>
  <c r="K380" i="85"/>
  <c r="I380" i="85"/>
  <c r="G380" i="85"/>
  <c r="E380" i="85"/>
  <c r="C380" i="85"/>
  <c r="S379" i="85"/>
  <c r="R379" i="85"/>
  <c r="Q379" i="85"/>
  <c r="O379" i="85"/>
  <c r="M379" i="85"/>
  <c r="K379" i="85"/>
  <c r="I379" i="85"/>
  <c r="G379" i="85"/>
  <c r="E379" i="85"/>
  <c r="C379" i="85"/>
  <c r="S378" i="85"/>
  <c r="R378" i="85"/>
  <c r="Q378" i="85"/>
  <c r="O378" i="85"/>
  <c r="M378" i="85"/>
  <c r="K378" i="85"/>
  <c r="I378" i="85"/>
  <c r="G378" i="85"/>
  <c r="E378" i="85"/>
  <c r="C378" i="85"/>
  <c r="S377" i="85"/>
  <c r="R377" i="85"/>
  <c r="Q377" i="85"/>
  <c r="O377" i="85"/>
  <c r="M377" i="85"/>
  <c r="K377" i="85"/>
  <c r="I377" i="85"/>
  <c r="G377" i="85"/>
  <c r="E377" i="85"/>
  <c r="C377" i="85"/>
  <c r="S376" i="85"/>
  <c r="R376" i="85"/>
  <c r="Q376" i="85"/>
  <c r="O376" i="85"/>
  <c r="M376" i="85"/>
  <c r="K376" i="85"/>
  <c r="I376" i="85"/>
  <c r="G376" i="85"/>
  <c r="E376" i="85"/>
  <c r="C376" i="85"/>
  <c r="S375" i="85"/>
  <c r="R375" i="85"/>
  <c r="Q375" i="85"/>
  <c r="O375" i="85"/>
  <c r="M375" i="85"/>
  <c r="K375" i="85"/>
  <c r="I375" i="85"/>
  <c r="G375" i="85"/>
  <c r="E375" i="85"/>
  <c r="C375" i="85"/>
  <c r="S374" i="85"/>
  <c r="R374" i="85"/>
  <c r="Q374" i="85"/>
  <c r="O374" i="85"/>
  <c r="M374" i="85"/>
  <c r="K374" i="85"/>
  <c r="I374" i="85"/>
  <c r="G374" i="85"/>
  <c r="E374" i="85"/>
  <c r="C374" i="85"/>
  <c r="S373" i="85"/>
  <c r="R373" i="85"/>
  <c r="Q373" i="85"/>
  <c r="O373" i="85"/>
  <c r="M373" i="85"/>
  <c r="K373" i="85"/>
  <c r="I373" i="85"/>
  <c r="G373" i="85"/>
  <c r="E373" i="85"/>
  <c r="C373" i="85"/>
  <c r="S372" i="85"/>
  <c r="R372" i="85"/>
  <c r="Q372" i="85"/>
  <c r="O372" i="85"/>
  <c r="M372" i="85"/>
  <c r="K372" i="85"/>
  <c r="I372" i="85"/>
  <c r="G372" i="85"/>
  <c r="E372" i="85"/>
  <c r="C372" i="85"/>
  <c r="S371" i="85"/>
  <c r="R371" i="85"/>
  <c r="Q371" i="85"/>
  <c r="O371" i="85"/>
  <c r="M371" i="85"/>
  <c r="K371" i="85"/>
  <c r="I371" i="85"/>
  <c r="G371" i="85"/>
  <c r="E371" i="85"/>
  <c r="C371" i="85"/>
  <c r="S370" i="85"/>
  <c r="R370" i="85"/>
  <c r="Q370" i="85"/>
  <c r="O370" i="85"/>
  <c r="M370" i="85"/>
  <c r="K370" i="85"/>
  <c r="I370" i="85"/>
  <c r="G370" i="85"/>
  <c r="E370" i="85"/>
  <c r="C370" i="85"/>
  <c r="S369" i="85"/>
  <c r="R369" i="85"/>
  <c r="Q369" i="85"/>
  <c r="O369" i="85"/>
  <c r="M369" i="85"/>
  <c r="K369" i="85"/>
  <c r="I369" i="85"/>
  <c r="G369" i="85"/>
  <c r="E369" i="85"/>
  <c r="C369" i="85"/>
  <c r="S368" i="85"/>
  <c r="R368" i="85"/>
  <c r="Q368" i="85"/>
  <c r="O368" i="85"/>
  <c r="M368" i="85"/>
  <c r="K368" i="85"/>
  <c r="I368" i="85"/>
  <c r="G368" i="85"/>
  <c r="E368" i="85"/>
  <c r="C368" i="85"/>
  <c r="S367" i="85"/>
  <c r="R367" i="85"/>
  <c r="Q367" i="85"/>
  <c r="O367" i="85"/>
  <c r="M367" i="85"/>
  <c r="K367" i="85"/>
  <c r="I367" i="85"/>
  <c r="G367" i="85"/>
  <c r="E367" i="85"/>
  <c r="C367" i="85"/>
  <c r="S366" i="85"/>
  <c r="R366" i="85"/>
  <c r="Q366" i="85"/>
  <c r="O366" i="85"/>
  <c r="M366" i="85"/>
  <c r="K366" i="85"/>
  <c r="I366" i="85"/>
  <c r="G366" i="85"/>
  <c r="E366" i="85"/>
  <c r="C366" i="85"/>
  <c r="S365" i="85"/>
  <c r="R365" i="85"/>
  <c r="Q365" i="85"/>
  <c r="O365" i="85"/>
  <c r="M365" i="85"/>
  <c r="K365" i="85"/>
  <c r="I365" i="85"/>
  <c r="G365" i="85"/>
  <c r="E365" i="85"/>
  <c r="C365" i="85"/>
  <c r="S364" i="85"/>
  <c r="R364" i="85"/>
  <c r="Q364" i="85"/>
  <c r="O364" i="85"/>
  <c r="M364" i="85"/>
  <c r="K364" i="85"/>
  <c r="I364" i="85"/>
  <c r="G364" i="85"/>
  <c r="E364" i="85"/>
  <c r="C364" i="85"/>
  <c r="S363" i="85"/>
  <c r="R363" i="85"/>
  <c r="Q363" i="85"/>
  <c r="O363" i="85"/>
  <c r="M363" i="85"/>
  <c r="K363" i="85"/>
  <c r="I363" i="85"/>
  <c r="G363" i="85"/>
  <c r="E363" i="85"/>
  <c r="C363" i="85"/>
  <c r="S362" i="85"/>
  <c r="R362" i="85"/>
  <c r="Q362" i="85"/>
  <c r="O362" i="85"/>
  <c r="M362" i="85"/>
  <c r="K362" i="85"/>
  <c r="I362" i="85"/>
  <c r="G362" i="85"/>
  <c r="E362" i="85"/>
  <c r="C362" i="85"/>
  <c r="S361" i="85"/>
  <c r="R361" i="85"/>
  <c r="Q361" i="85"/>
  <c r="O361" i="85"/>
  <c r="M361" i="85"/>
  <c r="K361" i="85"/>
  <c r="I361" i="85"/>
  <c r="G361" i="85"/>
  <c r="E361" i="85"/>
  <c r="C361" i="85"/>
  <c r="S360" i="85"/>
  <c r="R360" i="85"/>
  <c r="Q360" i="85"/>
  <c r="O360" i="85"/>
  <c r="M360" i="85"/>
  <c r="K360" i="85"/>
  <c r="I360" i="85"/>
  <c r="G360" i="85"/>
  <c r="E360" i="85"/>
  <c r="C360" i="85"/>
  <c r="S359" i="85"/>
  <c r="R359" i="85"/>
  <c r="Q359" i="85"/>
  <c r="O359" i="85"/>
  <c r="M359" i="85"/>
  <c r="K359" i="85"/>
  <c r="I359" i="85"/>
  <c r="G359" i="85"/>
  <c r="E359" i="85"/>
  <c r="C359" i="85"/>
  <c r="S358" i="85"/>
  <c r="R358" i="85"/>
  <c r="Q358" i="85"/>
  <c r="O358" i="85"/>
  <c r="M358" i="85"/>
  <c r="K358" i="85"/>
  <c r="I358" i="85"/>
  <c r="G358" i="85"/>
  <c r="E358" i="85"/>
  <c r="C358" i="85"/>
  <c r="S357" i="85"/>
  <c r="R357" i="85"/>
  <c r="Q357" i="85"/>
  <c r="O357" i="85"/>
  <c r="M357" i="85"/>
  <c r="K357" i="85"/>
  <c r="I357" i="85"/>
  <c r="G357" i="85"/>
  <c r="E357" i="85"/>
  <c r="C357" i="85"/>
  <c r="S356" i="85"/>
  <c r="R356" i="85"/>
  <c r="Q356" i="85"/>
  <c r="O356" i="85"/>
  <c r="M356" i="85"/>
  <c r="K356" i="85"/>
  <c r="I356" i="85"/>
  <c r="G356" i="85"/>
  <c r="E356" i="85"/>
  <c r="C356" i="85"/>
  <c r="S355" i="85"/>
  <c r="R355" i="85"/>
  <c r="Q355" i="85"/>
  <c r="O355" i="85"/>
  <c r="M355" i="85"/>
  <c r="K355" i="85"/>
  <c r="I355" i="85"/>
  <c r="G355" i="85"/>
  <c r="E355" i="85"/>
  <c r="C355" i="85"/>
  <c r="S354" i="85"/>
  <c r="R354" i="85"/>
  <c r="Q354" i="85"/>
  <c r="O354" i="85"/>
  <c r="M354" i="85"/>
  <c r="K354" i="85"/>
  <c r="I354" i="85"/>
  <c r="G354" i="85"/>
  <c r="E354" i="85"/>
  <c r="C354" i="85"/>
  <c r="S353" i="85"/>
  <c r="R353" i="85"/>
  <c r="Q353" i="85"/>
  <c r="O353" i="85"/>
  <c r="M353" i="85"/>
  <c r="K353" i="85"/>
  <c r="I353" i="85"/>
  <c r="G353" i="85"/>
  <c r="E353" i="85"/>
  <c r="C353" i="85"/>
  <c r="S352" i="85"/>
  <c r="R352" i="85"/>
  <c r="Q352" i="85"/>
  <c r="O352" i="85"/>
  <c r="M352" i="85"/>
  <c r="K352" i="85"/>
  <c r="I352" i="85"/>
  <c r="G352" i="85"/>
  <c r="E352" i="85"/>
  <c r="C352" i="85"/>
  <c r="S351" i="85"/>
  <c r="R351" i="85"/>
  <c r="Q351" i="85"/>
  <c r="O351" i="85"/>
  <c r="M351" i="85"/>
  <c r="K351" i="85"/>
  <c r="I351" i="85"/>
  <c r="G351" i="85"/>
  <c r="E351" i="85"/>
  <c r="C351" i="85"/>
  <c r="S350" i="85"/>
  <c r="R350" i="85"/>
  <c r="Q350" i="85"/>
  <c r="O350" i="85"/>
  <c r="M350" i="85"/>
  <c r="K350" i="85"/>
  <c r="I350" i="85"/>
  <c r="G350" i="85"/>
  <c r="E350" i="85"/>
  <c r="C350" i="85"/>
  <c r="S349" i="85"/>
  <c r="R349" i="85"/>
  <c r="Q349" i="85"/>
  <c r="O349" i="85"/>
  <c r="M349" i="85"/>
  <c r="K349" i="85"/>
  <c r="I349" i="85"/>
  <c r="G349" i="85"/>
  <c r="E349" i="85"/>
  <c r="C349" i="85"/>
  <c r="S348" i="85"/>
  <c r="R348" i="85"/>
  <c r="Q348" i="85"/>
  <c r="O348" i="85"/>
  <c r="M348" i="85"/>
  <c r="K348" i="85"/>
  <c r="I348" i="85"/>
  <c r="G348" i="85"/>
  <c r="E348" i="85"/>
  <c r="C348" i="85"/>
  <c r="S347" i="85"/>
  <c r="R347" i="85"/>
  <c r="Q347" i="85"/>
  <c r="O347" i="85"/>
  <c r="M347" i="85"/>
  <c r="K347" i="85"/>
  <c r="I347" i="85"/>
  <c r="G347" i="85"/>
  <c r="E347" i="85"/>
  <c r="C347" i="85"/>
  <c r="S346" i="85"/>
  <c r="R346" i="85"/>
  <c r="Q346" i="85"/>
  <c r="O346" i="85"/>
  <c r="M346" i="85"/>
  <c r="K346" i="85"/>
  <c r="I346" i="85"/>
  <c r="G346" i="85"/>
  <c r="E346" i="85"/>
  <c r="C346" i="85"/>
  <c r="S345" i="85"/>
  <c r="R345" i="85"/>
  <c r="Q345" i="85"/>
  <c r="O345" i="85"/>
  <c r="M345" i="85"/>
  <c r="K345" i="85"/>
  <c r="I345" i="85"/>
  <c r="G345" i="85"/>
  <c r="E345" i="85"/>
  <c r="C345" i="85"/>
  <c r="S344" i="85"/>
  <c r="R344" i="85"/>
  <c r="Q344" i="85"/>
  <c r="O344" i="85"/>
  <c r="M344" i="85"/>
  <c r="K344" i="85"/>
  <c r="I344" i="85"/>
  <c r="G344" i="85"/>
  <c r="E344" i="85"/>
  <c r="C344" i="85"/>
  <c r="S343" i="85"/>
  <c r="R343" i="85"/>
  <c r="Q343" i="85"/>
  <c r="O343" i="85"/>
  <c r="M343" i="85"/>
  <c r="K343" i="85"/>
  <c r="I343" i="85"/>
  <c r="G343" i="85"/>
  <c r="E343" i="85"/>
  <c r="C343" i="85"/>
  <c r="S342" i="85"/>
  <c r="R342" i="85"/>
  <c r="Q342" i="85"/>
  <c r="O342" i="85"/>
  <c r="M342" i="85"/>
  <c r="K342" i="85"/>
  <c r="I342" i="85"/>
  <c r="G342" i="85"/>
  <c r="E342" i="85"/>
  <c r="C342" i="85"/>
  <c r="S341" i="85"/>
  <c r="R341" i="85"/>
  <c r="Q341" i="85"/>
  <c r="O341" i="85"/>
  <c r="M341" i="85"/>
  <c r="K341" i="85"/>
  <c r="I341" i="85"/>
  <c r="G341" i="85"/>
  <c r="E341" i="85"/>
  <c r="C341" i="85"/>
  <c r="S340" i="85"/>
  <c r="R340" i="85"/>
  <c r="Q340" i="85"/>
  <c r="O340" i="85"/>
  <c r="M340" i="85"/>
  <c r="K340" i="85"/>
  <c r="I340" i="85"/>
  <c r="G340" i="85"/>
  <c r="E340" i="85"/>
  <c r="C340" i="85"/>
  <c r="S339" i="85"/>
  <c r="R339" i="85"/>
  <c r="Q339" i="85"/>
  <c r="O339" i="85"/>
  <c r="M339" i="85"/>
  <c r="K339" i="85"/>
  <c r="I339" i="85"/>
  <c r="G339" i="85"/>
  <c r="E339" i="85"/>
  <c r="C339" i="85"/>
  <c r="S338" i="85"/>
  <c r="R338" i="85"/>
  <c r="Q338" i="85"/>
  <c r="O338" i="85"/>
  <c r="M338" i="85"/>
  <c r="K338" i="85"/>
  <c r="I338" i="85"/>
  <c r="G338" i="85"/>
  <c r="E338" i="85"/>
  <c r="C338" i="85"/>
  <c r="S337" i="85"/>
  <c r="R337" i="85"/>
  <c r="Q337" i="85"/>
  <c r="O337" i="85"/>
  <c r="M337" i="85"/>
  <c r="K337" i="85"/>
  <c r="I337" i="85"/>
  <c r="G337" i="85"/>
  <c r="E337" i="85"/>
  <c r="C337" i="85"/>
  <c r="S336" i="85"/>
  <c r="R336" i="85"/>
  <c r="Q336" i="85"/>
  <c r="O336" i="85"/>
  <c r="M336" i="85"/>
  <c r="K336" i="85"/>
  <c r="I336" i="85"/>
  <c r="G336" i="85"/>
  <c r="E336" i="85"/>
  <c r="C336" i="85"/>
  <c r="S335" i="85"/>
  <c r="R335" i="85"/>
  <c r="Q335" i="85"/>
  <c r="O335" i="85"/>
  <c r="M335" i="85"/>
  <c r="K335" i="85"/>
  <c r="I335" i="85"/>
  <c r="G335" i="85"/>
  <c r="E335" i="85"/>
  <c r="C335" i="85"/>
  <c r="S334" i="85"/>
  <c r="R334" i="85"/>
  <c r="Q334" i="85"/>
  <c r="O334" i="85"/>
  <c r="M334" i="85"/>
  <c r="K334" i="85"/>
  <c r="I334" i="85"/>
  <c r="G334" i="85"/>
  <c r="E334" i="85"/>
  <c r="C334" i="85"/>
  <c r="S333" i="85"/>
  <c r="R333" i="85"/>
  <c r="Q333" i="85"/>
  <c r="O333" i="85"/>
  <c r="M333" i="85"/>
  <c r="K333" i="85"/>
  <c r="I333" i="85"/>
  <c r="G333" i="85"/>
  <c r="E333" i="85"/>
  <c r="C333" i="85"/>
  <c r="S332" i="85"/>
  <c r="R332" i="85"/>
  <c r="Q332" i="85"/>
  <c r="O332" i="85"/>
  <c r="M332" i="85"/>
  <c r="K332" i="85"/>
  <c r="I332" i="85"/>
  <c r="G332" i="85"/>
  <c r="E332" i="85"/>
  <c r="C332" i="85"/>
  <c r="S331" i="85"/>
  <c r="R331" i="85"/>
  <c r="Q331" i="85"/>
  <c r="O331" i="85"/>
  <c r="M331" i="85"/>
  <c r="K331" i="85"/>
  <c r="I331" i="85"/>
  <c r="G331" i="85"/>
  <c r="E331" i="85"/>
  <c r="C331" i="85"/>
  <c r="S330" i="85"/>
  <c r="R330" i="85"/>
  <c r="Q330" i="85"/>
  <c r="O330" i="85"/>
  <c r="M330" i="85"/>
  <c r="K330" i="85"/>
  <c r="I330" i="85"/>
  <c r="G330" i="85"/>
  <c r="E330" i="85"/>
  <c r="C330" i="85"/>
  <c r="S329" i="85"/>
  <c r="R329" i="85"/>
  <c r="Q329" i="85"/>
  <c r="O329" i="85"/>
  <c r="M329" i="85"/>
  <c r="K329" i="85"/>
  <c r="I329" i="85"/>
  <c r="G329" i="85"/>
  <c r="E329" i="85"/>
  <c r="C329" i="85"/>
  <c r="S328" i="85"/>
  <c r="R328" i="85"/>
  <c r="Q328" i="85"/>
  <c r="O328" i="85"/>
  <c r="M328" i="85"/>
  <c r="K328" i="85"/>
  <c r="I328" i="85"/>
  <c r="G328" i="85"/>
  <c r="E328" i="85"/>
  <c r="C328" i="85"/>
  <c r="S327" i="85"/>
  <c r="R327" i="85"/>
  <c r="Q327" i="85"/>
  <c r="O327" i="85"/>
  <c r="M327" i="85"/>
  <c r="K327" i="85"/>
  <c r="I327" i="85"/>
  <c r="G327" i="85"/>
  <c r="E327" i="85"/>
  <c r="C327" i="85"/>
  <c r="S326" i="85"/>
  <c r="R326" i="85"/>
  <c r="Q326" i="85"/>
  <c r="O326" i="85"/>
  <c r="M326" i="85"/>
  <c r="K326" i="85"/>
  <c r="I326" i="85"/>
  <c r="G326" i="85"/>
  <c r="E326" i="85"/>
  <c r="C326" i="85"/>
  <c r="S325" i="85"/>
  <c r="R325" i="85"/>
  <c r="Q325" i="85"/>
  <c r="O325" i="85"/>
  <c r="M325" i="85"/>
  <c r="K325" i="85"/>
  <c r="I325" i="85"/>
  <c r="G325" i="85"/>
  <c r="E325" i="85"/>
  <c r="C325" i="85"/>
  <c r="S324" i="85"/>
  <c r="R324" i="85"/>
  <c r="Q324" i="85"/>
  <c r="O324" i="85"/>
  <c r="M324" i="85"/>
  <c r="K324" i="85"/>
  <c r="I324" i="85"/>
  <c r="G324" i="85"/>
  <c r="E324" i="85"/>
  <c r="C324" i="85"/>
  <c r="S323" i="85"/>
  <c r="R323" i="85"/>
  <c r="Q323" i="85"/>
  <c r="O323" i="85"/>
  <c r="M323" i="85"/>
  <c r="K323" i="85"/>
  <c r="I323" i="85"/>
  <c r="G323" i="85"/>
  <c r="E323" i="85"/>
  <c r="C323" i="85"/>
  <c r="S322" i="85"/>
  <c r="R322" i="85"/>
  <c r="Q322" i="85"/>
  <c r="O322" i="85"/>
  <c r="M322" i="85"/>
  <c r="K322" i="85"/>
  <c r="I322" i="85"/>
  <c r="G322" i="85"/>
  <c r="E322" i="85"/>
  <c r="C322" i="85"/>
  <c r="S321" i="85"/>
  <c r="R321" i="85"/>
  <c r="Q321" i="85"/>
  <c r="O321" i="85"/>
  <c r="M321" i="85"/>
  <c r="K321" i="85"/>
  <c r="I321" i="85"/>
  <c r="G321" i="85"/>
  <c r="E321" i="85"/>
  <c r="C321" i="85"/>
  <c r="S320" i="85"/>
  <c r="R320" i="85"/>
  <c r="Q320" i="85"/>
  <c r="O320" i="85"/>
  <c r="M320" i="85"/>
  <c r="K320" i="85"/>
  <c r="I320" i="85"/>
  <c r="G320" i="85"/>
  <c r="E320" i="85"/>
  <c r="C320" i="85"/>
  <c r="S319" i="85"/>
  <c r="R319" i="85"/>
  <c r="Q319" i="85"/>
  <c r="O319" i="85"/>
  <c r="M319" i="85"/>
  <c r="K319" i="85"/>
  <c r="I319" i="85"/>
  <c r="G319" i="85"/>
  <c r="E319" i="85"/>
  <c r="C319" i="85"/>
  <c r="S318" i="85"/>
  <c r="R318" i="85"/>
  <c r="Q318" i="85"/>
  <c r="O318" i="85"/>
  <c r="M318" i="85"/>
  <c r="K318" i="85"/>
  <c r="I318" i="85"/>
  <c r="G318" i="85"/>
  <c r="E318" i="85"/>
  <c r="C318" i="85"/>
  <c r="S317" i="85"/>
  <c r="R317" i="85"/>
  <c r="Q317" i="85"/>
  <c r="O317" i="85"/>
  <c r="M317" i="85"/>
  <c r="K317" i="85"/>
  <c r="I317" i="85"/>
  <c r="G317" i="85"/>
  <c r="E317" i="85"/>
  <c r="C317" i="85"/>
  <c r="S316" i="85"/>
  <c r="R316" i="85"/>
  <c r="Q316" i="85"/>
  <c r="O316" i="85"/>
  <c r="M316" i="85"/>
  <c r="K316" i="85"/>
  <c r="I316" i="85"/>
  <c r="G316" i="85"/>
  <c r="E316" i="85"/>
  <c r="C316" i="85"/>
  <c r="S315" i="85"/>
  <c r="R315" i="85"/>
  <c r="Q315" i="85"/>
  <c r="O315" i="85"/>
  <c r="M315" i="85"/>
  <c r="K315" i="85"/>
  <c r="I315" i="85"/>
  <c r="G315" i="85"/>
  <c r="E315" i="85"/>
  <c r="C315" i="85"/>
  <c r="S314" i="85"/>
  <c r="R314" i="85"/>
  <c r="Q314" i="85"/>
  <c r="O314" i="85"/>
  <c r="M314" i="85"/>
  <c r="K314" i="85"/>
  <c r="I314" i="85"/>
  <c r="G314" i="85"/>
  <c r="E314" i="85"/>
  <c r="C314" i="85"/>
  <c r="S313" i="85"/>
  <c r="R313" i="85"/>
  <c r="Q313" i="85"/>
  <c r="O313" i="85"/>
  <c r="M313" i="85"/>
  <c r="K313" i="85"/>
  <c r="I313" i="85"/>
  <c r="G313" i="85"/>
  <c r="E313" i="85"/>
  <c r="C313" i="85"/>
  <c r="S312" i="85"/>
  <c r="R312" i="85"/>
  <c r="Q312" i="85"/>
  <c r="O312" i="85"/>
  <c r="M312" i="85"/>
  <c r="K312" i="85"/>
  <c r="I312" i="85"/>
  <c r="G312" i="85"/>
  <c r="E312" i="85"/>
  <c r="C312" i="85"/>
  <c r="S311" i="85"/>
  <c r="R311" i="85"/>
  <c r="Q311" i="85"/>
  <c r="O311" i="85"/>
  <c r="M311" i="85"/>
  <c r="K311" i="85"/>
  <c r="I311" i="85"/>
  <c r="G311" i="85"/>
  <c r="E311" i="85"/>
  <c r="C311" i="85"/>
  <c r="S310" i="85"/>
  <c r="R310" i="85"/>
  <c r="Q310" i="85"/>
  <c r="O310" i="85"/>
  <c r="M310" i="85"/>
  <c r="K310" i="85"/>
  <c r="I310" i="85"/>
  <c r="G310" i="85"/>
  <c r="E310" i="85"/>
  <c r="C310" i="85"/>
  <c r="S309" i="85"/>
  <c r="R309" i="85"/>
  <c r="Q309" i="85"/>
  <c r="O309" i="85"/>
  <c r="M309" i="85"/>
  <c r="K309" i="85"/>
  <c r="I309" i="85"/>
  <c r="G309" i="85"/>
  <c r="E309" i="85"/>
  <c r="C309" i="85"/>
  <c r="S308" i="85"/>
  <c r="R308" i="85"/>
  <c r="Q308" i="85"/>
  <c r="O308" i="85"/>
  <c r="M308" i="85"/>
  <c r="K308" i="85"/>
  <c r="I308" i="85"/>
  <c r="G308" i="85"/>
  <c r="E308" i="85"/>
  <c r="C308" i="85"/>
  <c r="S307" i="85"/>
  <c r="R307" i="85"/>
  <c r="Q307" i="85"/>
  <c r="O307" i="85"/>
  <c r="M307" i="85"/>
  <c r="K307" i="85"/>
  <c r="I307" i="85"/>
  <c r="G307" i="85"/>
  <c r="E307" i="85"/>
  <c r="C307" i="85"/>
  <c r="S306" i="85"/>
  <c r="R306" i="85"/>
  <c r="Q306" i="85"/>
  <c r="O306" i="85"/>
  <c r="M306" i="85"/>
  <c r="K306" i="85"/>
  <c r="I306" i="85"/>
  <c r="G306" i="85"/>
  <c r="E306" i="85"/>
  <c r="C306" i="85"/>
  <c r="S305" i="85"/>
  <c r="R305" i="85"/>
  <c r="Q305" i="85"/>
  <c r="O305" i="85"/>
  <c r="M305" i="85"/>
  <c r="K305" i="85"/>
  <c r="I305" i="85"/>
  <c r="G305" i="85"/>
  <c r="E305" i="85"/>
  <c r="C305" i="85"/>
  <c r="S304" i="85"/>
  <c r="R304" i="85"/>
  <c r="Q304" i="85"/>
  <c r="O304" i="85"/>
  <c r="M304" i="85"/>
  <c r="K304" i="85"/>
  <c r="I304" i="85"/>
  <c r="G304" i="85"/>
  <c r="E304" i="85"/>
  <c r="C304" i="85"/>
  <c r="S303" i="85"/>
  <c r="R303" i="85"/>
  <c r="Q303" i="85"/>
  <c r="O303" i="85"/>
  <c r="M303" i="85"/>
  <c r="K303" i="85"/>
  <c r="I303" i="85"/>
  <c r="G303" i="85"/>
  <c r="E303" i="85"/>
  <c r="C303" i="85"/>
  <c r="S302" i="85"/>
  <c r="R302" i="85"/>
  <c r="Q302" i="85"/>
  <c r="O302" i="85"/>
  <c r="M302" i="85"/>
  <c r="K302" i="85"/>
  <c r="I302" i="85"/>
  <c r="G302" i="85"/>
  <c r="E302" i="85"/>
  <c r="C302" i="85"/>
  <c r="S301" i="85"/>
  <c r="R301" i="85"/>
  <c r="Q301" i="85"/>
  <c r="O301" i="85"/>
  <c r="M301" i="85"/>
  <c r="K301" i="85"/>
  <c r="I301" i="85"/>
  <c r="G301" i="85"/>
  <c r="E301" i="85"/>
  <c r="C301" i="85"/>
  <c r="S300" i="85"/>
  <c r="R300" i="85"/>
  <c r="Q300" i="85"/>
  <c r="O300" i="85"/>
  <c r="M300" i="85"/>
  <c r="K300" i="85"/>
  <c r="I300" i="85"/>
  <c r="G300" i="85"/>
  <c r="E300" i="85"/>
  <c r="C300" i="85"/>
  <c r="S299" i="85"/>
  <c r="R299" i="85"/>
  <c r="Q299" i="85"/>
  <c r="O299" i="85"/>
  <c r="M299" i="85"/>
  <c r="K299" i="85"/>
  <c r="I299" i="85"/>
  <c r="G299" i="85"/>
  <c r="E299" i="85"/>
  <c r="C299" i="85"/>
  <c r="S298" i="85"/>
  <c r="R298" i="85"/>
  <c r="Q298" i="85"/>
  <c r="O298" i="85"/>
  <c r="M298" i="85"/>
  <c r="K298" i="85"/>
  <c r="I298" i="85"/>
  <c r="G298" i="85"/>
  <c r="E298" i="85"/>
  <c r="C298" i="85"/>
  <c r="S297" i="85"/>
  <c r="R297" i="85"/>
  <c r="Q297" i="85"/>
  <c r="O297" i="85"/>
  <c r="M297" i="85"/>
  <c r="K297" i="85"/>
  <c r="I297" i="85"/>
  <c r="G297" i="85"/>
  <c r="E297" i="85"/>
  <c r="C297" i="85"/>
  <c r="S296" i="85"/>
  <c r="R296" i="85"/>
  <c r="Q296" i="85"/>
  <c r="O296" i="85"/>
  <c r="M296" i="85"/>
  <c r="K296" i="85"/>
  <c r="I296" i="85"/>
  <c r="G296" i="85"/>
  <c r="E296" i="85"/>
  <c r="C296" i="85"/>
  <c r="S295" i="85"/>
  <c r="R295" i="85"/>
  <c r="Q295" i="85"/>
  <c r="O295" i="85"/>
  <c r="M295" i="85"/>
  <c r="K295" i="85"/>
  <c r="I295" i="85"/>
  <c r="G295" i="85"/>
  <c r="E295" i="85"/>
  <c r="C295" i="85"/>
  <c r="S294" i="85"/>
  <c r="R294" i="85"/>
  <c r="Q294" i="85"/>
  <c r="O294" i="85"/>
  <c r="M294" i="85"/>
  <c r="K294" i="85"/>
  <c r="I294" i="85"/>
  <c r="G294" i="85"/>
  <c r="E294" i="85"/>
  <c r="C294" i="85"/>
  <c r="S293" i="85"/>
  <c r="R293" i="85"/>
  <c r="Q293" i="85"/>
  <c r="O293" i="85"/>
  <c r="M293" i="85"/>
  <c r="K293" i="85"/>
  <c r="I293" i="85"/>
  <c r="G293" i="85"/>
  <c r="E293" i="85"/>
  <c r="C293" i="85"/>
  <c r="S292" i="85"/>
  <c r="R292" i="85"/>
  <c r="Q292" i="85"/>
  <c r="O292" i="85"/>
  <c r="M292" i="85"/>
  <c r="K292" i="85"/>
  <c r="I292" i="85"/>
  <c r="G292" i="85"/>
  <c r="E292" i="85"/>
  <c r="C292" i="85"/>
  <c r="S291" i="85"/>
  <c r="R291" i="85"/>
  <c r="Q291" i="85"/>
  <c r="O291" i="85"/>
  <c r="M291" i="85"/>
  <c r="K291" i="85"/>
  <c r="I291" i="85"/>
  <c r="G291" i="85"/>
  <c r="E291" i="85"/>
  <c r="C291" i="85"/>
  <c r="S290" i="85"/>
  <c r="R290" i="85"/>
  <c r="Q290" i="85"/>
  <c r="O290" i="85"/>
  <c r="M290" i="85"/>
  <c r="K290" i="85"/>
  <c r="I290" i="85"/>
  <c r="G290" i="85"/>
  <c r="E290" i="85"/>
  <c r="C290" i="85"/>
  <c r="S289" i="85"/>
  <c r="R289" i="85"/>
  <c r="Q289" i="85"/>
  <c r="O289" i="85"/>
  <c r="M289" i="85"/>
  <c r="K289" i="85"/>
  <c r="I289" i="85"/>
  <c r="G289" i="85"/>
  <c r="E289" i="85"/>
  <c r="C289" i="85"/>
  <c r="S288" i="85"/>
  <c r="R288" i="85"/>
  <c r="Q288" i="85"/>
  <c r="O288" i="85"/>
  <c r="M288" i="85"/>
  <c r="K288" i="85"/>
  <c r="I288" i="85"/>
  <c r="G288" i="85"/>
  <c r="E288" i="85"/>
  <c r="C288" i="85"/>
  <c r="S287" i="85"/>
  <c r="R287" i="85"/>
  <c r="Q287" i="85"/>
  <c r="O287" i="85"/>
  <c r="M287" i="85"/>
  <c r="K287" i="85"/>
  <c r="I287" i="85"/>
  <c r="G287" i="85"/>
  <c r="E287" i="85"/>
  <c r="C287" i="85"/>
  <c r="S286" i="85"/>
  <c r="R286" i="85"/>
  <c r="Q286" i="85"/>
  <c r="O286" i="85"/>
  <c r="M286" i="85"/>
  <c r="K286" i="85"/>
  <c r="I286" i="85"/>
  <c r="G286" i="85"/>
  <c r="E286" i="85"/>
  <c r="C286" i="85"/>
  <c r="S285" i="85"/>
  <c r="R285" i="85"/>
  <c r="Q285" i="85"/>
  <c r="O285" i="85"/>
  <c r="M285" i="85"/>
  <c r="K285" i="85"/>
  <c r="I285" i="85"/>
  <c r="G285" i="85"/>
  <c r="E285" i="85"/>
  <c r="C285" i="85"/>
  <c r="S284" i="85"/>
  <c r="R284" i="85"/>
  <c r="Q284" i="85"/>
  <c r="O284" i="85"/>
  <c r="M284" i="85"/>
  <c r="K284" i="85"/>
  <c r="I284" i="85"/>
  <c r="G284" i="85"/>
  <c r="E284" i="85"/>
  <c r="C284" i="85"/>
  <c r="S283" i="85"/>
  <c r="R283" i="85"/>
  <c r="Q283" i="85"/>
  <c r="O283" i="85"/>
  <c r="M283" i="85"/>
  <c r="K283" i="85"/>
  <c r="I283" i="85"/>
  <c r="G283" i="85"/>
  <c r="E283" i="85"/>
  <c r="C283" i="85"/>
  <c r="S282" i="85"/>
  <c r="R282" i="85"/>
  <c r="Q282" i="85"/>
  <c r="O282" i="85"/>
  <c r="M282" i="85"/>
  <c r="K282" i="85"/>
  <c r="I282" i="85"/>
  <c r="G282" i="85"/>
  <c r="E282" i="85"/>
  <c r="C282" i="85"/>
  <c r="S281" i="85"/>
  <c r="R281" i="85"/>
  <c r="Q281" i="85"/>
  <c r="O281" i="85"/>
  <c r="M281" i="85"/>
  <c r="K281" i="85"/>
  <c r="I281" i="85"/>
  <c r="G281" i="85"/>
  <c r="E281" i="85"/>
  <c r="C281" i="85"/>
  <c r="S280" i="85"/>
  <c r="R280" i="85"/>
  <c r="Q280" i="85"/>
  <c r="O280" i="85"/>
  <c r="M280" i="85"/>
  <c r="K280" i="85"/>
  <c r="I280" i="85"/>
  <c r="G280" i="85"/>
  <c r="E280" i="85"/>
  <c r="C280" i="85"/>
  <c r="S279" i="85"/>
  <c r="R279" i="85"/>
  <c r="Q279" i="85"/>
  <c r="O279" i="85"/>
  <c r="M279" i="85"/>
  <c r="K279" i="85"/>
  <c r="I279" i="85"/>
  <c r="G279" i="85"/>
  <c r="E279" i="85"/>
  <c r="C279" i="85"/>
  <c r="S278" i="85"/>
  <c r="R278" i="85"/>
  <c r="Q278" i="85"/>
  <c r="O278" i="85"/>
  <c r="M278" i="85"/>
  <c r="K278" i="85"/>
  <c r="I278" i="85"/>
  <c r="G278" i="85"/>
  <c r="E278" i="85"/>
  <c r="C278" i="85"/>
  <c r="S277" i="85"/>
  <c r="R277" i="85"/>
  <c r="Q277" i="85"/>
  <c r="O277" i="85"/>
  <c r="M277" i="85"/>
  <c r="K277" i="85"/>
  <c r="I277" i="85"/>
  <c r="G277" i="85"/>
  <c r="E277" i="85"/>
  <c r="C277" i="85"/>
  <c r="S276" i="85"/>
  <c r="R276" i="85"/>
  <c r="Q276" i="85"/>
  <c r="O276" i="85"/>
  <c r="M276" i="85"/>
  <c r="K276" i="85"/>
  <c r="I276" i="85"/>
  <c r="G276" i="85"/>
  <c r="E276" i="85"/>
  <c r="C276" i="85"/>
  <c r="S275" i="85"/>
  <c r="R275" i="85"/>
  <c r="Q275" i="85"/>
  <c r="O275" i="85"/>
  <c r="M275" i="85"/>
  <c r="K275" i="85"/>
  <c r="I275" i="85"/>
  <c r="G275" i="85"/>
  <c r="E275" i="85"/>
  <c r="C275" i="85"/>
  <c r="S274" i="85"/>
  <c r="R274" i="85"/>
  <c r="Q274" i="85"/>
  <c r="O274" i="85"/>
  <c r="M274" i="85"/>
  <c r="K274" i="85"/>
  <c r="I274" i="85"/>
  <c r="G274" i="85"/>
  <c r="E274" i="85"/>
  <c r="C274" i="85"/>
  <c r="S273" i="85"/>
  <c r="R273" i="85"/>
  <c r="Q273" i="85"/>
  <c r="O273" i="85"/>
  <c r="M273" i="85"/>
  <c r="K273" i="85"/>
  <c r="I273" i="85"/>
  <c r="G273" i="85"/>
  <c r="E273" i="85"/>
  <c r="C273" i="85"/>
  <c r="S272" i="85"/>
  <c r="R272" i="85"/>
  <c r="Q272" i="85"/>
  <c r="O272" i="85"/>
  <c r="M272" i="85"/>
  <c r="K272" i="85"/>
  <c r="I272" i="85"/>
  <c r="G272" i="85"/>
  <c r="E272" i="85"/>
  <c r="C272" i="85"/>
  <c r="S271" i="85"/>
  <c r="R271" i="85"/>
  <c r="Q271" i="85"/>
  <c r="O271" i="85"/>
  <c r="M271" i="85"/>
  <c r="K271" i="85"/>
  <c r="I271" i="85"/>
  <c r="G271" i="85"/>
  <c r="E271" i="85"/>
  <c r="C271" i="85"/>
  <c r="S270" i="85"/>
  <c r="R270" i="85"/>
  <c r="Q270" i="85"/>
  <c r="O270" i="85"/>
  <c r="M270" i="85"/>
  <c r="K270" i="85"/>
  <c r="I270" i="85"/>
  <c r="G270" i="85"/>
  <c r="E270" i="85"/>
  <c r="C270" i="85"/>
  <c r="S269" i="85"/>
  <c r="R269" i="85"/>
  <c r="Q269" i="85"/>
  <c r="O269" i="85"/>
  <c r="M269" i="85"/>
  <c r="K269" i="85"/>
  <c r="I269" i="85"/>
  <c r="G269" i="85"/>
  <c r="E269" i="85"/>
  <c r="C269" i="85"/>
  <c r="S268" i="85"/>
  <c r="R268" i="85"/>
  <c r="Q268" i="85"/>
  <c r="O268" i="85"/>
  <c r="M268" i="85"/>
  <c r="K268" i="85"/>
  <c r="I268" i="85"/>
  <c r="G268" i="85"/>
  <c r="E268" i="85"/>
  <c r="C268" i="85"/>
  <c r="S267" i="85"/>
  <c r="R267" i="85"/>
  <c r="Q267" i="85"/>
  <c r="O267" i="85"/>
  <c r="M267" i="85"/>
  <c r="K267" i="85"/>
  <c r="I267" i="85"/>
  <c r="G267" i="85"/>
  <c r="E267" i="85"/>
  <c r="C267" i="85"/>
  <c r="S266" i="85"/>
  <c r="R266" i="85"/>
  <c r="Q266" i="85"/>
  <c r="O266" i="85"/>
  <c r="M266" i="85"/>
  <c r="K266" i="85"/>
  <c r="I266" i="85"/>
  <c r="G266" i="85"/>
  <c r="E266" i="85"/>
  <c r="C266" i="85"/>
  <c r="S265" i="85"/>
  <c r="R265" i="85"/>
  <c r="Q265" i="85"/>
  <c r="O265" i="85"/>
  <c r="M265" i="85"/>
  <c r="K265" i="85"/>
  <c r="I265" i="85"/>
  <c r="G265" i="85"/>
  <c r="E265" i="85"/>
  <c r="C265" i="85"/>
  <c r="S264" i="85"/>
  <c r="R264" i="85"/>
  <c r="Q264" i="85"/>
  <c r="O264" i="85"/>
  <c r="M264" i="85"/>
  <c r="K264" i="85"/>
  <c r="I264" i="85"/>
  <c r="G264" i="85"/>
  <c r="E264" i="85"/>
  <c r="C264" i="85"/>
  <c r="S263" i="85"/>
  <c r="R263" i="85"/>
  <c r="Q263" i="85"/>
  <c r="O263" i="85"/>
  <c r="M263" i="85"/>
  <c r="K263" i="85"/>
  <c r="I263" i="85"/>
  <c r="G263" i="85"/>
  <c r="E263" i="85"/>
  <c r="C263" i="85"/>
  <c r="S262" i="85"/>
  <c r="R262" i="85"/>
  <c r="Q262" i="85"/>
  <c r="O262" i="85"/>
  <c r="M262" i="85"/>
  <c r="K262" i="85"/>
  <c r="I262" i="85"/>
  <c r="G262" i="85"/>
  <c r="E262" i="85"/>
  <c r="C262" i="85"/>
  <c r="S261" i="85"/>
  <c r="R261" i="85"/>
  <c r="Q261" i="85"/>
  <c r="O261" i="85"/>
  <c r="M261" i="85"/>
  <c r="K261" i="85"/>
  <c r="I261" i="85"/>
  <c r="G261" i="85"/>
  <c r="E261" i="85"/>
  <c r="C261" i="85"/>
  <c r="S260" i="85"/>
  <c r="R260" i="85"/>
  <c r="Q260" i="85"/>
  <c r="O260" i="85"/>
  <c r="M260" i="85"/>
  <c r="K260" i="85"/>
  <c r="I260" i="85"/>
  <c r="G260" i="85"/>
  <c r="E260" i="85"/>
  <c r="C260" i="85"/>
  <c r="S259" i="85"/>
  <c r="R259" i="85"/>
  <c r="Q259" i="85"/>
  <c r="O259" i="85"/>
  <c r="M259" i="85"/>
  <c r="K259" i="85"/>
  <c r="I259" i="85"/>
  <c r="G259" i="85"/>
  <c r="E259" i="85"/>
  <c r="C259" i="85"/>
  <c r="S258" i="85"/>
  <c r="R258" i="85"/>
  <c r="Q258" i="85"/>
  <c r="O258" i="85"/>
  <c r="M258" i="85"/>
  <c r="K258" i="85"/>
  <c r="I258" i="85"/>
  <c r="G258" i="85"/>
  <c r="E258" i="85"/>
  <c r="C258" i="85"/>
  <c r="S257" i="85"/>
  <c r="R257" i="85"/>
  <c r="Q257" i="85"/>
  <c r="O257" i="85"/>
  <c r="M257" i="85"/>
  <c r="K257" i="85"/>
  <c r="I257" i="85"/>
  <c r="G257" i="85"/>
  <c r="E257" i="85"/>
  <c r="C257" i="85"/>
  <c r="S256" i="85"/>
  <c r="R256" i="85"/>
  <c r="Q256" i="85"/>
  <c r="O256" i="85"/>
  <c r="M256" i="85"/>
  <c r="K256" i="85"/>
  <c r="I256" i="85"/>
  <c r="G256" i="85"/>
  <c r="E256" i="85"/>
  <c r="C256" i="85"/>
  <c r="S255" i="85"/>
  <c r="R255" i="85"/>
  <c r="Q255" i="85"/>
  <c r="O255" i="85"/>
  <c r="M255" i="85"/>
  <c r="K255" i="85"/>
  <c r="I255" i="85"/>
  <c r="G255" i="85"/>
  <c r="E255" i="85"/>
  <c r="C255" i="85"/>
  <c r="S254" i="85"/>
  <c r="R254" i="85"/>
  <c r="Q254" i="85"/>
  <c r="O254" i="85"/>
  <c r="M254" i="85"/>
  <c r="K254" i="85"/>
  <c r="I254" i="85"/>
  <c r="G254" i="85"/>
  <c r="E254" i="85"/>
  <c r="C254" i="85"/>
  <c r="S253" i="85"/>
  <c r="R253" i="85"/>
  <c r="Q253" i="85"/>
  <c r="O253" i="85"/>
  <c r="M253" i="85"/>
  <c r="K253" i="85"/>
  <c r="I253" i="85"/>
  <c r="G253" i="85"/>
  <c r="E253" i="85"/>
  <c r="C253" i="85"/>
  <c r="S252" i="85"/>
  <c r="R252" i="85"/>
  <c r="Q252" i="85"/>
  <c r="O252" i="85"/>
  <c r="M252" i="85"/>
  <c r="K252" i="85"/>
  <c r="I252" i="85"/>
  <c r="G252" i="85"/>
  <c r="E252" i="85"/>
  <c r="C252" i="85"/>
  <c r="S251" i="85"/>
  <c r="R251" i="85"/>
  <c r="Q251" i="85"/>
  <c r="O251" i="85"/>
  <c r="M251" i="85"/>
  <c r="K251" i="85"/>
  <c r="I251" i="85"/>
  <c r="G251" i="85"/>
  <c r="E251" i="85"/>
  <c r="C251" i="85"/>
  <c r="S250" i="85"/>
  <c r="R250" i="85"/>
  <c r="Q250" i="85"/>
  <c r="O250" i="85"/>
  <c r="M250" i="85"/>
  <c r="K250" i="85"/>
  <c r="I250" i="85"/>
  <c r="G250" i="85"/>
  <c r="E250" i="85"/>
  <c r="C250" i="85"/>
  <c r="S249" i="85"/>
  <c r="R249" i="85"/>
  <c r="Q249" i="85"/>
  <c r="O249" i="85"/>
  <c r="M249" i="85"/>
  <c r="K249" i="85"/>
  <c r="I249" i="85"/>
  <c r="G249" i="85"/>
  <c r="E249" i="85"/>
  <c r="C249" i="85"/>
  <c r="S248" i="85"/>
  <c r="R248" i="85"/>
  <c r="Q248" i="85"/>
  <c r="O248" i="85"/>
  <c r="M248" i="85"/>
  <c r="K248" i="85"/>
  <c r="I248" i="85"/>
  <c r="G248" i="85"/>
  <c r="E248" i="85"/>
  <c r="C248" i="85"/>
  <c r="S247" i="85"/>
  <c r="R247" i="85"/>
  <c r="Q247" i="85"/>
  <c r="O247" i="85"/>
  <c r="M247" i="85"/>
  <c r="K247" i="85"/>
  <c r="I247" i="85"/>
  <c r="G247" i="85"/>
  <c r="E247" i="85"/>
  <c r="C247" i="85"/>
  <c r="S246" i="85"/>
  <c r="R246" i="85"/>
  <c r="Q246" i="85"/>
  <c r="O246" i="85"/>
  <c r="M246" i="85"/>
  <c r="K246" i="85"/>
  <c r="I246" i="85"/>
  <c r="G246" i="85"/>
  <c r="E246" i="85"/>
  <c r="C246" i="85"/>
  <c r="S245" i="85"/>
  <c r="R245" i="85"/>
  <c r="Q245" i="85"/>
  <c r="O245" i="85"/>
  <c r="M245" i="85"/>
  <c r="K245" i="85"/>
  <c r="I245" i="85"/>
  <c r="G245" i="85"/>
  <c r="E245" i="85"/>
  <c r="C245" i="85"/>
  <c r="S244" i="85"/>
  <c r="R244" i="85"/>
  <c r="Q244" i="85"/>
  <c r="O244" i="85"/>
  <c r="M244" i="85"/>
  <c r="K244" i="85"/>
  <c r="I244" i="85"/>
  <c r="G244" i="85"/>
  <c r="E244" i="85"/>
  <c r="C244" i="85"/>
  <c r="S243" i="85"/>
  <c r="R243" i="85"/>
  <c r="Q243" i="85"/>
  <c r="O243" i="85"/>
  <c r="M243" i="85"/>
  <c r="K243" i="85"/>
  <c r="I243" i="85"/>
  <c r="G243" i="85"/>
  <c r="E243" i="85"/>
  <c r="C243" i="85"/>
  <c r="S242" i="85"/>
  <c r="R242" i="85"/>
  <c r="Q242" i="85"/>
  <c r="O242" i="85"/>
  <c r="M242" i="85"/>
  <c r="K242" i="85"/>
  <c r="I242" i="85"/>
  <c r="G242" i="85"/>
  <c r="E242" i="85"/>
  <c r="C242" i="85"/>
  <c r="S241" i="85"/>
  <c r="R241" i="85"/>
  <c r="Q241" i="85"/>
  <c r="O241" i="85"/>
  <c r="M241" i="85"/>
  <c r="K241" i="85"/>
  <c r="I241" i="85"/>
  <c r="G241" i="85"/>
  <c r="E241" i="85"/>
  <c r="C241" i="85"/>
  <c r="S240" i="85"/>
  <c r="R240" i="85"/>
  <c r="Q240" i="85"/>
  <c r="O240" i="85"/>
  <c r="M240" i="85"/>
  <c r="K240" i="85"/>
  <c r="I240" i="85"/>
  <c r="G240" i="85"/>
  <c r="E240" i="85"/>
  <c r="C240" i="85"/>
  <c r="S239" i="85"/>
  <c r="R239" i="85"/>
  <c r="Q239" i="85"/>
  <c r="O239" i="85"/>
  <c r="M239" i="85"/>
  <c r="K239" i="85"/>
  <c r="I239" i="85"/>
  <c r="G239" i="85"/>
  <c r="E239" i="85"/>
  <c r="C239" i="85"/>
  <c r="S238" i="85"/>
  <c r="R238" i="85"/>
  <c r="Q238" i="85"/>
  <c r="O238" i="85"/>
  <c r="M238" i="85"/>
  <c r="K238" i="85"/>
  <c r="I238" i="85"/>
  <c r="G238" i="85"/>
  <c r="E238" i="85"/>
  <c r="C238" i="85"/>
  <c r="S237" i="85"/>
  <c r="R237" i="85"/>
  <c r="Q237" i="85"/>
  <c r="O237" i="85"/>
  <c r="M237" i="85"/>
  <c r="K237" i="85"/>
  <c r="I237" i="85"/>
  <c r="G237" i="85"/>
  <c r="E237" i="85"/>
  <c r="C237" i="85"/>
  <c r="S236" i="85"/>
  <c r="R236" i="85"/>
  <c r="Q236" i="85"/>
  <c r="O236" i="85"/>
  <c r="M236" i="85"/>
  <c r="K236" i="85"/>
  <c r="I236" i="85"/>
  <c r="G236" i="85"/>
  <c r="E236" i="85"/>
  <c r="C236" i="85"/>
  <c r="S235" i="85"/>
  <c r="R235" i="85"/>
  <c r="Q235" i="85"/>
  <c r="O235" i="85"/>
  <c r="M235" i="85"/>
  <c r="K235" i="85"/>
  <c r="I235" i="85"/>
  <c r="G235" i="85"/>
  <c r="E235" i="85"/>
  <c r="C235" i="85"/>
  <c r="S234" i="85"/>
  <c r="R234" i="85"/>
  <c r="Q234" i="85"/>
  <c r="O234" i="85"/>
  <c r="M234" i="85"/>
  <c r="K234" i="85"/>
  <c r="I234" i="85"/>
  <c r="G234" i="85"/>
  <c r="E234" i="85"/>
  <c r="C234" i="85"/>
  <c r="S233" i="85"/>
  <c r="R233" i="85"/>
  <c r="Q233" i="85"/>
  <c r="O233" i="85"/>
  <c r="M233" i="85"/>
  <c r="K233" i="85"/>
  <c r="I233" i="85"/>
  <c r="G233" i="85"/>
  <c r="E233" i="85"/>
  <c r="C233" i="85"/>
  <c r="S232" i="85"/>
  <c r="R232" i="85"/>
  <c r="Q232" i="85"/>
  <c r="O232" i="85"/>
  <c r="M232" i="85"/>
  <c r="K232" i="85"/>
  <c r="I232" i="85"/>
  <c r="G232" i="85"/>
  <c r="E232" i="85"/>
  <c r="C232" i="85"/>
  <c r="S231" i="85"/>
  <c r="R231" i="85"/>
  <c r="Q231" i="85"/>
  <c r="O231" i="85"/>
  <c r="M231" i="85"/>
  <c r="K231" i="85"/>
  <c r="I231" i="85"/>
  <c r="G231" i="85"/>
  <c r="E231" i="85"/>
  <c r="C231" i="85"/>
  <c r="S230" i="85"/>
  <c r="R230" i="85"/>
  <c r="Q230" i="85"/>
  <c r="O230" i="85"/>
  <c r="M230" i="85"/>
  <c r="K230" i="85"/>
  <c r="I230" i="85"/>
  <c r="G230" i="85"/>
  <c r="E230" i="85"/>
  <c r="C230" i="85"/>
  <c r="S229" i="85"/>
  <c r="R229" i="85"/>
  <c r="Q229" i="85"/>
  <c r="O229" i="85"/>
  <c r="M229" i="85"/>
  <c r="K229" i="85"/>
  <c r="I229" i="85"/>
  <c r="G229" i="85"/>
  <c r="E229" i="85"/>
  <c r="C229" i="85"/>
  <c r="S228" i="85"/>
  <c r="R228" i="85"/>
  <c r="Q228" i="85"/>
  <c r="O228" i="85"/>
  <c r="M228" i="85"/>
  <c r="K228" i="85"/>
  <c r="I228" i="85"/>
  <c r="G228" i="85"/>
  <c r="E228" i="85"/>
  <c r="C228" i="85"/>
  <c r="S227" i="85"/>
  <c r="R227" i="85"/>
  <c r="Q227" i="85"/>
  <c r="O227" i="85"/>
  <c r="M227" i="85"/>
  <c r="K227" i="85"/>
  <c r="I227" i="85"/>
  <c r="G227" i="85"/>
  <c r="E227" i="85"/>
  <c r="C227" i="85"/>
  <c r="S226" i="85"/>
  <c r="R226" i="85"/>
  <c r="Q226" i="85"/>
  <c r="O226" i="85"/>
  <c r="M226" i="85"/>
  <c r="K226" i="85"/>
  <c r="I226" i="85"/>
  <c r="G226" i="85"/>
  <c r="E226" i="85"/>
  <c r="C226" i="85"/>
  <c r="S225" i="85"/>
  <c r="R225" i="85"/>
  <c r="Q225" i="85"/>
  <c r="O225" i="85"/>
  <c r="M225" i="85"/>
  <c r="K225" i="85"/>
  <c r="I225" i="85"/>
  <c r="G225" i="85"/>
  <c r="E225" i="85"/>
  <c r="C225" i="85"/>
  <c r="S224" i="85"/>
  <c r="R224" i="85"/>
  <c r="Q224" i="85"/>
  <c r="O224" i="85"/>
  <c r="M224" i="85"/>
  <c r="K224" i="85"/>
  <c r="I224" i="85"/>
  <c r="G224" i="85"/>
  <c r="E224" i="85"/>
  <c r="C224" i="85"/>
  <c r="S223" i="85"/>
  <c r="R223" i="85"/>
  <c r="Q223" i="85"/>
  <c r="O223" i="85"/>
  <c r="M223" i="85"/>
  <c r="K223" i="85"/>
  <c r="I223" i="85"/>
  <c r="G223" i="85"/>
  <c r="E223" i="85"/>
  <c r="C223" i="85"/>
  <c r="S222" i="85"/>
  <c r="R222" i="85"/>
  <c r="Q222" i="85"/>
  <c r="O222" i="85"/>
  <c r="M222" i="85"/>
  <c r="K222" i="85"/>
  <c r="I222" i="85"/>
  <c r="G222" i="85"/>
  <c r="E222" i="85"/>
  <c r="C222" i="85"/>
  <c r="S221" i="85"/>
  <c r="R221" i="85"/>
  <c r="Q221" i="85"/>
  <c r="O221" i="85"/>
  <c r="M221" i="85"/>
  <c r="K221" i="85"/>
  <c r="I221" i="85"/>
  <c r="G221" i="85"/>
  <c r="E221" i="85"/>
  <c r="C221" i="85"/>
  <c r="S220" i="85"/>
  <c r="R220" i="85"/>
  <c r="Q220" i="85"/>
  <c r="O220" i="85"/>
  <c r="M220" i="85"/>
  <c r="K220" i="85"/>
  <c r="I220" i="85"/>
  <c r="G220" i="85"/>
  <c r="E220" i="85"/>
  <c r="C220" i="85"/>
  <c r="S219" i="85"/>
  <c r="R219" i="85"/>
  <c r="Q219" i="85"/>
  <c r="O219" i="85"/>
  <c r="M219" i="85"/>
  <c r="K219" i="85"/>
  <c r="I219" i="85"/>
  <c r="G219" i="85"/>
  <c r="E219" i="85"/>
  <c r="C219" i="85"/>
  <c r="S218" i="85"/>
  <c r="R218" i="85"/>
  <c r="Q218" i="85"/>
  <c r="O218" i="85"/>
  <c r="M218" i="85"/>
  <c r="K218" i="85"/>
  <c r="I218" i="85"/>
  <c r="G218" i="85"/>
  <c r="E218" i="85"/>
  <c r="C218" i="85"/>
  <c r="S217" i="85"/>
  <c r="R217" i="85"/>
  <c r="Q217" i="85"/>
  <c r="O217" i="85"/>
  <c r="M217" i="85"/>
  <c r="K217" i="85"/>
  <c r="I217" i="85"/>
  <c r="G217" i="85"/>
  <c r="E217" i="85"/>
  <c r="C217" i="85"/>
  <c r="S216" i="85"/>
  <c r="R216" i="85"/>
  <c r="Q216" i="85"/>
  <c r="O216" i="85"/>
  <c r="M216" i="85"/>
  <c r="K216" i="85"/>
  <c r="I216" i="85"/>
  <c r="G216" i="85"/>
  <c r="E216" i="85"/>
  <c r="C216" i="85"/>
  <c r="S215" i="85"/>
  <c r="R215" i="85"/>
  <c r="Q215" i="85"/>
  <c r="O215" i="85"/>
  <c r="M215" i="85"/>
  <c r="K215" i="85"/>
  <c r="I215" i="85"/>
  <c r="G215" i="85"/>
  <c r="E215" i="85"/>
  <c r="C215" i="85"/>
  <c r="S214" i="85"/>
  <c r="R214" i="85"/>
  <c r="Q214" i="85"/>
  <c r="O214" i="85"/>
  <c r="M214" i="85"/>
  <c r="K214" i="85"/>
  <c r="I214" i="85"/>
  <c r="G214" i="85"/>
  <c r="E214" i="85"/>
  <c r="C214" i="85"/>
  <c r="S213" i="85"/>
  <c r="R213" i="85"/>
  <c r="Q213" i="85"/>
  <c r="O213" i="85"/>
  <c r="M213" i="85"/>
  <c r="K213" i="85"/>
  <c r="I213" i="85"/>
  <c r="G213" i="85"/>
  <c r="E213" i="85"/>
  <c r="C213" i="85"/>
  <c r="S212" i="85"/>
  <c r="R212" i="85"/>
  <c r="Q212" i="85"/>
  <c r="O212" i="85"/>
  <c r="M212" i="85"/>
  <c r="K212" i="85"/>
  <c r="I212" i="85"/>
  <c r="G212" i="85"/>
  <c r="E212" i="85"/>
  <c r="C212" i="85"/>
  <c r="S211" i="85"/>
  <c r="R211" i="85"/>
  <c r="Q211" i="85"/>
  <c r="O211" i="85"/>
  <c r="M211" i="85"/>
  <c r="K211" i="85"/>
  <c r="I211" i="85"/>
  <c r="G211" i="85"/>
  <c r="E211" i="85"/>
  <c r="C211" i="85"/>
  <c r="S210" i="85"/>
  <c r="R210" i="85"/>
  <c r="Q210" i="85"/>
  <c r="O210" i="85"/>
  <c r="M210" i="85"/>
  <c r="K210" i="85"/>
  <c r="I210" i="85"/>
  <c r="G210" i="85"/>
  <c r="E210" i="85"/>
  <c r="C210" i="85"/>
  <c r="S209" i="85"/>
  <c r="R209" i="85"/>
  <c r="Q209" i="85"/>
  <c r="O209" i="85"/>
  <c r="M209" i="85"/>
  <c r="K209" i="85"/>
  <c r="I209" i="85"/>
  <c r="G209" i="85"/>
  <c r="E209" i="85"/>
  <c r="C209" i="85"/>
  <c r="S208" i="85"/>
  <c r="R208" i="85"/>
  <c r="Q208" i="85"/>
  <c r="O208" i="85"/>
  <c r="M208" i="85"/>
  <c r="K208" i="85"/>
  <c r="I208" i="85"/>
  <c r="G208" i="85"/>
  <c r="E208" i="85"/>
  <c r="C208" i="85"/>
  <c r="S207" i="85"/>
  <c r="R207" i="85"/>
  <c r="Q207" i="85"/>
  <c r="O207" i="85"/>
  <c r="M207" i="85"/>
  <c r="K207" i="85"/>
  <c r="I207" i="85"/>
  <c r="G207" i="85"/>
  <c r="E207" i="85"/>
  <c r="C207" i="85"/>
  <c r="S206" i="85"/>
  <c r="R206" i="85"/>
  <c r="Q206" i="85"/>
  <c r="O206" i="85"/>
  <c r="M206" i="85"/>
  <c r="K206" i="85"/>
  <c r="I206" i="85"/>
  <c r="G206" i="85"/>
  <c r="E206" i="85"/>
  <c r="C206" i="85"/>
  <c r="S205" i="85"/>
  <c r="R205" i="85"/>
  <c r="Q205" i="85"/>
  <c r="O205" i="85"/>
  <c r="M205" i="85"/>
  <c r="K205" i="85"/>
  <c r="I205" i="85"/>
  <c r="G205" i="85"/>
  <c r="E205" i="85"/>
  <c r="C205" i="85"/>
  <c r="S204" i="85"/>
  <c r="R204" i="85"/>
  <c r="Q204" i="85"/>
  <c r="O204" i="85"/>
  <c r="M204" i="85"/>
  <c r="K204" i="85"/>
  <c r="I204" i="85"/>
  <c r="G204" i="85"/>
  <c r="E204" i="85"/>
  <c r="C204" i="85"/>
  <c r="S203" i="85"/>
  <c r="R203" i="85"/>
  <c r="Q203" i="85"/>
  <c r="O203" i="85"/>
  <c r="M203" i="85"/>
  <c r="K203" i="85"/>
  <c r="I203" i="85"/>
  <c r="G203" i="85"/>
  <c r="E203" i="85"/>
  <c r="C203" i="85"/>
  <c r="S202" i="85"/>
  <c r="R202" i="85"/>
  <c r="Q202" i="85"/>
  <c r="O202" i="85"/>
  <c r="M202" i="85"/>
  <c r="K202" i="85"/>
  <c r="I202" i="85"/>
  <c r="G202" i="85"/>
  <c r="E202" i="85"/>
  <c r="C202" i="85"/>
  <c r="S201" i="85"/>
  <c r="R201" i="85"/>
  <c r="Q201" i="85"/>
  <c r="O201" i="85"/>
  <c r="M201" i="85"/>
  <c r="K201" i="85"/>
  <c r="I201" i="85"/>
  <c r="G201" i="85"/>
  <c r="E201" i="85"/>
  <c r="C201" i="85"/>
  <c r="S200" i="85"/>
  <c r="R200" i="85"/>
  <c r="Q200" i="85"/>
  <c r="O200" i="85"/>
  <c r="M200" i="85"/>
  <c r="K200" i="85"/>
  <c r="I200" i="85"/>
  <c r="G200" i="85"/>
  <c r="E200" i="85"/>
  <c r="C200" i="85"/>
  <c r="S199" i="85"/>
  <c r="R199" i="85"/>
  <c r="Q199" i="85"/>
  <c r="O199" i="85"/>
  <c r="M199" i="85"/>
  <c r="K199" i="85"/>
  <c r="I199" i="85"/>
  <c r="G199" i="85"/>
  <c r="E199" i="85"/>
  <c r="C199" i="85"/>
  <c r="S198" i="85"/>
  <c r="R198" i="85"/>
  <c r="Q198" i="85"/>
  <c r="O198" i="85"/>
  <c r="M198" i="85"/>
  <c r="K198" i="85"/>
  <c r="I198" i="85"/>
  <c r="G198" i="85"/>
  <c r="E198" i="85"/>
  <c r="C198" i="85"/>
  <c r="S197" i="85"/>
  <c r="R197" i="85"/>
  <c r="Q197" i="85"/>
  <c r="O197" i="85"/>
  <c r="M197" i="85"/>
  <c r="K197" i="85"/>
  <c r="I197" i="85"/>
  <c r="G197" i="85"/>
  <c r="E197" i="85"/>
  <c r="C197" i="85"/>
  <c r="S196" i="85"/>
  <c r="R196" i="85"/>
  <c r="Q196" i="85"/>
  <c r="O196" i="85"/>
  <c r="M196" i="85"/>
  <c r="K196" i="85"/>
  <c r="I196" i="85"/>
  <c r="G196" i="85"/>
  <c r="E196" i="85"/>
  <c r="C196" i="85"/>
  <c r="S195" i="85"/>
  <c r="R195" i="85"/>
  <c r="Q195" i="85"/>
  <c r="O195" i="85"/>
  <c r="M195" i="85"/>
  <c r="K195" i="85"/>
  <c r="I195" i="85"/>
  <c r="G195" i="85"/>
  <c r="E195" i="85"/>
  <c r="C195" i="85"/>
  <c r="S194" i="85"/>
  <c r="R194" i="85"/>
  <c r="Q194" i="85"/>
  <c r="O194" i="85"/>
  <c r="M194" i="85"/>
  <c r="K194" i="85"/>
  <c r="I194" i="85"/>
  <c r="G194" i="85"/>
  <c r="E194" i="85"/>
  <c r="C194" i="85"/>
  <c r="S193" i="85"/>
  <c r="R193" i="85"/>
  <c r="Q193" i="85"/>
  <c r="O193" i="85"/>
  <c r="M193" i="85"/>
  <c r="K193" i="85"/>
  <c r="I193" i="85"/>
  <c r="G193" i="85"/>
  <c r="E193" i="85"/>
  <c r="C193" i="85"/>
  <c r="S192" i="85"/>
  <c r="R192" i="85"/>
  <c r="Q192" i="85"/>
  <c r="O192" i="85"/>
  <c r="M192" i="85"/>
  <c r="K192" i="85"/>
  <c r="I192" i="85"/>
  <c r="G192" i="85"/>
  <c r="E192" i="85"/>
  <c r="C192" i="85"/>
  <c r="S191" i="85"/>
  <c r="R191" i="85"/>
  <c r="Q191" i="85"/>
  <c r="O191" i="85"/>
  <c r="M191" i="85"/>
  <c r="K191" i="85"/>
  <c r="I191" i="85"/>
  <c r="G191" i="85"/>
  <c r="E191" i="85"/>
  <c r="C191" i="85"/>
  <c r="S190" i="85"/>
  <c r="R190" i="85"/>
  <c r="Q190" i="85"/>
  <c r="O190" i="85"/>
  <c r="M190" i="85"/>
  <c r="K190" i="85"/>
  <c r="I190" i="85"/>
  <c r="G190" i="85"/>
  <c r="E190" i="85"/>
  <c r="C190" i="85"/>
  <c r="S189" i="85"/>
  <c r="R189" i="85"/>
  <c r="Q189" i="85"/>
  <c r="O189" i="85"/>
  <c r="M189" i="85"/>
  <c r="K189" i="85"/>
  <c r="I189" i="85"/>
  <c r="G189" i="85"/>
  <c r="E189" i="85"/>
  <c r="C189" i="85"/>
  <c r="S188" i="85"/>
  <c r="R188" i="85"/>
  <c r="Q188" i="85"/>
  <c r="O188" i="85"/>
  <c r="M188" i="85"/>
  <c r="K188" i="85"/>
  <c r="I188" i="85"/>
  <c r="G188" i="85"/>
  <c r="E188" i="85"/>
  <c r="C188" i="85"/>
  <c r="S187" i="85"/>
  <c r="R187" i="85"/>
  <c r="Q187" i="85"/>
  <c r="O187" i="85"/>
  <c r="M187" i="85"/>
  <c r="K187" i="85"/>
  <c r="I187" i="85"/>
  <c r="G187" i="85"/>
  <c r="E187" i="85"/>
  <c r="C187" i="85"/>
  <c r="S186" i="85"/>
  <c r="R186" i="85"/>
  <c r="Q186" i="85"/>
  <c r="O186" i="85"/>
  <c r="M186" i="85"/>
  <c r="K186" i="85"/>
  <c r="I186" i="85"/>
  <c r="G186" i="85"/>
  <c r="E186" i="85"/>
  <c r="C186" i="85"/>
  <c r="S185" i="85"/>
  <c r="R185" i="85"/>
  <c r="Q185" i="85"/>
  <c r="O185" i="85"/>
  <c r="M185" i="85"/>
  <c r="K185" i="85"/>
  <c r="I185" i="85"/>
  <c r="G185" i="85"/>
  <c r="E185" i="85"/>
  <c r="C185" i="85"/>
  <c r="S184" i="85"/>
  <c r="R184" i="85"/>
  <c r="Q184" i="85"/>
  <c r="O184" i="85"/>
  <c r="M184" i="85"/>
  <c r="K184" i="85"/>
  <c r="I184" i="85"/>
  <c r="G184" i="85"/>
  <c r="E184" i="85"/>
  <c r="C184" i="85"/>
  <c r="S183" i="85"/>
  <c r="R183" i="85"/>
  <c r="Q183" i="85"/>
  <c r="O183" i="85"/>
  <c r="M183" i="85"/>
  <c r="K183" i="85"/>
  <c r="I183" i="85"/>
  <c r="G183" i="85"/>
  <c r="E183" i="85"/>
  <c r="C183" i="85"/>
  <c r="S182" i="85"/>
  <c r="R182" i="85"/>
  <c r="Q182" i="85"/>
  <c r="O182" i="85"/>
  <c r="M182" i="85"/>
  <c r="K182" i="85"/>
  <c r="I182" i="85"/>
  <c r="G182" i="85"/>
  <c r="E182" i="85"/>
  <c r="C182" i="85"/>
  <c r="S181" i="85"/>
  <c r="R181" i="85"/>
  <c r="Q181" i="85"/>
  <c r="O181" i="85"/>
  <c r="M181" i="85"/>
  <c r="K181" i="85"/>
  <c r="I181" i="85"/>
  <c r="G181" i="85"/>
  <c r="E181" i="85"/>
  <c r="C181" i="85"/>
  <c r="S180" i="85"/>
  <c r="R180" i="85"/>
  <c r="Q180" i="85"/>
  <c r="O180" i="85"/>
  <c r="M180" i="85"/>
  <c r="K180" i="85"/>
  <c r="I180" i="85"/>
  <c r="G180" i="85"/>
  <c r="E180" i="85"/>
  <c r="C180" i="85"/>
  <c r="S179" i="85"/>
  <c r="R179" i="85"/>
  <c r="Q179" i="85"/>
  <c r="O179" i="85"/>
  <c r="M179" i="85"/>
  <c r="K179" i="85"/>
  <c r="I179" i="85"/>
  <c r="G179" i="85"/>
  <c r="E179" i="85"/>
  <c r="C179" i="85"/>
  <c r="S178" i="85"/>
  <c r="R178" i="85"/>
  <c r="Q178" i="85"/>
  <c r="O178" i="85"/>
  <c r="M178" i="85"/>
  <c r="K178" i="85"/>
  <c r="I178" i="85"/>
  <c r="G178" i="85"/>
  <c r="E178" i="85"/>
  <c r="C178" i="85"/>
  <c r="S177" i="85"/>
  <c r="R177" i="85"/>
  <c r="Q177" i="85"/>
  <c r="O177" i="85"/>
  <c r="M177" i="85"/>
  <c r="K177" i="85"/>
  <c r="I177" i="85"/>
  <c r="G177" i="85"/>
  <c r="E177" i="85"/>
  <c r="C177" i="85"/>
  <c r="S176" i="85"/>
  <c r="R176" i="85"/>
  <c r="Q176" i="85"/>
  <c r="O176" i="85"/>
  <c r="M176" i="85"/>
  <c r="K176" i="85"/>
  <c r="I176" i="85"/>
  <c r="G176" i="85"/>
  <c r="E176" i="85"/>
  <c r="C176" i="85"/>
  <c r="S175" i="85"/>
  <c r="R175" i="85"/>
  <c r="Q175" i="85"/>
  <c r="O175" i="85"/>
  <c r="M175" i="85"/>
  <c r="K175" i="85"/>
  <c r="I175" i="85"/>
  <c r="G175" i="85"/>
  <c r="E175" i="85"/>
  <c r="C175" i="85"/>
  <c r="S174" i="85"/>
  <c r="R174" i="85"/>
  <c r="Q174" i="85"/>
  <c r="O174" i="85"/>
  <c r="M174" i="85"/>
  <c r="K174" i="85"/>
  <c r="I174" i="85"/>
  <c r="G174" i="85"/>
  <c r="E174" i="85"/>
  <c r="C174" i="85"/>
  <c r="S173" i="85"/>
  <c r="R173" i="85"/>
  <c r="Q173" i="85"/>
  <c r="O173" i="85"/>
  <c r="M173" i="85"/>
  <c r="K173" i="85"/>
  <c r="I173" i="85"/>
  <c r="G173" i="85"/>
  <c r="E173" i="85"/>
  <c r="C173" i="85"/>
  <c r="S172" i="85"/>
  <c r="R172" i="85"/>
  <c r="Q172" i="85"/>
  <c r="O172" i="85"/>
  <c r="M172" i="85"/>
  <c r="K172" i="85"/>
  <c r="I172" i="85"/>
  <c r="G172" i="85"/>
  <c r="E172" i="85"/>
  <c r="C172" i="85"/>
  <c r="S171" i="85"/>
  <c r="R171" i="85"/>
  <c r="Q171" i="85"/>
  <c r="O171" i="85"/>
  <c r="M171" i="85"/>
  <c r="K171" i="85"/>
  <c r="I171" i="85"/>
  <c r="G171" i="85"/>
  <c r="E171" i="85"/>
  <c r="C171" i="85"/>
  <c r="S170" i="85"/>
  <c r="R170" i="85"/>
  <c r="Q170" i="85"/>
  <c r="O170" i="85"/>
  <c r="M170" i="85"/>
  <c r="K170" i="85"/>
  <c r="I170" i="85"/>
  <c r="G170" i="85"/>
  <c r="E170" i="85"/>
  <c r="C170" i="85"/>
  <c r="S169" i="85"/>
  <c r="R169" i="85"/>
  <c r="Q169" i="85"/>
  <c r="O169" i="85"/>
  <c r="M169" i="85"/>
  <c r="K169" i="85"/>
  <c r="I169" i="85"/>
  <c r="G169" i="85"/>
  <c r="E169" i="85"/>
  <c r="C169" i="85"/>
  <c r="S168" i="85"/>
  <c r="R168" i="85"/>
  <c r="Q168" i="85"/>
  <c r="O168" i="85"/>
  <c r="M168" i="85"/>
  <c r="K168" i="85"/>
  <c r="I168" i="85"/>
  <c r="G168" i="85"/>
  <c r="E168" i="85"/>
  <c r="C168" i="85"/>
  <c r="S167" i="85"/>
  <c r="R167" i="85"/>
  <c r="Q167" i="85"/>
  <c r="O167" i="85"/>
  <c r="M167" i="85"/>
  <c r="K167" i="85"/>
  <c r="I167" i="85"/>
  <c r="G167" i="85"/>
  <c r="E167" i="85"/>
  <c r="C167" i="85"/>
  <c r="S166" i="85"/>
  <c r="R166" i="85"/>
  <c r="Q166" i="85"/>
  <c r="O166" i="85"/>
  <c r="M166" i="85"/>
  <c r="K166" i="85"/>
  <c r="I166" i="85"/>
  <c r="G166" i="85"/>
  <c r="E166" i="85"/>
  <c r="C166" i="85"/>
  <c r="S165" i="85"/>
  <c r="R165" i="85"/>
  <c r="Q165" i="85"/>
  <c r="O165" i="85"/>
  <c r="M165" i="85"/>
  <c r="K165" i="85"/>
  <c r="I165" i="85"/>
  <c r="G165" i="85"/>
  <c r="E165" i="85"/>
  <c r="C165" i="85"/>
  <c r="S164" i="85"/>
  <c r="R164" i="85"/>
  <c r="Q164" i="85"/>
  <c r="O164" i="85"/>
  <c r="M164" i="85"/>
  <c r="K164" i="85"/>
  <c r="I164" i="85"/>
  <c r="G164" i="85"/>
  <c r="E164" i="85"/>
  <c r="C164" i="85"/>
  <c r="S163" i="85"/>
  <c r="R163" i="85"/>
  <c r="Q163" i="85"/>
  <c r="O163" i="85"/>
  <c r="M163" i="85"/>
  <c r="K163" i="85"/>
  <c r="I163" i="85"/>
  <c r="G163" i="85"/>
  <c r="E163" i="85"/>
  <c r="C163" i="85"/>
  <c r="S162" i="85"/>
  <c r="R162" i="85"/>
  <c r="Q162" i="85"/>
  <c r="O162" i="85"/>
  <c r="M162" i="85"/>
  <c r="K162" i="85"/>
  <c r="I162" i="85"/>
  <c r="G162" i="85"/>
  <c r="E162" i="85"/>
  <c r="C162" i="85"/>
  <c r="S161" i="85"/>
  <c r="R161" i="85"/>
  <c r="Q161" i="85"/>
  <c r="O161" i="85"/>
  <c r="M161" i="85"/>
  <c r="K161" i="85"/>
  <c r="I161" i="85"/>
  <c r="G161" i="85"/>
  <c r="E161" i="85"/>
  <c r="C161" i="85"/>
  <c r="S160" i="85"/>
  <c r="R160" i="85"/>
  <c r="Q160" i="85"/>
  <c r="O160" i="85"/>
  <c r="M160" i="85"/>
  <c r="K160" i="85"/>
  <c r="I160" i="85"/>
  <c r="G160" i="85"/>
  <c r="E160" i="85"/>
  <c r="C160" i="85"/>
  <c r="S159" i="85"/>
  <c r="R159" i="85"/>
  <c r="Q159" i="85"/>
  <c r="O159" i="85"/>
  <c r="M159" i="85"/>
  <c r="K159" i="85"/>
  <c r="I159" i="85"/>
  <c r="G159" i="85"/>
  <c r="E159" i="85"/>
  <c r="C159" i="85"/>
  <c r="S158" i="85"/>
  <c r="R158" i="85"/>
  <c r="Q158" i="85"/>
  <c r="O158" i="85"/>
  <c r="M158" i="85"/>
  <c r="K158" i="85"/>
  <c r="I158" i="85"/>
  <c r="G158" i="85"/>
  <c r="E158" i="85"/>
  <c r="C158" i="85"/>
  <c r="S157" i="85"/>
  <c r="R157" i="85"/>
  <c r="Q157" i="85"/>
  <c r="O157" i="85"/>
  <c r="M157" i="85"/>
  <c r="K157" i="85"/>
  <c r="I157" i="85"/>
  <c r="G157" i="85"/>
  <c r="E157" i="85"/>
  <c r="C157" i="85"/>
  <c r="S156" i="85"/>
  <c r="R156" i="85"/>
  <c r="Q156" i="85"/>
  <c r="O156" i="85"/>
  <c r="M156" i="85"/>
  <c r="K156" i="85"/>
  <c r="I156" i="85"/>
  <c r="G156" i="85"/>
  <c r="E156" i="85"/>
  <c r="C156" i="85"/>
  <c r="S155" i="85"/>
  <c r="R155" i="85"/>
  <c r="Q155" i="85"/>
  <c r="O155" i="85"/>
  <c r="M155" i="85"/>
  <c r="K155" i="85"/>
  <c r="I155" i="85"/>
  <c r="G155" i="85"/>
  <c r="E155" i="85"/>
  <c r="C155" i="85"/>
  <c r="S154" i="85"/>
  <c r="R154" i="85"/>
  <c r="Q154" i="85"/>
  <c r="O154" i="85"/>
  <c r="M154" i="85"/>
  <c r="K154" i="85"/>
  <c r="I154" i="85"/>
  <c r="G154" i="85"/>
  <c r="E154" i="85"/>
  <c r="C154" i="85"/>
  <c r="S153" i="85"/>
  <c r="R153" i="85"/>
  <c r="Q153" i="85"/>
  <c r="O153" i="85"/>
  <c r="M153" i="85"/>
  <c r="K153" i="85"/>
  <c r="I153" i="85"/>
  <c r="G153" i="85"/>
  <c r="E153" i="85"/>
  <c r="C153" i="85"/>
  <c r="S152" i="85"/>
  <c r="R152" i="85"/>
  <c r="Q152" i="85"/>
  <c r="O152" i="85"/>
  <c r="M152" i="85"/>
  <c r="K152" i="85"/>
  <c r="I152" i="85"/>
  <c r="G152" i="85"/>
  <c r="E152" i="85"/>
  <c r="C152" i="85"/>
  <c r="S151" i="85"/>
  <c r="R151" i="85"/>
  <c r="Q151" i="85"/>
  <c r="O151" i="85"/>
  <c r="M151" i="85"/>
  <c r="K151" i="85"/>
  <c r="I151" i="85"/>
  <c r="G151" i="85"/>
  <c r="E151" i="85"/>
  <c r="C151" i="85"/>
  <c r="S150" i="85"/>
  <c r="R150" i="85"/>
  <c r="Q150" i="85"/>
  <c r="O150" i="85"/>
  <c r="M150" i="85"/>
  <c r="K150" i="85"/>
  <c r="I150" i="85"/>
  <c r="G150" i="85"/>
  <c r="E150" i="85"/>
  <c r="C150" i="85"/>
  <c r="S149" i="85"/>
  <c r="R149" i="85"/>
  <c r="Q149" i="85"/>
  <c r="O149" i="85"/>
  <c r="M149" i="85"/>
  <c r="K149" i="85"/>
  <c r="I149" i="85"/>
  <c r="G149" i="85"/>
  <c r="E149" i="85"/>
  <c r="C149" i="85"/>
  <c r="S148" i="85"/>
  <c r="R148" i="85"/>
  <c r="Q148" i="85"/>
  <c r="O148" i="85"/>
  <c r="M148" i="85"/>
  <c r="K148" i="85"/>
  <c r="I148" i="85"/>
  <c r="G148" i="85"/>
  <c r="E148" i="85"/>
  <c r="C148" i="85"/>
  <c r="S147" i="85"/>
  <c r="R147" i="85"/>
  <c r="Q147" i="85"/>
  <c r="O147" i="85"/>
  <c r="M147" i="85"/>
  <c r="K147" i="85"/>
  <c r="I147" i="85"/>
  <c r="G147" i="85"/>
  <c r="E147" i="85"/>
  <c r="C147" i="85"/>
  <c r="S146" i="85"/>
  <c r="R146" i="85"/>
  <c r="Q146" i="85"/>
  <c r="O146" i="85"/>
  <c r="M146" i="85"/>
  <c r="K146" i="85"/>
  <c r="I146" i="85"/>
  <c r="G146" i="85"/>
  <c r="E146" i="85"/>
  <c r="C146" i="85"/>
  <c r="S145" i="85"/>
  <c r="R145" i="85"/>
  <c r="Q145" i="85"/>
  <c r="O145" i="85"/>
  <c r="M145" i="85"/>
  <c r="K145" i="85"/>
  <c r="I145" i="85"/>
  <c r="G145" i="85"/>
  <c r="E145" i="85"/>
  <c r="C145" i="85"/>
  <c r="S144" i="85"/>
  <c r="R144" i="85"/>
  <c r="Q144" i="85"/>
  <c r="O144" i="85"/>
  <c r="M144" i="85"/>
  <c r="K144" i="85"/>
  <c r="I144" i="85"/>
  <c r="G144" i="85"/>
  <c r="E144" i="85"/>
  <c r="C144" i="85"/>
  <c r="S143" i="85"/>
  <c r="R143" i="85"/>
  <c r="Q143" i="85"/>
  <c r="O143" i="85"/>
  <c r="M143" i="85"/>
  <c r="K143" i="85"/>
  <c r="I143" i="85"/>
  <c r="G143" i="85"/>
  <c r="E143" i="85"/>
  <c r="C143" i="85"/>
  <c r="S142" i="85"/>
  <c r="R142" i="85"/>
  <c r="Q142" i="85"/>
  <c r="O142" i="85"/>
  <c r="M142" i="85"/>
  <c r="K142" i="85"/>
  <c r="I142" i="85"/>
  <c r="G142" i="85"/>
  <c r="E142" i="85"/>
  <c r="C142" i="85"/>
  <c r="S141" i="85"/>
  <c r="R141" i="85"/>
  <c r="Q141" i="85"/>
  <c r="O141" i="85"/>
  <c r="M141" i="85"/>
  <c r="K141" i="85"/>
  <c r="I141" i="85"/>
  <c r="G141" i="85"/>
  <c r="E141" i="85"/>
  <c r="C141" i="85"/>
  <c r="S140" i="85"/>
  <c r="R140" i="85"/>
  <c r="Q140" i="85"/>
  <c r="O140" i="85"/>
  <c r="M140" i="85"/>
  <c r="K140" i="85"/>
  <c r="I140" i="85"/>
  <c r="G140" i="85"/>
  <c r="E140" i="85"/>
  <c r="C140" i="85"/>
  <c r="S139" i="85"/>
  <c r="R139" i="85"/>
  <c r="Q139" i="85"/>
  <c r="O139" i="85"/>
  <c r="M139" i="85"/>
  <c r="K139" i="85"/>
  <c r="I139" i="85"/>
  <c r="G139" i="85"/>
  <c r="E139" i="85"/>
  <c r="C139" i="85"/>
  <c r="S138" i="85"/>
  <c r="R138" i="85"/>
  <c r="Q138" i="85"/>
  <c r="O138" i="85"/>
  <c r="M138" i="85"/>
  <c r="K138" i="85"/>
  <c r="I138" i="85"/>
  <c r="G138" i="85"/>
  <c r="E138" i="85"/>
  <c r="C138" i="85"/>
  <c r="S137" i="85"/>
  <c r="R137" i="85"/>
  <c r="Q137" i="85"/>
  <c r="O137" i="85"/>
  <c r="M137" i="85"/>
  <c r="K137" i="85"/>
  <c r="I137" i="85"/>
  <c r="G137" i="85"/>
  <c r="E137" i="85"/>
  <c r="C137" i="85"/>
  <c r="S136" i="85"/>
  <c r="R136" i="85"/>
  <c r="Q136" i="85"/>
  <c r="O136" i="85"/>
  <c r="M136" i="85"/>
  <c r="K136" i="85"/>
  <c r="I136" i="85"/>
  <c r="G136" i="85"/>
  <c r="E136" i="85"/>
  <c r="C136" i="85"/>
  <c r="S135" i="85"/>
  <c r="R135" i="85"/>
  <c r="Q135" i="85"/>
  <c r="O135" i="85"/>
  <c r="M135" i="85"/>
  <c r="K135" i="85"/>
  <c r="I135" i="85"/>
  <c r="G135" i="85"/>
  <c r="E135" i="85"/>
  <c r="C135" i="85"/>
  <c r="S134" i="85"/>
  <c r="R134" i="85"/>
  <c r="Q134" i="85"/>
  <c r="O134" i="85"/>
  <c r="M134" i="85"/>
  <c r="K134" i="85"/>
  <c r="I134" i="85"/>
  <c r="G134" i="85"/>
  <c r="E134" i="85"/>
  <c r="C134" i="85"/>
  <c r="S133" i="85"/>
  <c r="R133" i="85"/>
  <c r="Q133" i="85"/>
  <c r="O133" i="85"/>
  <c r="M133" i="85"/>
  <c r="K133" i="85"/>
  <c r="I133" i="85"/>
  <c r="G133" i="85"/>
  <c r="E133" i="85"/>
  <c r="C133" i="85"/>
  <c r="S132" i="85"/>
  <c r="R132" i="85"/>
  <c r="Q132" i="85"/>
  <c r="O132" i="85"/>
  <c r="M132" i="85"/>
  <c r="K132" i="85"/>
  <c r="I132" i="85"/>
  <c r="G132" i="85"/>
  <c r="E132" i="85"/>
  <c r="C132" i="85"/>
  <c r="S131" i="85"/>
  <c r="R131" i="85"/>
  <c r="Q131" i="85"/>
  <c r="O131" i="85"/>
  <c r="M131" i="85"/>
  <c r="K131" i="85"/>
  <c r="I131" i="85"/>
  <c r="G131" i="85"/>
  <c r="E131" i="85"/>
  <c r="C131" i="85"/>
  <c r="S130" i="85"/>
  <c r="R130" i="85"/>
  <c r="Q130" i="85"/>
  <c r="O130" i="85"/>
  <c r="M130" i="85"/>
  <c r="K130" i="85"/>
  <c r="I130" i="85"/>
  <c r="G130" i="85"/>
  <c r="E130" i="85"/>
  <c r="C130" i="85"/>
  <c r="S129" i="85"/>
  <c r="R129" i="85"/>
  <c r="Q129" i="85"/>
  <c r="O129" i="85"/>
  <c r="M129" i="85"/>
  <c r="K129" i="85"/>
  <c r="I129" i="85"/>
  <c r="G129" i="85"/>
  <c r="E129" i="85"/>
  <c r="C129" i="85"/>
  <c r="S128" i="85"/>
  <c r="R128" i="85"/>
  <c r="Q128" i="85"/>
  <c r="O128" i="85"/>
  <c r="M128" i="85"/>
  <c r="K128" i="85"/>
  <c r="I128" i="85"/>
  <c r="G128" i="85"/>
  <c r="E128" i="85"/>
  <c r="C128" i="85"/>
  <c r="S127" i="85"/>
  <c r="R127" i="85"/>
  <c r="Q127" i="85"/>
  <c r="O127" i="85"/>
  <c r="M127" i="85"/>
  <c r="K127" i="85"/>
  <c r="I127" i="85"/>
  <c r="G127" i="85"/>
  <c r="E127" i="85"/>
  <c r="C127" i="85"/>
  <c r="S126" i="85"/>
  <c r="R126" i="85"/>
  <c r="Q126" i="85"/>
  <c r="O126" i="85"/>
  <c r="M126" i="85"/>
  <c r="K126" i="85"/>
  <c r="I126" i="85"/>
  <c r="G126" i="85"/>
  <c r="E126" i="85"/>
  <c r="C126" i="85"/>
  <c r="S125" i="85"/>
  <c r="R125" i="85"/>
  <c r="Q125" i="85"/>
  <c r="O125" i="85"/>
  <c r="M125" i="85"/>
  <c r="K125" i="85"/>
  <c r="I125" i="85"/>
  <c r="G125" i="85"/>
  <c r="E125" i="85"/>
  <c r="C125" i="85"/>
  <c r="S124" i="85"/>
  <c r="R124" i="85"/>
  <c r="Q124" i="85"/>
  <c r="O124" i="85"/>
  <c r="M124" i="85"/>
  <c r="K124" i="85"/>
  <c r="I124" i="85"/>
  <c r="G124" i="85"/>
  <c r="E124" i="85"/>
  <c r="C124" i="85"/>
  <c r="S123" i="85"/>
  <c r="R123" i="85"/>
  <c r="Q123" i="85"/>
  <c r="O123" i="85"/>
  <c r="M123" i="85"/>
  <c r="K123" i="85"/>
  <c r="I123" i="85"/>
  <c r="G123" i="85"/>
  <c r="E123" i="85"/>
  <c r="C123" i="85"/>
  <c r="S122" i="85"/>
  <c r="R122" i="85"/>
  <c r="Q122" i="85"/>
  <c r="O122" i="85"/>
  <c r="M122" i="85"/>
  <c r="K122" i="85"/>
  <c r="I122" i="85"/>
  <c r="G122" i="85"/>
  <c r="E122" i="85"/>
  <c r="C122" i="85"/>
  <c r="S121" i="85"/>
  <c r="R121" i="85"/>
  <c r="Q121" i="85"/>
  <c r="O121" i="85"/>
  <c r="M121" i="85"/>
  <c r="K121" i="85"/>
  <c r="I121" i="85"/>
  <c r="G121" i="85"/>
  <c r="E121" i="85"/>
  <c r="C121" i="85"/>
  <c r="S120" i="85"/>
  <c r="R120" i="85"/>
  <c r="Q120" i="85"/>
  <c r="O120" i="85"/>
  <c r="M120" i="85"/>
  <c r="K120" i="85"/>
  <c r="I120" i="85"/>
  <c r="G120" i="85"/>
  <c r="E120" i="85"/>
  <c r="C120" i="85"/>
  <c r="S119" i="85"/>
  <c r="R119" i="85"/>
  <c r="Q119" i="85"/>
  <c r="O119" i="85"/>
  <c r="M119" i="85"/>
  <c r="K119" i="85"/>
  <c r="I119" i="85"/>
  <c r="G119" i="85"/>
  <c r="E119" i="85"/>
  <c r="C119" i="85"/>
  <c r="S118" i="85"/>
  <c r="R118" i="85"/>
  <c r="Q118" i="85"/>
  <c r="O118" i="85"/>
  <c r="M118" i="85"/>
  <c r="K118" i="85"/>
  <c r="I118" i="85"/>
  <c r="G118" i="85"/>
  <c r="E118" i="85"/>
  <c r="C118" i="85"/>
  <c r="S117" i="85"/>
  <c r="R117" i="85"/>
  <c r="Q117" i="85"/>
  <c r="O117" i="85"/>
  <c r="M117" i="85"/>
  <c r="K117" i="85"/>
  <c r="I117" i="85"/>
  <c r="G117" i="85"/>
  <c r="E117" i="85"/>
  <c r="C117" i="85"/>
  <c r="S116" i="85"/>
  <c r="R116" i="85"/>
  <c r="Q116" i="85"/>
  <c r="O116" i="85"/>
  <c r="M116" i="85"/>
  <c r="K116" i="85"/>
  <c r="I116" i="85"/>
  <c r="G116" i="85"/>
  <c r="E116" i="85"/>
  <c r="C116" i="85"/>
  <c r="S115" i="85"/>
  <c r="R115" i="85"/>
  <c r="Q115" i="85"/>
  <c r="O115" i="85"/>
  <c r="M115" i="85"/>
  <c r="K115" i="85"/>
  <c r="I115" i="85"/>
  <c r="G115" i="85"/>
  <c r="E115" i="85"/>
  <c r="C115" i="85"/>
  <c r="S114" i="85"/>
  <c r="R114" i="85"/>
  <c r="Q114" i="85"/>
  <c r="O114" i="85"/>
  <c r="M114" i="85"/>
  <c r="K114" i="85"/>
  <c r="I114" i="85"/>
  <c r="G114" i="85"/>
  <c r="E114" i="85"/>
  <c r="C114" i="85"/>
  <c r="S113" i="85"/>
  <c r="R113" i="85"/>
  <c r="Q113" i="85"/>
  <c r="O113" i="85"/>
  <c r="M113" i="85"/>
  <c r="K113" i="85"/>
  <c r="I113" i="85"/>
  <c r="G113" i="85"/>
  <c r="E113" i="85"/>
  <c r="C113" i="85"/>
  <c r="S112" i="85"/>
  <c r="R112" i="85"/>
  <c r="Q112" i="85"/>
  <c r="O112" i="85"/>
  <c r="M112" i="85"/>
  <c r="K112" i="85"/>
  <c r="I112" i="85"/>
  <c r="G112" i="85"/>
  <c r="E112" i="85"/>
  <c r="C112" i="85"/>
  <c r="S111" i="85"/>
  <c r="R111" i="85"/>
  <c r="Q111" i="85"/>
  <c r="O111" i="85"/>
  <c r="M111" i="85"/>
  <c r="K111" i="85"/>
  <c r="I111" i="85"/>
  <c r="G111" i="85"/>
  <c r="E111" i="85"/>
  <c r="C111" i="85"/>
  <c r="S110" i="85"/>
  <c r="R110" i="85"/>
  <c r="Q110" i="85"/>
  <c r="O110" i="85"/>
  <c r="M110" i="85"/>
  <c r="K110" i="85"/>
  <c r="I110" i="85"/>
  <c r="G110" i="85"/>
  <c r="E110" i="85"/>
  <c r="C110" i="85"/>
  <c r="S109" i="85"/>
  <c r="R109" i="85"/>
  <c r="Q109" i="85"/>
  <c r="O109" i="85"/>
  <c r="M109" i="85"/>
  <c r="K109" i="85"/>
  <c r="I109" i="85"/>
  <c r="G109" i="85"/>
  <c r="E109" i="85"/>
  <c r="C109" i="85"/>
  <c r="S108" i="85"/>
  <c r="R108" i="85"/>
  <c r="Q108" i="85"/>
  <c r="O108" i="85"/>
  <c r="M108" i="85"/>
  <c r="K108" i="85"/>
  <c r="I108" i="85"/>
  <c r="G108" i="85"/>
  <c r="E108" i="85"/>
  <c r="C108" i="85"/>
  <c r="S107" i="85"/>
  <c r="R107" i="85"/>
  <c r="Q107" i="85"/>
  <c r="O107" i="85"/>
  <c r="M107" i="85"/>
  <c r="K107" i="85"/>
  <c r="I107" i="85"/>
  <c r="G107" i="85"/>
  <c r="E107" i="85"/>
  <c r="C107" i="85"/>
  <c r="S106" i="85"/>
  <c r="R106" i="85"/>
  <c r="Q106" i="85"/>
  <c r="O106" i="85"/>
  <c r="M106" i="85"/>
  <c r="K106" i="85"/>
  <c r="I106" i="85"/>
  <c r="G106" i="85"/>
  <c r="E106" i="85"/>
  <c r="C106" i="85"/>
  <c r="S105" i="85"/>
  <c r="R105" i="85"/>
  <c r="Q105" i="85"/>
  <c r="O105" i="85"/>
  <c r="M105" i="85"/>
  <c r="K105" i="85"/>
  <c r="I105" i="85"/>
  <c r="G105" i="85"/>
  <c r="E105" i="85"/>
  <c r="C105" i="85"/>
  <c r="S104" i="85"/>
  <c r="R104" i="85"/>
  <c r="Q104" i="85"/>
  <c r="O104" i="85"/>
  <c r="M104" i="85"/>
  <c r="K104" i="85"/>
  <c r="I104" i="85"/>
  <c r="G104" i="85"/>
  <c r="E104" i="85"/>
  <c r="C104" i="85"/>
  <c r="S103" i="85"/>
  <c r="R103" i="85"/>
  <c r="Q103" i="85"/>
  <c r="O103" i="85"/>
  <c r="M103" i="85"/>
  <c r="K103" i="85"/>
  <c r="I103" i="85"/>
  <c r="G103" i="85"/>
  <c r="E103" i="85"/>
  <c r="C103" i="85"/>
  <c r="S102" i="85"/>
  <c r="R102" i="85"/>
  <c r="Q102" i="85"/>
  <c r="O102" i="85"/>
  <c r="M102" i="85"/>
  <c r="K102" i="85"/>
  <c r="I102" i="85"/>
  <c r="G102" i="85"/>
  <c r="E102" i="85"/>
  <c r="C102" i="85"/>
  <c r="S101" i="85"/>
  <c r="R101" i="85"/>
  <c r="Q101" i="85"/>
  <c r="O101" i="85"/>
  <c r="M101" i="85"/>
  <c r="K101" i="85"/>
  <c r="I101" i="85"/>
  <c r="G101" i="85"/>
  <c r="E101" i="85"/>
  <c r="C101" i="85"/>
  <c r="S100" i="85"/>
  <c r="R100" i="85"/>
  <c r="Q100" i="85"/>
  <c r="O100" i="85"/>
  <c r="M100" i="85"/>
  <c r="K100" i="85"/>
  <c r="I100" i="85"/>
  <c r="G100" i="85"/>
  <c r="E100" i="85"/>
  <c r="C100" i="85"/>
  <c r="S99" i="85"/>
  <c r="R99" i="85"/>
  <c r="Q99" i="85"/>
  <c r="O99" i="85"/>
  <c r="M99" i="85"/>
  <c r="K99" i="85"/>
  <c r="I99" i="85"/>
  <c r="G99" i="85"/>
  <c r="E99" i="85"/>
  <c r="C99" i="85"/>
  <c r="S98" i="85"/>
  <c r="R98" i="85"/>
  <c r="Q98" i="85"/>
  <c r="O98" i="85"/>
  <c r="M98" i="85"/>
  <c r="K98" i="85"/>
  <c r="I98" i="85"/>
  <c r="G98" i="85"/>
  <c r="E98" i="85"/>
  <c r="C98" i="85"/>
  <c r="S97" i="85"/>
  <c r="R97" i="85"/>
  <c r="Q97" i="85"/>
  <c r="O97" i="85"/>
  <c r="M97" i="85"/>
  <c r="K97" i="85"/>
  <c r="I97" i="85"/>
  <c r="G97" i="85"/>
  <c r="E97" i="85"/>
  <c r="C97" i="85"/>
  <c r="S96" i="85"/>
  <c r="R96" i="85"/>
  <c r="Q96" i="85"/>
  <c r="O96" i="85"/>
  <c r="M96" i="85"/>
  <c r="K96" i="85"/>
  <c r="I96" i="85"/>
  <c r="G96" i="85"/>
  <c r="E96" i="85"/>
  <c r="C96" i="85"/>
  <c r="S95" i="85"/>
  <c r="R95" i="85"/>
  <c r="Q95" i="85"/>
  <c r="O95" i="85"/>
  <c r="M95" i="85"/>
  <c r="K95" i="85"/>
  <c r="I95" i="85"/>
  <c r="G95" i="85"/>
  <c r="E95" i="85"/>
  <c r="C95" i="85"/>
  <c r="S94" i="85"/>
  <c r="R94" i="85"/>
  <c r="Q94" i="85"/>
  <c r="O94" i="85"/>
  <c r="M94" i="85"/>
  <c r="K94" i="85"/>
  <c r="I94" i="85"/>
  <c r="G94" i="85"/>
  <c r="E94" i="85"/>
  <c r="C94" i="85"/>
  <c r="S93" i="85"/>
  <c r="R93" i="85"/>
  <c r="Q93" i="85"/>
  <c r="O93" i="85"/>
  <c r="M93" i="85"/>
  <c r="K93" i="85"/>
  <c r="I93" i="85"/>
  <c r="G93" i="85"/>
  <c r="E93" i="85"/>
  <c r="C93" i="85"/>
  <c r="S92" i="85"/>
  <c r="R92" i="85"/>
  <c r="Q92" i="85"/>
  <c r="O92" i="85"/>
  <c r="M92" i="85"/>
  <c r="K92" i="85"/>
  <c r="I92" i="85"/>
  <c r="G92" i="85"/>
  <c r="E92" i="85"/>
  <c r="C92" i="85"/>
  <c r="S91" i="85"/>
  <c r="R91" i="85"/>
  <c r="Q91" i="85"/>
  <c r="O91" i="85"/>
  <c r="M91" i="85"/>
  <c r="K91" i="85"/>
  <c r="I91" i="85"/>
  <c r="G91" i="85"/>
  <c r="E91" i="85"/>
  <c r="C91" i="85"/>
  <c r="S90" i="85"/>
  <c r="R90" i="85"/>
  <c r="Q90" i="85"/>
  <c r="O90" i="85"/>
  <c r="M90" i="85"/>
  <c r="K90" i="85"/>
  <c r="I90" i="85"/>
  <c r="G90" i="85"/>
  <c r="E90" i="85"/>
  <c r="C90" i="85"/>
  <c r="S89" i="85"/>
  <c r="R89" i="85"/>
  <c r="Q89" i="85"/>
  <c r="O89" i="85"/>
  <c r="M89" i="85"/>
  <c r="K89" i="85"/>
  <c r="I89" i="85"/>
  <c r="G89" i="85"/>
  <c r="E89" i="85"/>
  <c r="C89" i="85"/>
  <c r="S88" i="85"/>
  <c r="R88" i="85"/>
  <c r="Q88" i="85"/>
  <c r="O88" i="85"/>
  <c r="M88" i="85"/>
  <c r="K88" i="85"/>
  <c r="I88" i="85"/>
  <c r="G88" i="85"/>
  <c r="E88" i="85"/>
  <c r="C88" i="85"/>
  <c r="S87" i="85"/>
  <c r="R87" i="85"/>
  <c r="Q87" i="85"/>
  <c r="O87" i="85"/>
  <c r="M87" i="85"/>
  <c r="K87" i="85"/>
  <c r="I87" i="85"/>
  <c r="G87" i="85"/>
  <c r="E87" i="85"/>
  <c r="C87" i="85"/>
  <c r="S86" i="85"/>
  <c r="R86" i="85"/>
  <c r="Q86" i="85"/>
  <c r="O86" i="85"/>
  <c r="M86" i="85"/>
  <c r="K86" i="85"/>
  <c r="I86" i="85"/>
  <c r="G86" i="85"/>
  <c r="E86" i="85"/>
  <c r="C86" i="85"/>
  <c r="S85" i="85"/>
  <c r="R85" i="85"/>
  <c r="Q85" i="85"/>
  <c r="O85" i="85"/>
  <c r="M85" i="85"/>
  <c r="K85" i="85"/>
  <c r="I85" i="85"/>
  <c r="G85" i="85"/>
  <c r="E85" i="85"/>
  <c r="C85" i="85"/>
  <c r="S84" i="85"/>
  <c r="R84" i="85"/>
  <c r="Q84" i="85"/>
  <c r="O84" i="85"/>
  <c r="M84" i="85"/>
  <c r="K84" i="85"/>
  <c r="I84" i="85"/>
  <c r="G84" i="85"/>
  <c r="E84" i="85"/>
  <c r="C84" i="85"/>
  <c r="S83" i="85"/>
  <c r="R83" i="85"/>
  <c r="Q83" i="85"/>
  <c r="O83" i="85"/>
  <c r="M83" i="85"/>
  <c r="K83" i="85"/>
  <c r="I83" i="85"/>
  <c r="G83" i="85"/>
  <c r="E83" i="85"/>
  <c r="C83" i="85"/>
  <c r="S82" i="85"/>
  <c r="R82" i="85"/>
  <c r="Q82" i="85"/>
  <c r="O82" i="85"/>
  <c r="M82" i="85"/>
  <c r="K82" i="85"/>
  <c r="I82" i="85"/>
  <c r="G82" i="85"/>
  <c r="E82" i="85"/>
  <c r="C82" i="85"/>
  <c r="S81" i="85"/>
  <c r="R81" i="85"/>
  <c r="Q81" i="85"/>
  <c r="O81" i="85"/>
  <c r="M81" i="85"/>
  <c r="K81" i="85"/>
  <c r="I81" i="85"/>
  <c r="G81" i="85"/>
  <c r="E81" i="85"/>
  <c r="C81" i="85"/>
  <c r="S80" i="85"/>
  <c r="R80" i="85"/>
  <c r="Q80" i="85"/>
  <c r="O80" i="85"/>
  <c r="M80" i="85"/>
  <c r="K80" i="85"/>
  <c r="I80" i="85"/>
  <c r="G80" i="85"/>
  <c r="E80" i="85"/>
  <c r="C80" i="85"/>
  <c r="S79" i="85"/>
  <c r="R79" i="85"/>
  <c r="Q79" i="85"/>
  <c r="O79" i="85"/>
  <c r="M79" i="85"/>
  <c r="K79" i="85"/>
  <c r="I79" i="85"/>
  <c r="G79" i="85"/>
  <c r="E79" i="85"/>
  <c r="C79" i="85"/>
  <c r="S78" i="85"/>
  <c r="R78" i="85"/>
  <c r="Q78" i="85"/>
  <c r="O78" i="85"/>
  <c r="M78" i="85"/>
  <c r="K78" i="85"/>
  <c r="I78" i="85"/>
  <c r="G78" i="85"/>
  <c r="E78" i="85"/>
  <c r="C78" i="85"/>
  <c r="S77" i="85"/>
  <c r="R77" i="85"/>
  <c r="Q77" i="85"/>
  <c r="O77" i="85"/>
  <c r="M77" i="85"/>
  <c r="K77" i="85"/>
  <c r="I77" i="85"/>
  <c r="G77" i="85"/>
  <c r="E77" i="85"/>
  <c r="C77" i="85"/>
  <c r="S76" i="85"/>
  <c r="R76" i="85"/>
  <c r="Q76" i="85"/>
  <c r="O76" i="85"/>
  <c r="M76" i="85"/>
  <c r="K76" i="85"/>
  <c r="I76" i="85"/>
  <c r="G76" i="85"/>
  <c r="E76" i="85"/>
  <c r="C76" i="85"/>
  <c r="S75" i="85"/>
  <c r="R75" i="85"/>
  <c r="Q75" i="85"/>
  <c r="O75" i="85"/>
  <c r="M75" i="85"/>
  <c r="K75" i="85"/>
  <c r="I75" i="85"/>
  <c r="G75" i="85"/>
  <c r="E75" i="85"/>
  <c r="C75" i="85"/>
  <c r="S74" i="85"/>
  <c r="R74" i="85"/>
  <c r="Q74" i="85"/>
  <c r="O74" i="85"/>
  <c r="M74" i="85"/>
  <c r="K74" i="85"/>
  <c r="I74" i="85"/>
  <c r="G74" i="85"/>
  <c r="E74" i="85"/>
  <c r="C74" i="85"/>
  <c r="S73" i="85"/>
  <c r="R73" i="85"/>
  <c r="Q73" i="85"/>
  <c r="O73" i="85"/>
  <c r="M73" i="85"/>
  <c r="K73" i="85"/>
  <c r="I73" i="85"/>
  <c r="G73" i="85"/>
  <c r="E73" i="85"/>
  <c r="C73" i="85"/>
  <c r="S72" i="85"/>
  <c r="R72" i="85"/>
  <c r="Q72" i="85"/>
  <c r="O72" i="85"/>
  <c r="M72" i="85"/>
  <c r="K72" i="85"/>
  <c r="I72" i="85"/>
  <c r="G72" i="85"/>
  <c r="E72" i="85"/>
  <c r="C72" i="85"/>
  <c r="S71" i="85"/>
  <c r="R71" i="85"/>
  <c r="Q71" i="85"/>
  <c r="O71" i="85"/>
  <c r="M71" i="85"/>
  <c r="K71" i="85"/>
  <c r="I71" i="85"/>
  <c r="G71" i="85"/>
  <c r="E71" i="85"/>
  <c r="C71" i="85"/>
  <c r="S70" i="85"/>
  <c r="R70" i="85"/>
  <c r="Q70" i="85"/>
  <c r="O70" i="85"/>
  <c r="M70" i="85"/>
  <c r="K70" i="85"/>
  <c r="I70" i="85"/>
  <c r="G70" i="85"/>
  <c r="E70" i="85"/>
  <c r="C70" i="85"/>
  <c r="S69" i="85"/>
  <c r="R69" i="85"/>
  <c r="Q69" i="85"/>
  <c r="O69" i="85"/>
  <c r="M69" i="85"/>
  <c r="K69" i="85"/>
  <c r="I69" i="85"/>
  <c r="G69" i="85"/>
  <c r="E69" i="85"/>
  <c r="C69" i="85"/>
  <c r="S68" i="85"/>
  <c r="R68" i="85"/>
  <c r="Q68" i="85"/>
  <c r="O68" i="85"/>
  <c r="M68" i="85"/>
  <c r="K68" i="85"/>
  <c r="I68" i="85"/>
  <c r="G68" i="85"/>
  <c r="E68" i="85"/>
  <c r="C68" i="85"/>
  <c r="S67" i="85"/>
  <c r="R67" i="85"/>
  <c r="Q67" i="85"/>
  <c r="O67" i="85"/>
  <c r="M67" i="85"/>
  <c r="K67" i="85"/>
  <c r="I67" i="85"/>
  <c r="G67" i="85"/>
  <c r="E67" i="85"/>
  <c r="C67" i="85"/>
  <c r="S66" i="85"/>
  <c r="R66" i="85"/>
  <c r="Q66" i="85"/>
  <c r="O66" i="85"/>
  <c r="M66" i="85"/>
  <c r="K66" i="85"/>
  <c r="I66" i="85"/>
  <c r="G66" i="85"/>
  <c r="E66" i="85"/>
  <c r="C66" i="85"/>
  <c r="S65" i="85"/>
  <c r="R65" i="85"/>
  <c r="Q65" i="85"/>
  <c r="O65" i="85"/>
  <c r="M65" i="85"/>
  <c r="K65" i="85"/>
  <c r="I65" i="85"/>
  <c r="G65" i="85"/>
  <c r="E65" i="85"/>
  <c r="C65" i="85"/>
  <c r="S64" i="85"/>
  <c r="R64" i="85"/>
  <c r="Q64" i="85"/>
  <c r="O64" i="85"/>
  <c r="M64" i="85"/>
  <c r="K64" i="85"/>
  <c r="I64" i="85"/>
  <c r="G64" i="85"/>
  <c r="E64" i="85"/>
  <c r="C64" i="85"/>
  <c r="S63" i="85"/>
  <c r="R63" i="85"/>
  <c r="Q63" i="85"/>
  <c r="O63" i="85"/>
  <c r="M63" i="85"/>
  <c r="K63" i="85"/>
  <c r="I63" i="85"/>
  <c r="G63" i="85"/>
  <c r="E63" i="85"/>
  <c r="C63" i="85"/>
  <c r="S62" i="85"/>
  <c r="R62" i="85"/>
  <c r="Q62" i="85"/>
  <c r="O62" i="85"/>
  <c r="M62" i="85"/>
  <c r="K62" i="85"/>
  <c r="I62" i="85"/>
  <c r="G62" i="85"/>
  <c r="E62" i="85"/>
  <c r="C62" i="85"/>
  <c r="S61" i="85"/>
  <c r="R61" i="85"/>
  <c r="Q61" i="85"/>
  <c r="O61" i="85"/>
  <c r="M61" i="85"/>
  <c r="K61" i="85"/>
  <c r="I61" i="85"/>
  <c r="G61" i="85"/>
  <c r="E61" i="85"/>
  <c r="C61" i="85"/>
  <c r="S60" i="85"/>
  <c r="R60" i="85"/>
  <c r="Q60" i="85"/>
  <c r="O60" i="85"/>
  <c r="M60" i="85"/>
  <c r="K60" i="85"/>
  <c r="I60" i="85"/>
  <c r="G60" i="85"/>
  <c r="E60" i="85"/>
  <c r="C60" i="85"/>
  <c r="S59" i="85"/>
  <c r="R59" i="85"/>
  <c r="Q59" i="85"/>
  <c r="O59" i="85"/>
  <c r="M59" i="85"/>
  <c r="K59" i="85"/>
  <c r="I59" i="85"/>
  <c r="G59" i="85"/>
  <c r="E59" i="85"/>
  <c r="C59" i="85"/>
  <c r="S58" i="85"/>
  <c r="R58" i="85"/>
  <c r="Q58" i="85"/>
  <c r="O58" i="85"/>
  <c r="M58" i="85"/>
  <c r="K58" i="85"/>
  <c r="I58" i="85"/>
  <c r="G58" i="85"/>
  <c r="E58" i="85"/>
  <c r="C58" i="85"/>
  <c r="S57" i="85"/>
  <c r="R57" i="85"/>
  <c r="Q57" i="85"/>
  <c r="O57" i="85"/>
  <c r="M57" i="85"/>
  <c r="K57" i="85"/>
  <c r="I57" i="85"/>
  <c r="G57" i="85"/>
  <c r="E57" i="85"/>
  <c r="C57" i="85"/>
  <c r="S56" i="85"/>
  <c r="R56" i="85"/>
  <c r="Q56" i="85"/>
  <c r="O56" i="85"/>
  <c r="M56" i="85"/>
  <c r="K56" i="85"/>
  <c r="I56" i="85"/>
  <c r="G56" i="85"/>
  <c r="E56" i="85"/>
  <c r="C56" i="85"/>
  <c r="S55" i="85"/>
  <c r="R55" i="85"/>
  <c r="Q55" i="85"/>
  <c r="O55" i="85"/>
  <c r="M55" i="85"/>
  <c r="K55" i="85"/>
  <c r="I55" i="85"/>
  <c r="G55" i="85"/>
  <c r="E55" i="85"/>
  <c r="C55" i="85"/>
  <c r="S54" i="85"/>
  <c r="R54" i="85"/>
  <c r="Q54" i="85"/>
  <c r="O54" i="85"/>
  <c r="M54" i="85"/>
  <c r="K54" i="85"/>
  <c r="I54" i="85"/>
  <c r="G54" i="85"/>
  <c r="E54" i="85"/>
  <c r="C54" i="85"/>
  <c r="S53" i="85"/>
  <c r="R53" i="85"/>
  <c r="Q53" i="85"/>
  <c r="O53" i="85"/>
  <c r="M53" i="85"/>
  <c r="K53" i="85"/>
  <c r="I53" i="85"/>
  <c r="G53" i="85"/>
  <c r="E53" i="85"/>
  <c r="C53" i="85"/>
  <c r="S52" i="85"/>
  <c r="R52" i="85"/>
  <c r="Q52" i="85"/>
  <c r="O52" i="85"/>
  <c r="M52" i="85"/>
  <c r="K52" i="85"/>
  <c r="I52" i="85"/>
  <c r="G52" i="85"/>
  <c r="E52" i="85"/>
  <c r="C52" i="85"/>
  <c r="S51" i="85"/>
  <c r="R51" i="85"/>
  <c r="Q51" i="85"/>
  <c r="O51" i="85"/>
  <c r="M51" i="85"/>
  <c r="K51" i="85"/>
  <c r="I51" i="85"/>
  <c r="G51" i="85"/>
  <c r="E51" i="85"/>
  <c r="C51" i="85"/>
  <c r="S50" i="85"/>
  <c r="R50" i="85"/>
  <c r="Q50" i="85"/>
  <c r="O50" i="85"/>
  <c r="M50" i="85"/>
  <c r="K50" i="85"/>
  <c r="I50" i="85"/>
  <c r="G50" i="85"/>
  <c r="E50" i="85"/>
  <c r="C50" i="85"/>
  <c r="S49" i="85"/>
  <c r="R49" i="85"/>
  <c r="Q49" i="85"/>
  <c r="O49" i="85"/>
  <c r="M49" i="85"/>
  <c r="K49" i="85"/>
  <c r="I49" i="85"/>
  <c r="G49" i="85"/>
  <c r="E49" i="85"/>
  <c r="C49" i="85"/>
  <c r="S48" i="85"/>
  <c r="R48" i="85"/>
  <c r="Q48" i="85"/>
  <c r="O48" i="85"/>
  <c r="M48" i="85"/>
  <c r="K48" i="85"/>
  <c r="I48" i="85"/>
  <c r="G48" i="85"/>
  <c r="E48" i="85"/>
  <c r="C48" i="85"/>
  <c r="S47" i="85"/>
  <c r="R47" i="85"/>
  <c r="Q47" i="85"/>
  <c r="O47" i="85"/>
  <c r="M47" i="85"/>
  <c r="K47" i="85"/>
  <c r="I47" i="85"/>
  <c r="G47" i="85"/>
  <c r="E47" i="85"/>
  <c r="C47" i="85"/>
  <c r="S46" i="85"/>
  <c r="R46" i="85"/>
  <c r="Q46" i="85"/>
  <c r="O46" i="85"/>
  <c r="M46" i="85"/>
  <c r="K46" i="85"/>
  <c r="I46" i="85"/>
  <c r="G46" i="85"/>
  <c r="E46" i="85"/>
  <c r="C46" i="85"/>
  <c r="S45" i="85"/>
  <c r="R45" i="85"/>
  <c r="Q45" i="85"/>
  <c r="O45" i="85"/>
  <c r="M45" i="85"/>
  <c r="K45" i="85"/>
  <c r="I45" i="85"/>
  <c r="G45" i="85"/>
  <c r="E45" i="85"/>
  <c r="C45" i="85"/>
  <c r="S44" i="85"/>
  <c r="R44" i="85"/>
  <c r="Q44" i="85"/>
  <c r="O44" i="85"/>
  <c r="M44" i="85"/>
  <c r="K44" i="85"/>
  <c r="I44" i="85"/>
  <c r="G44" i="85"/>
  <c r="E44" i="85"/>
  <c r="C44" i="85"/>
  <c r="S43" i="85"/>
  <c r="R43" i="85"/>
  <c r="Q43" i="85"/>
  <c r="O43" i="85"/>
  <c r="M43" i="85"/>
  <c r="K43" i="85"/>
  <c r="I43" i="85"/>
  <c r="G43" i="85"/>
  <c r="E43" i="85"/>
  <c r="C43" i="85"/>
  <c r="S42" i="85"/>
  <c r="R42" i="85"/>
  <c r="Q42" i="85"/>
  <c r="O42" i="85"/>
  <c r="M42" i="85"/>
  <c r="K42" i="85"/>
  <c r="I42" i="85"/>
  <c r="G42" i="85"/>
  <c r="E42" i="85"/>
  <c r="C42" i="85"/>
  <c r="S41" i="85"/>
  <c r="R41" i="85"/>
  <c r="Q41" i="85"/>
  <c r="O41" i="85"/>
  <c r="M41" i="85"/>
  <c r="K41" i="85"/>
  <c r="I41" i="85"/>
  <c r="G41" i="85"/>
  <c r="E41" i="85"/>
  <c r="C41" i="85"/>
  <c r="S40" i="85"/>
  <c r="R40" i="85"/>
  <c r="Q40" i="85"/>
  <c r="O40" i="85"/>
  <c r="M40" i="85"/>
  <c r="K40" i="85"/>
  <c r="I40" i="85"/>
  <c r="G40" i="85"/>
  <c r="E40" i="85"/>
  <c r="C40" i="85"/>
  <c r="S39" i="85"/>
  <c r="R39" i="85"/>
  <c r="Q39" i="85"/>
  <c r="O39" i="85"/>
  <c r="M39" i="85"/>
  <c r="K39" i="85"/>
  <c r="I39" i="85"/>
  <c r="G39" i="85"/>
  <c r="E39" i="85"/>
  <c r="C39" i="85"/>
  <c r="S38" i="85"/>
  <c r="R38" i="85"/>
  <c r="Q38" i="85"/>
  <c r="O38" i="85"/>
  <c r="M38" i="85"/>
  <c r="K38" i="85"/>
  <c r="I38" i="85"/>
  <c r="G38" i="85"/>
  <c r="E38" i="85"/>
  <c r="C38" i="85"/>
  <c r="S37" i="85"/>
  <c r="R37" i="85"/>
  <c r="Q37" i="85"/>
  <c r="O37" i="85"/>
  <c r="M37" i="85"/>
  <c r="K37" i="85"/>
  <c r="I37" i="85"/>
  <c r="G37" i="85"/>
  <c r="E37" i="85"/>
  <c r="C37" i="85"/>
  <c r="S36" i="85"/>
  <c r="R36" i="85"/>
  <c r="Q36" i="85"/>
  <c r="O36" i="85"/>
  <c r="M36" i="85"/>
  <c r="K36" i="85"/>
  <c r="I36" i="85"/>
  <c r="G36" i="85"/>
  <c r="E36" i="85"/>
  <c r="C36" i="85"/>
  <c r="S35" i="85"/>
  <c r="R35" i="85"/>
  <c r="Q35" i="85"/>
  <c r="O35" i="85"/>
  <c r="M35" i="85"/>
  <c r="K35" i="85"/>
  <c r="I35" i="85"/>
  <c r="G35" i="85"/>
  <c r="E35" i="85"/>
  <c r="C35" i="85"/>
  <c r="S34" i="85"/>
  <c r="R34" i="85"/>
  <c r="Q34" i="85"/>
  <c r="O34" i="85"/>
  <c r="M34" i="85"/>
  <c r="K34" i="85"/>
  <c r="I34" i="85"/>
  <c r="G34" i="85"/>
  <c r="E34" i="85"/>
  <c r="C34" i="85"/>
  <c r="S33" i="85"/>
  <c r="R33" i="85"/>
  <c r="Q33" i="85"/>
  <c r="O33" i="85"/>
  <c r="M33" i="85"/>
  <c r="K33" i="85"/>
  <c r="I33" i="85"/>
  <c r="G33" i="85"/>
  <c r="E33" i="85"/>
  <c r="C33" i="85"/>
  <c r="S32" i="85"/>
  <c r="R32" i="85"/>
  <c r="Q32" i="85"/>
  <c r="O32" i="85"/>
  <c r="M32" i="85"/>
  <c r="K32" i="85"/>
  <c r="I32" i="85"/>
  <c r="G32" i="85"/>
  <c r="E32" i="85"/>
  <c r="C32" i="85"/>
  <c r="S31" i="85"/>
  <c r="R31" i="85"/>
  <c r="Q31" i="85"/>
  <c r="O31" i="85"/>
  <c r="M31" i="85"/>
  <c r="K31" i="85"/>
  <c r="I31" i="85"/>
  <c r="G31" i="85"/>
  <c r="E31" i="85"/>
  <c r="C31" i="85"/>
  <c r="S30" i="85"/>
  <c r="R30" i="85"/>
  <c r="Q30" i="85"/>
  <c r="O30" i="85"/>
  <c r="M30" i="85"/>
  <c r="K30" i="85"/>
  <c r="I30" i="85"/>
  <c r="G30" i="85"/>
  <c r="E30" i="85"/>
  <c r="C30" i="85"/>
  <c r="S29" i="85"/>
  <c r="R29" i="85"/>
  <c r="Q29" i="85"/>
  <c r="O29" i="85"/>
  <c r="M29" i="85"/>
  <c r="K29" i="85"/>
  <c r="I29" i="85"/>
  <c r="G29" i="85"/>
  <c r="E29" i="85"/>
  <c r="C29" i="85"/>
  <c r="S28" i="85"/>
  <c r="R28" i="85"/>
  <c r="Q28" i="85"/>
  <c r="O28" i="85"/>
  <c r="M28" i="85"/>
  <c r="K28" i="85"/>
  <c r="I28" i="85"/>
  <c r="G28" i="85"/>
  <c r="E28" i="85"/>
  <c r="C28" i="85"/>
  <c r="S27" i="85"/>
  <c r="R27" i="85"/>
  <c r="Q27" i="85"/>
  <c r="O27" i="85"/>
  <c r="M27" i="85"/>
  <c r="K27" i="85"/>
  <c r="I27" i="85"/>
  <c r="G27" i="85"/>
  <c r="E27" i="85"/>
  <c r="C27" i="85"/>
  <c r="S26" i="85"/>
  <c r="R26" i="85"/>
  <c r="Q26" i="85"/>
  <c r="O26" i="85"/>
  <c r="M26" i="85"/>
  <c r="K26" i="85"/>
  <c r="I26" i="85"/>
  <c r="G26" i="85"/>
  <c r="E26" i="85"/>
  <c r="C26" i="85"/>
  <c r="S25" i="85"/>
  <c r="R25" i="85"/>
  <c r="Q25" i="85"/>
  <c r="O25" i="85"/>
  <c r="M25" i="85"/>
  <c r="K25" i="85"/>
  <c r="I25" i="85"/>
  <c r="G25" i="85"/>
  <c r="E25" i="85"/>
  <c r="C25" i="85"/>
  <c r="S24" i="85"/>
  <c r="P23" i="85"/>
  <c r="N23" i="85"/>
  <c r="L23" i="85"/>
  <c r="J23" i="85"/>
  <c r="H23" i="85"/>
  <c r="F23" i="85"/>
  <c r="D23" i="85"/>
  <c r="S22" i="85"/>
  <c r="R22" i="85"/>
  <c r="B22" i="85"/>
  <c r="S12" i="85"/>
  <c r="R12" i="85"/>
  <c r="Q12" i="85"/>
  <c r="P12" i="85"/>
  <c r="O12" i="85"/>
  <c r="N12" i="85"/>
  <c r="M12" i="85"/>
  <c r="L12" i="85"/>
  <c r="K12" i="85"/>
  <c r="J12" i="85"/>
  <c r="I12" i="85"/>
  <c r="H12" i="85"/>
  <c r="G12" i="85"/>
  <c r="F12" i="85"/>
  <c r="E12" i="85"/>
  <c r="D12" i="85"/>
  <c r="S10" i="85"/>
  <c r="R10" i="85"/>
  <c r="Q10" i="85"/>
  <c r="P10" i="85"/>
  <c r="O10" i="85"/>
  <c r="N10" i="85"/>
  <c r="M10" i="85"/>
  <c r="L10" i="85"/>
  <c r="K10" i="85"/>
  <c r="J10" i="85"/>
  <c r="I10" i="85"/>
  <c r="H10" i="85"/>
  <c r="G10" i="85"/>
  <c r="F10" i="85"/>
  <c r="E10" i="85"/>
  <c r="D10" i="85"/>
  <c r="S8" i="85"/>
  <c r="R8" i="85"/>
  <c r="Q8" i="85"/>
  <c r="P8" i="85"/>
  <c r="O8" i="85"/>
  <c r="N8" i="85"/>
  <c r="M8" i="85"/>
  <c r="L8" i="85"/>
  <c r="K8" i="85"/>
  <c r="J8" i="85"/>
  <c r="I8" i="85"/>
  <c r="H8" i="85"/>
  <c r="G8" i="85"/>
  <c r="F8" i="85"/>
  <c r="E8" i="85"/>
  <c r="D8" i="85"/>
  <c r="S6" i="85"/>
  <c r="R6" i="85"/>
  <c r="Q6" i="85"/>
  <c r="P6" i="85"/>
  <c r="O6" i="85"/>
  <c r="N6" i="85"/>
  <c r="M6" i="85"/>
  <c r="L6" i="85"/>
  <c r="K6" i="85"/>
  <c r="J6" i="85"/>
  <c r="I6" i="85"/>
  <c r="H6" i="85"/>
  <c r="G6" i="85"/>
  <c r="F6" i="85"/>
  <c r="E6" i="85"/>
  <c r="D6" i="85"/>
  <c r="S2" i="85"/>
  <c r="R2" i="85"/>
  <c r="Q2" i="85"/>
  <c r="P2" i="85"/>
  <c r="O2" i="85"/>
  <c r="N2" i="85"/>
  <c r="M2" i="85"/>
  <c r="L2" i="85"/>
  <c r="K2" i="85"/>
  <c r="J2" i="85"/>
  <c r="I2" i="85"/>
  <c r="H2" i="85"/>
  <c r="G2" i="85"/>
  <c r="F2" i="85"/>
  <c r="E2" i="85"/>
  <c r="D2" i="85"/>
  <c r="C2" i="85"/>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M122" i="94"/>
  <c r="L122" i="94"/>
  <c r="K122" i="94"/>
  <c r="J122" i="94"/>
  <c r="I122" i="94"/>
  <c r="H122" i="94"/>
  <c r="G122" i="94"/>
  <c r="F122" i="94"/>
  <c r="E122" i="94"/>
  <c r="D122" i="94"/>
  <c r="C122" i="94"/>
  <c r="B122" i="94"/>
  <c r="M121" i="94"/>
  <c r="L121" i="94"/>
  <c r="K121" i="94"/>
  <c r="J121" i="94"/>
  <c r="I121" i="94"/>
  <c r="H121" i="94"/>
  <c r="G121" i="94"/>
  <c r="F121" i="94"/>
  <c r="E121" i="94"/>
  <c r="D121" i="94"/>
  <c r="C121" i="94"/>
  <c r="B121" i="94"/>
  <c r="M120" i="94"/>
  <c r="L120" i="94"/>
  <c r="K120" i="94"/>
  <c r="J120" i="94"/>
  <c r="I120" i="94"/>
  <c r="H120" i="94"/>
  <c r="G120" i="94"/>
  <c r="F120" i="94"/>
  <c r="E120" i="94"/>
  <c r="D120" i="94"/>
  <c r="C120" i="94"/>
  <c r="B120" i="94"/>
  <c r="M119" i="94"/>
  <c r="L119" i="94"/>
  <c r="K119" i="94"/>
  <c r="J119" i="94"/>
  <c r="I119" i="94"/>
  <c r="H119" i="94"/>
  <c r="G119" i="94"/>
  <c r="F119" i="94"/>
  <c r="E119" i="94"/>
  <c r="D119" i="94"/>
  <c r="C119" i="94"/>
  <c r="B119" i="94"/>
  <c r="M118" i="94"/>
  <c r="L118" i="94"/>
  <c r="K118" i="94"/>
  <c r="J118" i="94"/>
  <c r="I118" i="94"/>
  <c r="H118" i="94"/>
  <c r="G118" i="94"/>
  <c r="F118" i="94"/>
  <c r="E118" i="94"/>
  <c r="D118" i="94"/>
  <c r="C118" i="94"/>
  <c r="B118" i="94"/>
  <c r="H116" i="94"/>
  <c r="F116" i="94"/>
  <c r="D116" i="94"/>
  <c r="B116" i="94"/>
  <c r="N112" i="94"/>
  <c r="M112" i="94"/>
  <c r="L112" i="94"/>
  <c r="K112" i="94"/>
  <c r="J112" i="94"/>
  <c r="I112" i="94"/>
  <c r="H112" i="94"/>
  <c r="G112" i="94"/>
  <c r="F112" i="94"/>
  <c r="E112" i="94"/>
  <c r="D112" i="94"/>
  <c r="C112" i="94"/>
  <c r="N111" i="94"/>
  <c r="M111" i="94"/>
  <c r="L111" i="94"/>
  <c r="K111" i="94"/>
  <c r="J111" i="94"/>
  <c r="I111" i="94"/>
  <c r="H111" i="94"/>
  <c r="G111" i="94"/>
  <c r="F111" i="94"/>
  <c r="E111" i="94"/>
  <c r="D111" i="94"/>
  <c r="C111" i="94"/>
  <c r="N101" i="94"/>
  <c r="M101" i="94"/>
  <c r="K101" i="94"/>
  <c r="J101" i="94"/>
  <c r="H101" i="94"/>
  <c r="D101" i="94"/>
  <c r="B101" i="94"/>
  <c r="N100" i="94"/>
  <c r="M100" i="94"/>
  <c r="K100" i="94"/>
  <c r="J100" i="94"/>
  <c r="H100" i="94"/>
  <c r="D100" i="94"/>
  <c r="B100" i="94"/>
  <c r="N99" i="94"/>
  <c r="M99" i="94"/>
  <c r="K99" i="94"/>
  <c r="J99" i="94"/>
  <c r="H99" i="94"/>
  <c r="D99" i="94"/>
  <c r="B99" i="94"/>
  <c r="N98" i="94"/>
  <c r="M98" i="94"/>
  <c r="K98" i="94"/>
  <c r="J98" i="94"/>
  <c r="H98" i="94"/>
  <c r="D98" i="94"/>
  <c r="N97" i="94"/>
  <c r="M97" i="94"/>
  <c r="K97" i="94"/>
  <c r="J97" i="94"/>
  <c r="H97" i="94"/>
  <c r="D97" i="94"/>
  <c r="B97" i="94"/>
  <c r="N96" i="94"/>
  <c r="M96" i="94"/>
  <c r="K96" i="94"/>
  <c r="J96" i="94"/>
  <c r="H96" i="94"/>
  <c r="D96" i="94"/>
  <c r="N95" i="94"/>
  <c r="M95" i="94"/>
  <c r="K95" i="94"/>
  <c r="J95" i="94"/>
  <c r="H95" i="94"/>
  <c r="D95" i="94"/>
  <c r="B95" i="94"/>
  <c r="N94" i="94"/>
  <c r="M94" i="94"/>
  <c r="K94" i="94"/>
  <c r="J94" i="94"/>
  <c r="H94" i="94"/>
  <c r="D94" i="94"/>
  <c r="B94" i="94"/>
  <c r="N93" i="94"/>
  <c r="M93" i="94"/>
  <c r="K93" i="94"/>
  <c r="J93" i="94"/>
  <c r="H93" i="94"/>
  <c r="F93" i="94"/>
  <c r="E93" i="94"/>
  <c r="D93" i="94"/>
  <c r="B91" i="94"/>
  <c r="N90" i="94"/>
  <c r="M90" i="94"/>
  <c r="K90" i="94"/>
  <c r="J90" i="94"/>
  <c r="H90" i="94"/>
  <c r="D90" i="94"/>
  <c r="B90" i="94"/>
  <c r="N89" i="94"/>
  <c r="M89" i="94"/>
  <c r="K89" i="94"/>
  <c r="J89" i="94"/>
  <c r="H89" i="94"/>
  <c r="D89" i="94"/>
  <c r="N88" i="94"/>
  <c r="M88" i="94"/>
  <c r="K88" i="94"/>
  <c r="J88" i="94"/>
  <c r="H88" i="94"/>
  <c r="D88" i="94"/>
  <c r="B88" i="94"/>
  <c r="N87" i="94"/>
  <c r="M87" i="94"/>
  <c r="K87" i="94"/>
  <c r="J87" i="94"/>
  <c r="H87" i="94"/>
  <c r="D87" i="94"/>
  <c r="B87" i="94"/>
  <c r="N86" i="94"/>
  <c r="M86" i="94"/>
  <c r="K86" i="94"/>
  <c r="J86" i="94"/>
  <c r="H86" i="94"/>
  <c r="D86" i="94"/>
  <c r="B86" i="94"/>
  <c r="N85" i="94"/>
  <c r="M85" i="94"/>
  <c r="K85" i="94"/>
  <c r="J85" i="94"/>
  <c r="H85" i="94"/>
  <c r="D85" i="94"/>
  <c r="B85" i="94"/>
  <c r="N84" i="94"/>
  <c r="M84" i="94"/>
  <c r="K84" i="94"/>
  <c r="J84" i="94"/>
  <c r="H84" i="94"/>
  <c r="D84" i="94"/>
  <c r="B84" i="94"/>
  <c r="N83" i="94"/>
  <c r="M83" i="94"/>
  <c r="K83" i="94"/>
  <c r="J83" i="94"/>
  <c r="H83" i="94"/>
  <c r="F83" i="94"/>
  <c r="E83" i="94"/>
  <c r="D83" i="94"/>
  <c r="B83" i="94"/>
  <c r="B81" i="94"/>
  <c r="N80" i="94"/>
  <c r="M80" i="94"/>
  <c r="K80" i="94"/>
  <c r="J80" i="94"/>
  <c r="H80" i="94"/>
  <c r="G80" i="94"/>
  <c r="D80" i="94"/>
  <c r="N79" i="94"/>
  <c r="M79" i="94"/>
  <c r="K79" i="94"/>
  <c r="J79" i="94"/>
  <c r="H79" i="94"/>
  <c r="G79" i="94"/>
  <c r="D79" i="94"/>
  <c r="B79" i="94"/>
  <c r="N78" i="94"/>
  <c r="M78" i="94"/>
  <c r="K78" i="94"/>
  <c r="J78" i="94"/>
  <c r="H78" i="94"/>
  <c r="G78" i="94"/>
  <c r="D78" i="94"/>
  <c r="N77" i="94"/>
  <c r="M77" i="94"/>
  <c r="K77" i="94"/>
  <c r="J77" i="94"/>
  <c r="H77" i="94"/>
  <c r="G77" i="94"/>
  <c r="D77" i="94"/>
  <c r="B77" i="94"/>
  <c r="N76" i="94"/>
  <c r="M76" i="94"/>
  <c r="K76" i="94"/>
  <c r="J76" i="94"/>
  <c r="H76" i="94"/>
  <c r="G76" i="94"/>
  <c r="D76" i="94"/>
  <c r="B76" i="94"/>
  <c r="N75" i="94"/>
  <c r="M75" i="94"/>
  <c r="K75" i="94"/>
  <c r="J75" i="94"/>
  <c r="H75" i="94"/>
  <c r="G75" i="94"/>
  <c r="D75" i="94"/>
  <c r="B75" i="94"/>
  <c r="N74" i="94"/>
  <c r="M74" i="94"/>
  <c r="K74" i="94"/>
  <c r="J74" i="94"/>
  <c r="H74" i="94"/>
  <c r="G74" i="94"/>
  <c r="D74" i="94"/>
  <c r="B74" i="94"/>
  <c r="N73" i="94"/>
  <c r="M73" i="94"/>
  <c r="K73" i="94"/>
  <c r="J73" i="94"/>
  <c r="H73" i="94"/>
  <c r="G73" i="94"/>
  <c r="D73" i="94"/>
  <c r="B73" i="94"/>
  <c r="N72" i="94"/>
  <c r="M72" i="94"/>
  <c r="K72" i="94"/>
  <c r="J72" i="94"/>
  <c r="H72" i="94"/>
  <c r="G72" i="94"/>
  <c r="F72" i="94"/>
  <c r="E72" i="94"/>
  <c r="D72" i="94"/>
  <c r="B72" i="94"/>
  <c r="B70" i="94"/>
  <c r="N69" i="94"/>
  <c r="M69" i="94"/>
  <c r="K69" i="94"/>
  <c r="J69" i="94"/>
  <c r="H69" i="94"/>
  <c r="D69" i="94"/>
  <c r="B69" i="94"/>
  <c r="N68" i="94"/>
  <c r="M68" i="94"/>
  <c r="K68" i="94"/>
  <c r="J68" i="94"/>
  <c r="H68" i="94"/>
  <c r="D68" i="94"/>
  <c r="B68" i="94"/>
  <c r="N67" i="94"/>
  <c r="M67" i="94"/>
  <c r="K67" i="94"/>
  <c r="J67" i="94"/>
  <c r="H67" i="94"/>
  <c r="D67" i="94"/>
  <c r="B67" i="94"/>
  <c r="N66" i="94"/>
  <c r="M66" i="94"/>
  <c r="K66" i="94"/>
  <c r="J66" i="94"/>
  <c r="H66" i="94"/>
  <c r="D66" i="94"/>
  <c r="N65" i="94"/>
  <c r="M65" i="94"/>
  <c r="K65" i="94"/>
  <c r="J65" i="94"/>
  <c r="H65" i="94"/>
  <c r="D65" i="94"/>
  <c r="B65" i="94"/>
  <c r="N64" i="94"/>
  <c r="M64" i="94"/>
  <c r="K64" i="94"/>
  <c r="J64" i="94"/>
  <c r="H64" i="94"/>
  <c r="D64" i="94"/>
  <c r="N63" i="94"/>
  <c r="M63" i="94"/>
  <c r="K63" i="94"/>
  <c r="J63" i="94"/>
  <c r="H63" i="94"/>
  <c r="D63" i="94"/>
  <c r="B63" i="94"/>
  <c r="N62" i="94"/>
  <c r="M62" i="94"/>
  <c r="K62" i="94"/>
  <c r="J62" i="94"/>
  <c r="H62" i="94"/>
  <c r="D62" i="94"/>
  <c r="B62" i="94"/>
  <c r="N61" i="94"/>
  <c r="M61" i="94"/>
  <c r="K61" i="94"/>
  <c r="J61" i="94"/>
  <c r="H61" i="94"/>
  <c r="F61" i="94"/>
  <c r="E61" i="94"/>
  <c r="D61" i="94"/>
  <c r="B61" i="94"/>
  <c r="B59" i="94"/>
  <c r="N58" i="94"/>
  <c r="M58" i="94"/>
  <c r="K58" i="94"/>
  <c r="J58" i="94"/>
  <c r="H58" i="94"/>
  <c r="G58" i="94"/>
  <c r="D58" i="94"/>
  <c r="B58" i="94"/>
  <c r="N57" i="94"/>
  <c r="M57" i="94"/>
  <c r="K57" i="94"/>
  <c r="J57" i="94"/>
  <c r="H57" i="94"/>
  <c r="G57" i="94"/>
  <c r="D57" i="94"/>
  <c r="B57" i="94"/>
  <c r="N56" i="94"/>
  <c r="M56" i="94"/>
  <c r="K56" i="94"/>
  <c r="J56" i="94"/>
  <c r="H56" i="94"/>
  <c r="G56" i="94"/>
  <c r="D56" i="94"/>
  <c r="B56" i="94"/>
  <c r="N55" i="94"/>
  <c r="M55" i="94"/>
  <c r="K55" i="94"/>
  <c r="J55" i="94"/>
  <c r="H55" i="94"/>
  <c r="G55" i="94"/>
  <c r="D55" i="94"/>
  <c r="N54" i="94"/>
  <c r="M54" i="94"/>
  <c r="K54" i="94"/>
  <c r="J54" i="94"/>
  <c r="H54" i="94"/>
  <c r="G54" i="94"/>
  <c r="D54" i="94"/>
  <c r="B54" i="94"/>
  <c r="N53" i="94"/>
  <c r="M53" i="94"/>
  <c r="K53" i="94"/>
  <c r="J53" i="94"/>
  <c r="H53" i="94"/>
  <c r="G53" i="94"/>
  <c r="D53" i="94"/>
  <c r="N52" i="94"/>
  <c r="M52" i="94"/>
  <c r="K52" i="94"/>
  <c r="J52" i="94"/>
  <c r="H52" i="94"/>
  <c r="G52" i="94"/>
  <c r="D52" i="94"/>
  <c r="B52" i="94"/>
  <c r="N51" i="94"/>
  <c r="M51" i="94"/>
  <c r="K51" i="94"/>
  <c r="J51" i="94"/>
  <c r="H51" i="94"/>
  <c r="G51" i="94"/>
  <c r="D51" i="94"/>
  <c r="B51" i="94"/>
  <c r="N50" i="94"/>
  <c r="M50" i="94"/>
  <c r="K50" i="94"/>
  <c r="J50" i="94"/>
  <c r="H50" i="94"/>
  <c r="G50" i="94"/>
  <c r="F50" i="94"/>
  <c r="E50" i="94"/>
  <c r="D50" i="94"/>
  <c r="B50" i="94"/>
  <c r="B48" i="94"/>
  <c r="G44" i="94"/>
  <c r="E44" i="94"/>
  <c r="C44" i="94"/>
  <c r="I42" i="94"/>
  <c r="H42" i="94"/>
  <c r="G42" i="94"/>
  <c r="F42" i="94"/>
  <c r="E42" i="94"/>
  <c r="C42" i="94"/>
  <c r="I41" i="94"/>
  <c r="H41" i="94"/>
  <c r="G41" i="94"/>
  <c r="F41" i="94"/>
  <c r="E41" i="94"/>
  <c r="C41" i="94"/>
  <c r="I40" i="94"/>
  <c r="H40" i="94"/>
  <c r="G40" i="94"/>
  <c r="F40" i="94"/>
  <c r="E40" i="94"/>
  <c r="C40" i="94"/>
  <c r="I39" i="94"/>
  <c r="H39" i="94"/>
  <c r="G39" i="94"/>
  <c r="F39" i="94"/>
  <c r="E39" i="94"/>
  <c r="C39" i="94"/>
  <c r="I38" i="94"/>
  <c r="H38" i="94"/>
  <c r="G38" i="94"/>
  <c r="F38" i="94"/>
  <c r="E38" i="94"/>
  <c r="C38" i="94"/>
  <c r="I37" i="94"/>
  <c r="H37" i="94"/>
  <c r="G37" i="94"/>
  <c r="F37" i="94"/>
  <c r="E37" i="94"/>
  <c r="D37" i="94"/>
  <c r="C37" i="94"/>
  <c r="E34" i="94"/>
  <c r="C34" i="94"/>
  <c r="E33" i="94"/>
  <c r="C33" i="94"/>
  <c r="Q32" i="94"/>
  <c r="P32" i="94"/>
  <c r="O32" i="94"/>
  <c r="N32" i="94"/>
  <c r="M32" i="94"/>
  <c r="C31" i="94"/>
  <c r="C30" i="94"/>
  <c r="P29" i="94"/>
  <c r="P28" i="94"/>
  <c r="C28" i="94"/>
  <c r="P27" i="94"/>
  <c r="C27" i="94"/>
  <c r="P26" i="94"/>
  <c r="J26" i="94"/>
  <c r="H26" i="94"/>
  <c r="G26" i="94"/>
  <c r="F26" i="94"/>
  <c r="E26" i="94"/>
  <c r="D26" i="94"/>
  <c r="P25" i="94"/>
  <c r="C25" i="94"/>
  <c r="M24" i="94"/>
  <c r="J24" i="94"/>
  <c r="I24" i="94"/>
  <c r="G24" i="94"/>
  <c r="E24" i="94"/>
  <c r="C24" i="94"/>
  <c r="O23" i="94"/>
  <c r="M23" i="94"/>
  <c r="I23" i="94"/>
  <c r="G23" i="94"/>
  <c r="C23" i="94"/>
  <c r="C22" i="94"/>
  <c r="O21" i="94"/>
  <c r="N21" i="94"/>
  <c r="M21" i="94"/>
  <c r="L21" i="94"/>
  <c r="K21" i="94"/>
  <c r="J21" i="94"/>
  <c r="I21" i="94"/>
  <c r="H21" i="94"/>
  <c r="G21" i="94"/>
  <c r="E21" i="94"/>
  <c r="D21" i="94"/>
  <c r="C21" i="94"/>
  <c r="C20" i="94"/>
  <c r="I18" i="94"/>
  <c r="G18" i="94"/>
  <c r="G17" i="94"/>
  <c r="E17" i="94"/>
  <c r="C17" i="94"/>
  <c r="V16" i="94"/>
  <c r="T16" i="94"/>
  <c r="V15" i="94"/>
  <c r="T15" i="94"/>
  <c r="V14" i="94"/>
  <c r="T14" i="94"/>
  <c r="V13" i="94"/>
  <c r="T13" i="94"/>
  <c r="C13" i="94"/>
  <c r="V12" i="94"/>
  <c r="T12" i="94"/>
  <c r="N12" i="94"/>
  <c r="M12" i="94"/>
  <c r="V11" i="94"/>
  <c r="T11" i="94"/>
  <c r="N11" i="94"/>
  <c r="M11" i="94"/>
  <c r="E11" i="94"/>
  <c r="C11" i="94"/>
  <c r="AJ10" i="94"/>
  <c r="AI10" i="94"/>
  <c r="AH10" i="94"/>
  <c r="AG10" i="94"/>
  <c r="AF10" i="94"/>
  <c r="AE10" i="94"/>
  <c r="AD10" i="94"/>
  <c r="AC10" i="94"/>
  <c r="AB10" i="94"/>
  <c r="AA10" i="94"/>
  <c r="Z10" i="94"/>
  <c r="Y10" i="94"/>
  <c r="V10" i="94"/>
  <c r="T10" i="94"/>
  <c r="N10" i="94"/>
  <c r="M10" i="94"/>
  <c r="E10" i="94"/>
  <c r="C10" i="94"/>
  <c r="AJ9" i="94"/>
  <c r="AI9" i="94"/>
  <c r="AH9" i="94"/>
  <c r="AG9" i="94"/>
  <c r="AF9" i="94"/>
  <c r="AE9" i="94"/>
  <c r="AD9" i="94"/>
  <c r="AC9" i="94"/>
  <c r="AB9" i="94"/>
  <c r="AA9" i="94"/>
  <c r="Z9" i="94"/>
  <c r="V9" i="94"/>
  <c r="T9" i="94"/>
  <c r="N9" i="94"/>
  <c r="M9" i="94"/>
  <c r="E9" i="94"/>
  <c r="C9" i="94"/>
  <c r="V8" i="94"/>
  <c r="T8" i="94"/>
  <c r="N8" i="94"/>
  <c r="M8" i="94"/>
  <c r="E8" i="94"/>
  <c r="Z7" i="94"/>
  <c r="X7" i="94"/>
  <c r="V7" i="94"/>
  <c r="T7" i="94"/>
  <c r="N7" i="94"/>
  <c r="M7" i="94"/>
  <c r="C7" i="94"/>
  <c r="V6" i="94"/>
  <c r="T6" i="94"/>
  <c r="S6" i="94"/>
  <c r="N6" i="94"/>
  <c r="M6" i="94"/>
  <c r="C6" i="94"/>
  <c r="V5" i="94"/>
  <c r="T5" i="94"/>
  <c r="S5" i="94"/>
  <c r="N5" i="94"/>
  <c r="M5" i="94"/>
  <c r="D5" i="94"/>
  <c r="C5" i="94"/>
  <c r="V4" i="94"/>
  <c r="T4" i="94"/>
  <c r="S4" i="94"/>
  <c r="N4" i="94"/>
  <c r="M4" i="94"/>
  <c r="V3" i="94"/>
  <c r="T3" i="94"/>
  <c r="S3" i="94"/>
  <c r="N3" i="94"/>
  <c r="M3" i="94"/>
  <c r="G3" i="94"/>
  <c r="B3" i="94"/>
  <c r="V2" i="94"/>
  <c r="T2" i="94"/>
  <c r="S2" i="94"/>
  <c r="N2" i="94"/>
  <c r="M2" i="94"/>
  <c r="I2" i="94"/>
  <c r="G2" i="94"/>
  <c r="B2" i="94"/>
  <c r="N1" i="94"/>
  <c r="M1" i="94"/>
  <c r="D1" i="94"/>
  <c r="F48" i="69"/>
  <c r="C48" i="69"/>
  <c r="G41" i="69"/>
  <c r="F40" i="69"/>
  <c r="C40" i="69"/>
  <c r="F39" i="69"/>
  <c r="F38" i="69"/>
  <c r="E37" i="69"/>
  <c r="F36" i="69"/>
  <c r="F35" i="69"/>
  <c r="F30" i="69"/>
  <c r="C30" i="69"/>
  <c r="G22" i="69"/>
  <c r="F21" i="69"/>
  <c r="C21" i="69"/>
  <c r="F20" i="69"/>
  <c r="E19" i="69"/>
  <c r="C19" i="69"/>
  <c r="E10" i="69"/>
  <c r="E9" i="69"/>
  <c r="F7" i="69"/>
  <c r="C7" i="69"/>
  <c r="C6" i="69"/>
  <c r="H1" i="69"/>
  <c r="G1" i="69"/>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D101" i="33"/>
  <c r="E101" i="33" s="1"/>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D85" i="33"/>
  <c r="E85" i="33" s="1"/>
  <c r="G83" i="33"/>
  <c r="F83" i="33"/>
  <c r="E83" i="33"/>
  <c r="D83" i="33"/>
  <c r="D81" i="33"/>
  <c r="E81" i="33" s="1"/>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Z32" i="33"/>
  <c r="Q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Z23" i="33"/>
  <c r="Q23" i="33"/>
  <c r="C23" i="33"/>
  <c r="AC21" i="33"/>
  <c r="AB21" i="33"/>
  <c r="AA21" i="33"/>
  <c r="Z21" i="33"/>
  <c r="W21" i="33"/>
  <c r="U21" i="33"/>
  <c r="S21" i="33"/>
  <c r="Q21" i="33"/>
  <c r="J21" i="33"/>
  <c r="H21" i="33"/>
  <c r="F21" i="33"/>
  <c r="C21" i="33"/>
  <c r="Z19" i="33"/>
  <c r="Q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Z10" i="33"/>
  <c r="Q10" i="33"/>
  <c r="J10" i="33"/>
  <c r="AC10" i="33" s="1"/>
  <c r="H10" i="33"/>
  <c r="AB10" i="33" s="1"/>
  <c r="F10" i="33"/>
  <c r="AA10" i="33" s="1"/>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A126" i="91"/>
  <c r="A124" i="91"/>
  <c r="A122" i="91"/>
  <c r="D121" i="91"/>
  <c r="K120" i="91"/>
  <c r="D120" i="91"/>
  <c r="A120" i="91"/>
  <c r="C118" i="91"/>
  <c r="B118" i="91"/>
  <c r="A118" i="91"/>
  <c r="H112" i="91"/>
  <c r="H111" i="91"/>
  <c r="D126" i="91" s="1"/>
  <c r="D127" i="91" s="1"/>
  <c r="E111" i="91"/>
  <c r="H109" i="91"/>
  <c r="D124" i="91" s="1"/>
  <c r="D125" i="91" s="1"/>
  <c r="E109" i="91"/>
  <c r="E107" i="91"/>
  <c r="H106" i="91"/>
  <c r="H105" i="91"/>
  <c r="H104" i="91"/>
  <c r="H103" i="91"/>
  <c r="D101" i="91"/>
  <c r="C101" i="91"/>
  <c r="D93" i="91"/>
  <c r="C91" i="91"/>
  <c r="C92" i="91" s="1"/>
  <c r="E90" i="91"/>
  <c r="D89" i="91"/>
  <c r="C89" i="91"/>
  <c r="C87" i="91"/>
  <c r="D78" i="91"/>
  <c r="H77" i="91"/>
  <c r="D77" i="91"/>
  <c r="C77" i="91"/>
  <c r="C76" i="91"/>
  <c r="C74" i="91"/>
  <c r="D68" i="91"/>
  <c r="J61" i="91"/>
  <c r="J59" i="91"/>
  <c r="F59" i="91"/>
  <c r="E59" i="91"/>
  <c r="J57" i="91"/>
  <c r="N56" i="91"/>
  <c r="M56" i="91"/>
  <c r="K56" i="91"/>
  <c r="J56" i="91"/>
  <c r="F56" i="91"/>
  <c r="O55" i="91"/>
  <c r="N55" i="91"/>
  <c r="K55" i="91"/>
  <c r="J55" i="91"/>
  <c r="I55" i="91"/>
  <c r="F55" i="91"/>
  <c r="O54" i="91"/>
  <c r="N54" i="91"/>
  <c r="F54" i="91"/>
  <c r="O53" i="91"/>
  <c r="N53" i="91"/>
  <c r="F53" i="91"/>
  <c r="O52" i="91"/>
  <c r="N52" i="91"/>
  <c r="F52" i="91"/>
  <c r="K49" i="91"/>
  <c r="F48" i="91"/>
  <c r="E48" i="91"/>
  <c r="D48" i="91"/>
  <c r="M52" i="91" s="1"/>
  <c r="M47" i="91"/>
  <c r="F33" i="91"/>
  <c r="D27" i="91"/>
  <c r="C25" i="91"/>
  <c r="C24" i="91"/>
  <c r="M19" i="91"/>
  <c r="L19" i="91"/>
  <c r="M18" i="91"/>
  <c r="L18" i="91"/>
  <c r="D17" i="91"/>
  <c r="C17" i="91"/>
  <c r="L4" i="91"/>
  <c r="K4" i="91"/>
  <c r="A2" i="91"/>
  <c r="H1" i="91"/>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G80" i="43"/>
  <c r="D80" i="43"/>
  <c r="N79" i="43"/>
  <c r="M79" i="43"/>
  <c r="K79" i="43"/>
  <c r="J79" i="43"/>
  <c r="H79" i="43"/>
  <c r="G79" i="43"/>
  <c r="D79" i="43"/>
  <c r="B79" i="43"/>
  <c r="N78" i="43"/>
  <c r="M78" i="43"/>
  <c r="K78" i="43"/>
  <c r="J78" i="43"/>
  <c r="H78" i="43"/>
  <c r="G78" i="43"/>
  <c r="D78" i="43"/>
  <c r="N77" i="43"/>
  <c r="M77" i="43"/>
  <c r="K77" i="43"/>
  <c r="J77" i="43"/>
  <c r="H77" i="43"/>
  <c r="G77" i="43"/>
  <c r="D77" i="43"/>
  <c r="B77" i="43"/>
  <c r="N76" i="43"/>
  <c r="M76" i="43"/>
  <c r="K76" i="43"/>
  <c r="J76" i="43"/>
  <c r="H76" i="43"/>
  <c r="G76" i="43"/>
  <c r="D76" i="43"/>
  <c r="B76" i="43"/>
  <c r="N75" i="43"/>
  <c r="M75" i="43"/>
  <c r="K75" i="43"/>
  <c r="J75" i="43"/>
  <c r="H75" i="43"/>
  <c r="G75" i="43"/>
  <c r="D75" i="43"/>
  <c r="B75" i="43"/>
  <c r="N74" i="43"/>
  <c r="M74" i="43"/>
  <c r="K74" i="43"/>
  <c r="J74" i="43"/>
  <c r="H74" i="43"/>
  <c r="G74" i="43"/>
  <c r="D74" i="43"/>
  <c r="B74" i="43"/>
  <c r="N73" i="43"/>
  <c r="M73" i="43"/>
  <c r="K73" i="43"/>
  <c r="J73" i="43"/>
  <c r="H73" i="43"/>
  <c r="G73" i="43"/>
  <c r="D73" i="43"/>
  <c r="B73" i="43"/>
  <c r="N72" i="43"/>
  <c r="M72" i="43"/>
  <c r="K72" i="43"/>
  <c r="J72" i="43"/>
  <c r="H72" i="43"/>
  <c r="G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G44" i="43"/>
  <c r="E44" i="43"/>
  <c r="C44" i="43"/>
  <c r="I42" i="43"/>
  <c r="H42" i="43"/>
  <c r="G42" i="43"/>
  <c r="F42" i="43"/>
  <c r="E42" i="43"/>
  <c r="D42" i="43"/>
  <c r="C42" i="43"/>
  <c r="I41" i="43"/>
  <c r="H41" i="43"/>
  <c r="G41" i="43"/>
  <c r="F41" i="43"/>
  <c r="E41" i="43"/>
  <c r="D41" i="43"/>
  <c r="C41" i="43"/>
  <c r="I40" i="43"/>
  <c r="H40" i="43"/>
  <c r="G40" i="43"/>
  <c r="F40" i="43"/>
  <c r="E40" i="43"/>
  <c r="C40" i="43"/>
  <c r="I39" i="43"/>
  <c r="H39" i="43"/>
  <c r="G39" i="43"/>
  <c r="F39" i="43"/>
  <c r="E39" i="43"/>
  <c r="C39" i="43"/>
  <c r="I38" i="43"/>
  <c r="H38" i="43"/>
  <c r="G38" i="43"/>
  <c r="F38" i="43"/>
  <c r="E38" i="43"/>
  <c r="C38" i="43"/>
  <c r="I37" i="43"/>
  <c r="H37" i="43"/>
  <c r="G37" i="43"/>
  <c r="F37" i="43"/>
  <c r="E37" i="43"/>
  <c r="D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F48" i="84"/>
  <c r="C48" i="84"/>
  <c r="G41" i="84"/>
  <c r="F40" i="84"/>
  <c r="C40" i="84"/>
  <c r="F39" i="84"/>
  <c r="F38" i="84"/>
  <c r="E37" i="84"/>
  <c r="F36" i="84"/>
  <c r="F35" i="84"/>
  <c r="F34" i="84"/>
  <c r="F30" i="84"/>
  <c r="C30" i="84"/>
  <c r="G22" i="84"/>
  <c r="F21" i="84"/>
  <c r="C21" i="84"/>
  <c r="F20" i="84"/>
  <c r="E19" i="84"/>
  <c r="C19" i="84"/>
  <c r="E10" i="84"/>
  <c r="E9" i="84"/>
  <c r="F7" i="84"/>
  <c r="C7" i="84"/>
  <c r="C6" i="84"/>
  <c r="G1" i="84"/>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E4" i="87"/>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I7" i="36"/>
  <c r="H7" i="36"/>
  <c r="G7" i="36"/>
  <c r="F7" i="36"/>
  <c r="E7" i="36"/>
  <c r="C7" i="36"/>
  <c r="D3" i="36"/>
  <c r="B3" i="36"/>
  <c r="B2" i="36"/>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K7" i="12"/>
  <c r="J7" i="12"/>
  <c r="I7" i="12"/>
  <c r="H7" i="12"/>
  <c r="G7" i="12"/>
  <c r="F7" i="12"/>
  <c r="E7" i="12"/>
  <c r="D7" i="12"/>
  <c r="C7" i="12"/>
  <c r="C4" i="12"/>
  <c r="K1" i="12"/>
  <c r="D126" i="83"/>
  <c r="D127" i="83" s="1"/>
  <c r="A126" i="83"/>
  <c r="A124" i="83"/>
  <c r="A122" i="83"/>
  <c r="D121" i="83"/>
  <c r="K120" i="83"/>
  <c r="D120" i="83"/>
  <c r="A120" i="83"/>
  <c r="C118" i="83"/>
  <c r="B118" i="83"/>
  <c r="A118" i="83"/>
  <c r="H112" i="83"/>
  <c r="H111" i="83"/>
  <c r="E111" i="83"/>
  <c r="H109" i="83"/>
  <c r="D124" i="83" s="1"/>
  <c r="D125" i="83" s="1"/>
  <c r="E109" i="83"/>
  <c r="E107" i="83"/>
  <c r="H106" i="83"/>
  <c r="H105" i="83"/>
  <c r="H104" i="83"/>
  <c r="H103" i="83"/>
  <c r="D101" i="83"/>
  <c r="C101" i="83"/>
  <c r="D93" i="83"/>
  <c r="C91" i="83"/>
  <c r="C92" i="83" s="1"/>
  <c r="E90" i="83"/>
  <c r="D89" i="83"/>
  <c r="C89" i="83"/>
  <c r="C87" i="83"/>
  <c r="D78" i="83"/>
  <c r="H77" i="83"/>
  <c r="D77" i="83"/>
  <c r="C77" i="83"/>
  <c r="C76" i="83"/>
  <c r="C74" i="83"/>
  <c r="D68" i="83"/>
  <c r="J61" i="83"/>
  <c r="J59" i="83"/>
  <c r="F59" i="83"/>
  <c r="E59" i="83"/>
  <c r="J57" i="83"/>
  <c r="N56" i="83"/>
  <c r="M56" i="83"/>
  <c r="K56" i="83"/>
  <c r="J56" i="83"/>
  <c r="F56" i="83"/>
  <c r="O55" i="83"/>
  <c r="N55" i="83"/>
  <c r="K55" i="83"/>
  <c r="J55" i="83"/>
  <c r="I55" i="83"/>
  <c r="F55" i="83"/>
  <c r="O54" i="83"/>
  <c r="N54" i="83"/>
  <c r="F54" i="83"/>
  <c r="O53" i="83"/>
  <c r="N53" i="83"/>
  <c r="F53" i="83"/>
  <c r="O52" i="83"/>
  <c r="N52" i="83"/>
  <c r="F52" i="83"/>
  <c r="K49" i="83"/>
  <c r="F48" i="83"/>
  <c r="E48" i="83"/>
  <c r="D48" i="83"/>
  <c r="M52" i="83" s="1"/>
  <c r="M47" i="83"/>
  <c r="F33" i="83"/>
  <c r="D27" i="83"/>
  <c r="C25" i="83"/>
  <c r="C24" i="83"/>
  <c r="M19" i="83"/>
  <c r="L19" i="83"/>
  <c r="M18" i="83"/>
  <c r="L18" i="83"/>
  <c r="D17" i="83"/>
  <c r="C17" i="83"/>
  <c r="L4" i="83"/>
  <c r="K4" i="83"/>
  <c r="A2" i="83"/>
  <c r="H1" i="83"/>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48" i="68"/>
  <c r="C48" i="68"/>
  <c r="G41" i="68"/>
  <c r="F40" i="68"/>
  <c r="C40" i="68"/>
  <c r="F39" i="68"/>
  <c r="F38" i="68"/>
  <c r="E37" i="68"/>
  <c r="F36" i="68"/>
  <c r="F35" i="68"/>
  <c r="F34" i="68"/>
  <c r="F30" i="68"/>
  <c r="C30" i="68"/>
  <c r="G22" i="68"/>
  <c r="F21" i="68"/>
  <c r="C21" i="68"/>
  <c r="F20" i="68"/>
  <c r="E19" i="68"/>
  <c r="C19" i="68"/>
  <c r="E10" i="68"/>
  <c r="E9" i="68"/>
  <c r="F7" i="68"/>
  <c r="C7" i="68"/>
  <c r="C6" i="68"/>
  <c r="G1" i="68"/>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B55" i="31"/>
  <c r="S54" i="31"/>
  <c r="R54" i="31"/>
  <c r="Q54" i="31"/>
  <c r="O54" i="31"/>
  <c r="M54" i="31"/>
  <c r="K54" i="31"/>
  <c r="I54" i="31"/>
  <c r="G54" i="31"/>
  <c r="E54" i="31"/>
  <c r="C54" i="31"/>
  <c r="B54" i="31"/>
  <c r="S53" i="31"/>
  <c r="R53" i="31"/>
  <c r="Q53" i="31"/>
  <c r="O53" i="31"/>
  <c r="M53" i="31"/>
  <c r="K53" i="31"/>
  <c r="I53" i="31"/>
  <c r="G53" i="31"/>
  <c r="E53" i="31"/>
  <c r="C53" i="31"/>
  <c r="B53" i="31"/>
  <c r="S52" i="31"/>
  <c r="R52" i="31"/>
  <c r="Q52" i="31"/>
  <c r="O52" i="31"/>
  <c r="M52" i="31"/>
  <c r="K52" i="31"/>
  <c r="I52" i="31"/>
  <c r="G52" i="31"/>
  <c r="E52" i="31"/>
  <c r="C52" i="31"/>
  <c r="B52" i="31"/>
  <c r="S51" i="31"/>
  <c r="R51" i="31"/>
  <c r="Q51" i="31"/>
  <c r="O51" i="31"/>
  <c r="M51" i="31"/>
  <c r="K51" i="31"/>
  <c r="I51" i="31"/>
  <c r="G51" i="31"/>
  <c r="E51" i="31"/>
  <c r="C51" i="31"/>
  <c r="B51" i="31"/>
  <c r="S50" i="31"/>
  <c r="R50" i="31"/>
  <c r="Q50" i="31"/>
  <c r="O50" i="31"/>
  <c r="M50" i="31"/>
  <c r="K50" i="31"/>
  <c r="I50" i="31"/>
  <c r="G50" i="31"/>
  <c r="E50" i="31"/>
  <c r="C50" i="31"/>
  <c r="B50" i="31"/>
  <c r="S49" i="31"/>
  <c r="R49" i="31"/>
  <c r="Q49" i="31"/>
  <c r="O49" i="31"/>
  <c r="M49" i="31"/>
  <c r="K49" i="31"/>
  <c r="I49" i="31"/>
  <c r="G49" i="31"/>
  <c r="E49" i="31"/>
  <c r="C49" i="31"/>
  <c r="B49" i="31"/>
  <c r="S48" i="31"/>
  <c r="R48" i="31"/>
  <c r="Q48" i="31"/>
  <c r="O48" i="31"/>
  <c r="M48" i="31"/>
  <c r="K48" i="31"/>
  <c r="I48" i="31"/>
  <c r="G48" i="31"/>
  <c r="E48" i="31"/>
  <c r="C48" i="31"/>
  <c r="B48" i="31"/>
  <c r="S47" i="31"/>
  <c r="R47" i="31"/>
  <c r="Q47" i="31"/>
  <c r="O47" i="31"/>
  <c r="M47" i="31"/>
  <c r="K47" i="31"/>
  <c r="I47" i="31"/>
  <c r="G47" i="31"/>
  <c r="E47" i="31"/>
  <c r="C47" i="31"/>
  <c r="B47" i="31"/>
  <c r="S46" i="31"/>
  <c r="R46" i="31"/>
  <c r="Q46" i="31"/>
  <c r="O46" i="31"/>
  <c r="M46" i="31"/>
  <c r="K46" i="31"/>
  <c r="I46" i="31"/>
  <c r="G46" i="31"/>
  <c r="E46" i="31"/>
  <c r="C46" i="31"/>
  <c r="B46" i="31"/>
  <c r="S45" i="31"/>
  <c r="R45" i="31"/>
  <c r="Q45" i="31"/>
  <c r="O45" i="31"/>
  <c r="M45" i="31"/>
  <c r="K45" i="31"/>
  <c r="I45" i="31"/>
  <c r="G45" i="31"/>
  <c r="E45" i="31"/>
  <c r="C45" i="31"/>
  <c r="B45" i="31"/>
  <c r="S44" i="31"/>
  <c r="R44" i="31"/>
  <c r="Q44" i="31"/>
  <c r="O44" i="31"/>
  <c r="M44" i="31"/>
  <c r="K44" i="31"/>
  <c r="I44" i="31"/>
  <c r="G44" i="31"/>
  <c r="E44" i="31"/>
  <c r="C44" i="31"/>
  <c r="B44" i="31"/>
  <c r="S43" i="31"/>
  <c r="R43" i="31"/>
  <c r="Q43" i="31"/>
  <c r="O43" i="31"/>
  <c r="M43" i="31"/>
  <c r="K43" i="31"/>
  <c r="I43" i="31"/>
  <c r="G43" i="31"/>
  <c r="E43" i="31"/>
  <c r="C43" i="31"/>
  <c r="B43" i="31"/>
  <c r="S42" i="31"/>
  <c r="R42" i="31"/>
  <c r="Q42" i="31"/>
  <c r="O42" i="31"/>
  <c r="M42" i="31"/>
  <c r="K42" i="31"/>
  <c r="I42" i="31"/>
  <c r="G42" i="31"/>
  <c r="E42" i="31"/>
  <c r="C42" i="31"/>
  <c r="B42" i="31"/>
  <c r="S41" i="31"/>
  <c r="R41" i="31"/>
  <c r="Q41" i="31"/>
  <c r="O41" i="31"/>
  <c r="M41" i="31"/>
  <c r="K41" i="31"/>
  <c r="I41" i="31"/>
  <c r="G41" i="31"/>
  <c r="E41" i="31"/>
  <c r="C41" i="31"/>
  <c r="B41" i="31"/>
  <c r="S40" i="31"/>
  <c r="R40" i="31"/>
  <c r="Q40" i="31"/>
  <c r="O40" i="31"/>
  <c r="M40" i="31"/>
  <c r="K40" i="31"/>
  <c r="I40" i="31"/>
  <c r="G40" i="31"/>
  <c r="E40" i="31"/>
  <c r="C40" i="31"/>
  <c r="B40" i="31"/>
  <c r="S39" i="31"/>
  <c r="R39" i="31"/>
  <c r="Q39" i="31"/>
  <c r="O39" i="31"/>
  <c r="M39" i="31"/>
  <c r="K39" i="31"/>
  <c r="I39" i="31"/>
  <c r="G39" i="31"/>
  <c r="E39" i="31"/>
  <c r="C39" i="31"/>
  <c r="B39" i="31"/>
  <c r="S38" i="31"/>
  <c r="R38" i="31"/>
  <c r="Q38" i="31"/>
  <c r="O38" i="31"/>
  <c r="M38" i="31"/>
  <c r="K38" i="31"/>
  <c r="I38" i="31"/>
  <c r="G38" i="31"/>
  <c r="E38" i="31"/>
  <c r="C38" i="31"/>
  <c r="B38" i="31"/>
  <c r="S37" i="31"/>
  <c r="R37" i="31"/>
  <c r="Q37" i="31"/>
  <c r="O37" i="31"/>
  <c r="M37" i="31"/>
  <c r="K37" i="31"/>
  <c r="I37" i="31"/>
  <c r="G37" i="31"/>
  <c r="E37" i="31"/>
  <c r="C37" i="31"/>
  <c r="B37" i="31"/>
  <c r="S36" i="31"/>
  <c r="R36" i="31"/>
  <c r="Q36" i="31"/>
  <c r="O36" i="31"/>
  <c r="M36" i="31"/>
  <c r="K36" i="31"/>
  <c r="I36" i="31"/>
  <c r="G36" i="31"/>
  <c r="E36" i="31"/>
  <c r="C36" i="31"/>
  <c r="B36" i="31"/>
  <c r="S35" i="31"/>
  <c r="R35" i="31"/>
  <c r="Q35" i="31"/>
  <c r="O35" i="31"/>
  <c r="M35" i="31"/>
  <c r="K35" i="31"/>
  <c r="I35" i="31"/>
  <c r="G35" i="31"/>
  <c r="E35" i="31"/>
  <c r="C35" i="31"/>
  <c r="B35" i="31"/>
  <c r="S34" i="31"/>
  <c r="R34" i="31"/>
  <c r="Q34" i="31"/>
  <c r="O34" i="31"/>
  <c r="M34" i="31"/>
  <c r="K34" i="31"/>
  <c r="I34" i="31"/>
  <c r="G34" i="31"/>
  <c r="E34" i="31"/>
  <c r="C34" i="31"/>
  <c r="B34" i="31"/>
  <c r="S33" i="31"/>
  <c r="R33" i="31"/>
  <c r="Q33" i="31"/>
  <c r="O33" i="31"/>
  <c r="M33" i="31"/>
  <c r="K33" i="31"/>
  <c r="I33" i="31"/>
  <c r="G33" i="31"/>
  <c r="E33" i="31"/>
  <c r="C33" i="31"/>
  <c r="B33" i="31"/>
  <c r="S32" i="31"/>
  <c r="R32" i="31"/>
  <c r="Q32" i="31"/>
  <c r="O32" i="31"/>
  <c r="M32" i="31"/>
  <c r="K32" i="31"/>
  <c r="I32" i="31"/>
  <c r="G32" i="31"/>
  <c r="E32" i="31"/>
  <c r="C32" i="31"/>
  <c r="B32" i="31"/>
  <c r="S31" i="31"/>
  <c r="R31" i="31"/>
  <c r="Q31" i="31"/>
  <c r="O31" i="31"/>
  <c r="M31" i="31"/>
  <c r="K31" i="31"/>
  <c r="I31" i="31"/>
  <c r="G31" i="31"/>
  <c r="E31" i="31"/>
  <c r="C31" i="31"/>
  <c r="B31" i="31"/>
  <c r="S30" i="31"/>
  <c r="R30" i="31"/>
  <c r="Q30" i="31"/>
  <c r="O30" i="31"/>
  <c r="M30" i="31"/>
  <c r="K30" i="31"/>
  <c r="I30" i="31"/>
  <c r="G30" i="31"/>
  <c r="E30" i="31"/>
  <c r="C30" i="31"/>
  <c r="B30" i="31"/>
  <c r="S29" i="31"/>
  <c r="R29" i="31"/>
  <c r="Q29" i="31"/>
  <c r="O29" i="31"/>
  <c r="M29" i="31"/>
  <c r="K29" i="31"/>
  <c r="I29" i="31"/>
  <c r="G29" i="31"/>
  <c r="E29" i="31"/>
  <c r="C29" i="31"/>
  <c r="B29" i="31"/>
  <c r="S28" i="31"/>
  <c r="R28" i="31"/>
  <c r="Q28" i="31"/>
  <c r="O28" i="31"/>
  <c r="M28" i="31"/>
  <c r="K28" i="31"/>
  <c r="I28" i="31"/>
  <c r="G28" i="31"/>
  <c r="E28" i="31"/>
  <c r="C28" i="31"/>
  <c r="B28" i="31"/>
  <c r="S27" i="31"/>
  <c r="R27" i="31"/>
  <c r="Q27" i="31"/>
  <c r="O27" i="31"/>
  <c r="M27" i="31"/>
  <c r="K27" i="31"/>
  <c r="I27" i="31"/>
  <c r="G27" i="31"/>
  <c r="E27" i="31"/>
  <c r="C27" i="31"/>
  <c r="B27" i="31"/>
  <c r="S26" i="31"/>
  <c r="R26" i="31"/>
  <c r="Q26" i="31"/>
  <c r="O26" i="31"/>
  <c r="M26" i="31"/>
  <c r="K26" i="31"/>
  <c r="I26" i="31"/>
  <c r="G26" i="31"/>
  <c r="E26" i="31"/>
  <c r="C26" i="31"/>
  <c r="B26" i="31"/>
  <c r="S25" i="31"/>
  <c r="R25" i="31"/>
  <c r="Q25" i="31"/>
  <c r="O25" i="31"/>
  <c r="M25" i="31"/>
  <c r="K25" i="31"/>
  <c r="I25" i="31"/>
  <c r="G25" i="31"/>
  <c r="E25" i="31"/>
  <c r="C25" i="31"/>
  <c r="B25" i="31"/>
  <c r="S24" i="31"/>
  <c r="R24" i="31"/>
  <c r="B24" i="31"/>
  <c r="P23" i="31"/>
  <c r="N23" i="31"/>
  <c r="L23" i="31"/>
  <c r="J23" i="31"/>
  <c r="H23" i="31"/>
  <c r="F23" i="31"/>
  <c r="D23" i="31"/>
  <c r="S22" i="31"/>
  <c r="R22" i="31"/>
  <c r="B22" i="31"/>
  <c r="B20" i="31"/>
  <c r="B21" i="31" s="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S2" i="31"/>
  <c r="R2" i="31"/>
  <c r="Q2" i="31"/>
  <c r="P2" i="31"/>
  <c r="O2" i="31"/>
  <c r="N2" i="31"/>
  <c r="M2" i="31"/>
  <c r="L2" i="31"/>
  <c r="K2" i="31"/>
  <c r="J2" i="31"/>
  <c r="I2" i="31"/>
  <c r="H2" i="31"/>
  <c r="G2" i="31"/>
  <c r="F2" i="31"/>
  <c r="E2" i="31"/>
  <c r="D2" i="31"/>
  <c r="C2" i="31"/>
  <c r="H6" i="86"/>
  <c r="G6" i="86"/>
  <c r="F6" i="86"/>
  <c r="H5" i="86"/>
  <c r="G5" i="86"/>
  <c r="F5" i="86"/>
  <c r="H4" i="86"/>
  <c r="G4" i="86"/>
  <c r="F4" i="86"/>
  <c r="B101" i="35"/>
  <c r="B99" i="35"/>
  <c r="B97" i="35"/>
  <c r="G96" i="35"/>
  <c r="F96" i="35"/>
  <c r="E96" i="35"/>
  <c r="D96" i="35"/>
  <c r="M94" i="35"/>
  <c r="L94" i="35"/>
  <c r="K94" i="35"/>
  <c r="J94" i="35"/>
  <c r="I94" i="35"/>
  <c r="H94" i="35"/>
  <c r="G94" i="35"/>
  <c r="F94" i="35"/>
  <c r="E94" i="35"/>
  <c r="D94" i="35"/>
  <c r="E91" i="35"/>
  <c r="D91" i="35"/>
  <c r="C91"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C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I7" i="35"/>
  <c r="H7" i="35"/>
  <c r="G7" i="35"/>
  <c r="F7" i="35"/>
  <c r="E7" i="35"/>
  <c r="C7" i="35"/>
  <c r="M3" i="35"/>
  <c r="F3" i="35"/>
  <c r="D3" i="35"/>
  <c r="B3" i="35"/>
  <c r="B2" i="35"/>
  <c r="A126" i="9"/>
  <c r="A124" i="9"/>
  <c r="A122" i="9"/>
  <c r="D121" i="9"/>
  <c r="K120" i="9"/>
  <c r="D120" i="9"/>
  <c r="A120" i="9"/>
  <c r="C118" i="9"/>
  <c r="B118" i="9"/>
  <c r="A118" i="9"/>
  <c r="H112" i="9"/>
  <c r="C8" i="74" s="1"/>
  <c r="H111" i="9"/>
  <c r="D126" i="9" s="1"/>
  <c r="E111" i="9"/>
  <c r="H109" i="9"/>
  <c r="D124"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B16" i="74"/>
  <c r="B15" i="74"/>
  <c r="B14" i="74"/>
  <c r="B10" i="74"/>
  <c r="D8" i="74"/>
  <c r="B8" i="74"/>
  <c r="D7" i="74"/>
  <c r="B7" i="74"/>
  <c r="D6" i="74"/>
  <c r="B6" i="74"/>
  <c r="B3" i="74"/>
  <c r="B2" i="74"/>
  <c r="B1" i="74"/>
  <c r="C24" i="20"/>
  <c r="C22" i="20"/>
  <c r="C21" i="20"/>
  <c r="G20" i="20"/>
  <c r="C20" i="20"/>
  <c r="G19" i="20"/>
  <c r="G18" i="20"/>
  <c r="C18" i="20"/>
  <c r="C17" i="20"/>
  <c r="G16" i="20"/>
  <c r="C16" i="20"/>
  <c r="G15" i="20"/>
  <c r="C15" i="20"/>
  <c r="B52" i="1"/>
  <c r="B43" i="1"/>
  <c r="C42" i="1"/>
  <c r="B41" i="1"/>
  <c r="B31" i="1"/>
  <c r="L25" i="1"/>
  <c r="B24" i="1"/>
  <c r="B23" i="1"/>
  <c r="B22" i="1"/>
  <c r="V20" i="1"/>
  <c r="L19" i="1"/>
  <c r="L24" i="1" s="1"/>
  <c r="T16" i="1"/>
  <c r="S16" i="1"/>
  <c r="Q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T8" i="1"/>
  <c r="S8" i="1"/>
  <c r="R8" i="1"/>
  <c r="P8" i="1"/>
  <c r="O8" i="1"/>
  <c r="M8" i="1"/>
  <c r="L8" i="1"/>
  <c r="K8" i="1"/>
  <c r="J8" i="1"/>
  <c r="H8" i="1"/>
  <c r="G8" i="1"/>
  <c r="F8" i="1"/>
  <c r="E8" i="1"/>
  <c r="D8" i="1"/>
  <c r="B8" i="1"/>
  <c r="A8" i="1"/>
  <c r="AR7" i="1"/>
  <c r="AQ7" i="1"/>
  <c r="AP7" i="1"/>
  <c r="AG7" i="1"/>
  <c r="AE7" i="1"/>
  <c r="T7" i="1"/>
  <c r="S7" i="1"/>
  <c r="R7" i="1"/>
  <c r="P7" i="1"/>
  <c r="O7" i="1"/>
  <c r="L7" i="1"/>
  <c r="M7" i="1" s="1"/>
  <c r="K7" i="1"/>
  <c r="J7" i="1"/>
  <c r="G7" i="1"/>
  <c r="F7" i="1"/>
  <c r="E7" i="1"/>
  <c r="D7" i="1"/>
  <c r="B7" i="1"/>
  <c r="A7" i="1"/>
  <c r="AR6" i="1"/>
  <c r="AQ6" i="1"/>
  <c r="AP6" i="1"/>
  <c r="AH6" i="1"/>
  <c r="AG6" i="1"/>
  <c r="AE6" i="1"/>
  <c r="T6" i="1"/>
  <c r="S6" i="1"/>
  <c r="R6" i="1"/>
  <c r="P6" i="1"/>
  <c r="P16" i="1" s="1"/>
  <c r="C11" i="12" s="1"/>
  <c r="C12" i="12" s="1"/>
  <c r="O6" i="1"/>
  <c r="O16" i="1" s="1"/>
  <c r="M6" i="1"/>
  <c r="M16" i="1" s="1"/>
  <c r="K6" i="1"/>
  <c r="G6" i="1"/>
  <c r="F6" i="1"/>
  <c r="E6" i="1"/>
  <c r="D6" i="1"/>
  <c r="B6" i="1"/>
  <c r="A6" i="1"/>
  <c r="T4" i="1"/>
  <c r="B2" i="1"/>
  <c r="L237" i="90"/>
  <c r="J34" i="89"/>
  <c r="W2043" i="88"/>
  <c r="W2042" i="88"/>
  <c r="W2041" i="88"/>
  <c r="W2040" i="88"/>
  <c r="W2039" i="88"/>
  <c r="W2038" i="88"/>
  <c r="W2037" i="88"/>
  <c r="W2036" i="88"/>
  <c r="W2035" i="88"/>
  <c r="W2034" i="88"/>
  <c r="W2033" i="88"/>
  <c r="W2032" i="88"/>
  <c r="W2031" i="88"/>
  <c r="W2030" i="88"/>
  <c r="W2029" i="88"/>
  <c r="W2028" i="88"/>
  <c r="W2027" i="88"/>
  <c r="W2026" i="88"/>
  <c r="W2025" i="88"/>
  <c r="W2024" i="88"/>
  <c r="W2023" i="88"/>
  <c r="W2022" i="88"/>
  <c r="W2021" i="88"/>
  <c r="W2020" i="88"/>
  <c r="W2019" i="88"/>
  <c r="W2018" i="88"/>
  <c r="W2017" i="88"/>
  <c r="W2016" i="88"/>
  <c r="W2015" i="88"/>
  <c r="W2014" i="88"/>
  <c r="W2013" i="88"/>
  <c r="W2012" i="88"/>
  <c r="W2011" i="88"/>
  <c r="W2010" i="88"/>
  <c r="W2009" i="88"/>
  <c r="W2008" i="88"/>
  <c r="W2007" i="88"/>
  <c r="W2006" i="88"/>
  <c r="W2005" i="88"/>
  <c r="W2004" i="88"/>
  <c r="W2003" i="88"/>
  <c r="W2002" i="88"/>
  <c r="W2001" i="88"/>
  <c r="W2000" i="88"/>
  <c r="W1999" i="88"/>
  <c r="W1998" i="88"/>
  <c r="W1997" i="88"/>
  <c r="W1996" i="88"/>
  <c r="W1995" i="88"/>
  <c r="W1994" i="88"/>
  <c r="W1993" i="88"/>
  <c r="W1992" i="88"/>
  <c r="W1991" i="88"/>
  <c r="W1990" i="88"/>
  <c r="W1989" i="88"/>
  <c r="W1988" i="88"/>
  <c r="W1987" i="88"/>
  <c r="W1986" i="88"/>
  <c r="W1985" i="88"/>
  <c r="W1984" i="88"/>
  <c r="W1983" i="88"/>
  <c r="W1982" i="88"/>
  <c r="W1981" i="88"/>
  <c r="W1980" i="88"/>
  <c r="W1979" i="88"/>
  <c r="W1978" i="88"/>
  <c r="W1977" i="88"/>
  <c r="W1976" i="88"/>
  <c r="W1975" i="88"/>
  <c r="W1974" i="88"/>
  <c r="W1973" i="88"/>
  <c r="W1972" i="88"/>
  <c r="W1971" i="88"/>
  <c r="W1970" i="88"/>
  <c r="W1969" i="88"/>
  <c r="W1968" i="88"/>
  <c r="W1967" i="88"/>
  <c r="W1966" i="88"/>
  <c r="W1965" i="88"/>
  <c r="W1964" i="88"/>
  <c r="W1963" i="88"/>
  <c r="W1962" i="88"/>
  <c r="W1961" i="88"/>
  <c r="W1960" i="88"/>
  <c r="W1959" i="88"/>
  <c r="W1958" i="88"/>
  <c r="W1957" i="88"/>
  <c r="W1956" i="88"/>
  <c r="W1955" i="88"/>
  <c r="W1954" i="88"/>
  <c r="W1953" i="88"/>
  <c r="W1952" i="88"/>
  <c r="W1951" i="88"/>
  <c r="W1950" i="88"/>
  <c r="W1949" i="88"/>
  <c r="W1948" i="88"/>
  <c r="W1947" i="88"/>
  <c r="W1946" i="88"/>
  <c r="W1945" i="88"/>
  <c r="W1944" i="88"/>
  <c r="W1943" i="88"/>
  <c r="W1942" i="88"/>
  <c r="W1941" i="88"/>
  <c r="W1940" i="88"/>
  <c r="W1939" i="88"/>
  <c r="W1938" i="88"/>
  <c r="W1937" i="88"/>
  <c r="W1936" i="88"/>
  <c r="W1935" i="88"/>
  <c r="W1934" i="88"/>
  <c r="W1933" i="88"/>
  <c r="W1932" i="88"/>
  <c r="W1931" i="88"/>
  <c r="W1930" i="88"/>
  <c r="W1929" i="88"/>
  <c r="W1928" i="88"/>
  <c r="W1927" i="88"/>
  <c r="W1926" i="88"/>
  <c r="W1925" i="88"/>
  <c r="W1924" i="88"/>
  <c r="W1923" i="88"/>
  <c r="W1922" i="88"/>
  <c r="W1921" i="88"/>
  <c r="W1920" i="88"/>
  <c r="W1919" i="88"/>
  <c r="W1918" i="88"/>
  <c r="W1917" i="88"/>
  <c r="W1916" i="88"/>
  <c r="W1915" i="88"/>
  <c r="W1914" i="88"/>
  <c r="W1913" i="88"/>
  <c r="W1912" i="88"/>
  <c r="W1911" i="88"/>
  <c r="W1910" i="88"/>
  <c r="W1909" i="88"/>
  <c r="W1908" i="88"/>
  <c r="W1907" i="88"/>
  <c r="W1906" i="88"/>
  <c r="W1905" i="88"/>
  <c r="W1904" i="88"/>
  <c r="W1903" i="88"/>
  <c r="W1902" i="88"/>
  <c r="W1901" i="88"/>
  <c r="W1900" i="88"/>
  <c r="W1899" i="88"/>
  <c r="W1898" i="88"/>
  <c r="W1897" i="88"/>
  <c r="W1896" i="88"/>
  <c r="W1895" i="88"/>
  <c r="W1894" i="88"/>
  <c r="W1893" i="88"/>
  <c r="W1892" i="88"/>
  <c r="W1891" i="88"/>
  <c r="W1890" i="88"/>
  <c r="W1889" i="88"/>
  <c r="W1888" i="88"/>
  <c r="W1887" i="88"/>
  <c r="W1886" i="88"/>
  <c r="W1885" i="88"/>
  <c r="W1884" i="88"/>
  <c r="W1883" i="88"/>
  <c r="W1882" i="88"/>
  <c r="W1881" i="88"/>
  <c r="W1880" i="88"/>
  <c r="W1879" i="88"/>
  <c r="W1878" i="88"/>
  <c r="W1877" i="88"/>
  <c r="W1876" i="88"/>
  <c r="W1875" i="88"/>
  <c r="W1874" i="88"/>
  <c r="W1873" i="88"/>
  <c r="W1872" i="88"/>
  <c r="W1871" i="88"/>
  <c r="W1870" i="88"/>
  <c r="W1869" i="88"/>
  <c r="W1868" i="88"/>
  <c r="W1867" i="88"/>
  <c r="W1866" i="88"/>
  <c r="W1865" i="88"/>
  <c r="W1864" i="88"/>
  <c r="W1863" i="88"/>
  <c r="W1862" i="88"/>
  <c r="W1861" i="88"/>
  <c r="W1860" i="88"/>
  <c r="W1859" i="88"/>
  <c r="W1858" i="88"/>
  <c r="W1857" i="88"/>
  <c r="W1856" i="88"/>
  <c r="W1855" i="88"/>
  <c r="W1854" i="88"/>
  <c r="W1853" i="88"/>
  <c r="W1852" i="88"/>
  <c r="W1851" i="88"/>
  <c r="W1850" i="88"/>
  <c r="W1849" i="88"/>
  <c r="W1848" i="88"/>
  <c r="W1847" i="88"/>
  <c r="W1846" i="88"/>
  <c r="W1845" i="88"/>
  <c r="W1844" i="88"/>
  <c r="W1843" i="88"/>
  <c r="W1842" i="88"/>
  <c r="W1841" i="88"/>
  <c r="W1840" i="88"/>
  <c r="W1839" i="88"/>
  <c r="W1838" i="88"/>
  <c r="W1837" i="88"/>
  <c r="W1836" i="88"/>
  <c r="W1835" i="88"/>
  <c r="W1834" i="88"/>
  <c r="W1833" i="88"/>
  <c r="W1832" i="88"/>
  <c r="W1831" i="88"/>
  <c r="W1830" i="88"/>
  <c r="W1829" i="88"/>
  <c r="W1828" i="88"/>
  <c r="W1827" i="88"/>
  <c r="W1826" i="88"/>
  <c r="W1825" i="88"/>
  <c r="W1824" i="88"/>
  <c r="W1823" i="88"/>
  <c r="W1822" i="88"/>
  <c r="W1821" i="88"/>
  <c r="W1820" i="88"/>
  <c r="W1819" i="88"/>
  <c r="W1818" i="88"/>
  <c r="W1817" i="88"/>
  <c r="W1816" i="88"/>
  <c r="W1815" i="88"/>
  <c r="W1814" i="88"/>
  <c r="W1813" i="88"/>
  <c r="W1812" i="88"/>
  <c r="W1811" i="88"/>
  <c r="W1810" i="88"/>
  <c r="W1809" i="88"/>
  <c r="W1808" i="88"/>
  <c r="W1807" i="88"/>
  <c r="W1806" i="88"/>
  <c r="W1805" i="88"/>
  <c r="W1804" i="88"/>
  <c r="W1803" i="88"/>
  <c r="W1802" i="88"/>
  <c r="W1801" i="88"/>
  <c r="W1800" i="88"/>
  <c r="W1799" i="88"/>
  <c r="W1798" i="88"/>
  <c r="W1797" i="88"/>
  <c r="W1796" i="88"/>
  <c r="W1795" i="88"/>
  <c r="W1794" i="88"/>
  <c r="W1793" i="88"/>
  <c r="W1792" i="88"/>
  <c r="W1791" i="88"/>
  <c r="W1790" i="88"/>
  <c r="W1789" i="88"/>
  <c r="W1788" i="88"/>
  <c r="W1787" i="88"/>
  <c r="W1786" i="88"/>
  <c r="W1785" i="88"/>
  <c r="W1784" i="88"/>
  <c r="W1783" i="88"/>
  <c r="W1782" i="88"/>
  <c r="W1781" i="88"/>
  <c r="W1780" i="88"/>
  <c r="W1779" i="88"/>
  <c r="W1778" i="88"/>
  <c r="W1777" i="88"/>
  <c r="W1776" i="88"/>
  <c r="W1775" i="88"/>
  <c r="W1774" i="88"/>
  <c r="W1773" i="88"/>
  <c r="W1772" i="88"/>
  <c r="W1771" i="88"/>
  <c r="W1770" i="88"/>
  <c r="W1769" i="88"/>
  <c r="W1768" i="88"/>
  <c r="W1767" i="88"/>
  <c r="W1766" i="88"/>
  <c r="W1765" i="88"/>
  <c r="W1764" i="88"/>
  <c r="W1763" i="88"/>
  <c r="W1762" i="88"/>
  <c r="W1761" i="88"/>
  <c r="W1760" i="88"/>
  <c r="W1759" i="88"/>
  <c r="W1758" i="88"/>
  <c r="W1757" i="88"/>
  <c r="W1756" i="88"/>
  <c r="W1755" i="88"/>
  <c r="W1754" i="88"/>
  <c r="W1753" i="88"/>
  <c r="W1752" i="88"/>
  <c r="W1751" i="88"/>
  <c r="W1750" i="88"/>
  <c r="W1749" i="88"/>
  <c r="W1748" i="88"/>
  <c r="W1747" i="88"/>
  <c r="W1746" i="88"/>
  <c r="W1745" i="88"/>
  <c r="W1744" i="88"/>
  <c r="W1743" i="88"/>
  <c r="W1742" i="88"/>
  <c r="W1741" i="88"/>
  <c r="W1740" i="88"/>
  <c r="W1739" i="88"/>
  <c r="W1738" i="88"/>
  <c r="W1737" i="88"/>
  <c r="W1736" i="88"/>
  <c r="W1735" i="88"/>
  <c r="W1734" i="88"/>
  <c r="W1733" i="88"/>
  <c r="W1732" i="88"/>
  <c r="W1731" i="88"/>
  <c r="W1730" i="88"/>
  <c r="W1729" i="88"/>
  <c r="W1728" i="88"/>
  <c r="W1727" i="88"/>
  <c r="W1726" i="88"/>
  <c r="W1725" i="88"/>
  <c r="W1724" i="88"/>
  <c r="W1723" i="88"/>
  <c r="W1722" i="88"/>
  <c r="W1721" i="88"/>
  <c r="W1720" i="88"/>
  <c r="W1719" i="88"/>
  <c r="W1718" i="88"/>
  <c r="W1717" i="88"/>
  <c r="W1716" i="88"/>
  <c r="W1715" i="88"/>
  <c r="W1714" i="88"/>
  <c r="W1713" i="88"/>
  <c r="W1712" i="88"/>
  <c r="W1711" i="88"/>
  <c r="W1710" i="88"/>
  <c r="W1709" i="88"/>
  <c r="W1708" i="88"/>
  <c r="W1707" i="88"/>
  <c r="W1706" i="88"/>
  <c r="W1705" i="88"/>
  <c r="W1704" i="88"/>
  <c r="W1703" i="88"/>
  <c r="W1702" i="88"/>
  <c r="W1701" i="88"/>
  <c r="W1700" i="88"/>
  <c r="W1699" i="88"/>
  <c r="W1698" i="88"/>
  <c r="W1697" i="88"/>
  <c r="W1696" i="88"/>
  <c r="W1695" i="88"/>
  <c r="W1694" i="88"/>
  <c r="W1693" i="88"/>
  <c r="W1692" i="88"/>
  <c r="W1691" i="88"/>
  <c r="W1690" i="88"/>
  <c r="W1689" i="88"/>
  <c r="W1688" i="88"/>
  <c r="W1687" i="88"/>
  <c r="W1686" i="88"/>
  <c r="W1685" i="88"/>
  <c r="W1684" i="88"/>
  <c r="W1683" i="88"/>
  <c r="W1682" i="88"/>
  <c r="W1681" i="88"/>
  <c r="W1680" i="88"/>
  <c r="W1679" i="88"/>
  <c r="W1678" i="88"/>
  <c r="W1677" i="88"/>
  <c r="W1676" i="88"/>
  <c r="W1675" i="88"/>
  <c r="W1674" i="88"/>
  <c r="W1673" i="88"/>
  <c r="W1672" i="88"/>
  <c r="W1671" i="88"/>
  <c r="W1670" i="88"/>
  <c r="W1669" i="88"/>
  <c r="W1668" i="88"/>
  <c r="W1667" i="88"/>
  <c r="W1666" i="88"/>
  <c r="W1665" i="88"/>
  <c r="W1664" i="88"/>
  <c r="W1663" i="88"/>
  <c r="W1662" i="88"/>
  <c r="W1661" i="88"/>
  <c r="W1660" i="88"/>
  <c r="W1659" i="88"/>
  <c r="W1658" i="88"/>
  <c r="W1657" i="88"/>
  <c r="W1656" i="88"/>
  <c r="W1655" i="88"/>
  <c r="W1654" i="88"/>
  <c r="W1653" i="88"/>
  <c r="W1652" i="88"/>
  <c r="W1651" i="88"/>
  <c r="W1650" i="88"/>
  <c r="W1649" i="88"/>
  <c r="W1430" i="88"/>
  <c r="W1429" i="88"/>
  <c r="W1428" i="88"/>
  <c r="W1427" i="88"/>
  <c r="W1426" i="88"/>
  <c r="W1425" i="88"/>
  <c r="W1424" i="88"/>
  <c r="W1423" i="88"/>
  <c r="W1422" i="88"/>
  <c r="W1421" i="88"/>
  <c r="W1420" i="88"/>
  <c r="W1419" i="88"/>
  <c r="W1418" i="88"/>
  <c r="W1417" i="88"/>
  <c r="W1416" i="88"/>
  <c r="W1415" i="88"/>
  <c r="W1414" i="88"/>
  <c r="W1413" i="88"/>
  <c r="W1412" i="88"/>
  <c r="W1411" i="88"/>
  <c r="W1410" i="88"/>
  <c r="W1409" i="88"/>
  <c r="W1408" i="88"/>
  <c r="W1407" i="88"/>
  <c r="W1406" i="88"/>
  <c r="W1405" i="88"/>
  <c r="W1404" i="88"/>
  <c r="W1403" i="88"/>
  <c r="W1402" i="88"/>
  <c r="W1401" i="88"/>
  <c r="W1400" i="88"/>
  <c r="W1399" i="88"/>
  <c r="W1398" i="88"/>
  <c r="W1397" i="88"/>
  <c r="W1396" i="88"/>
  <c r="W1395" i="88"/>
  <c r="W1394" i="88"/>
  <c r="W1393" i="88"/>
  <c r="W1392" i="88"/>
  <c r="W1391" i="88"/>
  <c r="W1390" i="88"/>
  <c r="W1389" i="88"/>
  <c r="W1388" i="88"/>
  <c r="W1387" i="88"/>
  <c r="W1386" i="88"/>
  <c r="W1385" i="88"/>
  <c r="W1384" i="88"/>
  <c r="W1383" i="88"/>
  <c r="W1382" i="88"/>
  <c r="W1381" i="88"/>
  <c r="W1380" i="88"/>
  <c r="W1379" i="88"/>
  <c r="W1378" i="88"/>
  <c r="W1377" i="88"/>
  <c r="W1376" i="88"/>
  <c r="W1375" i="88"/>
  <c r="W1374" i="88"/>
  <c r="W1373" i="88"/>
  <c r="W1372" i="88"/>
  <c r="W1371" i="88"/>
  <c r="W1370" i="88"/>
  <c r="W1369" i="88"/>
  <c r="W1368" i="88"/>
  <c r="W1367" i="88"/>
  <c r="W1366" i="88"/>
  <c r="W1365" i="88"/>
  <c r="W1364" i="88"/>
  <c r="W1363" i="88"/>
  <c r="W1362" i="88"/>
  <c r="W1361" i="88"/>
  <c r="W1360" i="88"/>
  <c r="W1359" i="88"/>
  <c r="W1358" i="88"/>
  <c r="W1357" i="88"/>
  <c r="W1356" i="88"/>
  <c r="W1355" i="88"/>
  <c r="W1354" i="88"/>
  <c r="W1353" i="88"/>
  <c r="W1352" i="88"/>
  <c r="W1351" i="88"/>
  <c r="W1350" i="88"/>
  <c r="W1349" i="88"/>
  <c r="W1348" i="88"/>
  <c r="W1347" i="88"/>
  <c r="W1346" i="88"/>
  <c r="W1345" i="88"/>
  <c r="W1344" i="88"/>
  <c r="W1343" i="88"/>
  <c r="W1342" i="88"/>
  <c r="W1341" i="88"/>
  <c r="W1340" i="88"/>
  <c r="W1339" i="88"/>
  <c r="W1338" i="88"/>
  <c r="W1337" i="88"/>
  <c r="W1336" i="88"/>
  <c r="W1335" i="88"/>
  <c r="W1334" i="88"/>
  <c r="W1333" i="88"/>
  <c r="W1332" i="88"/>
  <c r="W1331" i="88"/>
  <c r="W1330" i="88"/>
  <c r="W1329" i="88"/>
  <c r="W1328" i="88"/>
  <c r="W1327" i="88"/>
  <c r="W1326" i="88"/>
  <c r="W1325" i="88"/>
  <c r="W1324" i="88"/>
  <c r="W1323" i="88"/>
  <c r="W1322" i="88"/>
  <c r="W1321" i="88"/>
  <c r="W1320" i="88"/>
  <c r="W1319" i="88"/>
  <c r="W1318" i="88"/>
  <c r="W1317" i="88"/>
  <c r="W1316" i="88"/>
  <c r="W1315" i="88"/>
  <c r="W1314" i="88"/>
  <c r="W1313" i="88"/>
  <c r="W1312" i="88"/>
  <c r="W1311" i="88"/>
  <c r="W1310" i="88"/>
  <c r="W1309" i="88"/>
  <c r="W1308" i="88"/>
  <c r="W1307" i="88"/>
  <c r="W1306" i="88"/>
  <c r="W1305" i="88"/>
  <c r="W1304" i="88"/>
  <c r="W1303" i="88"/>
  <c r="W1302" i="88"/>
  <c r="W1301" i="88"/>
  <c r="W1300" i="88"/>
  <c r="W1299" i="88"/>
  <c r="W1298" i="88"/>
  <c r="W1297" i="88"/>
  <c r="W1296" i="88"/>
  <c r="W1295" i="88"/>
  <c r="W1294" i="88"/>
  <c r="W1293" i="88"/>
  <c r="W1292" i="88"/>
  <c r="W1291" i="88"/>
  <c r="W1290" i="88"/>
  <c r="W1289" i="88"/>
  <c r="W1288" i="88"/>
  <c r="W1287" i="88"/>
  <c r="W1286" i="88"/>
  <c r="W1285" i="88"/>
  <c r="W1284" i="88"/>
  <c r="W1283" i="88"/>
  <c r="W1282" i="88"/>
  <c r="W1281" i="88"/>
  <c r="W1280" i="88"/>
  <c r="W1279" i="88"/>
  <c r="W1278" i="88"/>
  <c r="W1277" i="88"/>
  <c r="W1276" i="88"/>
  <c r="W1275" i="88"/>
  <c r="W1274" i="88"/>
  <c r="W1273" i="88"/>
  <c r="W1272" i="88"/>
  <c r="W1271" i="88"/>
  <c r="W1270" i="88"/>
  <c r="W1269" i="88"/>
  <c r="W1268" i="88"/>
  <c r="W1267" i="88"/>
  <c r="W1266" i="88"/>
  <c r="W1265" i="88"/>
  <c r="W1264" i="88"/>
  <c r="W1263" i="88"/>
  <c r="W1262" i="88"/>
  <c r="W1261" i="88"/>
  <c r="W1260" i="88"/>
  <c r="W1259" i="88"/>
  <c r="W1258" i="88"/>
  <c r="W1257" i="88"/>
  <c r="W1256" i="88"/>
  <c r="W1255" i="88"/>
  <c r="W1254" i="88"/>
  <c r="W1253" i="88"/>
  <c r="W1252" i="88"/>
  <c r="W1251" i="88"/>
  <c r="W1250" i="88"/>
  <c r="W1249" i="88"/>
  <c r="W1248" i="88"/>
  <c r="W1247" i="88"/>
  <c r="W1246" i="88"/>
  <c r="W1245" i="88"/>
  <c r="W1244" i="88"/>
  <c r="W1243" i="88"/>
  <c r="W1242" i="88"/>
  <c r="W1241" i="88"/>
  <c r="W1240" i="88"/>
  <c r="W1239" i="88"/>
  <c r="W1238" i="88"/>
  <c r="W1237" i="88"/>
  <c r="W1236" i="88"/>
  <c r="W1235" i="88"/>
  <c r="W1234" i="88"/>
  <c r="W1233" i="88"/>
  <c r="W1232" i="88"/>
  <c r="W1231" i="88"/>
  <c r="W1230" i="88"/>
  <c r="W1229" i="88"/>
  <c r="W1228" i="88"/>
  <c r="W1227" i="88"/>
  <c r="W1226" i="88"/>
  <c r="W1225" i="88"/>
  <c r="W1224" i="88"/>
  <c r="W1223" i="88"/>
  <c r="W1222" i="88"/>
  <c r="W1221" i="88"/>
  <c r="W1220" i="88"/>
  <c r="W1219" i="88"/>
  <c r="W1218" i="88"/>
  <c r="W1217" i="88"/>
  <c r="W1216" i="88"/>
  <c r="W1215" i="88"/>
  <c r="W1214" i="88"/>
  <c r="W1213" i="88"/>
  <c r="W1212" i="88"/>
  <c r="W1211" i="88"/>
  <c r="W1210" i="88"/>
  <c r="W1209" i="88"/>
  <c r="W1208" i="88"/>
  <c r="W1207" i="88"/>
  <c r="W1206" i="88"/>
  <c r="W1205" i="88"/>
  <c r="W1204" i="88"/>
  <c r="W1203" i="88"/>
  <c r="W1202" i="88"/>
  <c r="W1201" i="88"/>
  <c r="W1200" i="88"/>
  <c r="W1199" i="88"/>
  <c r="W1198" i="88"/>
  <c r="W1197" i="88"/>
  <c r="W1196" i="88"/>
  <c r="W1195" i="88"/>
  <c r="W1194" i="88"/>
  <c r="W1193" i="88"/>
  <c r="W1192" i="88"/>
  <c r="W1191" i="88"/>
  <c r="W1190" i="88"/>
  <c r="W1189" i="88"/>
  <c r="W1188" i="88"/>
  <c r="W1187" i="88"/>
  <c r="W1186" i="88"/>
  <c r="W1185" i="88"/>
  <c r="W1184" i="88"/>
  <c r="W1183" i="88"/>
  <c r="W1182" i="88"/>
  <c r="W1181" i="88"/>
  <c r="W1180" i="88"/>
  <c r="W1179" i="88"/>
  <c r="W1178" i="88"/>
  <c r="W1177" i="88"/>
  <c r="W1176" i="88"/>
  <c r="W1175" i="88"/>
  <c r="W1174" i="88"/>
  <c r="W1173" i="88"/>
  <c r="W1172" i="88"/>
  <c r="W1171" i="88"/>
  <c r="W1170" i="88"/>
  <c r="W1169" i="88"/>
  <c r="W1168" i="88"/>
  <c r="W1167" i="88"/>
  <c r="W1166" i="88"/>
  <c r="W1165" i="88"/>
  <c r="W1164" i="88"/>
  <c r="W1163" i="88"/>
  <c r="W1162" i="88"/>
  <c r="W1161" i="88"/>
  <c r="W1160" i="88"/>
  <c r="W1159" i="88"/>
  <c r="W1158" i="88"/>
  <c r="W1157" i="88"/>
  <c r="W1156" i="88"/>
  <c r="W1155" i="88"/>
  <c r="W1154" i="88"/>
  <c r="W1153" i="88"/>
  <c r="W1152" i="88"/>
  <c r="W1151" i="88"/>
  <c r="W1150" i="88"/>
  <c r="W1149" i="88"/>
  <c r="W1148" i="88"/>
  <c r="W1147" i="88"/>
  <c r="W1146" i="88"/>
  <c r="W1145" i="88"/>
  <c r="W1144" i="88"/>
  <c r="W1143" i="88"/>
  <c r="W1142" i="88"/>
  <c r="W1141" i="88"/>
  <c r="W1140" i="88"/>
  <c r="W1139" i="88"/>
  <c r="W1138" i="88"/>
  <c r="W1137" i="88"/>
  <c r="W1136" i="88"/>
  <c r="W1135" i="88"/>
  <c r="W1134" i="88"/>
  <c r="W1133" i="88"/>
  <c r="W1132" i="88"/>
  <c r="W1131" i="88"/>
  <c r="W1130" i="88"/>
  <c r="W1129" i="88"/>
  <c r="W1128" i="88"/>
  <c r="W1127" i="88"/>
  <c r="W1126" i="88"/>
  <c r="W1125" i="88"/>
  <c r="W1124" i="88"/>
  <c r="W1123" i="88"/>
  <c r="W1122" i="88"/>
  <c r="W1121" i="88"/>
  <c r="W1120" i="88"/>
  <c r="W1119" i="88"/>
  <c r="W1118" i="88"/>
  <c r="W1117" i="88"/>
  <c r="W1116" i="88"/>
  <c r="W1115" i="88"/>
  <c r="W1114" i="88"/>
  <c r="W1113" i="88"/>
  <c r="W1112" i="88"/>
  <c r="W1111" i="88"/>
  <c r="W1110" i="88"/>
  <c r="W1109" i="88"/>
  <c r="W1108" i="88"/>
  <c r="W1107" i="88"/>
  <c r="W1106" i="88"/>
  <c r="W1105" i="88"/>
  <c r="W1104" i="88"/>
  <c r="W555" i="88"/>
  <c r="W554" i="88"/>
  <c r="W553" i="88"/>
  <c r="W552" i="88"/>
  <c r="W551" i="88"/>
  <c r="W550" i="88"/>
  <c r="W549" i="88"/>
  <c r="W548" i="88"/>
  <c r="W547" i="88"/>
  <c r="W546" i="88"/>
  <c r="W545" i="88"/>
  <c r="W544" i="88"/>
  <c r="W543" i="88"/>
  <c r="W542" i="88"/>
  <c r="W541" i="88"/>
  <c r="W540" i="88"/>
  <c r="W539" i="88"/>
  <c r="W538" i="88"/>
  <c r="W537" i="88"/>
  <c r="W536" i="88"/>
  <c r="W535" i="88"/>
  <c r="W534" i="88"/>
  <c r="W533" i="88"/>
  <c r="W532" i="88"/>
  <c r="W531" i="88"/>
  <c r="W530" i="88"/>
  <c r="W529" i="88"/>
  <c r="W528" i="88"/>
  <c r="W527" i="88"/>
  <c r="W526" i="88"/>
  <c r="W525" i="88"/>
  <c r="W524" i="88"/>
  <c r="W523" i="88"/>
  <c r="W522" i="88"/>
  <c r="W521" i="88"/>
  <c r="W520" i="88"/>
  <c r="W519" i="88"/>
  <c r="W518" i="88"/>
  <c r="W517" i="88"/>
  <c r="W516" i="88"/>
  <c r="W515" i="88"/>
  <c r="W514" i="88"/>
  <c r="W513" i="88"/>
  <c r="W512" i="88"/>
  <c r="W511" i="88"/>
  <c r="W510" i="88"/>
  <c r="W509" i="88"/>
  <c r="W508" i="88"/>
  <c r="W507" i="88"/>
  <c r="W506" i="88"/>
  <c r="W505" i="88"/>
  <c r="W504" i="88"/>
  <c r="W503" i="88"/>
  <c r="W502" i="88"/>
  <c r="W501" i="88"/>
  <c r="W500" i="88"/>
  <c r="W499" i="88"/>
  <c r="W498" i="88"/>
  <c r="W497" i="88"/>
  <c r="W496" i="88"/>
  <c r="W495" i="88"/>
  <c r="W494" i="88"/>
  <c r="W493" i="88"/>
  <c r="W492" i="88"/>
  <c r="W491" i="88"/>
  <c r="W490" i="88"/>
  <c r="W489" i="88"/>
  <c r="W488" i="88"/>
  <c r="W487" i="88"/>
  <c r="W486" i="88"/>
  <c r="W485" i="88"/>
  <c r="W484" i="88"/>
  <c r="W483" i="88"/>
  <c r="W482" i="88"/>
  <c r="W481" i="88"/>
  <c r="W480" i="88"/>
  <c r="W479" i="88"/>
  <c r="W478" i="88"/>
  <c r="W477" i="88"/>
  <c r="W476" i="88"/>
  <c r="W475" i="88"/>
  <c r="W474" i="88"/>
  <c r="W473" i="88"/>
  <c r="W472" i="88"/>
  <c r="W471" i="88"/>
  <c r="W470" i="88"/>
  <c r="W469" i="88"/>
  <c r="W468" i="88"/>
  <c r="W467" i="88"/>
  <c r="W466" i="88"/>
  <c r="W465" i="88"/>
  <c r="W464" i="88"/>
  <c r="W463" i="88"/>
  <c r="W462" i="88"/>
  <c r="W461" i="88"/>
  <c r="W460" i="88"/>
  <c r="W459" i="88"/>
  <c r="W458" i="88"/>
  <c r="W457" i="88"/>
  <c r="W456" i="88"/>
  <c r="W455" i="88"/>
  <c r="W454" i="88"/>
  <c r="W453" i="88"/>
  <c r="W452" i="88"/>
  <c r="W451" i="88"/>
  <c r="W450" i="88"/>
  <c r="W449" i="88"/>
  <c r="W448" i="88"/>
  <c r="W447" i="88"/>
  <c r="W446" i="88"/>
  <c r="W445" i="88"/>
  <c r="W444" i="88"/>
  <c r="W443" i="88"/>
  <c r="W442" i="88"/>
  <c r="W441" i="88"/>
  <c r="W440" i="88"/>
  <c r="W439" i="88"/>
  <c r="W438" i="88"/>
  <c r="W437" i="88"/>
  <c r="W436" i="88"/>
  <c r="W435" i="88"/>
  <c r="W434" i="88"/>
  <c r="W433" i="88"/>
  <c r="W432" i="88"/>
  <c r="W431" i="88"/>
  <c r="W430" i="88"/>
  <c r="W429" i="88"/>
  <c r="W428" i="88"/>
  <c r="W427" i="88"/>
  <c r="W426" i="88"/>
  <c r="W425" i="88"/>
  <c r="W424" i="88"/>
  <c r="W423" i="88"/>
  <c r="W422" i="88"/>
  <c r="W421" i="88"/>
  <c r="W420" i="88"/>
  <c r="W419" i="88"/>
  <c r="W418" i="88"/>
  <c r="W417" i="88"/>
  <c r="W416" i="88"/>
  <c r="W415" i="88"/>
  <c r="W414" i="88"/>
  <c r="W413" i="88"/>
  <c r="W412" i="88"/>
  <c r="W411" i="88"/>
  <c r="W410" i="88"/>
  <c r="W409" i="88"/>
  <c r="W408" i="88"/>
  <c r="W407" i="88"/>
  <c r="W406" i="88"/>
  <c r="W405" i="88"/>
  <c r="W404" i="88"/>
  <c r="W403" i="88"/>
  <c r="W402" i="88"/>
  <c r="W401" i="88"/>
  <c r="W400" i="88"/>
  <c r="W399" i="88"/>
  <c r="W398" i="88"/>
  <c r="W397" i="88"/>
  <c r="W396" i="88"/>
  <c r="W395" i="88"/>
  <c r="W394" i="88"/>
  <c r="W393" i="88"/>
  <c r="W392" i="88"/>
  <c r="W391" i="88"/>
  <c r="W390" i="88"/>
  <c r="W389" i="88"/>
  <c r="W388" i="88"/>
  <c r="W387" i="88"/>
  <c r="W386" i="88"/>
  <c r="W385" i="88"/>
  <c r="W384" i="88"/>
  <c r="W383" i="88"/>
  <c r="W382" i="88"/>
  <c r="W381" i="88"/>
  <c r="W380" i="88"/>
  <c r="W379" i="88"/>
  <c r="W378" i="88"/>
  <c r="W377" i="88"/>
  <c r="W376" i="88"/>
  <c r="W375" i="88"/>
  <c r="W374" i="88"/>
  <c r="W373" i="88"/>
  <c r="W372" i="88"/>
  <c r="W371" i="88"/>
  <c r="W370" i="88"/>
  <c r="W369" i="88"/>
  <c r="W368" i="88"/>
  <c r="W367" i="88"/>
  <c r="W366" i="88"/>
  <c r="W365" i="88"/>
  <c r="W364" i="88"/>
  <c r="W363" i="88"/>
  <c r="W362" i="88"/>
  <c r="W361" i="88"/>
  <c r="W360" i="88"/>
  <c r="W359" i="88"/>
  <c r="W358" i="88"/>
  <c r="W357" i="88"/>
  <c r="W356" i="88"/>
  <c r="W355" i="88"/>
  <c r="W354" i="88"/>
  <c r="W353" i="88"/>
  <c r="W352" i="88"/>
  <c r="W351" i="88"/>
  <c r="W350" i="88"/>
  <c r="W349" i="88"/>
  <c r="W348" i="88"/>
  <c r="W347" i="88"/>
  <c r="W346" i="88"/>
  <c r="W345" i="88"/>
  <c r="W344" i="88"/>
  <c r="W343" i="88"/>
  <c r="W342" i="88"/>
  <c r="W341" i="88"/>
  <c r="W340" i="88"/>
  <c r="W339" i="88"/>
  <c r="W338" i="88"/>
  <c r="W337" i="88"/>
  <c r="W336" i="88"/>
  <c r="W335" i="88"/>
  <c r="W334" i="88"/>
  <c r="W333" i="88"/>
  <c r="W332" i="88"/>
  <c r="W331" i="88"/>
  <c r="W330" i="88"/>
  <c r="W329" i="88"/>
  <c r="W328" i="88"/>
  <c r="W327" i="88"/>
  <c r="W326" i="88"/>
  <c r="W325" i="88"/>
  <c r="W324" i="88"/>
  <c r="W323" i="88"/>
  <c r="W322" i="88"/>
  <c r="W321" i="88"/>
  <c r="W320" i="88"/>
  <c r="W319" i="88"/>
  <c r="W318" i="88"/>
  <c r="W317" i="88"/>
  <c r="W316" i="88"/>
  <c r="W315" i="88"/>
  <c r="W314" i="88"/>
  <c r="W313" i="88"/>
  <c r="W312" i="88"/>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G21" i="6"/>
  <c r="E21" i="6"/>
  <c r="D21" i="6"/>
  <c r="S20" i="6"/>
  <c r="R20" i="6"/>
  <c r="P20" i="6"/>
  <c r="M20" i="6"/>
  <c r="L20" i="6"/>
  <c r="K20" i="6"/>
  <c r="I20" i="6"/>
  <c r="H20" i="6"/>
  <c r="G20" i="6"/>
  <c r="E20" i="6"/>
  <c r="D20" i="6"/>
  <c r="S19" i="6"/>
  <c r="R19" i="6"/>
  <c r="P19" i="6"/>
  <c r="M19" i="6"/>
  <c r="L19" i="6"/>
  <c r="K19" i="6"/>
  <c r="I19" i="6"/>
  <c r="H19" i="6"/>
  <c r="G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4" i="49" s="1"/>
  <c r="D14" i="49" s="1"/>
  <c r="A21" i="62"/>
  <c r="A20" i="62"/>
  <c r="A19" i="62"/>
  <c r="A18" i="62"/>
  <c r="A15" i="62"/>
  <c r="A14" i="62"/>
  <c r="A13" i="62"/>
  <c r="A12" i="62"/>
  <c r="B5" i="62"/>
  <c r="A5" i="62"/>
  <c r="B4" i="62"/>
  <c r="A4" i="62"/>
  <c r="A12" i="52"/>
  <c r="A10" i="52"/>
  <c r="A8" i="52"/>
  <c r="D7" i="52"/>
  <c r="D6" i="52"/>
  <c r="A6" i="52"/>
  <c r="C4" i="52"/>
  <c r="B4" i="52"/>
  <c r="A4" i="52"/>
  <c r="H2" i="52"/>
  <c r="F2" i="52"/>
  <c r="D2" i="52"/>
  <c r="A1" i="52"/>
  <c r="D21" i="53"/>
  <c r="D19" i="53"/>
  <c r="D20" i="53"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40"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D5" i="73"/>
  <c r="F43" i="67"/>
  <c r="M24" i="67"/>
  <c r="C36" i="69"/>
  <c r="E2" i="69"/>
  <c r="F4" i="73"/>
  <c r="C76" i="67"/>
  <c r="F35" i="67"/>
  <c r="F26" i="67"/>
  <c r="M21" i="67"/>
  <c r="M9" i="67"/>
  <c r="D10" i="69"/>
  <c r="D4" i="73"/>
  <c r="F42" i="67"/>
  <c r="M22" i="67"/>
  <c r="F7" i="67"/>
  <c r="D2" i="33"/>
  <c r="F5" i="73"/>
  <c r="L48" i="67"/>
  <c r="F38" i="67"/>
  <c r="M29" i="67"/>
  <c r="F16" i="67"/>
  <c r="M8" i="67"/>
  <c r="C34" i="69"/>
  <c r="B12" i="76"/>
  <c r="B8" i="76"/>
  <c r="D2" i="21"/>
  <c r="L48" i="15"/>
  <c r="F43" i="15"/>
  <c r="M24" i="15"/>
  <c r="C34" i="84"/>
  <c r="E11" i="76"/>
  <c r="E7" i="76"/>
  <c r="D9" i="84"/>
  <c r="B13" i="76"/>
  <c r="B9" i="76"/>
  <c r="C20" i="83"/>
  <c r="E12" i="76"/>
  <c r="E8" i="76"/>
  <c r="D2" i="37"/>
  <c r="F41" i="15"/>
  <c r="F36" i="15"/>
  <c r="M26" i="15"/>
  <c r="F13" i="15"/>
  <c r="F42" i="15"/>
  <c r="M9" i="15"/>
  <c r="D10" i="68"/>
  <c r="AO7" i="1"/>
  <c r="M27" i="15"/>
  <c r="C14" i="15"/>
  <c r="F7" i="15"/>
  <c r="D2" i="35"/>
  <c r="AO6" i="1"/>
  <c r="J15" i="15"/>
  <c r="M6" i="15"/>
  <c r="C20" i="9"/>
  <c r="AO9" i="1"/>
  <c r="F26" i="15"/>
  <c r="F8" i="15"/>
  <c r="E2" i="68"/>
  <c r="C19" i="9"/>
  <c r="D7" i="73"/>
  <c r="D3" i="73"/>
  <c r="F40" i="67"/>
  <c r="F8" i="67"/>
  <c r="D9" i="69"/>
  <c r="F6" i="73"/>
  <c r="G1" i="73"/>
  <c r="F37" i="67"/>
  <c r="M27" i="67"/>
  <c r="M23" i="67"/>
  <c r="J15" i="67"/>
  <c r="F6" i="67"/>
  <c r="D6" i="73"/>
  <c r="F20" i="85"/>
  <c r="M28" i="67"/>
  <c r="F9" i="67"/>
  <c r="F27" i="69"/>
  <c r="F7" i="73"/>
  <c r="F3" i="73"/>
  <c r="L47" i="67"/>
  <c r="F36" i="67"/>
  <c r="M26" i="67"/>
  <c r="F13" i="67"/>
  <c r="M6" i="67"/>
  <c r="F27" i="84"/>
  <c r="B10" i="76"/>
  <c r="B6" i="76"/>
  <c r="D2" i="36"/>
  <c r="L47" i="15"/>
  <c r="F40" i="15"/>
  <c r="C36" i="84"/>
  <c r="E13" i="76"/>
  <c r="E9" i="76"/>
  <c r="D2" i="34"/>
  <c r="E2" i="84"/>
  <c r="B11" i="76"/>
  <c r="B7" i="76"/>
  <c r="D10" i="84"/>
  <c r="E10" i="76"/>
  <c r="E6" i="76"/>
  <c r="C19" i="83"/>
  <c r="F38" i="15"/>
  <c r="M29" i="15"/>
  <c r="F16" i="15"/>
  <c r="C76" i="15"/>
  <c r="M23" i="15"/>
  <c r="F6" i="15"/>
  <c r="AO11" i="1"/>
  <c r="F35" i="15"/>
  <c r="M22" i="15"/>
  <c r="F9" i="15"/>
  <c r="F27" i="68"/>
  <c r="AO12" i="1"/>
  <c r="M28" i="15"/>
  <c r="M8" i="15"/>
  <c r="C36" i="68"/>
  <c r="AO13" i="1"/>
  <c r="F37" i="15"/>
  <c r="M21" i="15"/>
  <c r="D9" i="68"/>
  <c r="F20" i="31"/>
  <c r="AO10" i="1"/>
  <c r="C34" i="68"/>
  <c r="C18" i="9" l="1"/>
  <c r="D18" i="9" s="1"/>
  <c r="C34" i="11"/>
  <c r="C38" i="11" s="1"/>
  <c r="N16" i="1"/>
  <c r="L16" i="1"/>
  <c r="C36" i="11"/>
  <c r="C35" i="11"/>
  <c r="C33" i="11" s="1"/>
  <c r="C18" i="83"/>
  <c r="D18" i="83" s="1"/>
  <c r="C18" i="91"/>
  <c r="D18" i="91" s="1"/>
  <c r="H32" i="33"/>
  <c r="F101" i="33"/>
  <c r="H23" i="33"/>
  <c r="F85" i="33"/>
  <c r="G85" i="33" s="1"/>
  <c r="F23" i="33"/>
  <c r="J23" i="33"/>
  <c r="F19" i="33"/>
  <c r="F81" i="33"/>
  <c r="G81" i="33" s="1"/>
  <c r="J19" i="33"/>
  <c r="H19" i="33"/>
  <c r="W10" i="33"/>
  <c r="C15" i="12"/>
  <c r="C18" i="12"/>
  <c r="R16" i="1"/>
  <c r="S10" i="33"/>
  <c r="C14" i="12"/>
  <c r="D17" i="12"/>
  <c r="C17" i="12" s="1"/>
  <c r="U10" i="33"/>
  <c r="C35" i="68"/>
  <c r="C38" i="68"/>
  <c r="B10" i="70"/>
  <c r="C102" i="9"/>
  <c r="C21" i="9"/>
  <c r="C9" i="68"/>
  <c r="D19" i="68"/>
  <c r="D37" i="68" s="1"/>
  <c r="C37" i="68" s="1"/>
  <c r="F51" i="15"/>
  <c r="J20" i="15"/>
  <c r="C27" i="15"/>
  <c r="F65" i="15"/>
  <c r="B9" i="70"/>
  <c r="B13" i="70"/>
  <c r="C103" i="9"/>
  <c r="B6" i="70"/>
  <c r="B12" i="70"/>
  <c r="C47" i="68"/>
  <c r="D45" i="68" s="1"/>
  <c r="F45" i="68"/>
  <c r="C29" i="68"/>
  <c r="D27" i="68" s="1"/>
  <c r="F50" i="15"/>
  <c r="M7" i="15"/>
  <c r="J6" i="15" s="1"/>
  <c r="C15" i="15"/>
  <c r="C18" i="15"/>
  <c r="F63" i="15"/>
  <c r="C62" i="15" s="1"/>
  <c r="C34" i="15"/>
  <c r="B7" i="70"/>
  <c r="B11" i="70"/>
  <c r="C10" i="68"/>
  <c r="C6" i="15"/>
  <c r="Q71" i="15"/>
  <c r="F64" i="15"/>
  <c r="F66" i="15"/>
  <c r="F69" i="15"/>
  <c r="C102" i="83"/>
  <c r="C21" i="83"/>
  <c r="E2" i="76"/>
  <c r="C10" i="84"/>
  <c r="C103" i="83"/>
  <c r="D19" i="84"/>
  <c r="D37" i="84" s="1"/>
  <c r="C37" i="84" s="1"/>
  <c r="C9" i="84"/>
  <c r="C38" i="84"/>
  <c r="C35" i="84"/>
  <c r="F68" i="15"/>
  <c r="F71" i="15"/>
  <c r="L59" i="15"/>
  <c r="M59" i="15"/>
  <c r="N59" i="15"/>
  <c r="L58" i="15"/>
  <c r="J57" i="15"/>
  <c r="J55" i="15" s="1"/>
  <c r="J58" i="15" s="1"/>
  <c r="Q50" i="15" s="1"/>
  <c r="J53" i="15"/>
  <c r="I54" i="15"/>
  <c r="L57" i="15"/>
  <c r="L60" i="15"/>
  <c r="L56" i="15"/>
  <c r="B2" i="76"/>
  <c r="F45" i="84"/>
  <c r="C29" i="84"/>
  <c r="D27" i="84" s="1"/>
  <c r="C47" i="84"/>
  <c r="D45" i="84" s="1"/>
  <c r="C35" i="69"/>
  <c r="C38" i="69"/>
  <c r="F64" i="67"/>
  <c r="F66" i="67"/>
  <c r="N59" i="67"/>
  <c r="L58" i="67"/>
  <c r="M59" i="67"/>
  <c r="L59" i="67"/>
  <c r="L60" i="67"/>
  <c r="I54" i="67"/>
  <c r="J60" i="67"/>
  <c r="Q48" i="67" s="1"/>
  <c r="J59" i="67"/>
  <c r="L57" i="67"/>
  <c r="L56" i="67"/>
  <c r="J57" i="67"/>
  <c r="J55" i="67" s="1"/>
  <c r="J58" i="67" s="1"/>
  <c r="Q50" i="67" s="1"/>
  <c r="J53" i="67"/>
  <c r="F45" i="69"/>
  <c r="C29" i="69"/>
  <c r="D27" i="69" s="1"/>
  <c r="C47" i="69"/>
  <c r="D45" i="69" s="1"/>
  <c r="M7" i="67"/>
  <c r="J6" i="67" s="1"/>
  <c r="F50" i="67"/>
  <c r="B20" i="85"/>
  <c r="B21" i="85" s="1"/>
  <c r="C10" i="69"/>
  <c r="C6" i="67"/>
  <c r="J20" i="67"/>
  <c r="C27" i="67"/>
  <c r="F63" i="67"/>
  <c r="C62" i="67" s="1"/>
  <c r="C34" i="67"/>
  <c r="F65" i="67"/>
  <c r="Q71" i="67"/>
  <c r="B40" i="1"/>
  <c r="I1" i="73"/>
  <c r="B39" i="1" s="1"/>
  <c r="C9" i="69"/>
  <c r="D19" i="69"/>
  <c r="D37" i="69" s="1"/>
  <c r="C37" i="69" s="1"/>
  <c r="F51" i="67"/>
  <c r="F68" i="67"/>
  <c r="F71" i="67"/>
  <c r="D125" i="9"/>
  <c r="D11" i="52" s="1"/>
  <c r="D10" i="52"/>
  <c r="D127" i="9"/>
  <c r="D13" i="52" s="1"/>
  <c r="D12" i="52"/>
  <c r="F15" i="49"/>
  <c r="H15" i="49" s="1"/>
  <c r="C92" i="9"/>
  <c r="H110" i="9"/>
  <c r="F4" i="49"/>
  <c r="H4" i="49" s="1"/>
  <c r="F5" i="49"/>
  <c r="H5" i="49" s="1"/>
  <c r="F6" i="49"/>
  <c r="H6" i="49" s="1"/>
  <c r="F7" i="49"/>
  <c r="H7" i="49" s="1"/>
  <c r="F8" i="49"/>
  <c r="H8" i="49" s="1"/>
  <c r="F9" i="49"/>
  <c r="H9" i="49" s="1"/>
  <c r="F10" i="49"/>
  <c r="H10" i="49" s="1"/>
  <c r="F11" i="49"/>
  <c r="H11" i="49" s="1"/>
  <c r="F12" i="49"/>
  <c r="H12" i="49" s="1"/>
  <c r="F13" i="49"/>
  <c r="H13" i="49" s="1"/>
  <c r="F14" i="49"/>
  <c r="H14" i="49" s="1"/>
  <c r="B4" i="49"/>
  <c r="D4" i="49" s="1"/>
  <c r="B5" i="49"/>
  <c r="D5" i="49" s="1"/>
  <c r="B6" i="49"/>
  <c r="D6" i="49" s="1"/>
  <c r="B7" i="49"/>
  <c r="D7" i="49" s="1"/>
  <c r="B8" i="49"/>
  <c r="D8" i="49" s="1"/>
  <c r="B9" i="49"/>
  <c r="D9" i="49" s="1"/>
  <c r="B10" i="49"/>
  <c r="D10" i="49" s="1"/>
  <c r="B11" i="49"/>
  <c r="D11" i="49" s="1"/>
  <c r="B12" i="49"/>
  <c r="D12" i="49" s="1"/>
  <c r="B13" i="49"/>
  <c r="D13" i="49" s="1"/>
  <c r="C16" i="12"/>
  <c r="C94" i="83"/>
  <c r="H110" i="83"/>
  <c r="C94" i="91"/>
  <c r="H110" i="91"/>
  <c r="C16" i="15"/>
  <c r="C17" i="67"/>
  <c r="C16" i="67"/>
  <c r="C14" i="67"/>
  <c r="C17" i="15"/>
  <c r="F50" i="11" l="1"/>
  <c r="F50" i="68"/>
  <c r="F50" i="69"/>
  <c r="F50" i="84"/>
  <c r="C39" i="11"/>
  <c r="C46" i="11" s="1"/>
  <c r="C45" i="11" s="1"/>
  <c r="C21" i="12"/>
  <c r="C8" i="84"/>
  <c r="C5" i="84" s="1"/>
  <c r="C20" i="84" s="1"/>
  <c r="J32" i="33"/>
  <c r="G101" i="33"/>
  <c r="H101" i="33" s="1"/>
  <c r="I101" i="33" s="1"/>
  <c r="J101" i="33" s="1"/>
  <c r="K101" i="33" s="1"/>
  <c r="L101" i="33" s="1"/>
  <c r="M101" i="33" s="1"/>
  <c r="F32" i="33"/>
  <c r="AB32" i="33"/>
  <c r="U32" i="33"/>
  <c r="AC23" i="33"/>
  <c r="W23" i="33"/>
  <c r="AA23" i="33"/>
  <c r="S23" i="33"/>
  <c r="AB23" i="33"/>
  <c r="U23" i="33"/>
  <c r="C33" i="69"/>
  <c r="C39" i="69" s="1"/>
  <c r="B3" i="76"/>
  <c r="AB19" i="33"/>
  <c r="T48" i="33" s="1"/>
  <c r="G48" i="33" s="1"/>
  <c r="U19" i="33"/>
  <c r="AC19" i="33"/>
  <c r="W19" i="33"/>
  <c r="L46" i="67"/>
  <c r="C8" i="69"/>
  <c r="C5" i="69" s="1"/>
  <c r="AA19" i="33"/>
  <c r="S19" i="33"/>
  <c r="C33" i="84"/>
  <c r="C33" i="68"/>
  <c r="C39" i="68" s="1"/>
  <c r="C46" i="68" s="1"/>
  <c r="C45" i="68" s="1"/>
  <c r="C18" i="67"/>
  <c r="C15" i="67"/>
  <c r="C19" i="15"/>
  <c r="J19" i="67"/>
  <c r="J18" i="67"/>
  <c r="C22" i="12"/>
  <c r="C30" i="12" s="1"/>
  <c r="C28" i="12" s="1"/>
  <c r="C7" i="74"/>
  <c r="D18" i="53"/>
  <c r="B35" i="72" s="1"/>
  <c r="L36" i="94"/>
  <c r="L36" i="43"/>
  <c r="F22" i="11"/>
  <c r="F24" i="67"/>
  <c r="C24" i="67" s="1"/>
  <c r="F22" i="69"/>
  <c r="C42" i="69" s="1"/>
  <c r="F22" i="84"/>
  <c r="F25" i="12"/>
  <c r="C26" i="12" s="1"/>
  <c r="D25" i="12" s="1"/>
  <c r="F22" i="68"/>
  <c r="F24" i="15"/>
  <c r="C24" i="15" s="1"/>
  <c r="Q52" i="67"/>
  <c r="F1" i="67"/>
  <c r="Q57" i="67"/>
  <c r="Q66" i="67"/>
  <c r="Q60" i="15"/>
  <c r="Q73" i="15"/>
  <c r="C20" i="69"/>
  <c r="Q74" i="67"/>
  <c r="Q61" i="67"/>
  <c r="Q66" i="15"/>
  <c r="Q57" i="15"/>
  <c r="C32" i="15"/>
  <c r="C33" i="15"/>
  <c r="J19" i="15"/>
  <c r="J18" i="15"/>
  <c r="C49" i="15"/>
  <c r="M11" i="67"/>
  <c r="J10" i="67" s="1"/>
  <c r="J5" i="67" s="1"/>
  <c r="F11" i="67"/>
  <c r="C53" i="67" s="1"/>
  <c r="M11" i="15"/>
  <c r="J10" i="15" s="1"/>
  <c r="J5" i="15" s="1"/>
  <c r="F11" i="15"/>
  <c r="C33" i="67"/>
  <c r="C32" i="67"/>
  <c r="Q52" i="15"/>
  <c r="F1" i="15"/>
  <c r="C49" i="67"/>
  <c r="Q73" i="67"/>
  <c r="Q60" i="67"/>
  <c r="Q61" i="15"/>
  <c r="Q74" i="15"/>
  <c r="C8" i="68"/>
  <c r="C5" i="68" s="1"/>
  <c r="AE8" i="1"/>
  <c r="C23" i="84" l="1"/>
  <c r="C25" i="84"/>
  <c r="C31" i="67"/>
  <c r="C28" i="69"/>
  <c r="C27" i="69" s="1"/>
  <c r="AC32" i="33"/>
  <c r="V48" i="33" s="1"/>
  <c r="I48" i="33" s="1"/>
  <c r="W32" i="33"/>
  <c r="J17" i="67"/>
  <c r="AA32" i="33"/>
  <c r="R48" i="33" s="1"/>
  <c r="S32" i="33"/>
  <c r="C46" i="69"/>
  <c r="C45" i="69" s="1"/>
  <c r="C25" i="69"/>
  <c r="G52" i="33"/>
  <c r="H52" i="33" s="1"/>
  <c r="C27" i="12"/>
  <c r="C25" i="12" s="1"/>
  <c r="C32" i="12" s="1"/>
  <c r="B2" i="12" s="1"/>
  <c r="B3" i="12" s="1"/>
  <c r="C43" i="69"/>
  <c r="C41" i="69" s="1"/>
  <c r="C10" i="67"/>
  <c r="C5" i="67" s="1"/>
  <c r="C38" i="67" s="1"/>
  <c r="C23" i="69"/>
  <c r="C31" i="15"/>
  <c r="C39" i="84"/>
  <c r="C46" i="84" s="1"/>
  <c r="C45" i="84" s="1"/>
  <c r="C19" i="67"/>
  <c r="C20" i="67" s="1"/>
  <c r="C23" i="67" s="1"/>
  <c r="C42" i="84"/>
  <c r="J26" i="67"/>
  <c r="J24" i="67"/>
  <c r="J26" i="15"/>
  <c r="J29" i="15" s="1"/>
  <c r="J24" i="15"/>
  <c r="C26" i="68"/>
  <c r="D22" i="68" s="1"/>
  <c r="C44" i="68"/>
  <c r="D41" i="68" s="1"/>
  <c r="F41" i="68"/>
  <c r="C24" i="68"/>
  <c r="C23" i="68"/>
  <c r="C20" i="68"/>
  <c r="C25" i="68" s="1"/>
  <c r="C53" i="15"/>
  <c r="C48" i="15" s="1"/>
  <c r="C10" i="15"/>
  <c r="C5" i="15" s="1"/>
  <c r="C48" i="67"/>
  <c r="C61" i="67"/>
  <c r="C44" i="84"/>
  <c r="D41" i="84" s="1"/>
  <c r="F41" i="84"/>
  <c r="C26" i="84"/>
  <c r="D22" i="84" s="1"/>
  <c r="C24" i="84"/>
  <c r="P36" i="43"/>
  <c r="O36" i="43"/>
  <c r="N36" i="43"/>
  <c r="L37" i="43"/>
  <c r="Q36" i="43"/>
  <c r="M36" i="43"/>
  <c r="C43" i="68"/>
  <c r="C20" i="15"/>
  <c r="C26" i="15" s="1"/>
  <c r="C61" i="15"/>
  <c r="C28" i="84"/>
  <c r="C27" i="84" s="1"/>
  <c r="J17" i="15"/>
  <c r="C26" i="69"/>
  <c r="D22" i="69" s="1"/>
  <c r="C44" i="69"/>
  <c r="D41" i="69" s="1"/>
  <c r="F41" i="69"/>
  <c r="C24" i="69"/>
  <c r="P36" i="94"/>
  <c r="O36" i="94"/>
  <c r="N36" i="94"/>
  <c r="L37" i="94"/>
  <c r="Q36" i="94"/>
  <c r="M36" i="94"/>
  <c r="C42" i="68"/>
  <c r="C23" i="11"/>
  <c r="C44" i="11"/>
  <c r="D41" i="11" s="1"/>
  <c r="C26" i="11"/>
  <c r="D22" i="11" s="1"/>
  <c r="C43" i="11"/>
  <c r="C25" i="11"/>
  <c r="C42" i="11"/>
  <c r="C24" i="11"/>
  <c r="F41" i="67"/>
  <c r="C43" i="84" l="1"/>
  <c r="C41" i="84" s="1"/>
  <c r="C49" i="84" s="1"/>
  <c r="C51" i="84" s="1"/>
  <c r="F69" i="67"/>
  <c r="J29" i="67"/>
  <c r="C22" i="84"/>
  <c r="C31" i="84" s="1"/>
  <c r="I52" i="33"/>
  <c r="J52" i="33" s="1"/>
  <c r="G53" i="33"/>
  <c r="H53" i="33" s="1"/>
  <c r="E48" i="33"/>
  <c r="E53" i="33" s="1"/>
  <c r="F53" i="33" s="1"/>
  <c r="R49" i="33"/>
  <c r="C48" i="33" s="1"/>
  <c r="C41" i="68"/>
  <c r="C49" i="68" s="1"/>
  <c r="C51" i="68" s="1"/>
  <c r="C41" i="11"/>
  <c r="C49" i="11" s="1"/>
  <c r="C51" i="11" s="1"/>
  <c r="C49" i="69"/>
  <c r="C51" i="69" s="1"/>
  <c r="C49" i="33"/>
  <c r="C28" i="68"/>
  <c r="C27" i="68" s="1"/>
  <c r="C22" i="69"/>
  <c r="C31" i="69" s="1"/>
  <c r="C23" i="15"/>
  <c r="C29" i="15" s="1"/>
  <c r="C22" i="68"/>
  <c r="C60" i="15"/>
  <c r="C59" i="15" s="1"/>
  <c r="C66" i="15"/>
  <c r="C22" i="11"/>
  <c r="C31" i="11" s="1"/>
  <c r="O37" i="43"/>
  <c r="N37" i="43"/>
  <c r="Q37" i="43"/>
  <c r="M37" i="43"/>
  <c r="P37" i="43"/>
  <c r="C26" i="67"/>
  <c r="C29" i="67" s="1"/>
  <c r="O37" i="94"/>
  <c r="N37" i="94"/>
  <c r="Q37" i="94"/>
  <c r="M37" i="94"/>
  <c r="P37" i="94"/>
  <c r="C66" i="67"/>
  <c r="C60" i="67"/>
  <c r="C59" i="67" s="1"/>
  <c r="C38" i="15"/>
  <c r="C31" i="68" l="1"/>
  <c r="C52" i="68" s="1"/>
  <c r="C52" i="69"/>
  <c r="B2" i="69" s="1"/>
  <c r="E52" i="33"/>
  <c r="F52" i="33" s="1"/>
  <c r="I53" i="33"/>
  <c r="J53" i="33" s="1"/>
  <c r="C52" i="11"/>
  <c r="B2" i="11" s="1"/>
  <c r="B3" i="11" s="1"/>
  <c r="B3" i="33"/>
  <c r="B2" i="33"/>
  <c r="J14" i="15"/>
  <c r="J13" i="15" s="1"/>
  <c r="J23" i="15" s="1"/>
  <c r="C36" i="15"/>
  <c r="J59" i="15"/>
  <c r="J60" i="15" s="1"/>
  <c r="Q48" i="15" s="1"/>
  <c r="Q49" i="15"/>
  <c r="C57" i="15"/>
  <c r="C64" i="15" s="1"/>
  <c r="C13" i="15"/>
  <c r="Q70" i="15" s="1"/>
  <c r="C52" i="84"/>
  <c r="B2" i="84" s="1"/>
  <c r="Q49" i="67"/>
  <c r="C36" i="67"/>
  <c r="J14" i="67"/>
  <c r="C13" i="67"/>
  <c r="C57" i="67"/>
  <c r="C64" i="67" s="1"/>
  <c r="C19" i="91"/>
  <c r="B3" i="69"/>
  <c r="C20" i="91"/>
  <c r="D19" i="83"/>
  <c r="B3" i="84"/>
  <c r="C57" i="69" l="1"/>
  <c r="C56" i="69" s="1"/>
  <c r="L46" i="15"/>
  <c r="C57" i="84"/>
  <c r="C56" i="84" s="1"/>
  <c r="B2" i="68"/>
  <c r="C57" i="68"/>
  <c r="C56" i="68" s="1"/>
  <c r="C103" i="91"/>
  <c r="C102" i="91"/>
  <c r="C21" i="91"/>
  <c r="C56" i="11"/>
  <c r="C57" i="11" s="1"/>
  <c r="C75" i="15"/>
  <c r="J22" i="15"/>
  <c r="J16" i="15" s="1"/>
  <c r="J25" i="15" s="1"/>
  <c r="G19" i="83"/>
  <c r="D21" i="83"/>
  <c r="D102" i="83"/>
  <c r="D22" i="83"/>
  <c r="C37" i="15"/>
  <c r="C30" i="15" s="1"/>
  <c r="C39" i="15" s="1"/>
  <c r="C40" i="15" s="1"/>
  <c r="C56" i="15"/>
  <c r="C65" i="15" s="1"/>
  <c r="C58" i="15" s="1"/>
  <c r="C67" i="15" s="1"/>
  <c r="C68" i="15" s="1"/>
  <c r="C71" i="15" s="1"/>
  <c r="J13" i="67"/>
  <c r="J23" i="67" s="1"/>
  <c r="J22" i="67"/>
  <c r="C56" i="67"/>
  <c r="C65" i="67" s="1"/>
  <c r="C58" i="67" s="1"/>
  <c r="C67" i="67" s="1"/>
  <c r="C68" i="67" s="1"/>
  <c r="C37" i="67"/>
  <c r="C30" i="67" s="1"/>
  <c r="C39" i="67" s="1"/>
  <c r="C75" i="67"/>
  <c r="Q70" i="67"/>
  <c r="D20" i="83"/>
  <c r="B3" i="68"/>
  <c r="L51" i="15"/>
  <c r="D35" i="91"/>
  <c r="D34" i="9"/>
  <c r="D34" i="83"/>
  <c r="D19" i="9"/>
  <c r="D34" i="91"/>
  <c r="D35" i="83"/>
  <c r="D35" i="9"/>
  <c r="D20" i="9"/>
  <c r="G20" i="83" l="1"/>
  <c r="D103" i="83"/>
  <c r="C80" i="15"/>
  <c r="C79" i="15" s="1"/>
  <c r="D103" i="9"/>
  <c r="G20" i="9"/>
  <c r="G19" i="9"/>
  <c r="D102" i="9"/>
  <c r="D21" i="9"/>
  <c r="D22" i="9"/>
  <c r="Q69" i="15"/>
  <c r="Q68" i="15" s="1"/>
  <c r="C32" i="83"/>
  <c r="G21" i="83"/>
  <c r="D15" i="74"/>
  <c r="Q67" i="15"/>
  <c r="Q69" i="67"/>
  <c r="Q68" i="67" s="1"/>
  <c r="C40" i="67"/>
  <c r="C45" i="67" s="1"/>
  <c r="C46" i="67" s="1"/>
  <c r="C71" i="67"/>
  <c r="Q65" i="15"/>
  <c r="Q75" i="15" s="1"/>
  <c r="B2" i="15"/>
  <c r="B3" i="15" s="1"/>
  <c r="Q56" i="15"/>
  <c r="Q62" i="15" s="1"/>
  <c r="Q47" i="15"/>
  <c r="Q53" i="15" s="1"/>
  <c r="C43" i="15"/>
  <c r="C83" i="15"/>
  <c r="C82" i="15" s="1"/>
  <c r="C46" i="15"/>
  <c r="C80" i="67"/>
  <c r="C79" i="67" s="1"/>
  <c r="J16" i="67"/>
  <c r="J25" i="67" s="1"/>
  <c r="L51" i="67"/>
  <c r="D14" i="74" l="1"/>
  <c r="C32" i="9"/>
  <c r="G23" i="9"/>
  <c r="G21" i="9"/>
  <c r="F15" i="74"/>
  <c r="E15" i="74"/>
  <c r="C35" i="83"/>
  <c r="F118" i="83" s="1"/>
  <c r="H118" i="83"/>
  <c r="Q67" i="67"/>
  <c r="Q56" i="67"/>
  <c r="Q62" i="67" s="1"/>
  <c r="Q47" i="67"/>
  <c r="Q53" i="67" s="1"/>
  <c r="C43" i="67"/>
  <c r="Q65" i="67"/>
  <c r="Q75" i="67" s="1"/>
  <c r="D2" i="67"/>
  <c r="C83" i="67"/>
  <c r="C82" i="67" s="1"/>
  <c r="H118" i="9" l="1"/>
  <c r="C35" i="9"/>
  <c r="F118" i="9" s="1"/>
  <c r="F14" i="74"/>
  <c r="E14" i="74"/>
  <c r="F119" i="83"/>
  <c r="G118" i="83"/>
  <c r="I118" i="83"/>
  <c r="H119" i="83"/>
  <c r="H101" i="83"/>
  <c r="C104" i="83"/>
  <c r="C34" i="83"/>
  <c r="D118" i="83" s="1"/>
  <c r="D119" i="83" s="1"/>
  <c r="B3" i="67"/>
  <c r="B2" i="67"/>
  <c r="AO8" i="1"/>
  <c r="D20" i="91"/>
  <c r="D19" i="91"/>
  <c r="C34" i="9" l="1"/>
  <c r="D118" i="9" s="1"/>
  <c r="D4" i="52" s="1"/>
  <c r="B47" i="72" s="1"/>
  <c r="F4" i="52"/>
  <c r="B51" i="72" s="1"/>
  <c r="F119" i="9"/>
  <c r="F5" i="52" s="1"/>
  <c r="B53" i="72" s="1"/>
  <c r="G118" i="9"/>
  <c r="G4" i="52" s="1"/>
  <c r="B52" i="72" s="1"/>
  <c r="H119" i="9"/>
  <c r="H5" i="52" s="1"/>
  <c r="I118" i="9"/>
  <c r="H101" i="9"/>
  <c r="C104" i="9"/>
  <c r="H4" i="52"/>
  <c r="H102" i="83"/>
  <c r="E118" i="83"/>
  <c r="C105" i="83"/>
  <c r="D45" i="83"/>
  <c r="M48" i="83"/>
  <c r="H107" i="83"/>
  <c r="D21" i="91"/>
  <c r="D102" i="91"/>
  <c r="D22" i="91"/>
  <c r="G19" i="91"/>
  <c r="B8" i="70"/>
  <c r="B2" i="70" s="1"/>
  <c r="B3" i="70" s="1"/>
  <c r="D103" i="91"/>
  <c r="G20" i="91"/>
  <c r="D119" i="9" l="1"/>
  <c r="D5" i="52" s="1"/>
  <c r="B49" i="72" s="1"/>
  <c r="E118" i="9"/>
  <c r="E4" i="52" s="1"/>
  <c r="B48" i="72" s="1"/>
  <c r="C105" i="9"/>
  <c r="H102" i="9"/>
  <c r="D7" i="53" s="1"/>
  <c r="B21" i="72" s="1"/>
  <c r="I4" i="52"/>
  <c r="D5" i="53"/>
  <c r="H107" i="9"/>
  <c r="M48" i="9"/>
  <c r="D45" i="9"/>
  <c r="H108" i="83"/>
  <c r="D122" i="83"/>
  <c r="D123" i="83" s="1"/>
  <c r="M49" i="83"/>
  <c r="D52" i="83"/>
  <c r="C64" i="83"/>
  <c r="C63" i="83" s="1"/>
  <c r="C67" i="83" s="1"/>
  <c r="D55" i="83"/>
  <c r="M53" i="83" s="1"/>
  <c r="C93" i="83"/>
  <c r="C86" i="83" s="1"/>
  <c r="D53" i="83"/>
  <c r="C72" i="83"/>
  <c r="C85" i="83"/>
  <c r="C78" i="83"/>
  <c r="C73" i="83" s="1"/>
  <c r="G21" i="91"/>
  <c r="C32" i="91"/>
  <c r="D16" i="74"/>
  <c r="D122" i="9" l="1"/>
  <c r="H108" i="9"/>
  <c r="M49" i="9"/>
  <c r="D13" i="53"/>
  <c r="B20" i="72"/>
  <c r="D6" i="53"/>
  <c r="B22" i="72" s="1"/>
  <c r="C78" i="9"/>
  <c r="C73" i="9" s="1"/>
  <c r="C72" i="9"/>
  <c r="D52" i="9"/>
  <c r="C64" i="9"/>
  <c r="C63" i="9" s="1"/>
  <c r="C67" i="9" s="1"/>
  <c r="C93" i="9"/>
  <c r="C86" i="9" s="1"/>
  <c r="D53" i="9"/>
  <c r="C85" i="9"/>
  <c r="D55" i="9"/>
  <c r="M53" i="9" s="1"/>
  <c r="C79" i="83"/>
  <c r="C80" i="83" s="1"/>
  <c r="E80" i="83" s="1"/>
  <c r="E81" i="83" s="1"/>
  <c r="C95" i="83"/>
  <c r="C96" i="83" s="1"/>
  <c r="E96" i="83" s="1"/>
  <c r="E97" i="83" s="1"/>
  <c r="L63" i="83"/>
  <c r="M63" i="83" s="1"/>
  <c r="L66" i="83"/>
  <c r="M66" i="83" s="1"/>
  <c r="L68" i="83"/>
  <c r="M68" i="83" s="1"/>
  <c r="L65" i="83"/>
  <c r="M65" i="83" s="1"/>
  <c r="L64" i="83"/>
  <c r="M64" i="83" s="1"/>
  <c r="L67" i="83"/>
  <c r="M67" i="83" s="1"/>
  <c r="D59" i="83"/>
  <c r="M55" i="83" s="1"/>
  <c r="C68" i="83"/>
  <c r="D54" i="83" s="1"/>
  <c r="F16" i="74"/>
  <c r="E16" i="74"/>
  <c r="B5" i="74"/>
  <c r="C97" i="83"/>
  <c r="D58" i="83" s="1"/>
  <c r="D56" i="83" s="1"/>
  <c r="M54" i="83" s="1"/>
  <c r="C35" i="91"/>
  <c r="F118" i="91" s="1"/>
  <c r="H118" i="91"/>
  <c r="N57" i="83" l="1"/>
  <c r="P57" i="83" s="1"/>
  <c r="C95" i="9"/>
  <c r="D8" i="52"/>
  <c r="D123" i="9"/>
  <c r="D9" i="52" s="1"/>
  <c r="C79" i="9"/>
  <c r="D14" i="53"/>
  <c r="B32" i="72" s="1"/>
  <c r="B30" i="72"/>
  <c r="L63" i="9"/>
  <c r="M63" i="9" s="1"/>
  <c r="L68" i="9"/>
  <c r="M68" i="9" s="1"/>
  <c r="L66" i="9"/>
  <c r="M66" i="9" s="1"/>
  <c r="L67" i="9"/>
  <c r="M67" i="9" s="1"/>
  <c r="L64" i="9"/>
  <c r="M64" i="9" s="1"/>
  <c r="L65" i="9"/>
  <c r="M65" i="9" s="1"/>
  <c r="C68" i="9"/>
  <c r="D54" i="9" s="1"/>
  <c r="D59" i="9"/>
  <c r="M55" i="9" s="1"/>
  <c r="C6" i="74"/>
  <c r="D15" i="53"/>
  <c r="B31" i="72" s="1"/>
  <c r="C34" i="91"/>
  <c r="D118" i="91" s="1"/>
  <c r="D119" i="91" s="1"/>
  <c r="M69" i="83"/>
  <c r="N69" i="83" s="1"/>
  <c r="C81" i="83"/>
  <c r="D5" i="74"/>
  <c r="C5" i="74"/>
  <c r="I118" i="91"/>
  <c r="H119" i="91"/>
  <c r="H101" i="91"/>
  <c r="C104" i="91"/>
  <c r="F119" i="91"/>
  <c r="G118" i="91"/>
  <c r="N59" i="83" l="1"/>
  <c r="N60" i="83" s="1"/>
  <c r="N58" i="83"/>
  <c r="C96" i="9"/>
  <c r="E96" i="9" s="1"/>
  <c r="E97" i="9" s="1"/>
  <c r="C80" i="9"/>
  <c r="E80" i="9" s="1"/>
  <c r="E81" i="9" s="1"/>
  <c r="M69" i="9"/>
  <c r="N69" i="9" s="1"/>
  <c r="H107" i="91"/>
  <c r="M48" i="91"/>
  <c r="D45" i="91"/>
  <c r="E118" i="91"/>
  <c r="C105" i="91"/>
  <c r="H102" i="91"/>
  <c r="N61" i="83" l="1"/>
  <c r="C81" i="9"/>
  <c r="C97" i="9"/>
  <c r="D58" i="9" s="1"/>
  <c r="D56" i="9" s="1"/>
  <c r="M54" i="9" s="1"/>
  <c r="N57" i="9" s="1"/>
  <c r="C72" i="91"/>
  <c r="C64" i="91"/>
  <c r="C63" i="91" s="1"/>
  <c r="C67" i="91" s="1"/>
  <c r="D53" i="91"/>
  <c r="C78" i="91"/>
  <c r="C73" i="91" s="1"/>
  <c r="D52" i="91"/>
  <c r="C93" i="91"/>
  <c r="C86" i="91" s="1"/>
  <c r="C85" i="91"/>
  <c r="D55" i="91"/>
  <c r="M53" i="91" s="1"/>
  <c r="D122" i="91"/>
  <c r="D123" i="91" s="1"/>
  <c r="H108" i="91"/>
  <c r="M49" i="91"/>
  <c r="N58" i="9" l="1"/>
  <c r="P57" i="9"/>
  <c r="N59" i="9"/>
  <c r="C95" i="91"/>
  <c r="C96" i="91" s="1"/>
  <c r="E96" i="91" s="1"/>
  <c r="E97" i="91" s="1"/>
  <c r="L66" i="91"/>
  <c r="M66" i="91" s="1"/>
  <c r="L64" i="91"/>
  <c r="M64" i="91" s="1"/>
  <c r="L68" i="91"/>
  <c r="M68" i="91" s="1"/>
  <c r="L67" i="91"/>
  <c r="M67" i="91" s="1"/>
  <c r="L65" i="91"/>
  <c r="M65" i="91" s="1"/>
  <c r="L63" i="91"/>
  <c r="M63" i="91" s="1"/>
  <c r="D59" i="91"/>
  <c r="M55" i="91" s="1"/>
  <c r="C68" i="91"/>
  <c r="D54" i="91" s="1"/>
  <c r="C79" i="91"/>
  <c r="N61" i="9" l="1"/>
  <c r="N60" i="9"/>
  <c r="M69" i="91"/>
  <c r="N69" i="91" s="1"/>
  <c r="C97" i="91"/>
  <c r="D58" i="91" s="1"/>
  <c r="D56" i="91" s="1"/>
  <c r="M54" i="91" s="1"/>
  <c r="N57" i="91" s="1"/>
  <c r="N58" i="91" s="1"/>
  <c r="C80" i="91"/>
  <c r="E80" i="91" s="1"/>
  <c r="E81" i="91" s="1"/>
  <c r="N59" i="91" l="1"/>
  <c r="N61" i="91" s="1"/>
  <c r="P57" i="91"/>
  <c r="C81" i="91"/>
  <c r="N60" i="91"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6.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<sst xmlns="http://schemas.openxmlformats.org/spreadsheetml/2006/main" count="31622" uniqueCount="4670">
  <si>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</si>
  <si>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</si>
  <si>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</si>
  <si>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</si>
  <si>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</si>
  <si>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</si>
  <si>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</si>
  <si>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</si>
  <si>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</si>
  <si>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</si>
  <si>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</si>
  <si>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</si>
  <si>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</si>
  <si>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</si>
  <si>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</si>
  <si>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</si>
  <si>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</si>
  <si>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</si>
  <si>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</si>
  <si>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</si>
  <si>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</si>
  <si>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</si>
  <si>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</si>
  <si>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</si>
  <si>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</si>
  <si>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</si>
  <si>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</si>
  <si>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</si>
  <si>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</si>
  <si>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</si>
  <si>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</si>
  <si>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</si>
  <si>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</si>
  <si>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</si>
  <si>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</si>
  <si>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</si>
  <si>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</si>
  <si>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</si>
  <si>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</si>
  <si>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</si>
  <si>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</si>
  <si>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</si>
  <si>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</si>
  <si>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</si>
  <si>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</si>
  <si>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</si>
  <si>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</si>
  <si>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</si>
  <si>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</si>
  <si>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</si>
  <si>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</si>
  <si>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</si>
  <si>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</si>
  <si>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</si>
  <si>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</si>
  <si>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</si>
  <si>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</si>
  <si>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</si>
  <si>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</si>
  <si>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</si>
  <si>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</si>
  <si>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</si>
  <si>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</si>
  <si>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</si>
  <si>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</si>
  <si>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</si>
  <si>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</si>
  <si>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</si>
  <si>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</si>
  <si>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</si>
  <si>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</si>
  <si>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</si>
  <si>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</si>
  <si>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</si>
  <si>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</si>
  <si>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</si>
  <si>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</si>
  <si>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</si>
  <si>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</si>
  <si>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</si>
  <si>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</si>
  <si>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</si>
  <si>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</si>
  <si>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</si>
  <si>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</si>
  <si>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</si>
  <si>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</si>
  <si>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</si>
  <si>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</si>
  <si>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</si>
  <si>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</si>
  <si>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</si>
  <si>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</si>
  <si>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</si>
  <si>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</si>
  <si>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</si>
  <si>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</si>
  <si>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</si>
  <si>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</si>
  <si>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</si>
  <si>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</si>
  <si>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</si>
  <si>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</si>
  <si>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</si>
  <si>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</si>
  <si>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</si>
  <si>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</si>
  <si>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</si>
  <si>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</si>
  <si>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</si>
  <si>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</si>
  <si>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</si>
  <si>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</si>
  <si>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</si>
  <si>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</si>
  <si>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</si>
  <si>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</si>
  <si>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</si>
  <si>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</si>
  <si>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</si>
  <si>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</si>
  <si>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</si>
  <si>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</si>
  <si>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</si>
  <si>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</si>
  <si>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</si>
  <si>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</si>
  <si>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</si>
  <si>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</si>
  <si>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</si>
  <si>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</si>
  <si>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</si>
  <si>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</si>
  <si>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</si>
  <si>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</si>
  <si>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</si>
  <si>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</si>
  <si>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</si>
  <si>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</si>
  <si>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</si>
  <si>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</si>
  <si>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</si>
  <si>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</si>
  <si>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</si>
  <si>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</si>
  <si>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</si>
  <si>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</si>
  <si>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</si>
  <si>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</si>
  <si>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</si>
  <si>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</si>
  <si>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</si>
  <si>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</si>
  <si>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</si>
  <si>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</si>
  <si>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</si>
  <si>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</si>
  <si>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</si>
  <si>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</si>
  <si>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</si>
  <si>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</si>
  <si>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</si>
  <si>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</si>
  <si>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</si>
  <si>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</si>
  <si>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</si>
  <si>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</si>
  <si>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</si>
  <si>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</si>
  <si>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</si>
  <si>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</si>
  <si>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</si>
  <si>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</si>
  <si>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</si>
  <si>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</si>
  <si>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</si>
  <si>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</si>
  <si>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</si>
  <si>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</si>
  <si>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</si>
  <si>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</si>
  <si>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</si>
  <si>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</si>
  <si>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</si>
  <si>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</si>
  <si>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</si>
  <si>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</si>
  <si>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</si>
  <si>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</si>
  <si>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</si>
  <si>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</si>
  <si>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</si>
  <si>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</si>
  <si>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</si>
  <si>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</si>
  <si>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</si>
  <si>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</si>
  <si>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</si>
  <si>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</si>
  <si>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</si>
  <si>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</si>
  <si>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</si>
  <si>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</si>
  <si>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</si>
  <si>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</si>
  <si>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</si>
  <si>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</si>
  <si>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</si>
  <si>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</si>
  <si>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</si>
  <si>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</si>
  <si>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</si>
  <si>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</si>
  <si>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</si>
  <si>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</si>
  <si>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</si>
  <si>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</si>
  <si>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</si>
  <si>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</si>
  <si>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</si>
  <si>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</si>
  <si>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</si>
  <si>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</si>
  <si>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</si>
  <si>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</si>
  <si>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</si>
  <si>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</si>
  <si>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</si>
  <si>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</si>
  <si>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</si>
  <si>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</si>
  <si>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</si>
  <si>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</si>
  <si>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</si>
  <si>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</si>
  <si>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</si>
  <si>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</si>
  <si>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</si>
  <si>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</si>
  <si>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</si>
  <si>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</si>
  <si>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</si>
  <si>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</si>
  <si>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</si>
  <si>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</si>
  <si>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</si>
  <si>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</si>
  <si>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</si>
  <si>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</si>
  <si>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</si>
  <si>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</si>
  <si>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</si>
  <si>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</si>
  <si>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</si>
  <si>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</si>
  <si>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</si>
  <si>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</si>
  <si>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</si>
  <si>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</si>
  <si>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</si>
  <si>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</si>
  <si>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</si>
  <si>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</si>
  <si>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</si>
  <si>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</si>
  <si>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</si>
  <si>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</si>
  <si>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</si>
  <si>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</si>
  <si>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</si>
  <si>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</si>
  <si>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</si>
  <si>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</si>
  <si>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</si>
  <si>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</si>
  <si>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</si>
  <si>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</si>
  <si>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</si>
  <si>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</si>
  <si>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</si>
  <si>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</si>
  <si>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</si>
  <si>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</si>
  <si>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</si>
  <si>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</si>
  <si>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</si>
  <si>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</si>
  <si>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</si>
  <si>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</si>
  <si>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</si>
  <si>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</si>
  <si>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</si>
  <si>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</si>
  <si>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</si>
  <si>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</si>
  <si>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</si>
  <si>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</si>
  <si>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</si>
  <si>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</si>
  <si>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</si>
  <si>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</si>
  <si>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</si>
  <si>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</si>
  <si>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</si>
  <si>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</si>
  <si>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</si>
  <si>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</si>
  <si>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</si>
  <si>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</si>
  <si>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</si>
  <si>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</si>
  <si>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</si>
  <si>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</si>
  <si>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</si>
  <si>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</si>
  <si>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成本法 (2)</t>
  </si>
  <si>
    <r>
      <rPr>
        <sz val="11"/>
        <color indexed="8"/>
        <rFont val="宋体"/>
        <family val="3"/>
        <charset val="134"/>
        <scheme val="minor"/>
      </rPr>
      <t>食堂</t>
    </r>
  </si>
  <si>
    <t>典型户型修正 (2)</t>
  </si>
  <si>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</si>
  <si>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</si>
  <si>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</si>
  <si>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</si>
  <si>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</si>
  <si>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</si>
  <si>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</si>
  <si>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</si>
  <si>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</si>
  <si>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</si>
  <si>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</si>
  <si>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</si>
  <si>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</si>
  <si>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</si>
  <si>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</si>
  <si>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</si>
  <si>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</si>
  <si>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</si>
  <si>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</si>
  <si>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</si>
  <si>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</si>
  <si>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</si>
  <si>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</si>
  <si>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</si>
  <si>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</si>
  <si>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</si>
  <si>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</si>
  <si>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</si>
  <si>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</si>
  <si>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</si>
  <si>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</si>
  <si>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</si>
  <si>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</si>
  <si>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</si>
  <si>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</si>
  <si>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</si>
  <si>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</si>
  <si>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</si>
  <si>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</si>
  <si>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</si>
  <si>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</si>
  <si>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</si>
  <si>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</si>
  <si>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</si>
  <si>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</si>
  <si>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</si>
  <si>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</si>
  <si>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</si>
  <si>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</si>
  <si>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</si>
  <si>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</si>
  <si>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</si>
  <si>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</si>
  <si>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</si>
  <si>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</si>
  <si>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</si>
  <si>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</si>
  <si>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</si>
  <si>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</si>
  <si>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</si>
  <si>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</si>
  <si>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</si>
  <si>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</si>
  <si>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</si>
  <si>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</si>
  <si>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</si>
  <si>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</si>
  <si>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</si>
  <si>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</si>
  <si>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</si>
  <si>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</si>
  <si>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</si>
  <si>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</si>
  <si>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</si>
  <si>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</si>
  <si>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</si>
  <si>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</si>
  <si>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</si>
  <si>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</si>
  <si>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</si>
  <si>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</si>
  <si>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</si>
  <si>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</si>
  <si>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</si>
  <si>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</si>
  <si>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</si>
  <si>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</si>
  <si>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</si>
  <si>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</si>
  <si>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</si>
  <si>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</si>
  <si>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</si>
  <si>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</si>
  <si>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</si>
  <si>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</si>
  <si>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</si>
  <si>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</si>
  <si>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</si>
  <si>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</si>
  <si>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</si>
  <si>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</si>
  <si>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</si>
  <si>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</si>
  <si>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</si>
  <si>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</si>
  <si>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</si>
  <si>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</si>
  <si>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</si>
  <si>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</si>
  <si>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</si>
  <si>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</si>
  <si>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</si>
  <si>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</si>
  <si>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</si>
  <si>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</si>
  <si>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</si>
  <si>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</si>
  <si>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</si>
  <si>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</si>
  <si>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</si>
  <si>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</si>
  <si>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</si>
  <si>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</si>
  <si>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</si>
  <si>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</si>
  <si>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</si>
  <si>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</si>
  <si>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</si>
  <si>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</si>
  <si>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</si>
  <si>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</si>
  <si>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</si>
  <si>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</si>
  <si>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</si>
  <si>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</si>
  <si>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</si>
  <si>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</si>
  <si>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</si>
  <si>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</si>
  <si>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</si>
  <si>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</si>
  <si>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</si>
  <si>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</si>
  <si>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</si>
  <si>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</si>
  <si>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</si>
  <si>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</si>
  <si>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</si>
  <si>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</si>
  <si>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</si>
  <si>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</si>
  <si>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</si>
  <si>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</si>
  <si>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</si>
  <si>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</si>
  <si>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</si>
  <si>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</si>
  <si>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</si>
  <si>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</si>
  <si>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</si>
  <si>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</si>
  <si>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</si>
  <si>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</si>
  <si>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</si>
  <si>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</si>
  <si>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</si>
  <si>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</si>
  <si>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</si>
  <si>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</si>
  <si>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</si>
  <si>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</si>
  <si>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</si>
  <si>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</si>
  <si>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</si>
  <si>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</si>
  <si>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</si>
  <si>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</si>
  <si>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</si>
  <si>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</si>
  <si>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</si>
  <si>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</si>
  <si>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</si>
  <si>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Ⅳ-15</t>
  </si>
  <si>
    <t>Ⅳ-16</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</si>
  <si>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</si>
  <si>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</si>
  <si>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</si>
  <si>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</si>
  <si>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</si>
  <si>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</si>
  <si>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</si>
  <si>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</si>
  <si>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</si>
  <si>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</si>
  <si>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</si>
  <si>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</si>
  <si>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</si>
  <si>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</si>
  <si>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</si>
  <si>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</si>
  <si>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</si>
  <si>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</si>
  <si>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</si>
  <si>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</si>
  <si>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</si>
  <si>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</si>
  <si>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</si>
  <si>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</si>
  <si>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</si>
  <si>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</si>
  <si>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</si>
  <si>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</si>
  <si>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</si>
  <si>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</si>
  <si>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</si>
  <si>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</si>
  <si>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</si>
  <si>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</si>
  <si>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</si>
  <si>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</si>
  <si>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</si>
  <si>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</si>
  <si>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</si>
  <si>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</si>
  <si>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</si>
  <si>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</si>
  <si>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</si>
  <si>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</si>
  <si>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</si>
  <si>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</si>
  <si>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</si>
  <si>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</si>
  <si>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t>
  </si>
  <si>
    <t>仓储</t>
  </si>
  <si>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</si>
  <si>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</si>
  <si>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</si>
  <si>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</si>
  <si>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</si>
  <si>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</si>
  <si>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</si>
  <si>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</si>
  <si>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</si>
  <si>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</si>
  <si>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</si>
  <si>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</si>
  <si>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</si>
  <si>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</si>
  <si>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</si>
  <si>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</si>
  <si>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</si>
  <si>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</si>
  <si>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</si>
  <si>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</si>
  <si>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</si>
  <si>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</si>
  <si>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</si>
  <si>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</si>
  <si>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</si>
  <si>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</si>
  <si>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</si>
  <si>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</si>
  <si>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</si>
  <si>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</si>
  <si>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</si>
  <si>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</si>
  <si>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</si>
  <si>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</si>
  <si>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</si>
  <si>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</si>
  <si>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</si>
  <si>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</si>
  <si>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</si>
  <si>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</si>
  <si>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</si>
  <si>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</si>
  <si>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</si>
  <si>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</si>
  <si>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</si>
  <si>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</si>
  <si>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</si>
  <si>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</si>
  <si>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</si>
  <si>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</si>
  <si>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</si>
  <si>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</si>
  <si>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</si>
  <si>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产权车位</t>
  </si>
  <si>
    <t>地下商业</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</si>
  <si>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</si>
  <si>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</si>
  <si>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</si>
  <si>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</si>
  <si>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</si>
  <si>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</si>
  <si>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t>序号</t>
  </si>
  <si>
    <t>项目</t>
  </si>
  <si>
    <t>地块</t>
  </si>
  <si>
    <t>楼栋</t>
  </si>
  <si>
    <t>单元</t>
  </si>
  <si>
    <t>房间号</t>
  </si>
  <si>
    <t>房间状态</t>
  </si>
  <si>
    <t>户型</t>
  </si>
  <si>
    <t>产品类型</t>
  </si>
  <si>
    <t>面积状态</t>
  </si>
  <si>
    <t>预售建筑面积</t>
  </si>
  <si>
    <t>预售套内面积</t>
  </si>
  <si>
    <t>底价总价</t>
  </si>
  <si>
    <t>标准总价</t>
  </si>
  <si>
    <t>成交总价</t>
  </si>
  <si>
    <t>结算总价</t>
  </si>
  <si>
    <t>累计实收房款</t>
  </si>
  <si>
    <t>认购日期</t>
  </si>
  <si>
    <t>草签日期</t>
  </si>
  <si>
    <t>网签时间</t>
  </si>
  <si>
    <t>备案日期</t>
  </si>
  <si>
    <t>业主姓名</t>
  </si>
  <si>
    <t>北京．东叁金茂府</t>
  </si>
  <si>
    <t>北京市丰台区分钟寺L24、26地块项目</t>
  </si>
  <si>
    <t>L24-2#</t>
  </si>
  <si>
    <t>二单元</t>
  </si>
  <si>
    <t>102</t>
  </si>
  <si>
    <t>签约</t>
  </si>
  <si>
    <t>2#1层边户</t>
  </si>
  <si>
    <t>住宅-中高层</t>
  </si>
  <si>
    <t>预售</t>
  </si>
  <si>
    <t>霍达</t>
  </si>
  <si>
    <t>101</t>
  </si>
  <si>
    <t>2#中间户</t>
  </si>
  <si>
    <t>胡媛媛</t>
  </si>
  <si>
    <t>202</t>
  </si>
  <si>
    <t>2#边户</t>
  </si>
  <si>
    <t>张世阳;王千月</t>
  </si>
  <si>
    <t>201</t>
  </si>
  <si>
    <t>赵雨</t>
  </si>
  <si>
    <t>302</t>
  </si>
  <si>
    <t>张斯玉</t>
  </si>
  <si>
    <t>301</t>
  </si>
  <si>
    <t>于小淇</t>
  </si>
  <si>
    <t>402</t>
  </si>
  <si>
    <t>王瑞;徐粲</t>
  </si>
  <si>
    <t>401</t>
  </si>
  <si>
    <t>罗军</t>
  </si>
  <si>
    <t>502</t>
  </si>
  <si>
    <t>柴畅</t>
  </si>
  <si>
    <t>501</t>
  </si>
  <si>
    <t>杨颖;胡效阳</t>
  </si>
  <si>
    <t>602</t>
  </si>
  <si>
    <t>吕明霞</t>
  </si>
  <si>
    <t>601</t>
  </si>
  <si>
    <t>姜一鸣</t>
  </si>
  <si>
    <t>702</t>
  </si>
  <si>
    <t>倪麓青</t>
  </si>
  <si>
    <t>701</t>
  </si>
  <si>
    <t>北京怡颜悦色科技有限公司</t>
  </si>
  <si>
    <t>802</t>
  </si>
  <si>
    <t>王骁</t>
  </si>
  <si>
    <t>801</t>
  </si>
  <si>
    <t>王丝琪</t>
  </si>
  <si>
    <t>902</t>
  </si>
  <si>
    <t>陈钟官</t>
  </si>
  <si>
    <t>901</t>
  </si>
  <si>
    <t>杜云生</t>
  </si>
  <si>
    <t>1002</t>
  </si>
  <si>
    <t>孙郁文</t>
  </si>
  <si>
    <t>1001</t>
  </si>
  <si>
    <t>崔梦楚</t>
  </si>
  <si>
    <t>1102</t>
  </si>
  <si>
    <t>孙居睿</t>
  </si>
  <si>
    <t>1101</t>
  </si>
  <si>
    <t>余花桂</t>
  </si>
  <si>
    <t>1202</t>
  </si>
  <si>
    <t>赵悦</t>
  </si>
  <si>
    <t>1201</t>
  </si>
  <si>
    <t>国志方</t>
  </si>
  <si>
    <t>1302</t>
  </si>
  <si>
    <t>1301</t>
  </si>
  <si>
    <t>王宇婷</t>
  </si>
  <si>
    <t>1402</t>
  </si>
  <si>
    <t>崔兰英</t>
  </si>
  <si>
    <t>1401</t>
  </si>
  <si>
    <t>邓京丰</t>
  </si>
  <si>
    <t>一单元</t>
  </si>
  <si>
    <t>沙米</t>
  </si>
  <si>
    <t>邢萌暄</t>
  </si>
  <si>
    <t>庄亦</t>
  </si>
  <si>
    <t>董昊</t>
  </si>
  <si>
    <t>江汇源</t>
  </si>
  <si>
    <t>刘真真</t>
  </si>
  <si>
    <t>任雅涛</t>
  </si>
  <si>
    <t>董瑞明</t>
  </si>
  <si>
    <t>张修菱;聂欣</t>
  </si>
  <si>
    <t>马力</t>
  </si>
  <si>
    <t>张影</t>
  </si>
  <si>
    <t>马天博</t>
  </si>
  <si>
    <t>郑鹏飞</t>
  </si>
  <si>
    <t>谢昆峰</t>
  </si>
  <si>
    <t>刘霁瑶</t>
  </si>
  <si>
    <t>温鹏超;张嘉祺</t>
  </si>
  <si>
    <t>北京明晟晨科技有限公司</t>
  </si>
  <si>
    <t>王彬</t>
  </si>
  <si>
    <t>张睿佳</t>
  </si>
  <si>
    <t>何林雨思;王澜舟</t>
  </si>
  <si>
    <t>詹鹏扬</t>
  </si>
  <si>
    <t>于铭瑶</t>
  </si>
  <si>
    <t>唐丹</t>
  </si>
  <si>
    <t>刘海林</t>
  </si>
  <si>
    <t>文彬;伍锡锋</t>
  </si>
  <si>
    <t>安一舟</t>
  </si>
  <si>
    <t>刘昭呈;曲婷</t>
  </si>
  <si>
    <t>L24-3#</t>
  </si>
  <si>
    <t/>
  </si>
  <si>
    <t>3#02</t>
  </si>
  <si>
    <t>唐彬</t>
  </si>
  <si>
    <t>3#01</t>
  </si>
  <si>
    <t>北京紫燕峰艺艺术设计有限公司</t>
  </si>
  <si>
    <t>刘国辉</t>
  </si>
  <si>
    <t>方迪</t>
  </si>
  <si>
    <t>汪阳</t>
  </si>
  <si>
    <t>李业;王莹</t>
  </si>
  <si>
    <t>张婧</t>
  </si>
  <si>
    <t>叶佳</t>
  </si>
  <si>
    <t>李颖</t>
  </si>
  <si>
    <t>王倩倩</t>
  </si>
  <si>
    <t>程功</t>
  </si>
  <si>
    <t>陈爱华</t>
  </si>
  <si>
    <t>范成钊</t>
  </si>
  <si>
    <t>王博庆</t>
  </si>
  <si>
    <t>赵素梅</t>
  </si>
  <si>
    <t>刘银萍</t>
  </si>
  <si>
    <t>魏然</t>
  </si>
  <si>
    <t>薛紫嫣</t>
  </si>
  <si>
    <t>王树坚</t>
  </si>
  <si>
    <t>连春琦</t>
  </si>
  <si>
    <t>王在阳</t>
  </si>
  <si>
    <t>郭崴</t>
  </si>
  <si>
    <t>刘浩;黄侃</t>
  </si>
  <si>
    <t>徐瑞珩</t>
  </si>
  <si>
    <t>贾冰洁</t>
  </si>
  <si>
    <t>杨胤晖</t>
  </si>
  <si>
    <t>黄丽萍</t>
  </si>
  <si>
    <t>朱坦迪</t>
  </si>
  <si>
    <t>1502</t>
  </si>
  <si>
    <t>干明明;李艳</t>
  </si>
  <si>
    <t>1501</t>
  </si>
  <si>
    <t>梁书豪</t>
  </si>
  <si>
    <t>1602</t>
  </si>
  <si>
    <t>陈芳张艺</t>
  </si>
  <si>
    <t>1601</t>
  </si>
  <si>
    <t>刘轩</t>
  </si>
  <si>
    <t>1702</t>
  </si>
  <si>
    <t>袁玄</t>
  </si>
  <si>
    <t>1701</t>
  </si>
  <si>
    <t>李航</t>
  </si>
  <si>
    <t>L24-4#</t>
  </si>
  <si>
    <t>4#边户</t>
  </si>
  <si>
    <t>桑艳</t>
  </si>
  <si>
    <t>4#1-102 2-101</t>
  </si>
  <si>
    <t>刘金华</t>
  </si>
  <si>
    <t>崔峰</t>
  </si>
  <si>
    <t>4#1-201 4#2-202</t>
  </si>
  <si>
    <t>高靖翔</t>
  </si>
  <si>
    <t>杨宁</t>
  </si>
  <si>
    <t>4#中间户</t>
  </si>
  <si>
    <t>于红</t>
  </si>
  <si>
    <t>张跃彤</t>
  </si>
  <si>
    <t>陈郁焱</t>
  </si>
  <si>
    <t>蔡南钧</t>
  </si>
  <si>
    <t>张宇涵</t>
  </si>
  <si>
    <t>叶春晖</t>
  </si>
  <si>
    <t>涂松泽</t>
  </si>
  <si>
    <t>河北卓远地理信息系统工程服务有限公司</t>
  </si>
  <si>
    <t>王文勤</t>
  </si>
  <si>
    <t>唐颖;唐启玉</t>
  </si>
  <si>
    <t>高洁</t>
  </si>
  <si>
    <t>杨学良</t>
  </si>
  <si>
    <t>周瑞</t>
  </si>
  <si>
    <t>柴春宇</t>
  </si>
  <si>
    <t>高鑫</t>
  </si>
  <si>
    <t>许洁年</t>
  </si>
  <si>
    <t>王亚林</t>
  </si>
  <si>
    <t>岳伟伟</t>
  </si>
  <si>
    <t>苏燕华</t>
  </si>
  <si>
    <t>段维维</t>
  </si>
  <si>
    <t>陈清亮;陈柏澄</t>
  </si>
  <si>
    <t>吴德厚</t>
  </si>
  <si>
    <t>王雅琦</t>
  </si>
  <si>
    <t>张莉</t>
  </si>
  <si>
    <t>王洁</t>
  </si>
  <si>
    <t>齐鲁</t>
  </si>
  <si>
    <t>张久兴</t>
  </si>
  <si>
    <t>沈爱</t>
  </si>
  <si>
    <t>刘宝珍</t>
  </si>
  <si>
    <t>于爱荣</t>
  </si>
  <si>
    <t>王玉玲</t>
  </si>
  <si>
    <t>赵晓敏</t>
  </si>
  <si>
    <t>田小军</t>
  </si>
  <si>
    <t>张楠</t>
  </si>
  <si>
    <t>高弋君;郑晓军</t>
  </si>
  <si>
    <t>从丽娟</t>
  </si>
  <si>
    <t>史品兰</t>
  </si>
  <si>
    <t>江颛</t>
  </si>
  <si>
    <t>许雯静</t>
  </si>
  <si>
    <t>L24-5#</t>
  </si>
  <si>
    <t>5#</t>
  </si>
  <si>
    <t>谷岩</t>
  </si>
  <si>
    <t>蒋净柳</t>
  </si>
  <si>
    <t>上海韵楷国际贸易有限公司</t>
  </si>
  <si>
    <t>顾凤兰</t>
  </si>
  <si>
    <t>张建生;刘丽池</t>
  </si>
  <si>
    <t>马瑜</t>
  </si>
  <si>
    <t>孙昂然</t>
  </si>
  <si>
    <t>刘长梅</t>
  </si>
  <si>
    <t>聂之珺</t>
  </si>
  <si>
    <t>刘俊国</t>
  </si>
  <si>
    <t>孙颖</t>
  </si>
  <si>
    <t>宗锦虹</t>
  </si>
  <si>
    <t>赵启威</t>
  </si>
  <si>
    <t>姜雯铧</t>
  </si>
  <si>
    <t>毛燕</t>
  </si>
  <si>
    <t>李泽</t>
  </si>
  <si>
    <t>张凤</t>
  </si>
  <si>
    <t>赵帅</t>
  </si>
  <si>
    <t>石雪萍</t>
  </si>
  <si>
    <t>吴俭英</t>
  </si>
  <si>
    <t>张赛</t>
  </si>
  <si>
    <t>谢柯</t>
  </si>
  <si>
    <t>陈永芬</t>
  </si>
  <si>
    <t>张齐;况铁梅</t>
  </si>
  <si>
    <t>刘奕阳</t>
  </si>
  <si>
    <t>孔令凯</t>
  </si>
  <si>
    <t>江西盛励服装有限公司</t>
  </si>
  <si>
    <t>陈立本</t>
  </si>
  <si>
    <t>L24-1#</t>
  </si>
  <si>
    <t>1单元</t>
  </si>
  <si>
    <t>1#102</t>
  </si>
  <si>
    <t>住宅-高层</t>
  </si>
  <si>
    <t>彭祖扬</t>
  </si>
  <si>
    <t>1#01</t>
  </si>
  <si>
    <t>上海金茂建筑装饰有限公司</t>
  </si>
  <si>
    <t>1#02</t>
  </si>
  <si>
    <t>汪载涵</t>
  </si>
  <si>
    <t>杜太超</t>
  </si>
  <si>
    <t>王文华</t>
  </si>
  <si>
    <t>郭德忠</t>
  </si>
  <si>
    <t>李龙侠;齐子琨</t>
  </si>
  <si>
    <t>冯一桓</t>
  </si>
  <si>
    <t>薛德星</t>
  </si>
  <si>
    <t>杜羿霏</t>
  </si>
  <si>
    <t>李欣</t>
  </si>
  <si>
    <t>宋亚萍</t>
  </si>
  <si>
    <t>宋涵宇</t>
  </si>
  <si>
    <t>北京似夏科技有限公司</t>
  </si>
  <si>
    <t>赵安石</t>
  </si>
  <si>
    <t>王力争</t>
  </si>
  <si>
    <t>孙艳华</t>
  </si>
  <si>
    <t>彭清露</t>
  </si>
  <si>
    <t>焦宁宁</t>
  </si>
  <si>
    <t>陈泓洁</t>
  </si>
  <si>
    <t>李德基</t>
  </si>
  <si>
    <t>敬甫</t>
  </si>
  <si>
    <t>李振业</t>
  </si>
  <si>
    <t>谷萱</t>
  </si>
  <si>
    <t>高晶晶</t>
  </si>
  <si>
    <t>何梦楠</t>
  </si>
  <si>
    <t>巨然</t>
  </si>
  <si>
    <t>陈曦明</t>
  </si>
  <si>
    <t>彭建松</t>
  </si>
  <si>
    <t>王晓丹</t>
  </si>
  <si>
    <t>张皓聪</t>
  </si>
  <si>
    <t>隋竞</t>
  </si>
  <si>
    <t>崔远;徐芬芬</t>
  </si>
  <si>
    <t>1802</t>
  </si>
  <si>
    <t>艾辰</t>
  </si>
  <si>
    <t>1801</t>
  </si>
  <si>
    <t>揭立新;杨文杰</t>
  </si>
  <si>
    <t>1902</t>
  </si>
  <si>
    <t>刘洋</t>
  </si>
  <si>
    <t>1901</t>
  </si>
  <si>
    <t>李毅</t>
  </si>
  <si>
    <t>2002</t>
  </si>
  <si>
    <t>赵赫维</t>
  </si>
  <si>
    <t>2001</t>
  </si>
  <si>
    <t>王冲</t>
  </si>
  <si>
    <t>2102</t>
  </si>
  <si>
    <t>肖雨彤</t>
  </si>
  <si>
    <t>2101</t>
  </si>
  <si>
    <t>林鉴茹</t>
  </si>
  <si>
    <t>2202</t>
  </si>
  <si>
    <t>赵和平</t>
  </si>
  <si>
    <t>2201</t>
  </si>
  <si>
    <t>张博</t>
  </si>
  <si>
    <t>2302</t>
  </si>
  <si>
    <t>张帆</t>
  </si>
  <si>
    <t>2301</t>
  </si>
  <si>
    <t>李洪艳</t>
  </si>
  <si>
    <t>2402</t>
  </si>
  <si>
    <t>范艳洁</t>
  </si>
  <si>
    <t>2401</t>
  </si>
  <si>
    <t>丁建勋;董茁华</t>
  </si>
  <si>
    <t>L24-6#</t>
  </si>
  <si>
    <t>6#02</t>
  </si>
  <si>
    <t>林容</t>
  </si>
  <si>
    <t>6#01</t>
  </si>
  <si>
    <t>贾圣云</t>
  </si>
  <si>
    <t>王德文</t>
  </si>
  <si>
    <t>北京智通科创科技有限公司</t>
  </si>
  <si>
    <t>张骏平</t>
  </si>
  <si>
    <t>王皓;黄迪</t>
  </si>
  <si>
    <t>吕嘉珩</t>
  </si>
  <si>
    <t>赵钰琢;许威</t>
  </si>
  <si>
    <t>杨松</t>
  </si>
  <si>
    <t>刘佳颖;周彦泽</t>
  </si>
  <si>
    <t>李玉欣</t>
  </si>
  <si>
    <t>游文蕾;郭纶</t>
  </si>
  <si>
    <t>董晓朗</t>
  </si>
  <si>
    <t>周梓萌</t>
  </si>
  <si>
    <t>辛振栋</t>
  </si>
  <si>
    <t>包照亮</t>
  </si>
  <si>
    <t>褚煜;庞博</t>
  </si>
  <si>
    <t>石雨桐</t>
  </si>
  <si>
    <t>辛绮文</t>
  </si>
  <si>
    <t>潘筱涵;孙绍恒</t>
  </si>
  <si>
    <t>唐宝霞</t>
  </si>
  <si>
    <t>徐进</t>
  </si>
  <si>
    <t>赵泽先</t>
  </si>
  <si>
    <t>杨炘垚</t>
  </si>
  <si>
    <t>袁春越</t>
  </si>
  <si>
    <t>竺芳宇;赵俊</t>
  </si>
  <si>
    <t>祁放</t>
  </si>
  <si>
    <t>林丽凤</t>
  </si>
  <si>
    <t>李建春</t>
  </si>
  <si>
    <t>刘晓彤</t>
  </si>
  <si>
    <t>刘林欣</t>
  </si>
  <si>
    <t>王占运</t>
  </si>
  <si>
    <t>宋燕京</t>
  </si>
  <si>
    <t>张跃</t>
  </si>
  <si>
    <t>郝宝玲</t>
  </si>
  <si>
    <t>张孟宇</t>
  </si>
  <si>
    <t>李伟东</t>
  </si>
  <si>
    <t>岑培升;莫德凤</t>
  </si>
  <si>
    <t>陈秀梅;郭绍辉</t>
  </si>
  <si>
    <t>吕媛媛</t>
  </si>
  <si>
    <t>滕晨</t>
  </si>
  <si>
    <t>方志斌</t>
  </si>
  <si>
    <t>姜帆</t>
  </si>
  <si>
    <t>胡艳丽</t>
  </si>
  <si>
    <t>贾皓然</t>
  </si>
  <si>
    <t>吕聪</t>
  </si>
  <si>
    <t>胡捷;白娜</t>
  </si>
  <si>
    <t>2502</t>
  </si>
  <si>
    <t>陈诗浩</t>
  </si>
  <si>
    <t>2501</t>
  </si>
  <si>
    <t>赵子茜</t>
  </si>
  <si>
    <t>L24-7#</t>
  </si>
  <si>
    <t>7#102</t>
  </si>
  <si>
    <t>7#01</t>
  </si>
  <si>
    <t>北京国电恒通电力工程有限公司</t>
  </si>
  <si>
    <t>7#02</t>
  </si>
  <si>
    <t>宫鸿发</t>
  </si>
  <si>
    <t>戴天舒</t>
  </si>
  <si>
    <t>秦镭</t>
  </si>
  <si>
    <t>汪晨</t>
  </si>
  <si>
    <t>郭景天</t>
  </si>
  <si>
    <t>禄忆思</t>
  </si>
  <si>
    <t>张逸伦</t>
  </si>
  <si>
    <t>栗阳</t>
  </si>
  <si>
    <t>洪世光</t>
  </si>
  <si>
    <t>高帅</t>
  </si>
  <si>
    <t>牟福伟;段莹</t>
  </si>
  <si>
    <t>徐晴;白艺尘</t>
  </si>
  <si>
    <t>肖宝庶</t>
  </si>
  <si>
    <t>刘征;王玮</t>
  </si>
  <si>
    <t>李奕朋</t>
  </si>
  <si>
    <t>袁舰</t>
  </si>
  <si>
    <t>王晗笑;李张谋</t>
  </si>
  <si>
    <t>董小涛</t>
  </si>
  <si>
    <t>孙宝义</t>
  </si>
  <si>
    <t>李天一</t>
  </si>
  <si>
    <t>杜丽萍</t>
  </si>
  <si>
    <t>韩超凡</t>
  </si>
  <si>
    <t>夏雅萍</t>
  </si>
  <si>
    <t>张思维</t>
  </si>
  <si>
    <t>张涛</t>
  </si>
  <si>
    <t>刘素群</t>
  </si>
  <si>
    <t>卢荻</t>
  </si>
  <si>
    <t>欧春红;史剑</t>
  </si>
  <si>
    <t>尹一航</t>
  </si>
  <si>
    <t>汪达佳</t>
  </si>
  <si>
    <t>杨浪</t>
  </si>
  <si>
    <t>毕佳佳</t>
  </si>
  <si>
    <t>冯慧</t>
  </si>
  <si>
    <t>叶子涵</t>
  </si>
  <si>
    <t>刘薇</t>
  </si>
  <si>
    <t>夏玉莹</t>
  </si>
  <si>
    <t>丁丽</t>
  </si>
  <si>
    <t>张清源</t>
  </si>
  <si>
    <t>王川</t>
  </si>
  <si>
    <t>苏娜</t>
  </si>
  <si>
    <t>王静</t>
  </si>
  <si>
    <t>汪子京</t>
  </si>
  <si>
    <t>姬金花</t>
  </si>
  <si>
    <t>王威</t>
  </si>
  <si>
    <t>吴书臣</t>
  </si>
  <si>
    <t>王泽臻;韩丹</t>
  </si>
  <si>
    <t>陈宝怡</t>
  </si>
  <si>
    <t>吴志力;孟之光</t>
  </si>
  <si>
    <t>L24-产权车位</t>
  </si>
  <si>
    <t>产权标准车位-L24</t>
  </si>
  <si>
    <t>车位-地下产权非人防车位</t>
  </si>
  <si>
    <t>1003</t>
  </si>
  <si>
    <t>胡媛媛;杨雅青</t>
  </si>
  <si>
    <t>1004</t>
  </si>
  <si>
    <t>26.72-L24</t>
  </si>
  <si>
    <t>许威;赵钰琢</t>
  </si>
  <si>
    <t>1005</t>
  </si>
  <si>
    <t>1006</t>
  </si>
  <si>
    <t>待售</t>
  </si>
  <si>
    <t>1007</t>
  </si>
  <si>
    <t>1008</t>
  </si>
  <si>
    <t>1009</t>
  </si>
  <si>
    <t>1010</t>
  </si>
  <si>
    <t>1011</t>
  </si>
  <si>
    <t>未售</t>
  </si>
  <si>
    <t>35.63-L24</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</si>
  <si>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</si>
  <si>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</si>
  <si>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</si>
  <si>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</si>
  <si>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</si>
  <si>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</si>
  <si>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</si>
  <si>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</si>
  <si>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</si>
  <si>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</si>
  <si>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</si>
  <si>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</si>
  <si>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</si>
  <si>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</si>
  <si>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</si>
  <si>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</si>
  <si>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</si>
  <si>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</si>
  <si>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</si>
  <si>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</si>
  <si>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</si>
  <si>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</si>
  <si>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</si>
  <si>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</si>
  <si>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</si>
  <si>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</si>
  <si>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</si>
  <si>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</si>
  <si>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</si>
  <si>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</si>
  <si>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</si>
  <si>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</si>
  <si>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</si>
  <si>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</si>
  <si>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</si>
  <si>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</si>
  <si>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</si>
  <si>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</si>
  <si>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</si>
  <si>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</si>
  <si>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</si>
  <si>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</si>
  <si>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</si>
  <si>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</si>
  <si>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</si>
  <si>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</si>
  <si>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</si>
  <si>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</si>
  <si>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</si>
  <si>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</si>
  <si>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</si>
  <si>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</si>
  <si>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</si>
  <si>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</si>
  <si>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</si>
  <si>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</si>
  <si>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</si>
  <si>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</si>
  <si>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</si>
  <si>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</si>
  <si>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</si>
  <si>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</si>
  <si>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</si>
  <si>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</si>
  <si>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</si>
  <si>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</si>
  <si>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</si>
  <si>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</si>
  <si>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</si>
  <si>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</si>
  <si>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</si>
  <si>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</si>
  <si>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</si>
  <si>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</si>
  <si>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北京兴安幕墙装饰有限公司</t>
  </si>
  <si>
    <t>1086</t>
  </si>
  <si>
    <t>1087</t>
  </si>
  <si>
    <t>1088</t>
  </si>
  <si>
    <t>1089</t>
  </si>
  <si>
    <t>1090</t>
  </si>
  <si>
    <t>1091</t>
  </si>
  <si>
    <t>1092</t>
  </si>
  <si>
    <t>1093</t>
  </si>
  <si>
    <t>1094</t>
  </si>
  <si>
    <t>1095</t>
  </si>
  <si>
    <t>1096</t>
  </si>
  <si>
    <t>1097</t>
  </si>
  <si>
    <t>1098</t>
  </si>
  <si>
    <t>1099</t>
  </si>
  <si>
    <t>1100</t>
  </si>
  <si>
    <t>1103</t>
  </si>
  <si>
    <t>1104</t>
  </si>
  <si>
    <t>1105</t>
  </si>
  <si>
    <t>1106</t>
  </si>
  <si>
    <t>1107</t>
  </si>
  <si>
    <t>1108</t>
  </si>
  <si>
    <t>1109</t>
  </si>
  <si>
    <t>1110</t>
  </si>
  <si>
    <t>1111</t>
  </si>
  <si>
    <t>1112</t>
  </si>
  <si>
    <t>陈清亮</t>
  </si>
  <si>
    <t>1113</t>
  </si>
  <si>
    <t>1114</t>
  </si>
  <si>
    <t>1115</t>
  </si>
  <si>
    <t>1116</t>
  </si>
  <si>
    <t>1117</t>
  </si>
  <si>
    <t>产权子母车位-L24</t>
  </si>
  <si>
    <t>1118</t>
  </si>
  <si>
    <t>1119</t>
  </si>
  <si>
    <t>1120</t>
  </si>
  <si>
    <t>1121</t>
  </si>
  <si>
    <t>1122</t>
  </si>
  <si>
    <t>1123</t>
  </si>
  <si>
    <t>1124</t>
  </si>
  <si>
    <t>1125</t>
  </si>
  <si>
    <t>1126</t>
  </si>
  <si>
    <t>1127</t>
  </si>
  <si>
    <t>1128</t>
  </si>
  <si>
    <t>1129</t>
  </si>
  <si>
    <t>1130</t>
  </si>
  <si>
    <t>1131</t>
  </si>
  <si>
    <t>张建生</t>
  </si>
  <si>
    <t>1132</t>
  </si>
  <si>
    <t>1133</t>
  </si>
  <si>
    <t>1134</t>
  </si>
  <si>
    <t>1135</t>
  </si>
  <si>
    <t>1136</t>
  </si>
  <si>
    <t>1137</t>
  </si>
  <si>
    <t>1138</t>
  </si>
  <si>
    <t>1139</t>
  </si>
  <si>
    <t>张齐</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</si>
  <si>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</si>
  <si>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</si>
  <si>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</si>
  <si>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</si>
  <si>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</si>
  <si>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</si>
  <si>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</si>
  <si>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</si>
  <si>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</si>
  <si>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</si>
  <si>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</si>
  <si>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</si>
  <si>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</si>
  <si>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</si>
  <si>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</si>
  <si>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</si>
  <si>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</si>
  <si>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</si>
  <si>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</si>
  <si>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</si>
  <si>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</si>
  <si>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</si>
  <si>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</si>
  <si>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</si>
  <si>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</si>
  <si>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</si>
  <si>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</si>
  <si>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</si>
  <si>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</si>
  <si>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</si>
  <si>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</si>
  <si>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</si>
  <si>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</si>
  <si>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</si>
  <si>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</si>
  <si>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</si>
  <si>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</si>
  <si>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</si>
  <si>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</si>
  <si>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</si>
  <si>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</si>
  <si>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</si>
  <si>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</si>
  <si>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</si>
  <si>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</si>
  <si>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</si>
  <si>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</si>
  <si>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</si>
  <si>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</si>
  <si>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</si>
  <si>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</si>
  <si>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</si>
  <si>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</si>
  <si>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</si>
  <si>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</si>
  <si>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</si>
  <si>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</si>
  <si>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</si>
  <si>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</si>
  <si>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欧春红</t>
  </si>
  <si>
    <t>1199</t>
  </si>
  <si>
    <t>1200</t>
  </si>
  <si>
    <t>1203</t>
  </si>
  <si>
    <t>1204</t>
  </si>
  <si>
    <t>1205</t>
  </si>
  <si>
    <t>1206</t>
  </si>
  <si>
    <t>1207</t>
  </si>
  <si>
    <t>1208</t>
  </si>
  <si>
    <t>1209</t>
  </si>
  <si>
    <t>1210</t>
  </si>
  <si>
    <t>1211</t>
  </si>
  <si>
    <t>1212</t>
  </si>
  <si>
    <t>1213</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</si>
  <si>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</si>
  <si>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</si>
  <si>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</si>
  <si>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</si>
  <si>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</si>
  <si>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</si>
  <si>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</si>
  <si>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</si>
  <si>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</si>
  <si>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</si>
  <si>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</si>
  <si>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</si>
  <si>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</si>
  <si>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</si>
  <si>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</si>
  <si>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</si>
  <si>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</si>
  <si>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</si>
  <si>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</si>
  <si>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</si>
  <si>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</si>
  <si>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</si>
  <si>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</si>
  <si>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</si>
  <si>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</si>
  <si>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</si>
  <si>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</si>
  <si>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</si>
  <si>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</si>
  <si>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L24-无产权车位</t>
  </si>
  <si>
    <t>2032</t>
  </si>
  <si>
    <t>24人防车位</t>
  </si>
  <si>
    <t>车位-地下无产权人防车位</t>
  </si>
  <si>
    <t>2033</t>
  </si>
  <si>
    <t>格瑞普兰 (天津)木制品有限公司</t>
  </si>
  <si>
    <t>2034</t>
  </si>
  <si>
    <t>2035</t>
  </si>
  <si>
    <t>2036</t>
  </si>
  <si>
    <t>德才装饰股份有限公司</t>
  </si>
  <si>
    <t>2037</t>
  </si>
  <si>
    <t>2038</t>
  </si>
  <si>
    <t>2039</t>
  </si>
  <si>
    <t>华翔飞建筑装饰工程有限公司</t>
  </si>
  <si>
    <t>2040</t>
  </si>
  <si>
    <t>2041</t>
  </si>
  <si>
    <t>北京光大锦业商贸有限公司</t>
  </si>
  <si>
    <t>2042</t>
  </si>
  <si>
    <t>2043</t>
  </si>
  <si>
    <t>2044</t>
  </si>
  <si>
    <t>2045</t>
  </si>
  <si>
    <t>2046</t>
  </si>
  <si>
    <t>2047</t>
  </si>
  <si>
    <t>2048</t>
  </si>
  <si>
    <t>2049</t>
  </si>
  <si>
    <t>北京中卓时代消防工程有限公司</t>
  </si>
  <si>
    <t>2050</t>
  </si>
  <si>
    <t>2051</t>
  </si>
  <si>
    <t>2052</t>
  </si>
  <si>
    <t>2053</t>
  </si>
  <si>
    <t>2054</t>
  </si>
  <si>
    <t>2055</t>
  </si>
  <si>
    <t>2056</t>
  </si>
  <si>
    <t>2057</t>
  </si>
  <si>
    <t>2058</t>
  </si>
  <si>
    <t>2059</t>
  </si>
  <si>
    <t>2060</t>
  </si>
  <si>
    <t>2061</t>
  </si>
  <si>
    <t>2062</t>
  </si>
  <si>
    <t>2063</t>
  </si>
  <si>
    <t>2064</t>
  </si>
  <si>
    <t>2065</t>
  </si>
  <si>
    <t>2066</t>
  </si>
  <si>
    <t>北京丰利恒通建筑工程有限公司</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</si>
  <si>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</si>
  <si>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</si>
  <si>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</si>
  <si>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</si>
  <si>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</si>
  <si>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</si>
  <si>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</si>
  <si>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</si>
  <si>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</si>
  <si>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</si>
  <si>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</si>
  <si>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</si>
  <si>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</si>
  <si>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</si>
  <si>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</si>
  <si>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</si>
  <si>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</si>
  <si>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</si>
  <si>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</si>
  <si>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</si>
  <si>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</si>
  <si>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</si>
  <si>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北京云翔建筑设计有限公司</t>
  </si>
  <si>
    <t>2089</t>
  </si>
  <si>
    <t>2090</t>
  </si>
  <si>
    <t>2091</t>
  </si>
  <si>
    <t>2092</t>
  </si>
  <si>
    <t>2093</t>
  </si>
  <si>
    <t>2094</t>
  </si>
  <si>
    <t>2095</t>
  </si>
  <si>
    <t>宏发建设有限公司</t>
  </si>
  <si>
    <t>2096</t>
  </si>
  <si>
    <t>2097</t>
  </si>
  <si>
    <t>青岛零零一园林绿化工程有限公司</t>
  </si>
  <si>
    <t>2098</t>
  </si>
  <si>
    <t>2099</t>
  </si>
  <si>
    <t>2100</t>
  </si>
  <si>
    <t>干明明</t>
  </si>
  <si>
    <t>2103</t>
  </si>
  <si>
    <t>2104</t>
  </si>
  <si>
    <t>2105</t>
  </si>
  <si>
    <t>2106</t>
  </si>
  <si>
    <t>2107</t>
  </si>
  <si>
    <t>2108</t>
  </si>
  <si>
    <t>2109</t>
  </si>
  <si>
    <t>2110</t>
  </si>
  <si>
    <t>2111</t>
  </si>
  <si>
    <t>2112</t>
  </si>
  <si>
    <t>2113</t>
  </si>
  <si>
    <t>2114</t>
  </si>
  <si>
    <t>2115</t>
  </si>
  <si>
    <t>北京中鼎鑫商贸有限公司</t>
  </si>
  <si>
    <t>2116</t>
  </si>
  <si>
    <t>2117</t>
  </si>
  <si>
    <t>2118</t>
  </si>
  <si>
    <t>2119</t>
  </si>
  <si>
    <t>2120</t>
  </si>
  <si>
    <t>2121</t>
  </si>
  <si>
    <t>北京建黎建设工程有限公司</t>
  </si>
  <si>
    <t>2122</t>
  </si>
  <si>
    <t>2123</t>
  </si>
  <si>
    <t>北京朴优装饰工程有限公司</t>
  </si>
  <si>
    <t>2124</t>
  </si>
  <si>
    <t>2125</t>
  </si>
  <si>
    <t>2126</t>
  </si>
  <si>
    <t>2127</t>
  </si>
  <si>
    <t>2128</t>
  </si>
  <si>
    <t>2129</t>
  </si>
  <si>
    <t>2130</t>
  </si>
  <si>
    <t>2131</t>
  </si>
  <si>
    <t>四川盛磊建筑劳务有限公司</t>
  </si>
  <si>
    <t>2132</t>
  </si>
  <si>
    <t>2133</t>
  </si>
  <si>
    <t>北京聚龙广告传媒有限公司</t>
  </si>
  <si>
    <t>2134</t>
  </si>
  <si>
    <t>2135</t>
  </si>
  <si>
    <t>北京市市政三建设工程有限责任公司</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</si>
  <si>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</si>
  <si>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</si>
  <si>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</si>
  <si>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</si>
  <si>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</si>
  <si>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</si>
  <si>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</si>
  <si>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</si>
  <si>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</si>
  <si>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</si>
  <si>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</si>
  <si>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</si>
  <si>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</si>
  <si>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</si>
  <si>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</si>
  <si>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</si>
  <si>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</si>
  <si>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</si>
  <si>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</si>
  <si>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</si>
  <si>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</si>
  <si>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</si>
  <si>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</si>
  <si>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</si>
  <si>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</si>
  <si>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陈建新</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</si>
  <si>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</si>
  <si>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</si>
  <si>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</si>
  <si>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</si>
  <si>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</si>
  <si>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</si>
  <si>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</si>
  <si>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</si>
  <si>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</si>
  <si>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</si>
  <si>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</si>
  <si>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</si>
  <si>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</si>
  <si>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</si>
  <si>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</si>
  <si>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</si>
  <si>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</si>
  <si>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</si>
  <si>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</si>
  <si>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</si>
  <si>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</si>
  <si>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</si>
  <si>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</si>
  <si>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</si>
  <si>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</si>
  <si>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</si>
  <si>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北京国电恒通电力工程有限公</t>
  </si>
  <si>
    <t>L24-下跃</t>
  </si>
  <si>
    <t>7#</t>
  </si>
  <si>
    <t>103</t>
  </si>
  <si>
    <t>下跃仓储</t>
  </si>
  <si>
    <t>地下室（不含车位）-其他地下</t>
  </si>
  <si>
    <t>6#</t>
  </si>
  <si>
    <t>4#</t>
  </si>
  <si>
    <t>105</t>
  </si>
  <si>
    <t>104</t>
  </si>
  <si>
    <t>3#</t>
  </si>
  <si>
    <t>2#</t>
  </si>
  <si>
    <t>1#</t>
  </si>
  <si>
    <t>L26-2#</t>
  </si>
  <si>
    <t>26-2#</t>
  </si>
  <si>
    <t>刘政</t>
  </si>
  <si>
    <t>庞奇然</t>
  </si>
  <si>
    <t>尹思轩</t>
  </si>
  <si>
    <t>张晓蕾</t>
  </si>
  <si>
    <t>张梓彤</t>
  </si>
  <si>
    <t>张亦涵</t>
  </si>
  <si>
    <t>何婧;车轩</t>
  </si>
  <si>
    <t>王星潮;方美惠</t>
  </si>
  <si>
    <t>朱威至</t>
  </si>
  <si>
    <t>翟昊天;韩珍珍</t>
  </si>
  <si>
    <t>秦莉媛</t>
  </si>
  <si>
    <t>赵羽</t>
  </si>
  <si>
    <t>曹婕</t>
  </si>
  <si>
    <t>李晨曦</t>
  </si>
  <si>
    <t>张可</t>
  </si>
  <si>
    <t>储彩娥</t>
  </si>
  <si>
    <t>北京晶川电子技术发展有限责任公司</t>
  </si>
  <si>
    <t>杨建运</t>
  </si>
  <si>
    <t>范起卫;陈文君</t>
  </si>
  <si>
    <t>王奕然</t>
  </si>
  <si>
    <t>北京新峰昌科技有限公司</t>
  </si>
  <si>
    <t>李沐馨</t>
  </si>
  <si>
    <t>侯昊辰</t>
  </si>
  <si>
    <t>范俪琼;程伟</t>
  </si>
  <si>
    <t>李晓易;杨琳</t>
  </si>
  <si>
    <t>章洁</t>
  </si>
  <si>
    <t>王庚</t>
  </si>
  <si>
    <t>L26-3#</t>
  </si>
  <si>
    <t>3-2-102</t>
  </si>
  <si>
    <t>郭艳</t>
  </si>
  <si>
    <t>3#中间户</t>
  </si>
  <si>
    <t>陈大炜</t>
  </si>
  <si>
    <t>3#边户</t>
  </si>
  <si>
    <t>徐强;余盼</t>
  </si>
  <si>
    <t>马爽;魏华刚</t>
  </si>
  <si>
    <t>周海文</t>
  </si>
  <si>
    <t>黄丽娟</t>
  </si>
  <si>
    <t>胡皓</t>
  </si>
  <si>
    <t>郭正昊</t>
  </si>
  <si>
    <t>甘肃海洋房地产开发有限公司</t>
  </si>
  <si>
    <t>刘亦凡</t>
  </si>
  <si>
    <t>倪子惠</t>
  </si>
  <si>
    <t>沈海伽</t>
  </si>
  <si>
    <t>芮媛</t>
  </si>
  <si>
    <t>陶美玲;胡绍鑫</t>
  </si>
  <si>
    <t>刘凡培</t>
  </si>
  <si>
    <t>程达</t>
  </si>
  <si>
    <t>李莉</t>
  </si>
  <si>
    <t>姬广成</t>
  </si>
  <si>
    <t>左美子</t>
  </si>
  <si>
    <t>黎文壮</t>
  </si>
  <si>
    <t>姜仑亨</t>
  </si>
  <si>
    <t>骆魏</t>
  </si>
  <si>
    <t>李肖楠</t>
  </si>
  <si>
    <t>穆濛</t>
  </si>
  <si>
    <t>韩笑;陈婧</t>
  </si>
  <si>
    <t>安思婧;叶沐</t>
  </si>
  <si>
    <t>朱浩正</t>
  </si>
  <si>
    <t>3-1-101</t>
  </si>
  <si>
    <t>肖思雨;李英儒</t>
  </si>
  <si>
    <t>左庆;赵之硕</t>
  </si>
  <si>
    <t>赵唯一</t>
  </si>
  <si>
    <t>马建军</t>
  </si>
  <si>
    <t>徐瑞萌</t>
  </si>
  <si>
    <t>张振宇;张恒瑜</t>
  </si>
  <si>
    <t>王佳益</t>
  </si>
  <si>
    <t>张欣</t>
  </si>
  <si>
    <t>蒋林林</t>
  </si>
  <si>
    <t>李强</t>
  </si>
  <si>
    <t>韩丽莉</t>
  </si>
  <si>
    <t>张铮</t>
  </si>
  <si>
    <t>刘宏伟</t>
  </si>
  <si>
    <t>王丽</t>
  </si>
  <si>
    <t>黄立群</t>
  </si>
  <si>
    <t>肖虹</t>
  </si>
  <si>
    <t>门少杰</t>
  </si>
  <si>
    <t>张路遥</t>
  </si>
  <si>
    <t>陈姗姗</t>
  </si>
  <si>
    <t>傅志全;谭周香</t>
  </si>
  <si>
    <t>李滟蔚</t>
  </si>
  <si>
    <t>田蔚光</t>
  </si>
  <si>
    <t>王思齐</t>
  </si>
  <si>
    <t>王丽阳</t>
  </si>
  <si>
    <t>刘朋;陈铃</t>
  </si>
  <si>
    <t>郭懿萱</t>
  </si>
  <si>
    <t>L26-4#</t>
  </si>
  <si>
    <t>26-4#-西</t>
  </si>
  <si>
    <t>魏娟</t>
  </si>
  <si>
    <t>26-4#-东F1</t>
  </si>
  <si>
    <t>李正原</t>
  </si>
  <si>
    <t>闫瑾</t>
  </si>
  <si>
    <t>26-4#-东F2</t>
  </si>
  <si>
    <t>左津菽</t>
  </si>
  <si>
    <t>赵佳楠</t>
  </si>
  <si>
    <t>26-4#-东标F3及以上</t>
  </si>
  <si>
    <t>王真峥</t>
  </si>
  <si>
    <t>穆玲</t>
  </si>
  <si>
    <t>王千月</t>
  </si>
  <si>
    <t>王梅</t>
  </si>
  <si>
    <t>武朝</t>
  </si>
  <si>
    <t>王长权</t>
  </si>
  <si>
    <t>严雪宁</t>
  </si>
  <si>
    <t>马晨凯;赵艳丽</t>
  </si>
  <si>
    <t>王凡</t>
  </si>
  <si>
    <t>谢媛媛;郑山山</t>
  </si>
  <si>
    <t>武文霄</t>
  </si>
  <si>
    <t>夏祎瞳</t>
  </si>
  <si>
    <t>贾梓剑</t>
  </si>
  <si>
    <t>贺沛龙</t>
  </si>
  <si>
    <t>胡清龙</t>
  </si>
  <si>
    <t>孟晗</t>
  </si>
  <si>
    <t>毛博奇;罗明智</t>
  </si>
  <si>
    <t>L26-5#</t>
  </si>
  <si>
    <t>26-5#-东&amp;西</t>
  </si>
  <si>
    <t>袁悦铭</t>
  </si>
  <si>
    <t>26-5#-中F1</t>
  </si>
  <si>
    <t>陈星宇</t>
  </si>
  <si>
    <t>田原瑞</t>
  </si>
  <si>
    <t>26-5#-中F2</t>
  </si>
  <si>
    <t>郑燕;黄文杰</t>
  </si>
  <si>
    <t>郑凤环</t>
  </si>
  <si>
    <t>26-5#-中F3及以上</t>
  </si>
  <si>
    <t>胡晓龙</t>
  </si>
  <si>
    <t>谷慧慧</t>
  </si>
  <si>
    <t>伦雯</t>
  </si>
  <si>
    <t>彭广辉;刘雅茹</t>
  </si>
  <si>
    <t>颜佳悦</t>
  </si>
  <si>
    <t>吴非</t>
  </si>
  <si>
    <t>任廷华</t>
  </si>
  <si>
    <t>朱浩林</t>
  </si>
  <si>
    <t>王璞</t>
  </si>
  <si>
    <t>王俊玉</t>
  </si>
  <si>
    <t>程天艺</t>
  </si>
  <si>
    <t>郭海燕</t>
  </si>
  <si>
    <t>杨博</t>
  </si>
  <si>
    <t>王思米</t>
  </si>
  <si>
    <t>蒋羽薇</t>
  </si>
  <si>
    <t>梁家芃</t>
  </si>
  <si>
    <t>罗涵娜</t>
  </si>
  <si>
    <t>刘伟东</t>
  </si>
  <si>
    <t>李原;王旭</t>
  </si>
  <si>
    <t>雷鸿琴</t>
  </si>
  <si>
    <t>李墨</t>
  </si>
  <si>
    <t>徐熙</t>
  </si>
  <si>
    <t>何言</t>
  </si>
  <si>
    <t>许一楠;柳晨</t>
  </si>
  <si>
    <t>王曦贤</t>
  </si>
  <si>
    <t>北京煜新商贸有限公司</t>
  </si>
  <si>
    <t>赖佳祥</t>
  </si>
  <si>
    <t>张粟裕;许恩强</t>
  </si>
  <si>
    <t>历爱华</t>
  </si>
  <si>
    <t>张颖硕</t>
  </si>
  <si>
    <t>胡兴华</t>
  </si>
  <si>
    <t>李永鑫</t>
  </si>
  <si>
    <t>于慧超</t>
  </si>
  <si>
    <t>范亦楷</t>
  </si>
  <si>
    <t>张译嘉</t>
  </si>
  <si>
    <t>张立才</t>
  </si>
  <si>
    <t>乔磊</t>
  </si>
  <si>
    <t>孙博雅</t>
  </si>
  <si>
    <t>云鹤</t>
  </si>
  <si>
    <t>肖子桥</t>
  </si>
  <si>
    <t>北京依珊文化传媒有限公司</t>
  </si>
  <si>
    <t>徐泽炎</t>
  </si>
  <si>
    <t>方锦芃</t>
  </si>
  <si>
    <t>李曦</t>
  </si>
  <si>
    <t>谢立华</t>
  </si>
  <si>
    <t>梁鹏宇</t>
  </si>
  <si>
    <t>石燕玲</t>
  </si>
  <si>
    <t>杨新馨</t>
  </si>
  <si>
    <t>周爱丽</t>
  </si>
  <si>
    <t>张一</t>
  </si>
  <si>
    <t>L26-6#</t>
  </si>
  <si>
    <t>26-6#-东&amp;西</t>
  </si>
  <si>
    <t>北京四方建欣建筑装饰工程有限公司</t>
  </si>
  <si>
    <t>26-6#-中F1</t>
  </si>
  <si>
    <t>潘阳</t>
  </si>
  <si>
    <t>朱钰</t>
  </si>
  <si>
    <t>26-6#-中F2</t>
  </si>
  <si>
    <t>刘雅雯</t>
  </si>
  <si>
    <t>饶福敬</t>
  </si>
  <si>
    <t>26-6#-中标F3及以上</t>
  </si>
  <si>
    <t>张超凡</t>
  </si>
  <si>
    <t>欧洋</t>
  </si>
  <si>
    <t>芦洁丽</t>
  </si>
  <si>
    <t>孟璟</t>
  </si>
  <si>
    <t>黄婷玉;闫鲁</t>
  </si>
  <si>
    <t>陈蕾</t>
  </si>
  <si>
    <t>蒋晓波</t>
  </si>
  <si>
    <t>刘子瑞</t>
  </si>
  <si>
    <t>何润凡;曹晓朝</t>
  </si>
  <si>
    <t>王军</t>
  </si>
  <si>
    <t>曹琳</t>
  </si>
  <si>
    <t>骆芳</t>
  </si>
  <si>
    <t>黄艳茹</t>
  </si>
  <si>
    <t>焦典</t>
  </si>
  <si>
    <t>赵一霖</t>
  </si>
  <si>
    <t>修文杰</t>
  </si>
  <si>
    <t>颜小宁</t>
  </si>
  <si>
    <t>韩卓男</t>
  </si>
  <si>
    <t>王振;李婧涵</t>
  </si>
  <si>
    <t>徐康洋</t>
  </si>
  <si>
    <t>孟鑫雨</t>
  </si>
  <si>
    <t>邱伟丽</t>
  </si>
  <si>
    <t>徐波</t>
  </si>
  <si>
    <t>刘可欣</t>
  </si>
  <si>
    <t>芦芳</t>
  </si>
  <si>
    <t>武盟力;陈梦岩</t>
  </si>
  <si>
    <t>徐世泽</t>
  </si>
  <si>
    <t>肖峰</t>
  </si>
  <si>
    <t>北京住六混凝土有限公司</t>
  </si>
  <si>
    <t>赵骋程;李行健</t>
  </si>
  <si>
    <t>路珠</t>
  </si>
  <si>
    <t>薛群</t>
  </si>
  <si>
    <t>翟思民</t>
  </si>
  <si>
    <t>赵蔷;赵阳</t>
  </si>
  <si>
    <t>刘易</t>
  </si>
  <si>
    <t>袁海海</t>
  </si>
  <si>
    <t>沈嘉峥</t>
  </si>
  <si>
    <t>秦敏</t>
  </si>
  <si>
    <t>朱星谕</t>
  </si>
  <si>
    <t>尹心怡;杨杭</t>
  </si>
  <si>
    <t>吴傲寒</t>
  </si>
  <si>
    <t>北京睿纽管理咨询有限公司</t>
  </si>
  <si>
    <t>葛薇</t>
  </si>
  <si>
    <t>李国棋</t>
  </si>
  <si>
    <t>北京华创中实科技发展有限公司</t>
  </si>
  <si>
    <t>洪飞扬;江璐</t>
  </si>
  <si>
    <t>矫强;王泉坤</t>
  </si>
  <si>
    <t>韩林</t>
  </si>
  <si>
    <t>赵万生</t>
  </si>
  <si>
    <t>姜茂林</t>
  </si>
  <si>
    <t>肖兰英</t>
  </si>
  <si>
    <t>谢恺</t>
  </si>
  <si>
    <t>王艺;王思雨</t>
  </si>
  <si>
    <t>范小玲</t>
  </si>
  <si>
    <t>王嘉薇</t>
  </si>
  <si>
    <t>郭延鑫</t>
  </si>
  <si>
    <t>林毅坤;林彦君</t>
  </si>
  <si>
    <t>塞活科技（北京）有限公司</t>
  </si>
  <si>
    <t>张劲松;张旋</t>
  </si>
  <si>
    <t>L26-1#</t>
  </si>
  <si>
    <t>26-1-首西</t>
  </si>
  <si>
    <t>王铁柱</t>
  </si>
  <si>
    <t>26-1#-标东</t>
  </si>
  <si>
    <t>26-1#-标西</t>
  </si>
  <si>
    <t>卢骁帅;宋鸽</t>
  </si>
  <si>
    <t>魏景秋</t>
  </si>
  <si>
    <t>邢潇</t>
  </si>
  <si>
    <t>杜新;陈超</t>
  </si>
  <si>
    <t>王晓磊</t>
  </si>
  <si>
    <t>赵子腾</t>
  </si>
  <si>
    <t>洪佳鸣</t>
  </si>
  <si>
    <t>王梦真</t>
  </si>
  <si>
    <t>李若梦;张寅炜</t>
  </si>
  <si>
    <t>杨世龙</t>
  </si>
  <si>
    <t>付振亮</t>
  </si>
  <si>
    <t>申冲</t>
  </si>
  <si>
    <t>孙瀚洋</t>
  </si>
  <si>
    <t>北京龙誉时科技有限公司</t>
  </si>
  <si>
    <t>张立萍</t>
  </si>
  <si>
    <t>谢沛然</t>
  </si>
  <si>
    <t>石斌</t>
  </si>
  <si>
    <t>张粲;林汉乔</t>
  </si>
  <si>
    <t>潘泽骞</t>
  </si>
  <si>
    <t>隆武华</t>
  </si>
  <si>
    <t>王洋</t>
  </si>
  <si>
    <t>杨朝舜</t>
  </si>
  <si>
    <t>赖伟;熊璞</t>
  </si>
  <si>
    <t>齐震;段怡然</t>
  </si>
  <si>
    <t>夏成业</t>
  </si>
  <si>
    <t>葛顺德</t>
  </si>
  <si>
    <t>张民荣</t>
  </si>
  <si>
    <t>王凤一</t>
  </si>
  <si>
    <t>马偲喆</t>
  </si>
  <si>
    <t>董小征</t>
  </si>
  <si>
    <t>许华钊</t>
  </si>
  <si>
    <t>赵琎琦</t>
  </si>
  <si>
    <t>刘瑰瑛</t>
  </si>
  <si>
    <t>张静波</t>
  </si>
  <si>
    <t>赵敏</t>
  </si>
  <si>
    <t>王智儒</t>
  </si>
  <si>
    <t>王春海</t>
  </si>
  <si>
    <t>陈浩</t>
  </si>
  <si>
    <t>王艺傧</t>
  </si>
  <si>
    <t>刘元昊</t>
  </si>
  <si>
    <t>翟丰钰</t>
  </si>
  <si>
    <t>刘颖</t>
  </si>
  <si>
    <t>张志同</t>
  </si>
  <si>
    <t>董其一</t>
  </si>
  <si>
    <t>张梦琪</t>
  </si>
  <si>
    <t>何峰</t>
  </si>
  <si>
    <t>L26-7#</t>
  </si>
  <si>
    <t>26-7#-西</t>
  </si>
  <si>
    <t>徐荔军</t>
  </si>
  <si>
    <t>26-7#-东</t>
  </si>
  <si>
    <t>刘艺昕</t>
  </si>
  <si>
    <t>北京客韦宜科技有限公司</t>
  </si>
  <si>
    <t>李国强;万洁</t>
  </si>
  <si>
    <t>刘竑泽</t>
  </si>
  <si>
    <t>刘哲</t>
  </si>
  <si>
    <t>张凤琴</t>
  </si>
  <si>
    <t>戴羽</t>
  </si>
  <si>
    <t>徐利春</t>
  </si>
  <si>
    <t>王润生</t>
  </si>
  <si>
    <t>曹鹤馨;孔晴</t>
  </si>
  <si>
    <t>王铉清</t>
  </si>
  <si>
    <t>黄团结</t>
  </si>
  <si>
    <t>金成</t>
  </si>
  <si>
    <t>谢静</t>
  </si>
  <si>
    <t>佘淙</t>
  </si>
  <si>
    <t>北京恒者丰投资管理有限公司</t>
  </si>
  <si>
    <t>朱琳</t>
  </si>
  <si>
    <t>文静;王先平</t>
  </si>
  <si>
    <t>张立莹</t>
  </si>
  <si>
    <t>荆伟龙;隋羽</t>
  </si>
  <si>
    <t>何宜平</t>
  </si>
  <si>
    <t>王云高;马彩萍</t>
  </si>
  <si>
    <t>谢培英</t>
  </si>
  <si>
    <t>高蒙盟</t>
  </si>
  <si>
    <t>王进</t>
  </si>
  <si>
    <t>潘达</t>
  </si>
  <si>
    <t>张润迪</t>
  </si>
  <si>
    <t>马镇根</t>
  </si>
  <si>
    <t>付汝凯</t>
  </si>
  <si>
    <t>宋思远</t>
  </si>
  <si>
    <t>北京福瑞康科技发展有限责任公司</t>
  </si>
  <si>
    <t>徐涛;刘学颂</t>
  </si>
  <si>
    <t>张海艳</t>
  </si>
  <si>
    <t>司徒民景</t>
  </si>
  <si>
    <t>朱林涛</t>
  </si>
  <si>
    <t>北京宏阳东峰科技有限公司</t>
  </si>
  <si>
    <t>刘佳</t>
  </si>
  <si>
    <t>单冰辉</t>
  </si>
  <si>
    <t>孟晓明;钱骏</t>
  </si>
  <si>
    <t>那伟</t>
  </si>
  <si>
    <t>纪发华;付桂珍</t>
  </si>
  <si>
    <t>季滨</t>
  </si>
  <si>
    <t>范青阳</t>
  </si>
  <si>
    <t>奚国华;周蓉</t>
  </si>
  <si>
    <t>刘晔</t>
  </si>
  <si>
    <t>韩芳宇</t>
  </si>
  <si>
    <t>胡静</t>
  </si>
  <si>
    <t>孙群</t>
  </si>
  <si>
    <t>L26-8#</t>
  </si>
  <si>
    <t>26-8#-西首</t>
  </si>
  <si>
    <t>余军燕</t>
  </si>
  <si>
    <t>26-8#-东</t>
  </si>
  <si>
    <t>李宁</t>
  </si>
  <si>
    <t>26-8#-西标</t>
  </si>
  <si>
    <t>武晓东</t>
  </si>
  <si>
    <t>刘一琳;李安安</t>
  </si>
  <si>
    <t>艾书琴</t>
  </si>
  <si>
    <t>李红</t>
  </si>
  <si>
    <t>田然</t>
  </si>
  <si>
    <t>纳沁</t>
  </si>
  <si>
    <t>余佳霖</t>
  </si>
  <si>
    <t>李汶桓</t>
  </si>
  <si>
    <t>徐三定</t>
  </si>
  <si>
    <t>陈程</t>
  </si>
  <si>
    <t>刘书杰;张苏梅</t>
  </si>
  <si>
    <t>杨凯</t>
  </si>
  <si>
    <t>汪洋</t>
  </si>
  <si>
    <t>高博尧</t>
  </si>
  <si>
    <t>范文博</t>
  </si>
  <si>
    <t>乌兰</t>
  </si>
  <si>
    <t>王蕊</t>
  </si>
  <si>
    <t>孙文博</t>
  </si>
  <si>
    <t>孙若桐</t>
  </si>
  <si>
    <t>姜文博</t>
  </si>
  <si>
    <t>北京种星堂科技有限公司</t>
  </si>
  <si>
    <t>于恺彤</t>
  </si>
  <si>
    <t>张明;荆聪</t>
  </si>
  <si>
    <t>王立刚;阚凌云</t>
  </si>
  <si>
    <t>陆秀萍</t>
  </si>
  <si>
    <t>孙诗乐;黄行宇</t>
  </si>
  <si>
    <t>杜洁茜</t>
  </si>
  <si>
    <t>石琦</t>
  </si>
  <si>
    <t>徐嘉艺</t>
  </si>
  <si>
    <t>襄垣县万利商贸有限公司</t>
  </si>
  <si>
    <t>于英霞</t>
  </si>
  <si>
    <t>董海泉</t>
  </si>
  <si>
    <t>曹玮</t>
  </si>
  <si>
    <t>成都天裕凯瑞贸易有限公司</t>
  </si>
  <si>
    <t>李湉韵</t>
  </si>
  <si>
    <t>孔令超;王娅琳</t>
  </si>
  <si>
    <t>光紫芊</t>
  </si>
  <si>
    <t>李芸璟</t>
  </si>
  <si>
    <t>王万锜</t>
  </si>
  <si>
    <t>梁东海</t>
  </si>
  <si>
    <t>刘梦娇</t>
  </si>
  <si>
    <t>深圳市森宝利电子有限公司</t>
  </si>
  <si>
    <t>王孝财</t>
  </si>
  <si>
    <t>刘臣</t>
  </si>
  <si>
    <t>杨桂芳</t>
  </si>
  <si>
    <t>郭淳</t>
  </si>
  <si>
    <t>王丽霞</t>
  </si>
  <si>
    <t>王汶怡</t>
  </si>
  <si>
    <t>L26-产权车位</t>
  </si>
  <si>
    <t>产权标准车位-L26</t>
  </si>
  <si>
    <t>产权无障碍车位-L26</t>
  </si>
  <si>
    <t>产权微型车位-L26</t>
  </si>
  <si>
    <t>认购</t>
  </si>
  <si>
    <t>江苏华国安防有限公司</t>
  </si>
  <si>
    <t>奚国华</t>
  </si>
  <si>
    <t>阚凌云</t>
  </si>
  <si>
    <t>上海云兵实业有限公司</t>
  </si>
  <si>
    <t>2187</t>
  </si>
  <si>
    <t>2188</t>
  </si>
  <si>
    <t>2189</t>
  </si>
  <si>
    <t>2190</t>
  </si>
  <si>
    <t>2191</t>
  </si>
  <si>
    <t>2192</t>
  </si>
  <si>
    <t>2193</t>
  </si>
  <si>
    <t>2194</t>
  </si>
  <si>
    <t>2195</t>
  </si>
  <si>
    <t>2196</t>
  </si>
  <si>
    <t>2197</t>
  </si>
  <si>
    <t>2198</t>
  </si>
  <si>
    <t>2199</t>
  </si>
  <si>
    <t>2200</t>
  </si>
  <si>
    <t>2203</t>
  </si>
  <si>
    <t>2204</t>
  </si>
  <si>
    <t>2206</t>
  </si>
  <si>
    <t>2207</t>
  </si>
  <si>
    <t>2208</t>
  </si>
  <si>
    <t>2209</t>
  </si>
  <si>
    <t>2210</t>
  </si>
  <si>
    <t>2211</t>
  </si>
  <si>
    <t>2212</t>
  </si>
  <si>
    <t>2213</t>
  </si>
  <si>
    <t>2214</t>
  </si>
  <si>
    <t>2215</t>
  </si>
  <si>
    <t>文静</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</si>
  <si>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</si>
  <si>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</si>
  <si>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</si>
  <si>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</si>
  <si>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</si>
  <si>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</si>
  <si>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</si>
  <si>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</si>
  <si>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</si>
  <si>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</si>
  <si>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</si>
  <si>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</si>
  <si>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</si>
  <si>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</si>
  <si>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</si>
  <si>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</si>
  <si>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</si>
  <si>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</si>
  <si>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</si>
  <si>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</si>
  <si>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</si>
  <si>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</si>
  <si>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2239</t>
  </si>
  <si>
    <t>2240</t>
  </si>
  <si>
    <t>2241</t>
  </si>
  <si>
    <t>2242</t>
  </si>
  <si>
    <t>2243</t>
  </si>
  <si>
    <t>2244</t>
  </si>
  <si>
    <t>2245</t>
  </si>
  <si>
    <t>2246</t>
  </si>
  <si>
    <t>2247</t>
  </si>
  <si>
    <t>2248</t>
  </si>
  <si>
    <t>2249</t>
  </si>
  <si>
    <t>2250</t>
  </si>
  <si>
    <t>2251</t>
  </si>
  <si>
    <t>2252</t>
  </si>
  <si>
    <t>2253</t>
  </si>
  <si>
    <t>2254</t>
  </si>
  <si>
    <t>2255</t>
  </si>
  <si>
    <t>2256</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</si>
  <si>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</si>
  <si>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</si>
  <si>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</si>
  <si>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</si>
  <si>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</si>
  <si>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</si>
  <si>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</si>
  <si>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</si>
  <si>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</si>
  <si>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</si>
  <si>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</si>
  <si>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</si>
  <si>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</si>
  <si>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</si>
  <si>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</si>
  <si>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</si>
  <si>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</si>
  <si>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</si>
  <si>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</si>
  <si>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</si>
  <si>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</si>
  <si>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</si>
  <si>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</si>
  <si>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</si>
  <si>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</si>
  <si>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3027</t>
  </si>
  <si>
    <t>3028</t>
  </si>
  <si>
    <t>3029</t>
  </si>
  <si>
    <t>3030</t>
  </si>
  <si>
    <t>3031</t>
  </si>
  <si>
    <t>3032</t>
  </si>
  <si>
    <t>3033</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</si>
  <si>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</si>
  <si>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</si>
  <si>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</si>
  <si>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</si>
  <si>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</si>
  <si>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</si>
  <si>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</si>
  <si>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</si>
  <si>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</si>
  <si>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</si>
  <si>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</si>
  <si>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</si>
  <si>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</si>
  <si>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</si>
  <si>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</si>
  <si>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</si>
  <si>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</si>
  <si>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</si>
  <si>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</si>
  <si>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</si>
  <si>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</si>
  <si>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</si>
  <si>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</si>
  <si>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</si>
  <si>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</si>
  <si>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</si>
  <si>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</si>
  <si>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</si>
  <si>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</si>
  <si>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</si>
  <si>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</si>
  <si>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</si>
  <si>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</si>
  <si>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</si>
  <si>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</si>
  <si>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</si>
  <si>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</si>
  <si>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</si>
  <si>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</si>
  <si>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</si>
  <si>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</si>
  <si>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</si>
  <si>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</si>
  <si>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</si>
  <si>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L26-无产权车位</t>
  </si>
  <si>
    <t>3079</t>
  </si>
  <si>
    <t>非产权标准车位-L26</t>
  </si>
  <si>
    <t>3080</t>
  </si>
  <si>
    <t>3081</t>
  </si>
  <si>
    <t>3082</t>
  </si>
  <si>
    <t>3083</t>
  </si>
  <si>
    <t>非产权微型车位-L26</t>
  </si>
  <si>
    <t>3084</t>
  </si>
  <si>
    <t>3085</t>
  </si>
  <si>
    <t>3086</t>
  </si>
  <si>
    <t>3087</t>
  </si>
  <si>
    <t>3088</t>
  </si>
  <si>
    <t>3089</t>
  </si>
  <si>
    <t>3090</t>
  </si>
  <si>
    <t>3091</t>
  </si>
  <si>
    <t>3092</t>
  </si>
  <si>
    <t>3093</t>
  </si>
  <si>
    <t>3094</t>
  </si>
  <si>
    <t>3095</t>
  </si>
  <si>
    <t>3096</t>
  </si>
  <si>
    <t>3097</t>
  </si>
  <si>
    <t>3098</t>
  </si>
  <si>
    <t>3099</t>
  </si>
  <si>
    <t>3100</t>
  </si>
  <si>
    <t>3101</t>
  </si>
  <si>
    <t>3102</t>
  </si>
  <si>
    <t>北京盛德诚信商贸有限公司</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</si>
  <si>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</si>
  <si>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</si>
  <si>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</si>
  <si>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</si>
  <si>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</si>
  <si>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</si>
  <si>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</si>
  <si>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</si>
  <si>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</si>
  <si>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</si>
  <si>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</si>
  <si>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</si>
  <si>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</si>
  <si>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</si>
  <si>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</si>
  <si>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</si>
  <si>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</si>
  <si>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</si>
  <si>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</si>
  <si>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</si>
  <si>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</si>
  <si>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</si>
  <si>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</si>
  <si>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</si>
  <si>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</si>
  <si>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</si>
  <si>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</si>
  <si>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</si>
  <si>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</si>
  <si>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</si>
  <si>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</si>
  <si>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</si>
  <si>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</si>
  <si>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涿州鹏璐电气设备有限公司</t>
  </si>
  <si>
    <t>3136</t>
  </si>
  <si>
    <t>3137</t>
  </si>
  <si>
    <t>3138</t>
  </si>
  <si>
    <t>3139</t>
  </si>
  <si>
    <t>北京中联勘工程技术有限责任公司</t>
  </si>
  <si>
    <t>3140</t>
  </si>
  <si>
    <t>3141</t>
  </si>
  <si>
    <t>3142</t>
  </si>
  <si>
    <t>3143</t>
  </si>
  <si>
    <t>3144</t>
  </si>
  <si>
    <t>3145</t>
  </si>
  <si>
    <t>3146</t>
  </si>
  <si>
    <t>3147</t>
  </si>
  <si>
    <t>3148</t>
  </si>
  <si>
    <t>3149</t>
  </si>
  <si>
    <t>3150</t>
  </si>
  <si>
    <t>3151</t>
  </si>
  <si>
    <t>3152</t>
  </si>
  <si>
    <t>3153</t>
  </si>
  <si>
    <t>3154</t>
  </si>
  <si>
    <t>3155</t>
  </si>
  <si>
    <t>3156</t>
  </si>
  <si>
    <t>3157</t>
  </si>
  <si>
    <t>3158</t>
  </si>
  <si>
    <t>安徽富江天诚家具有限公司</t>
  </si>
  <si>
    <t>3159</t>
  </si>
  <si>
    <t>3160</t>
  </si>
  <si>
    <t>3161</t>
  </si>
  <si>
    <t>3162</t>
  </si>
  <si>
    <t>3163</t>
  </si>
  <si>
    <t>3164</t>
  </si>
  <si>
    <t>3165</t>
  </si>
  <si>
    <t>3166</t>
  </si>
  <si>
    <t>3167</t>
  </si>
  <si>
    <t>北京三磊建筑设计有限公司</t>
  </si>
  <si>
    <t>3168</t>
  </si>
  <si>
    <t>3169</t>
  </si>
  <si>
    <t>3170</t>
  </si>
  <si>
    <t>3171</t>
  </si>
  <si>
    <t>3172</t>
  </si>
  <si>
    <t>3173</t>
  </si>
  <si>
    <t>3174</t>
  </si>
  <si>
    <t>深圳奥雅设计股份有限公司</t>
  </si>
  <si>
    <t>3175</t>
  </si>
  <si>
    <t>3176</t>
  </si>
  <si>
    <t>3177</t>
  </si>
  <si>
    <t>3178</t>
  </si>
  <si>
    <t>范起卫</t>
  </si>
  <si>
    <t>3179</t>
  </si>
  <si>
    <t>上海联创设计集团股份有限公司北京分公司</t>
  </si>
  <si>
    <t>3180</t>
  </si>
  <si>
    <t>3181</t>
  </si>
  <si>
    <t>3182</t>
  </si>
  <si>
    <t>3183</t>
  </si>
  <si>
    <t>3184</t>
  </si>
  <si>
    <t>3185</t>
  </si>
  <si>
    <t>3186</t>
  </si>
  <si>
    <t>3187</t>
  </si>
  <si>
    <t>河北友之巢商贸有限公司</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</si>
  <si>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</si>
  <si>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</si>
  <si>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</si>
  <si>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</si>
  <si>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</si>
  <si>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</si>
  <si>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</si>
  <si>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</si>
  <si>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</si>
  <si>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</si>
  <si>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</si>
  <si>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</si>
  <si>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</si>
  <si>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</si>
  <si>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</si>
  <si>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</si>
  <si>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</si>
  <si>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</si>
  <si>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</si>
  <si>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</si>
  <si>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</si>
  <si>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</si>
  <si>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北京圣泽天下网络科技有限公司</t>
  </si>
  <si>
    <t>3210</t>
  </si>
  <si>
    <t>3211</t>
  </si>
  <si>
    <t>3212</t>
  </si>
  <si>
    <t>3213</t>
  </si>
  <si>
    <t>3214</t>
  </si>
  <si>
    <t>3215</t>
  </si>
  <si>
    <t>3216</t>
  </si>
  <si>
    <t>3217</t>
  </si>
  <si>
    <t>3218</t>
  </si>
  <si>
    <t>3219</t>
  </si>
  <si>
    <t>3220</t>
  </si>
  <si>
    <t>3221</t>
  </si>
  <si>
    <t>3222</t>
  </si>
  <si>
    <t>3223</t>
  </si>
  <si>
    <t>3224</t>
  </si>
  <si>
    <t>3225</t>
  </si>
  <si>
    <t>3226</t>
  </si>
  <si>
    <t>3227</t>
  </si>
  <si>
    <t>保定建业集团有限公司</t>
  </si>
  <si>
    <t>3228</t>
  </si>
  <si>
    <t>上海怀淳自动化工程有限公司</t>
  </si>
  <si>
    <t>3229</t>
  </si>
  <si>
    <t>常州市金坛劳务开发有限公司</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</si>
  <si>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</si>
  <si>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</si>
  <si>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</si>
  <si>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</si>
  <si>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</si>
  <si>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</si>
  <si>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</si>
  <si>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</si>
  <si>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</si>
  <si>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</si>
  <si>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</si>
  <si>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</si>
  <si>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</si>
  <si>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</si>
  <si>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</si>
  <si>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</si>
  <si>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</si>
  <si>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</si>
  <si>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</si>
  <si>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</si>
  <si>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</si>
  <si>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</si>
  <si>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</si>
  <si>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</si>
  <si>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</si>
  <si>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</si>
  <si>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</si>
  <si>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</si>
  <si>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</si>
  <si>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</si>
  <si>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</si>
  <si>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</si>
  <si>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</si>
  <si>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</si>
  <si>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</si>
  <si>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</si>
  <si>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</si>
  <si>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北京聚星鸿科贸易有限公司</t>
  </si>
  <si>
    <t>3267</t>
  </si>
  <si>
    <t>3268</t>
  </si>
  <si>
    <t>3269</t>
  </si>
  <si>
    <t>3270</t>
  </si>
  <si>
    <t>3271</t>
  </si>
  <si>
    <t>3272</t>
  </si>
  <si>
    <t>北京伟业联合房地产顾问有限公司</t>
  </si>
  <si>
    <t>3273</t>
  </si>
  <si>
    <t>3274</t>
  </si>
  <si>
    <t>L26-下跃</t>
  </si>
  <si>
    <t>8#</t>
  </si>
  <si>
    <t>下8#-102</t>
  </si>
  <si>
    <t>下8#-103</t>
  </si>
  <si>
    <t>下7#-102</t>
  </si>
  <si>
    <t>下7#-103</t>
  </si>
  <si>
    <t>下6#-102</t>
  </si>
  <si>
    <t>下6#-103、104</t>
  </si>
  <si>
    <t>下6#-105</t>
  </si>
  <si>
    <t>下5#-102、105</t>
  </si>
  <si>
    <t>下5#-103、104</t>
  </si>
  <si>
    <t>下4#-102</t>
  </si>
  <si>
    <t>下4#-103</t>
  </si>
  <si>
    <t>下3#-102</t>
  </si>
  <si>
    <t>下3#-103、104</t>
  </si>
  <si>
    <t>下3#-105</t>
  </si>
  <si>
    <t>下1#-102</t>
  </si>
  <si>
    <t>下1#-103</t>
  </si>
  <si>
    <t>一期/北京市丰台区分钟寺L24、26地块项目地下/储藏室</t>
  </si>
  <si>
    <t>108</t>
  </si>
  <si>
    <t>地下室（不含车位）-储藏室</t>
  </si>
  <si>
    <t>107</t>
  </si>
  <si>
    <t>106</t>
  </si>
  <si>
    <t>208</t>
  </si>
  <si>
    <t>207</t>
  </si>
  <si>
    <t>206</t>
  </si>
  <si>
    <t>205</t>
  </si>
  <si>
    <t>204</t>
  </si>
  <si>
    <t>203</t>
  </si>
  <si>
    <t>303</t>
  </si>
  <si>
    <t>305</t>
  </si>
  <si>
    <t>304</t>
  </si>
  <si>
    <t>北京丽泽永安消防工程有限公司</t>
  </si>
  <si>
    <t>306</t>
  </si>
  <si>
    <t>114</t>
  </si>
  <si>
    <t>113</t>
  </si>
  <si>
    <t>112</t>
  </si>
  <si>
    <t>111</t>
  </si>
  <si>
    <t>110</t>
  </si>
  <si>
    <t>109</t>
  </si>
  <si>
    <t>217</t>
  </si>
  <si>
    <t>216</t>
  </si>
  <si>
    <t>215</t>
  </si>
  <si>
    <t>214</t>
  </si>
  <si>
    <t>213</t>
  </si>
  <si>
    <t>212</t>
  </si>
  <si>
    <t>211</t>
  </si>
  <si>
    <t>210</t>
  </si>
  <si>
    <t>209</t>
  </si>
  <si>
    <t>314</t>
  </si>
  <si>
    <t>313</t>
  </si>
  <si>
    <t>312</t>
  </si>
  <si>
    <t>311</t>
  </si>
  <si>
    <t>310</t>
  </si>
  <si>
    <t>309</t>
  </si>
  <si>
    <t>308</t>
  </si>
  <si>
    <t>307</t>
  </si>
  <si>
    <t>王澜舟;何林雨思</t>
  </si>
  <si>
    <t>二期/北京市丰台区分钟寺L24、26地块项目地下/储藏室</t>
  </si>
  <si>
    <t>下8#-101</t>
  </si>
  <si>
    <t>下8#-104</t>
  </si>
  <si>
    <t>下8#-105</t>
  </si>
  <si>
    <t>下8#-106</t>
  </si>
  <si>
    <t>下8#-107</t>
  </si>
  <si>
    <t>下8#-108</t>
  </si>
  <si>
    <t>下8#-201</t>
  </si>
  <si>
    <t>下8#-202</t>
  </si>
  <si>
    <t>下8#-203</t>
  </si>
  <si>
    <t>下8#-204</t>
  </si>
  <si>
    <t>下8#-205</t>
  </si>
  <si>
    <t>下8#-206</t>
  </si>
  <si>
    <t>下8#-207</t>
  </si>
  <si>
    <t>下8#-208</t>
  </si>
  <si>
    <t>下8#-301、303</t>
  </si>
  <si>
    <t>下8#-302</t>
  </si>
  <si>
    <t>下7#-101</t>
  </si>
  <si>
    <t>下7#-104</t>
  </si>
  <si>
    <t>下7#-105</t>
  </si>
  <si>
    <t>下7#-106</t>
  </si>
  <si>
    <t>下7#-107</t>
  </si>
  <si>
    <t>下7#-201</t>
  </si>
  <si>
    <t>下7#-202</t>
  </si>
  <si>
    <t>下7#-203</t>
  </si>
  <si>
    <t>下7#-204</t>
  </si>
  <si>
    <t>下7#-205</t>
  </si>
  <si>
    <t>下7#-206</t>
  </si>
  <si>
    <t>下7#-207</t>
  </si>
  <si>
    <t>下7#-208</t>
  </si>
  <si>
    <t>下7#-209</t>
  </si>
  <si>
    <t>下7#-210</t>
  </si>
  <si>
    <t>下7#-211</t>
  </si>
  <si>
    <t>下7#-301</t>
  </si>
  <si>
    <t>下7#-302</t>
  </si>
  <si>
    <t>下7#-303</t>
  </si>
  <si>
    <t>下7#-304</t>
  </si>
  <si>
    <t>下7#-305</t>
  </si>
  <si>
    <t>下7#-306</t>
  </si>
  <si>
    <t>下7#-307</t>
  </si>
  <si>
    <t>下6#-101</t>
  </si>
  <si>
    <t>下6#-106</t>
  </si>
  <si>
    <t>下6#-107、114</t>
  </si>
  <si>
    <t>下6#-108、113</t>
  </si>
  <si>
    <t>下6#-109、112</t>
  </si>
  <si>
    <t>下6#-110、111</t>
  </si>
  <si>
    <t>下6#-201、213</t>
  </si>
  <si>
    <t>下6#-202、212</t>
  </si>
  <si>
    <t>下6#-203</t>
  </si>
  <si>
    <t>下6#-204、210</t>
  </si>
  <si>
    <t>下6#-304、205</t>
  </si>
  <si>
    <t>下6#-305、206、208</t>
  </si>
  <si>
    <t>下6#-207</t>
  </si>
  <si>
    <t>下6#-209</t>
  </si>
  <si>
    <t>下6#-211</t>
  </si>
  <si>
    <t>下6#-214、217</t>
  </si>
  <si>
    <t>下6#-215、216</t>
  </si>
  <si>
    <t>下6#-301</t>
  </si>
  <si>
    <t>下6#-302</t>
  </si>
  <si>
    <t>下6#-303</t>
  </si>
  <si>
    <t>下6#-306、309</t>
  </si>
  <si>
    <t>下6#-307、308</t>
  </si>
  <si>
    <t>下6#-310、311</t>
  </si>
  <si>
    <t>下5#-101、106</t>
  </si>
  <si>
    <t>下5#-107</t>
  </si>
  <si>
    <t>下5#-108</t>
  </si>
  <si>
    <t>下5#-109、112</t>
  </si>
  <si>
    <t>下5#-110、111</t>
  </si>
  <si>
    <t>下5#-113</t>
  </si>
  <si>
    <t>下5#-114</t>
  </si>
  <si>
    <t>下5#-201</t>
  </si>
  <si>
    <t>下5#-202</t>
  </si>
  <si>
    <t>下5#-203</t>
  </si>
  <si>
    <t>下5#-204</t>
  </si>
  <si>
    <t>下5#-205、209</t>
  </si>
  <si>
    <t>下5#-206</t>
  </si>
  <si>
    <t>下5#-207</t>
  </si>
  <si>
    <t>下5#-208</t>
  </si>
  <si>
    <t>下5#-210</t>
  </si>
  <si>
    <t>下5#-211</t>
  </si>
  <si>
    <t>下5#-212</t>
  </si>
  <si>
    <t>下5#-213</t>
  </si>
  <si>
    <t>下5#-214</t>
  </si>
  <si>
    <t>下5#-215、216</t>
  </si>
  <si>
    <t>下5#-217</t>
  </si>
  <si>
    <t>下5#-301</t>
  </si>
  <si>
    <t>下5#-302</t>
  </si>
  <si>
    <t>下5#-303</t>
  </si>
  <si>
    <t>下5#-304</t>
  </si>
  <si>
    <t>下5#-305</t>
  </si>
  <si>
    <t>下5#-306</t>
  </si>
  <si>
    <t>下5#-307、310</t>
  </si>
  <si>
    <t>下5#-308、309</t>
  </si>
  <si>
    <t>下3#-310</t>
  </si>
  <si>
    <t>下5#-311</t>
  </si>
  <si>
    <t>下5#-312、313</t>
  </si>
  <si>
    <t>下4#-101</t>
  </si>
  <si>
    <t>下4#-104</t>
  </si>
  <si>
    <t>下4#-105</t>
  </si>
  <si>
    <t>下4#-106</t>
  </si>
  <si>
    <t>下4#-201</t>
  </si>
  <si>
    <t>下4#-202</t>
  </si>
  <si>
    <t>下4#-203、204</t>
  </si>
  <si>
    <t>下4#-205</t>
  </si>
  <si>
    <t>下4#-206</t>
  </si>
  <si>
    <t>下4#-307、207</t>
  </si>
  <si>
    <t>下4#-208</t>
  </si>
  <si>
    <t>下4#-209</t>
  </si>
  <si>
    <t>下4#-210</t>
  </si>
  <si>
    <t>下4#-301</t>
  </si>
  <si>
    <t>下4#-302</t>
  </si>
  <si>
    <t>下4#-303</t>
  </si>
  <si>
    <t>下4#-304</t>
  </si>
  <si>
    <t>下4#-305、306</t>
  </si>
  <si>
    <t>下3#-101</t>
  </si>
  <si>
    <t>下3#-106、114</t>
  </si>
  <si>
    <t>下3#-107</t>
  </si>
  <si>
    <t>下3#-108、113</t>
  </si>
  <si>
    <t>下3#-109、112</t>
  </si>
  <si>
    <t>下3#-110、111</t>
  </si>
  <si>
    <t>下3#-201</t>
  </si>
  <si>
    <t>下3#-202</t>
  </si>
  <si>
    <t>下3#-203、209</t>
  </si>
  <si>
    <t>下3#-204</t>
  </si>
  <si>
    <t>下3#-205</t>
  </si>
  <si>
    <t>下3#-206</t>
  </si>
  <si>
    <t>下3#-207</t>
  </si>
  <si>
    <t>下3#-208</t>
  </si>
  <si>
    <t>下3#-210</t>
  </si>
  <si>
    <t>下3#-211</t>
  </si>
  <si>
    <t>下3#-212</t>
  </si>
  <si>
    <t>下3#-213</t>
  </si>
  <si>
    <t>下3#-214、215</t>
  </si>
  <si>
    <t>下3#-216</t>
  </si>
  <si>
    <t>下3#-301</t>
  </si>
  <si>
    <t>下3#-302</t>
  </si>
  <si>
    <t>下3#-303</t>
  </si>
  <si>
    <t>下3#-304</t>
  </si>
  <si>
    <t>下3#-305</t>
  </si>
  <si>
    <t>下3#-306、307</t>
  </si>
  <si>
    <t>下3#-308</t>
  </si>
  <si>
    <t>下3#-309</t>
  </si>
  <si>
    <t>下3#-311</t>
  </si>
  <si>
    <t>下3#-312</t>
  </si>
  <si>
    <t>下3#-313</t>
  </si>
  <si>
    <t>下3#-314、317</t>
  </si>
  <si>
    <t>315</t>
  </si>
  <si>
    <t>下3#-315、316</t>
  </si>
  <si>
    <t>316</t>
  </si>
  <si>
    <t>317</t>
  </si>
  <si>
    <t>下2#-101</t>
  </si>
  <si>
    <t>下2#-104</t>
  </si>
  <si>
    <t>下2#-105</t>
  </si>
  <si>
    <t>下2#-106、109</t>
  </si>
  <si>
    <t>下2#-107、108</t>
  </si>
  <si>
    <t>下2#-110</t>
  </si>
  <si>
    <t>下2#-201</t>
  </si>
  <si>
    <t>下2#-202</t>
  </si>
  <si>
    <t>下2#-203</t>
  </si>
  <si>
    <t>下2#-204</t>
  </si>
  <si>
    <t>下2#-205</t>
  </si>
  <si>
    <t>下2#-206</t>
  </si>
  <si>
    <t>下2#-207</t>
  </si>
  <si>
    <t>下2#-208</t>
  </si>
  <si>
    <t>下2#-209</t>
  </si>
  <si>
    <t>下2#-210、211</t>
  </si>
  <si>
    <t>下2#-212</t>
  </si>
  <si>
    <t>下2#-301、307</t>
  </si>
  <si>
    <t>下2#-302</t>
  </si>
  <si>
    <t>下2#-303</t>
  </si>
  <si>
    <t>下2#-304</t>
  </si>
  <si>
    <t>下2#-305、306</t>
  </si>
  <si>
    <t>下2#-308</t>
  </si>
  <si>
    <t>下2#-309</t>
  </si>
  <si>
    <t>下1#-101</t>
  </si>
  <si>
    <t>下1#-104</t>
  </si>
  <si>
    <t>下1#-106</t>
  </si>
  <si>
    <t>下1#-201</t>
  </si>
  <si>
    <t>下1#-202</t>
  </si>
  <si>
    <t>下1#-203</t>
  </si>
  <si>
    <t>下1#-204</t>
  </si>
  <si>
    <t>下1#-205</t>
  </si>
  <si>
    <t>下1#-206</t>
  </si>
  <si>
    <t>下1#-207</t>
  </si>
  <si>
    <t>下1#-301</t>
  </si>
  <si>
    <t>下1#-302</t>
  </si>
  <si>
    <t>下1#-303</t>
  </si>
  <si>
    <t>下1#-304</t>
  </si>
  <si>
    <t>所在楼层</t>
  </si>
  <si>
    <t>房号</t>
  </si>
  <si>
    <t>标准总价（万元）</t>
  </si>
  <si>
    <t>一期/北京市丰台区分钟寺L24、26地块项目地下/商业</t>
  </si>
  <si>
    <t>-</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</si>
  <si>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</si>
  <si>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</si>
  <si>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</si>
  <si>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</si>
  <si>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</si>
  <si>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</si>
  <si>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</si>
  <si>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</si>
  <si>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</si>
  <si>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</si>
  <si>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</si>
  <si>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</si>
  <si>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</si>
  <si>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</si>
  <si>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</si>
  <si>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</si>
  <si>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</si>
  <si>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</si>
  <si>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</si>
  <si>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</si>
  <si>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</si>
  <si>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</si>
  <si>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</si>
  <si>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</si>
  <si>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</si>
  <si>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</si>
  <si>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</si>
  <si>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</si>
  <si>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</si>
  <si>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</si>
  <si>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</si>
  <si>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</si>
  <si>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</si>
  <si>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</si>
  <si>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</si>
  <si>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</si>
  <si>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</si>
  <si>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</si>
  <si>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</si>
  <si>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</si>
  <si>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</si>
  <si>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</si>
  <si>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</si>
  <si>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</si>
  <si>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</si>
  <si>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</si>
  <si>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</si>
  <si>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主体</t>
  </si>
  <si>
    <r>
      <rPr>
        <sz val="11"/>
        <rFont val="宋体"/>
        <family val="3"/>
        <charset val="134"/>
      </rPr>
      <t>建设期</t>
    </r>
  </si>
  <si>
    <r>
      <rPr>
        <sz val="11"/>
        <color rgb="FFFF0000"/>
        <rFont val="宋体"/>
        <family val="3"/>
        <charset val="134"/>
      </rPr>
      <t>包含未完成的红线外市政工程时间（如现状三通，开发完成后七通）</t>
    </r>
  </si>
  <si>
    <t>地上</t>
  </si>
  <si>
    <r>
      <rPr>
        <sz val="11"/>
        <color indexed="8"/>
        <rFont val="宋体"/>
        <family val="3"/>
        <charset val="134"/>
      </rPr>
      <t>已建工期</t>
    </r>
  </si>
  <si>
    <r>
      <rPr>
        <sz val="11"/>
        <rFont val="宋体"/>
        <family val="3"/>
        <charset val="134"/>
      </rPr>
      <t>项目开发期</t>
    </r>
  </si>
  <si>
    <t>装修</t>
  </si>
  <si>
    <r>
      <rPr>
        <sz val="11"/>
        <color indexed="8"/>
        <rFont val="宋体"/>
        <family val="3"/>
        <charset val="134"/>
      </rPr>
      <t>项目已运行</t>
    </r>
  </si>
  <si>
    <t>设备</t>
  </si>
  <si>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</si>
  <si>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</si>
  <si>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</si>
  <si>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</si>
  <si>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</si>
  <si>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</si>
  <si>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</si>
  <si>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</si>
  <si>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</si>
  <si>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</si>
  <si>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</si>
  <si>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</si>
  <si>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</si>
  <si>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</si>
  <si>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</si>
  <si>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</si>
  <si>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</si>
  <si>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</si>
  <si>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</si>
  <si>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</si>
  <si>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</si>
  <si>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</si>
  <si>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</si>
  <si>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</si>
  <si>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</si>
  <si>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</si>
  <si>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</si>
  <si>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</si>
  <si>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</si>
  <si>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</si>
  <si>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</si>
  <si>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</si>
  <si>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</si>
  <si>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</si>
  <si>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</si>
  <si>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</si>
  <si>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</si>
  <si>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</si>
  <si>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</si>
  <si>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</si>
  <si>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</si>
  <si>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</si>
  <si>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</si>
  <si>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</si>
  <si>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</si>
  <si>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</si>
  <si>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</si>
  <si>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</si>
  <si>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</si>
  <si>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</si>
  <si>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</si>
  <si>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</si>
  <si>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</si>
  <si>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</si>
  <si>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</si>
  <si>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</si>
  <si>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</si>
  <si>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</si>
  <si>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</si>
  <si>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</si>
  <si>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</si>
  <si>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</si>
  <si>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</si>
  <si>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</si>
  <si>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</si>
  <si>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</si>
  <si>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</si>
  <si>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</si>
  <si>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</si>
  <si>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</si>
  <si>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</si>
  <si>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</si>
  <si>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</si>
  <si>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</si>
  <si>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</si>
  <si>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</si>
  <si>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</si>
  <si>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</si>
  <si>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</si>
  <si>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</si>
  <si>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</si>
  <si>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</si>
  <si>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</si>
  <si>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</si>
  <si>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</si>
  <si>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</si>
  <si>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</si>
  <si>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</si>
  <si>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</si>
  <si>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</si>
  <si>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</si>
  <si>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</si>
  <si>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</si>
  <si>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</si>
  <si>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</si>
  <si>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</si>
  <si>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</si>
  <si>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</si>
  <si>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</si>
  <si>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</si>
  <si>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</si>
  <si>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</si>
  <si>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</si>
  <si>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</si>
  <si>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</si>
  <si>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</si>
  <si>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</si>
  <si>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</si>
  <si>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</si>
  <si>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</si>
  <si>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</si>
  <si>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</si>
  <si>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</si>
  <si>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</si>
  <si>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</si>
  <si>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</si>
  <si>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</si>
  <si>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</si>
  <si>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</si>
  <si>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</si>
  <si>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</si>
  <si>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</si>
  <si>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</si>
  <si>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</si>
  <si>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</si>
  <si>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</si>
  <si>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</si>
  <si>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</si>
  <si>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</si>
  <si>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</si>
  <si>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</si>
  <si>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</si>
  <si>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</si>
  <si>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</si>
  <si>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</si>
  <si>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</si>
  <si>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</si>
  <si>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</si>
  <si>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</si>
  <si>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</si>
  <si>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</si>
  <si>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</si>
  <si>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</si>
  <si>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</si>
  <si>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</si>
  <si>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</si>
  <si>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</si>
  <si>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</si>
  <si>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</si>
  <si>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</si>
  <si>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</si>
  <si>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</si>
  <si>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</si>
  <si>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</si>
  <si>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</si>
  <si>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</si>
  <si>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</si>
  <si>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</si>
  <si>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</si>
  <si>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</si>
  <si>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</si>
  <si>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</si>
  <si>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</si>
  <si>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</si>
  <si>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</si>
  <si>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</si>
  <si>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</si>
  <si>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</si>
  <si>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</si>
  <si>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</si>
  <si>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</si>
  <si>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</si>
  <si>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</si>
  <si>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</si>
  <si>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</si>
  <si>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</si>
  <si>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</si>
  <si>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</si>
  <si>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</si>
  <si>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</si>
  <si>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</si>
  <si>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</si>
  <si>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</si>
  <si>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</si>
  <si>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</si>
  <si>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</si>
  <si>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</si>
  <si>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</si>
  <si>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</si>
  <si>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</si>
  <si>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</si>
  <si>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</si>
  <si>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</si>
  <si>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</si>
  <si>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</si>
  <si>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</si>
  <si>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</si>
  <si>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</si>
  <si>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</si>
  <si>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</si>
  <si>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</si>
  <si>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</si>
  <si>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</si>
  <si>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</si>
  <si>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</si>
  <si>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</si>
  <si>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</si>
  <si>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</si>
  <si>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</si>
  <si>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</si>
  <si>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</si>
  <si>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</si>
  <si>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</si>
  <si>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</si>
  <si>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</si>
  <si>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</si>
  <si>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</si>
  <si>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</si>
  <si>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</si>
  <si>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</si>
  <si>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</si>
  <si>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</si>
  <si>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</si>
  <si>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</si>
  <si>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</si>
  <si>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</si>
  <si>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</si>
  <si>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</si>
  <si>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</si>
  <si>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</si>
  <si>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</si>
  <si>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</si>
  <si>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</si>
  <si>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</si>
  <si>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</si>
  <si>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</si>
  <si>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</si>
  <si>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</si>
  <si>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</si>
  <si>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</si>
  <si>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</si>
  <si>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</si>
  <si>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</si>
  <si>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</si>
  <si>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</si>
  <si>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</si>
  <si>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</si>
  <si>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</si>
  <si>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</si>
  <si>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</si>
  <si>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</si>
  <si>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</si>
  <si>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</si>
  <si>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</si>
  <si>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</si>
  <si>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</si>
  <si>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</si>
  <si>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</si>
  <si>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</si>
  <si>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</si>
  <si>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</si>
  <si>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</si>
  <si>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</si>
  <si>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</si>
  <si>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</si>
  <si>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</si>
  <si>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</si>
  <si>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</si>
  <si>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</si>
  <si>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</si>
  <si>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</si>
  <si>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</si>
  <si>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</si>
  <si>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</si>
  <si>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</si>
  <si>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</si>
  <si>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</si>
  <si>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</si>
  <si>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</si>
  <si>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</si>
  <si>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</si>
  <si>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</si>
  <si>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</si>
  <si>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</si>
  <si>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</si>
  <si>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</si>
  <si>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</si>
  <si>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</si>
  <si>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</si>
  <si>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</si>
  <si>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</si>
  <si>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</si>
  <si>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</si>
  <si>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</si>
  <si>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</si>
  <si>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</si>
  <si>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</si>
  <si>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</si>
  <si>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</si>
  <si>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</si>
  <si>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</si>
  <si>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</si>
  <si>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</si>
  <si>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</si>
  <si>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</si>
  <si>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</si>
  <si>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</si>
  <si>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</si>
  <si>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</si>
  <si>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</si>
  <si>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</si>
  <si>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</si>
  <si>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</si>
  <si>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</si>
  <si>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</si>
  <si>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</si>
  <si>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</si>
  <si>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</si>
  <si>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</si>
  <si>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</si>
  <si>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</si>
  <si>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</si>
  <si>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</si>
  <si>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</si>
  <si>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比较法</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</si>
  <si>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</si>
  <si>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</si>
  <si>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</si>
  <si>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</si>
  <si>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</si>
  <si>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</si>
  <si>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</si>
  <si>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</si>
  <si>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2"/>
        <rFont val="宋体"/>
        <family val="3"/>
        <charset val="134"/>
      </rPr>
      <t>车位数</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</si>
  <si>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</si>
  <si>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</si>
  <si>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</si>
  <si>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</si>
  <si>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</si>
  <si>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</si>
  <si>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</si>
  <si>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</si>
  <si>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北京悦府</t>
  </si>
  <si>
    <t>北京金茂府</t>
  </si>
  <si>
    <t>世茂北京天誉</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</si>
  <si>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</si>
  <si>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</si>
  <si>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</si>
  <si>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</si>
  <si>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</si>
  <si>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</si>
  <si>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</si>
  <si>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</si>
  <si>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</si>
  <si>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</si>
  <si>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地下车库</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</si>
  <si>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</si>
  <si>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</si>
  <si>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</si>
  <si>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rgb="FF000000"/>
        <rFont val="Arial"/>
        <family val="2"/>
      </rPr>
      <t>40</t>
    </r>
    <r>
      <rPr>
        <sz val="11"/>
        <color rgb="FF000000"/>
        <rFont val="宋体"/>
        <family val="3"/>
        <charset val="134"/>
      </rPr>
      <t>（含）</t>
    </r>
    <r>
      <rPr>
        <sz val="11"/>
        <color rgb="FF000000"/>
        <rFont val="Arial"/>
        <family val="2"/>
      </rPr>
      <t>-50</t>
    </r>
  </si>
  <si>
    <r>
      <rPr>
        <b/>
        <sz val="11"/>
        <rFont val="宋体"/>
        <family val="3"/>
        <charset val="134"/>
      </rPr>
      <t>区位状况</t>
    </r>
  </si>
  <si>
    <r>
      <rPr>
        <sz val="11"/>
        <color indexed="8"/>
        <rFont val="宋体"/>
        <family val="3"/>
        <charset val="134"/>
      </rPr>
      <t>交通便捷度</t>
    </r>
  </si>
  <si>
    <r>
      <rPr>
        <sz val="11"/>
        <rFont val="宋体"/>
        <family val="3"/>
        <charset val="134"/>
      </rPr>
      <t>区位状况</t>
    </r>
  </si>
  <si>
    <t>较好</t>
  </si>
  <si>
    <r>
      <rPr>
        <sz val="11"/>
        <color indexed="8"/>
        <rFont val="宋体"/>
        <family val="3"/>
        <charset val="134"/>
      </rPr>
      <t>公共配套设施</t>
    </r>
  </si>
  <si>
    <t>一般</t>
  </si>
  <si>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</si>
  <si>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</si>
  <si>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</si>
  <si>
    <r>
      <rPr>
        <b/>
        <sz val="11"/>
        <rFont val="宋体"/>
        <family val="3"/>
        <charset val="134"/>
      </rPr>
      <t>实物状况</t>
    </r>
  </si>
  <si>
    <r>
      <rPr>
        <sz val="11"/>
        <color indexed="8"/>
        <rFont val="宋体"/>
        <family val="3"/>
        <charset val="134"/>
      </rPr>
      <t>配套类型</t>
    </r>
  </si>
  <si>
    <r>
      <rPr>
        <sz val="11"/>
        <rFont val="宋体"/>
        <family val="3"/>
        <charset val="134"/>
      </rPr>
      <t>实物状况</t>
    </r>
  </si>
  <si>
    <r>
      <rPr>
        <sz val="11"/>
        <color indexed="8"/>
        <rFont val="宋体"/>
        <family val="3"/>
        <charset val="134"/>
      </rPr>
      <t>项目停车位配比</t>
    </r>
  </si>
  <si>
    <t>1:1.3</t>
  </si>
  <si>
    <t>1:1.45</t>
  </si>
  <si>
    <t>1:1.5</t>
  </si>
  <si>
    <t>1:1.2</t>
  </si>
  <si>
    <r>
      <rPr>
        <sz val="11"/>
        <color indexed="8"/>
        <rFont val="宋体"/>
        <family val="3"/>
        <charset val="134"/>
      </rPr>
      <t>公共部分装修</t>
    </r>
  </si>
  <si>
    <t>精装修</t>
  </si>
  <si>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</si>
  <si>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</si>
  <si>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</si>
  <si>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</si>
  <si>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普通车位</t>
  </si>
  <si>
    <r>
      <rPr>
        <sz val="11"/>
        <color indexed="8"/>
        <rFont val="宋体"/>
        <family val="3"/>
        <charset val="134"/>
      </rPr>
      <t>是否直接入户</t>
    </r>
  </si>
  <si>
    <r>
      <rPr>
        <b/>
        <sz val="11"/>
        <rFont val="宋体"/>
        <family val="3"/>
        <charset val="134"/>
      </rPr>
      <t>成交单价</t>
    </r>
  </si>
  <si>
    <t>元/车位</t>
  </si>
  <si>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</si>
  <si>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</si>
  <si>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</si>
  <si>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</si>
  <si>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</si>
  <si>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</si>
  <si>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</si>
  <si>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</si>
  <si>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</si>
  <si>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</si>
  <si>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t>40（含）-50</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</si>
  <si>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</si>
  <si>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</si>
  <si>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</si>
  <si>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</si>
  <si>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</si>
  <si>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</si>
  <si>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</si>
  <si>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</si>
  <si>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</si>
  <si>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</si>
  <si>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indexed="8"/>
        <rFont val="宋体"/>
        <family val="3"/>
        <charset val="134"/>
      </rPr>
      <t>配套类型（地上主用途）</t>
    </r>
  </si>
  <si>
    <t>小区名称</t>
  </si>
  <si>
    <t>住宅销售均价</t>
  </si>
  <si>
    <t>车位售价（万元/个）</t>
  </si>
  <si>
    <t>车位售价（元/㎡）</t>
  </si>
  <si>
    <t>平均面积</t>
  </si>
  <si>
    <t>东叁金茂府</t>
  </si>
  <si>
    <t>10.5万</t>
  </si>
  <si>
    <t>北京悦府（润悦嘉园）</t>
  </si>
  <si>
    <t>10-11万</t>
  </si>
  <si>
    <t>10.4万</t>
  </si>
  <si>
    <t>10.6万</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</si>
  <si>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</si>
  <si>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</si>
  <si>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</si>
  <si>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车位类型</t>
  </si>
  <si>
    <t>子母车位</t>
  </si>
  <si>
    <t>标准车位</t>
  </si>
  <si>
    <t>微型车位</t>
  </si>
  <si>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</si>
  <si>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</si>
  <si>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</si>
  <si>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</si>
  <si>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</si>
  <si>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</si>
  <si>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</si>
  <si>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</si>
  <si>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</si>
  <si>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</si>
  <si>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</si>
  <si>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</si>
  <si>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</si>
  <si>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</si>
  <si>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</si>
  <si>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</si>
  <si>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</si>
  <si>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</si>
  <si>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</si>
  <si>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</si>
  <si>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</si>
  <si>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</si>
  <si>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</si>
  <si>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</si>
  <si>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</si>
  <si>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</si>
  <si>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</si>
  <si>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</si>
  <si>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</si>
  <si>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</si>
  <si>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</si>
  <si>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</si>
  <si>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</si>
  <si>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</si>
  <si>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</si>
  <si>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</si>
  <si>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</si>
  <si>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</si>
  <si>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</si>
  <si>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</si>
  <si>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</si>
  <si>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</si>
  <si>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</si>
  <si>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</si>
  <si>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</si>
  <si>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</si>
  <si>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</si>
  <si>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</si>
  <si>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</si>
  <si>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</si>
  <si>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</si>
  <si>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</si>
  <si>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</si>
  <si>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</si>
  <si>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</si>
  <si>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</si>
  <si>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</si>
  <si>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</si>
  <si>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</si>
  <si>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</si>
  <si>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</si>
  <si>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</si>
  <si>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</si>
  <si>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</si>
  <si>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</si>
  <si>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</si>
  <si>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</si>
  <si>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</si>
  <si>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</si>
  <si>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</si>
  <si>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</si>
  <si>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</si>
  <si>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</si>
  <si>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</si>
  <si>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</si>
  <si>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</si>
  <si>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</si>
  <si>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</si>
  <si>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</si>
  <si>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</si>
  <si>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</si>
  <si>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</si>
  <si>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</si>
  <si>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</si>
  <si>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</si>
  <si>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</si>
  <si>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</si>
  <si>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</si>
  <si>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</si>
  <si>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</si>
  <si>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</si>
  <si>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</si>
  <si>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</si>
  <si>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</si>
  <si>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</si>
  <si>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</si>
  <si>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</si>
  <si>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</si>
  <si>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</si>
  <si>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</si>
  <si>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</si>
  <si>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</si>
  <si>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</si>
  <si>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</si>
  <si>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</si>
  <si>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</si>
  <si>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</si>
  <si>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</si>
  <si>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</si>
  <si>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</si>
  <si>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</si>
  <si>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</si>
  <si>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</si>
  <si>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</si>
  <si>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</si>
  <si>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</si>
  <si>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</si>
  <si>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</si>
  <si>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</si>
  <si>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</si>
  <si>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</si>
  <si>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</si>
  <si>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</si>
  <si>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</si>
  <si>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</si>
  <si>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</si>
  <si>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</si>
  <si>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</si>
  <si>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</si>
  <si>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</si>
  <si>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</si>
  <si>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</si>
  <si>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</si>
  <si>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</si>
  <si>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</si>
  <si>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</si>
  <si>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</si>
  <si>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</si>
  <si>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</si>
  <si>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</si>
  <si>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</si>
  <si>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</si>
  <si>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</si>
  <si>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</si>
  <si>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</si>
  <si>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</si>
  <si>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</si>
  <si>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</si>
  <si>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</si>
  <si>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</si>
  <si>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</si>
  <si>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</si>
  <si>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</si>
  <si>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</si>
  <si>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</si>
  <si>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</si>
  <si>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</si>
  <si>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</si>
  <si>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</si>
  <si>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</si>
  <si>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</si>
  <si>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</si>
  <si>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</si>
  <si>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</si>
  <si>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</si>
  <si>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</si>
  <si>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</si>
  <si>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</si>
  <si>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</si>
  <si>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</si>
  <si>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</si>
  <si>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</si>
  <si>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</si>
  <si>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</si>
  <si>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</si>
  <si>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</si>
  <si>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</si>
  <si>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</si>
  <si>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</si>
  <si>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</si>
  <si>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</si>
  <si>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</si>
  <si>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</si>
  <si>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</si>
  <si>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</si>
  <si>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</si>
  <si>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</si>
  <si>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</si>
  <si>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</si>
  <si>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</si>
  <si>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</si>
  <si>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</si>
  <si>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</si>
  <si>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</si>
  <si>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</si>
  <si>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</si>
  <si>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</si>
  <si>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</si>
  <si>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</si>
  <si>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</si>
  <si>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</si>
  <si>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</si>
  <si>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</si>
  <si>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</si>
  <si>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</si>
  <si>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</si>
  <si>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</si>
  <si>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</si>
  <si>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</si>
  <si>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</si>
  <si>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</si>
  <si>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</si>
  <si>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</si>
  <si>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</si>
  <si>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</si>
  <si>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</si>
  <si>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</si>
  <si>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</si>
  <si>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</si>
  <si>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</si>
  <si>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</si>
  <si>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</si>
  <si>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</si>
  <si>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</si>
  <si>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</si>
  <si>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</si>
  <si>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</si>
  <si>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</si>
  <si>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</si>
  <si>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</si>
  <si>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</si>
  <si>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</si>
  <si>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</si>
  <si>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</si>
  <si>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</si>
  <si>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</si>
  <si>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</si>
  <si>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</si>
  <si>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</si>
  <si>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</si>
  <si>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</si>
  <si>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</si>
  <si>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</si>
  <si>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</si>
  <si>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</si>
  <si>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</si>
  <si>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</si>
  <si>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</si>
  <si>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</si>
  <si>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</si>
  <si>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</si>
  <si>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</si>
  <si>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</si>
  <si>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</si>
  <si>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</si>
  <si>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</si>
  <si>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</si>
  <si>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</si>
  <si>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</si>
  <si>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</si>
  <si>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</si>
  <si>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</si>
  <si>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</si>
  <si>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</si>
  <si>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</si>
  <si>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</si>
  <si>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</si>
  <si>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</si>
  <si>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</si>
  <si>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</si>
  <si>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</si>
  <si>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</si>
  <si>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</si>
  <si>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</si>
  <si>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</si>
  <si>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</si>
  <si>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</si>
  <si>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</si>
  <si>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</si>
  <si>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</si>
  <si>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</si>
  <si>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</si>
  <si>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</si>
  <si>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</si>
  <si>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</si>
  <si>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</si>
  <si>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</si>
  <si>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</si>
  <si>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</si>
  <si>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</si>
  <si>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</si>
  <si>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</si>
  <si>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</si>
  <si>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</si>
  <si>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</si>
  <si>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</si>
  <si>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</si>
  <si>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</si>
  <si>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</si>
  <si>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</si>
  <si>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</si>
  <si>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</si>
  <si>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</si>
  <si>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</si>
  <si>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</si>
  <si>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</si>
  <si>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</si>
  <si>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</si>
  <si>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比较法-仓储</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</si>
  <si>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</si>
  <si>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</si>
  <si>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</si>
  <si>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</si>
  <si>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</si>
  <si>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</si>
  <si>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</si>
  <si>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</si>
  <si>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</si>
  <si>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</si>
  <si>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</si>
  <si>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</si>
  <si>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</si>
  <si>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</si>
  <si>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</si>
  <si>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</si>
  <si>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</si>
  <si>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</si>
  <si>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</si>
  <si>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</si>
  <si>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</si>
  <si>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</si>
  <si>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</si>
  <si>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</si>
  <si>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</si>
  <si>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</si>
  <si>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</si>
  <si>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</si>
  <si>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</si>
  <si>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</si>
  <si>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</si>
  <si>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</si>
  <si>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</si>
  <si>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</si>
  <si>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</si>
  <si>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</si>
  <si>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</si>
  <si>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</si>
  <si>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</si>
  <si>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</si>
  <si>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</si>
  <si>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</si>
  <si>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</si>
  <si>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</si>
  <si>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</si>
  <si>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</si>
  <si>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</si>
  <si>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</si>
  <si>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t>北京瑞府</t>
  </si>
  <si>
    <t>合生·缦云</t>
  </si>
  <si>
    <r>
      <rPr>
        <sz val="11"/>
        <color indexed="8"/>
        <rFont val="宋体"/>
        <family val="3"/>
        <charset val="134"/>
      </rPr>
      <t>有无电梯</t>
    </r>
  </si>
  <si>
    <t>有</t>
  </si>
  <si>
    <r>
      <rPr>
        <sz val="11"/>
        <color indexed="8"/>
        <rFont val="宋体"/>
        <family val="3"/>
        <charset val="134"/>
      </rPr>
      <t>是否封闭</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</si>
  <si>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</si>
  <si>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</si>
  <si>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40</t>
    </r>
    <r>
      <rPr>
        <sz val="11"/>
        <rFont val="宋体"/>
        <family val="3"/>
        <charset val="134"/>
      </rPr>
      <t>（含）</t>
    </r>
    <r>
      <rPr>
        <sz val="11"/>
        <rFont val="Arial"/>
        <family val="2"/>
      </rPr>
      <t>-50</t>
    </r>
  </si>
  <si>
    <r>
      <rPr>
        <sz val="11"/>
        <color indexed="8"/>
        <rFont val="宋体"/>
        <family val="3"/>
        <charset val="134"/>
      </rPr>
      <t>公用设施及基础设施水平</t>
    </r>
  </si>
  <si>
    <t>住宅售价</t>
  </si>
  <si>
    <t>仓储平均售价（元/㎡）</t>
  </si>
  <si>
    <t>9.8万</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</si>
  <si>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</si>
  <si>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</si>
  <si>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</si>
  <si>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</si>
  <si>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</si>
  <si>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</si>
  <si>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</si>
  <si>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</si>
  <si>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</si>
  <si>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</si>
  <si>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</si>
  <si>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</si>
  <si>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</si>
  <si>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</si>
  <si>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</si>
  <si>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</si>
  <si>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</si>
  <si>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</si>
  <si>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</si>
  <si>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</si>
  <si>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</si>
  <si>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</si>
  <si>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</si>
  <si>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</si>
  <si>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</si>
  <si>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</si>
  <si>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</si>
  <si>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</si>
  <si>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</si>
  <si>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</si>
  <si>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</si>
  <si>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</si>
  <si>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</si>
  <si>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</si>
  <si>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</si>
  <si>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</si>
  <si>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</si>
  <si>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</si>
  <si>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</si>
  <si>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</si>
  <si>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</si>
  <si>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</si>
  <si>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</si>
  <si>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</si>
  <si>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</si>
  <si>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</si>
  <si>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</si>
  <si>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</si>
  <si>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</si>
  <si>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</si>
  <si>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</si>
  <si>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</si>
  <si>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</si>
  <si>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</si>
  <si>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</si>
  <si>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</si>
  <si>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</si>
  <si>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</si>
  <si>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</si>
  <si>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</si>
  <si>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</si>
  <si>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</si>
  <si>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</si>
  <si>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</si>
  <si>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</si>
  <si>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</si>
  <si>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</si>
  <si>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</si>
  <si>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</si>
  <si>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</si>
  <si>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</si>
  <si>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</si>
  <si>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</si>
  <si>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</si>
  <si>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</si>
  <si>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</si>
  <si>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</si>
  <si>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</si>
  <si>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</si>
  <si>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</si>
  <si>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</si>
  <si>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</si>
  <si>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</si>
  <si>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</si>
  <si>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</si>
  <si>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</si>
  <si>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</si>
  <si>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</si>
  <si>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</si>
  <si>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</si>
  <si>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</si>
  <si>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</si>
  <si>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</si>
  <si>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</si>
  <si>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</si>
  <si>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</si>
  <si>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</si>
  <si>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</si>
  <si>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</si>
  <si>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</si>
  <si>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</si>
  <si>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</si>
  <si>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</si>
  <si>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</si>
  <si>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</si>
  <si>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</si>
  <si>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</si>
  <si>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</si>
  <si>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</si>
  <si>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</si>
  <si>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</si>
  <si>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</si>
  <si>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</si>
  <si>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</si>
  <si>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</si>
  <si>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</si>
  <si>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</si>
  <si>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</si>
  <si>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</si>
  <si>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</si>
  <si>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</si>
  <si>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</si>
  <si>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</si>
  <si>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</si>
  <si>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</si>
  <si>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</si>
  <si>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</si>
  <si>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容积率</t>
    </r>
  </si>
  <si>
    <r>
      <rPr>
        <sz val="11"/>
        <color indexed="8"/>
        <rFont val="宋体"/>
        <family val="3"/>
        <charset val="134"/>
      </rPr>
      <t>居住社区成熟度</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</si>
  <si>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</si>
  <si>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</si>
  <si>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</si>
  <si>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</si>
  <si>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</si>
  <si>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</si>
  <si>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</si>
  <si>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</si>
  <si>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</si>
  <si>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</si>
  <si>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</si>
  <si>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</si>
  <si>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</si>
  <si>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</si>
  <si>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</si>
  <si>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</si>
  <si>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</si>
  <si>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</si>
  <si>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</si>
  <si>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</si>
  <si>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</si>
  <si>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</si>
  <si>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</si>
  <si>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</si>
  <si>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</si>
  <si>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</si>
  <si>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</si>
  <si>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</si>
  <si>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</si>
  <si>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</si>
  <si>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</si>
  <si>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</si>
  <si>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</si>
  <si>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</si>
  <si>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</si>
  <si>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</si>
  <si>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</si>
  <si>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color indexed="8"/>
        <rFont val="宋体"/>
        <family val="3"/>
        <charset val="134"/>
      </rPr>
      <t>层高</t>
    </r>
  </si>
  <si>
    <r>
      <rPr>
        <sz val="11"/>
        <rFont val="宋体"/>
        <family val="3"/>
        <charset val="134"/>
      </rPr>
      <t>单套建筑面积</t>
    </r>
  </si>
  <si>
    <r>
      <rPr>
        <sz val="11"/>
        <rFont val="宋体"/>
        <family val="3"/>
        <charset val="134"/>
      </rPr>
      <t>层高</t>
    </r>
  </si>
  <si>
    <r>
      <rPr>
        <sz val="11"/>
        <color indexed="8"/>
        <rFont val="宋体"/>
        <family val="3"/>
        <charset val="134"/>
      </rPr>
      <t>单套建筑面积</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</si>
  <si>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</si>
  <si>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</si>
  <si>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</si>
  <si>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</si>
  <si>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</si>
  <si>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</si>
  <si>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</si>
  <si>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商业繁华度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</si>
  <si>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</si>
  <si>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</si>
  <si>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</si>
  <si>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</si>
  <si>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</si>
  <si>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</si>
  <si>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</si>
  <si>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</si>
  <si>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</si>
  <si>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</si>
  <si>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</si>
  <si>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</si>
  <si>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</si>
  <si>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</si>
  <si>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</si>
  <si>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</si>
  <si>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</si>
  <si>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</si>
  <si>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</si>
  <si>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</si>
  <si>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</si>
  <si>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</si>
  <si>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</si>
  <si>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</si>
  <si>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</si>
  <si>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</si>
  <si>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</si>
  <si>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</si>
  <si>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</si>
  <si>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</si>
  <si>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</si>
  <si>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</si>
  <si>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</si>
  <si>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</si>
  <si>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</si>
  <si>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</si>
  <si>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</si>
  <si>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</si>
  <si>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</si>
  <si>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</si>
  <si>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</si>
  <si>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</si>
  <si>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</si>
  <si>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</si>
  <si>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</si>
  <si>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</si>
  <si>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</si>
  <si>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</si>
  <si>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</si>
  <si>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</si>
  <si>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</si>
  <si>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</si>
  <si>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</si>
  <si>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</si>
  <si>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</si>
  <si>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</si>
  <si>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</si>
  <si>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</si>
  <si>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</si>
  <si>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</si>
  <si>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</si>
  <si>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</si>
  <si>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</si>
  <si>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</si>
  <si>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</si>
  <si>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</si>
  <si>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</si>
  <si>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</si>
  <si>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</si>
  <si>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</si>
  <si>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</si>
  <si>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</si>
  <si>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</si>
  <si>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</si>
  <si>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</si>
  <si>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</si>
  <si>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</si>
  <si>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</si>
  <si>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</si>
  <si>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</si>
  <si>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</si>
  <si>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</si>
  <si>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</si>
  <si>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</si>
  <si>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</si>
  <si>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</si>
  <si>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</si>
  <si>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</si>
  <si>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</si>
  <si>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</si>
  <si>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</si>
  <si>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</si>
  <si>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</si>
  <si>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</si>
  <si>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</si>
  <si>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</si>
  <si>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</si>
  <si>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</si>
  <si>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</si>
  <si>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</si>
  <si>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</si>
  <si>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</si>
  <si>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</si>
  <si>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</si>
  <si>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</si>
  <si>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</si>
  <si>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</si>
  <si>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</si>
  <si>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</si>
  <si>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</si>
  <si>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</si>
  <si>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</si>
  <si>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</si>
  <si>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</si>
  <si>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</si>
  <si>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</si>
  <si>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</si>
  <si>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</si>
  <si>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</si>
  <si>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</si>
  <si>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</si>
  <si>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</si>
  <si>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</si>
  <si>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</si>
  <si>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</si>
  <si>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</si>
  <si>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</si>
  <si>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</si>
  <si>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</si>
  <si>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</si>
  <si>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</si>
  <si>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</si>
  <si>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</si>
  <si>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</si>
  <si>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</si>
  <si>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</si>
  <si>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</si>
  <si>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</si>
  <si>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</si>
  <si>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</si>
  <si>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</si>
  <si>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</si>
  <si>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</si>
  <si>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</si>
  <si>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</si>
  <si>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</si>
  <si>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</si>
  <si>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</si>
  <si>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</si>
  <si>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</si>
  <si>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</si>
  <si>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</si>
  <si>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</si>
  <si>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</si>
  <si>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</si>
  <si>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</si>
  <si>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</si>
  <si>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</si>
  <si>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</si>
  <si>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</si>
  <si>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</si>
  <si>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</si>
  <si>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</si>
  <si>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</si>
  <si>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</si>
  <si>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</si>
  <si>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</si>
  <si>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</si>
  <si>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</si>
  <si>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</si>
  <si>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</si>
  <si>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</si>
  <si>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</si>
  <si>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</si>
  <si>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</si>
  <si>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</si>
  <si>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</si>
  <si>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</si>
  <si>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</si>
  <si>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</si>
  <si>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</si>
  <si>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</si>
  <si>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</si>
  <si>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</si>
  <si>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</si>
  <si>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</si>
  <si>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</si>
  <si>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</si>
  <si>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</si>
  <si>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</si>
  <si>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</si>
  <si>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</si>
  <si>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</si>
  <si>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</si>
  <si>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</si>
  <si>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</si>
  <si>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</si>
  <si>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</si>
  <si>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</si>
  <si>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</si>
  <si>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</si>
  <si>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</si>
  <si>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</si>
  <si>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</si>
  <si>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</si>
  <si>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</si>
  <si>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</si>
  <si>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</si>
  <si>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</si>
  <si>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</si>
  <si>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</si>
  <si>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</si>
  <si>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</si>
  <si>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</si>
  <si>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</si>
  <si>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</si>
  <si>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</si>
  <si>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</si>
  <si>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</si>
  <si>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</si>
  <si>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</si>
  <si>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</si>
  <si>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</si>
  <si>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</si>
  <si>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</si>
  <si>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</si>
  <si>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</si>
  <si>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</si>
  <si>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</si>
  <si>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</si>
  <si>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</si>
  <si>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t>较差</t>
  </si>
  <si>
    <t>好</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</si>
  <si>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</si>
  <si>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</si>
  <si>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</si>
  <si>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</si>
  <si>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</si>
  <si>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</si>
  <si>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</si>
  <si>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</si>
  <si>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</si>
  <si>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</si>
  <si>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</si>
  <si>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</si>
  <si>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</si>
  <si>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</si>
  <si>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</si>
  <si>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</si>
  <si>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</si>
  <si>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</si>
  <si>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</si>
  <si>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</si>
  <si>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</si>
  <si>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</si>
  <si>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</si>
  <si>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</si>
  <si>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</si>
  <si>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</si>
  <si>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比较法-商业</t>
  </si>
  <si>
    <r>
      <rPr>
        <b/>
        <sz val="16"/>
        <rFont val="宋体"/>
        <family val="3"/>
        <charset val="134"/>
      </rPr>
      <t>商业</t>
    </r>
  </si>
  <si>
    <t>单套模式</t>
  </si>
  <si>
    <t>龙湖西宸广场</t>
  </si>
  <si>
    <t>丰台金茂广场</t>
  </si>
  <si>
    <t>诺德逸府</t>
  </si>
  <si>
    <r>
      <rPr>
        <sz val="11"/>
        <color rgb="FF000000"/>
        <rFont val="Arial"/>
        <family val="2"/>
      </rPr>
      <t>35</t>
    </r>
    <r>
      <rPr>
        <sz val="11"/>
        <color rgb="FF000000"/>
        <rFont val="宋体"/>
        <family val="3"/>
        <charset val="134"/>
      </rPr>
      <t>（含）</t>
    </r>
    <r>
      <rPr>
        <sz val="11"/>
        <color rgb="FF000000"/>
        <rFont val="Arial"/>
        <family val="2"/>
      </rPr>
      <t>-40</t>
    </r>
  </si>
  <si>
    <r>
      <t>30</t>
    </r>
    <r>
      <rPr>
        <sz val="11"/>
        <color rgb="FF000000"/>
        <rFont val="宋体"/>
        <family val="3"/>
        <charset val="134"/>
      </rPr>
      <t>（含）</t>
    </r>
    <r>
      <rPr>
        <sz val="11"/>
        <color rgb="FF000000"/>
        <rFont val="Arial"/>
        <family val="2"/>
      </rPr>
      <t>-35</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</si>
  <si>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</si>
  <si>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</si>
  <si>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</si>
  <si>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t>住宅配套商业</t>
  </si>
  <si>
    <t>商业综合体</t>
  </si>
  <si>
    <t>办公配套商业</t>
  </si>
  <si>
    <t>精装</t>
  </si>
  <si>
    <r>
      <rPr>
        <sz val="11"/>
        <color indexed="8"/>
        <rFont val="宋体"/>
        <family val="3"/>
        <charset val="134"/>
      </rPr>
      <t>业态</t>
    </r>
  </si>
  <si>
    <r>
      <rPr>
        <sz val="11"/>
        <rFont val="宋体"/>
        <family val="3"/>
        <charset val="134"/>
      </rPr>
      <t>进深比</t>
    </r>
  </si>
  <si>
    <t>毛坯</t>
  </si>
  <si>
    <r>
      <rPr>
        <sz val="11"/>
        <rFont val="Arial"/>
        <family val="2"/>
      </rPr>
      <t>35</t>
    </r>
    <r>
      <rPr>
        <sz val="11"/>
        <rFont val="宋体"/>
        <family val="3"/>
        <charset val="134"/>
      </rPr>
      <t>（含）</t>
    </r>
    <r>
      <rPr>
        <sz val="11"/>
        <rFont val="Arial"/>
        <family val="2"/>
      </rPr>
      <t>-40</t>
    </r>
  </si>
  <si>
    <r>
      <rPr>
        <sz val="11"/>
        <rFont val="Arial"/>
        <family val="2"/>
      </rPr>
      <t>30</t>
    </r>
    <r>
      <rPr>
        <sz val="11"/>
        <rFont val="宋体"/>
        <family val="3"/>
        <charset val="134"/>
      </rPr>
      <t>（含）</t>
    </r>
    <r>
      <rPr>
        <sz val="11"/>
        <rFont val="Arial"/>
        <family val="2"/>
      </rPr>
      <t>-35</t>
    </r>
  </si>
  <si>
    <r>
      <rPr>
        <sz val="11"/>
        <rFont val="Arial"/>
        <family val="2"/>
      </rPr>
      <t>25</t>
    </r>
    <r>
      <rPr>
        <sz val="11"/>
        <rFont val="宋体"/>
        <family val="3"/>
        <charset val="134"/>
      </rPr>
      <t>（含）</t>
    </r>
    <r>
      <rPr>
        <sz val="11"/>
        <rFont val="Arial"/>
        <family val="2"/>
      </rPr>
      <t>-30</t>
    </r>
  </si>
  <si>
    <t>商业街</t>
  </si>
  <si>
    <r>
      <rPr>
        <sz val="11"/>
        <color indexed="8"/>
        <rFont val="宋体"/>
        <family val="3"/>
        <charset val="134"/>
      </rPr>
      <t>进深比</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</si>
  <si>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</si>
  <si>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</si>
  <si>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</si>
  <si>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</si>
  <si>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</si>
  <si>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</si>
  <si>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t>其他商服用地</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</si>
  <si>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</si>
  <si>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</si>
  <si>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</si>
  <si>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</si>
  <si>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</si>
  <si>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</si>
  <si>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</si>
  <si>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</si>
  <si>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</si>
  <si>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</si>
  <si>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</si>
  <si>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</si>
  <si>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</si>
  <si>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sz val="10"/>
        <color theme="9" tint="-0.249977111117893"/>
        <rFont val="宋体"/>
        <family val="3"/>
        <charset val="134"/>
      </rPr>
      <t>修正项</t>
    </r>
    <r>
      <rPr>
        <sz val="10"/>
        <color theme="9" tint="-0.249977111117893"/>
        <rFont val="Arial"/>
        <family val="2"/>
      </rPr>
      <t>2</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</si>
  <si>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</si>
  <si>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</si>
  <si>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</si>
  <si>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</si>
  <si>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</si>
  <si>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</si>
  <si>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</si>
  <si>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</si>
  <si>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</si>
  <si>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</si>
  <si>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</si>
  <si>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</si>
  <si>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</si>
  <si>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</si>
  <si>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</si>
  <si>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</si>
  <si>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</si>
  <si>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</si>
  <si>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</si>
  <si>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</si>
  <si>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</si>
  <si>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</si>
  <si>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</si>
  <si>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</si>
  <si>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</si>
  <si>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</si>
  <si>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</si>
  <si>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</si>
  <si>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</si>
  <si>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</si>
  <si>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</si>
  <si>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</si>
  <si>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</si>
  <si>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</si>
  <si>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</si>
  <si>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</si>
  <si>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</si>
  <si>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</si>
  <si>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</si>
  <si>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</si>
  <si>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</si>
  <si>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</si>
  <si>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</si>
  <si>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</si>
  <si>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</si>
  <si>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</si>
  <si>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</si>
  <si>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</si>
  <si>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</si>
  <si>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</si>
  <si>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</si>
  <si>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</si>
  <si>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</si>
  <si>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</si>
  <si>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</si>
  <si>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</si>
  <si>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</si>
  <si>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</si>
  <si>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</si>
  <si>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</si>
  <si>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</si>
  <si>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</si>
  <si>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</si>
  <si>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</si>
  <si>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</si>
  <si>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</si>
  <si>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</si>
  <si>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</si>
  <si>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</si>
  <si>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</si>
  <si>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</si>
  <si>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</si>
  <si>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</si>
  <si>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</si>
  <si>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</si>
  <si>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</si>
  <si>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</si>
  <si>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</si>
  <si>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</si>
  <si>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</si>
  <si>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</si>
  <si>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</si>
  <si>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</si>
  <si>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</si>
  <si>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</si>
  <si>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</si>
  <si>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</si>
  <si>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</si>
  <si>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</si>
  <si>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</si>
  <si>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</si>
  <si>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</si>
  <si>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</si>
  <si>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</si>
  <si>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</si>
  <si>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</si>
  <si>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</si>
  <si>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</si>
  <si>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</si>
  <si>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</si>
  <si>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</si>
  <si>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</si>
  <si>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</si>
  <si>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</si>
  <si>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</si>
  <si>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</si>
  <si>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</si>
  <si>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</si>
  <si>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</si>
  <si>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</si>
  <si>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</si>
  <si>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</si>
  <si>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</si>
  <si>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</si>
  <si>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</si>
  <si>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</si>
  <si>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</si>
  <si>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</si>
  <si>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</si>
  <si>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</si>
  <si>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</si>
  <si>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</si>
  <si>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</si>
  <si>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</si>
  <si>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</si>
  <si>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</si>
  <si>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</si>
  <si>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</si>
  <si>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</si>
  <si>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</si>
  <si>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</si>
  <si>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</si>
  <si>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</si>
  <si>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</si>
  <si>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</si>
  <si>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</si>
  <si>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</si>
  <si>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</si>
  <si>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</si>
  <si>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</si>
  <si>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</si>
  <si>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</si>
  <si>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</si>
  <si>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</si>
  <si>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</si>
  <si>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</si>
  <si>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</si>
  <si>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</si>
  <si>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</si>
  <si>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</si>
  <si>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</si>
  <si>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</si>
  <si>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</si>
  <si>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</si>
  <si>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</si>
  <si>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</si>
  <si>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</si>
  <si>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</si>
  <si>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</si>
  <si>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</si>
  <si>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</si>
  <si>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</si>
  <si>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</si>
  <si>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</si>
  <si>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</si>
  <si>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</si>
  <si>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</si>
  <si>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</si>
  <si>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</si>
  <si>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</si>
  <si>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</si>
  <si>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</si>
  <si>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</si>
  <si>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</si>
  <si>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</si>
  <si>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</si>
  <si>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</si>
  <si>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</si>
  <si>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</si>
  <si>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</si>
  <si>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</si>
  <si>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</si>
  <si>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</si>
  <si>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</si>
  <si>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</si>
  <si>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</si>
  <si>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</si>
  <si>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</si>
  <si>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</si>
  <si>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</si>
  <si>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</si>
  <si>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</si>
  <si>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</si>
  <si>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</si>
  <si>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</si>
  <si>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</si>
  <si>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</si>
  <si>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</si>
  <si>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</si>
  <si>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</si>
  <si>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</si>
  <si>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</si>
  <si>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</si>
  <si>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</si>
  <si>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</si>
  <si>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</si>
  <si>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</si>
  <si>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</si>
  <si>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</si>
  <si>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</si>
  <si>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</si>
  <si>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</si>
  <si>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</si>
  <si>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</si>
  <si>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</si>
  <si>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</si>
  <si>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</si>
  <si>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</si>
  <si>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</si>
  <si>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</si>
  <si>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</si>
  <si>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</si>
  <si>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</si>
  <si>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</si>
  <si>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</si>
  <si>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</si>
  <si>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</si>
  <si>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</si>
  <si>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</si>
  <si>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</si>
  <si>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</si>
  <si>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</si>
  <si>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</si>
  <si>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</si>
  <si>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</si>
  <si>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</si>
  <si>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</si>
  <si>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</si>
  <si>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</si>
  <si>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</si>
  <si>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</si>
  <si>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</si>
  <si>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</si>
  <si>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</si>
  <si>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</si>
  <si>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</si>
  <si>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</si>
  <si>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</si>
  <si>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</si>
  <si>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</si>
  <si>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</si>
  <si>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</si>
  <si>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</si>
  <si>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</si>
  <si>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</si>
  <si>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</si>
  <si>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</si>
  <si>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</si>
  <si>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</si>
  <si>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</si>
  <si>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</si>
  <si>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</si>
  <si>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</si>
  <si>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</si>
  <si>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</si>
  <si>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</si>
  <si>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</si>
  <si>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</si>
  <si>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</si>
  <si>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</si>
  <si>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</si>
  <si>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</si>
  <si>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</si>
  <si>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</si>
  <si>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</si>
  <si>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</si>
  <si>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</si>
  <si>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</si>
  <si>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</si>
  <si>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</si>
  <si>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</si>
  <si>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</si>
  <si>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</si>
  <si>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</si>
  <si>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</si>
  <si>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</si>
  <si>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</si>
  <si>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</si>
  <si>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</si>
  <si>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</si>
  <si>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</si>
  <si>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</si>
  <si>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</si>
  <si>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</si>
  <si>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</si>
  <si>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</si>
  <si>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</si>
  <si>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</si>
  <si>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</si>
  <si>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</si>
  <si>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</si>
  <si>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</si>
  <si>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</si>
  <si>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</si>
  <si>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</si>
  <si>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</si>
  <si>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</si>
  <si>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</si>
  <si>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</si>
  <si>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</si>
  <si>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</si>
  <si>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</si>
  <si>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</si>
  <si>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</si>
  <si>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</si>
  <si>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</si>
  <si>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</si>
  <si>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</si>
  <si>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</si>
  <si>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</si>
  <si>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</si>
  <si>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</si>
  <si>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</si>
  <si>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</si>
  <si>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</si>
  <si>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</si>
  <si>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</si>
  <si>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</si>
  <si>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</si>
  <si>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</si>
  <si>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</si>
  <si>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</si>
  <si>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</si>
  <si>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</si>
  <si>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</si>
  <si>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</si>
  <si>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</si>
  <si>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</si>
  <si>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</si>
  <si>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</si>
  <si>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</si>
  <si>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</si>
  <si>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</si>
  <si>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</si>
  <si>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</si>
  <si>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</si>
  <si>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</si>
  <si>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</si>
  <si>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</si>
  <si>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</si>
  <si>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</si>
  <si>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</si>
  <si>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</si>
  <si>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</si>
  <si>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</si>
  <si>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</si>
  <si>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</si>
  <si>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</si>
  <si>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</si>
  <si>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</si>
  <si>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</si>
  <si>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</si>
  <si>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</si>
  <si>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</si>
  <si>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</si>
  <si>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</si>
  <si>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</si>
  <si>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</si>
  <si>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</si>
  <si>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</si>
  <si>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</si>
  <si>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</si>
  <si>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</si>
  <si>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</si>
  <si>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</si>
  <si>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</si>
  <si>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</si>
  <si>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</si>
  <si>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</si>
  <si>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</si>
  <si>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</si>
  <si>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</si>
  <si>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</si>
  <si>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</si>
  <si>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</si>
  <si>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</si>
  <si>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</si>
  <si>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</si>
  <si>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</si>
  <si>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</si>
  <si>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</si>
  <si>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</si>
  <si>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</si>
  <si>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</si>
  <si>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</si>
  <si>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</si>
  <si>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</si>
  <si>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</si>
  <si>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</si>
  <si>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</si>
  <si>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</si>
  <si>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</si>
  <si>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</si>
  <si>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</si>
  <si>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</si>
  <si>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</si>
  <si>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</si>
  <si>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</si>
  <si>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</si>
  <si>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</si>
  <si>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</si>
  <si>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</si>
  <si>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</si>
  <si>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</si>
  <si>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</si>
  <si>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</si>
  <si>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</si>
  <si>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</si>
  <si>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</si>
  <si>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</si>
  <si>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</si>
  <si>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</si>
  <si>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</si>
  <si>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</si>
  <si>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</si>
  <si>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</si>
  <si>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</si>
  <si>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</si>
  <si>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</si>
  <si>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</si>
  <si>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</si>
  <si>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</si>
  <si>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</si>
  <si>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</si>
  <si>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</si>
  <si>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</si>
  <si>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</si>
  <si>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</si>
  <si>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</si>
  <si>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</si>
  <si>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</si>
  <si>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</si>
  <si>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</si>
  <si>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</si>
  <si>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</si>
  <si>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</si>
  <si>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</si>
  <si>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</si>
  <si>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</si>
  <si>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</si>
  <si>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</si>
  <si>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</si>
  <si>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</si>
  <si>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</si>
  <si>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</si>
  <si>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</si>
  <si>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</si>
  <si>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</si>
  <si>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</si>
  <si>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</si>
  <si>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</si>
  <si>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</si>
  <si>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</si>
  <si>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</si>
  <si>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</si>
  <si>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</si>
  <si>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</si>
  <si>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</si>
  <si>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</si>
  <si>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</si>
  <si>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</si>
  <si>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</si>
  <si>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</si>
  <si>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</si>
  <si>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</si>
  <si>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</si>
  <si>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</si>
  <si>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</si>
  <si>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</si>
  <si>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Ⅴ-15</t>
  </si>
  <si>
    <t>Ⅵ-15</t>
  </si>
  <si>
    <t>Ⅶ-通2</t>
  </si>
  <si>
    <t>Ⅷ-顺2</t>
  </si>
  <si>
    <t>Ⅸ-顺3</t>
  </si>
  <si>
    <t>Ⅹ-兴2</t>
  </si>
  <si>
    <t>Ⅺ-密1</t>
  </si>
  <si>
    <t>Ⅱ—16</t>
  </si>
  <si>
    <t>Ⅲ—16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</si>
  <si>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</si>
  <si>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</si>
  <si>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</si>
  <si>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</si>
  <si>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</si>
  <si>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</si>
  <si>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</si>
  <si>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</si>
  <si>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</si>
  <si>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</si>
  <si>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</si>
  <si>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</si>
  <si>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</si>
  <si>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</si>
  <si>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</si>
  <si>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</si>
  <si>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</si>
  <si>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</si>
  <si>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</si>
  <si>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</si>
  <si>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</si>
  <si>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</si>
  <si>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</si>
  <si>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</si>
  <si>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</si>
  <si>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</si>
  <si>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</si>
  <si>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</si>
  <si>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</si>
  <si>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</si>
  <si>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</si>
  <si>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</si>
  <si>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</si>
  <si>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</si>
  <si>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</si>
  <si>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</si>
  <si>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</si>
  <si>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</si>
  <si>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</si>
  <si>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</si>
  <si>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</si>
  <si>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</si>
  <si>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</si>
  <si>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</si>
  <si>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</si>
  <si>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</si>
  <si>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</si>
  <si>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</si>
  <si>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</si>
  <si>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</si>
  <si>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</si>
  <si>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</si>
  <si>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</si>
  <si>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</si>
  <si>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</si>
  <si>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</si>
  <si>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</si>
  <si>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</si>
  <si>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</si>
  <si>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</si>
  <si>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</si>
  <si>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</si>
  <si>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</si>
  <si>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</si>
  <si>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</si>
  <si>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</si>
  <si>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</si>
  <si>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</si>
  <si>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</si>
  <si>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</si>
  <si>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</si>
  <si>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</si>
  <si>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</si>
  <si>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</si>
  <si>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</si>
  <si>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</si>
  <si>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</si>
  <si>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</si>
  <si>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</si>
  <si>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</si>
  <si>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</si>
  <si>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</si>
  <si>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</si>
  <si>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</si>
  <si>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</si>
  <si>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</si>
  <si>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</si>
  <si>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</si>
  <si>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</si>
  <si>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</si>
  <si>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</si>
  <si>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</si>
  <si>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</si>
  <si>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</si>
  <si>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</si>
  <si>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</si>
  <si>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</si>
  <si>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</si>
  <si>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</si>
  <si>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</si>
  <si>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</si>
  <si>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</si>
  <si>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</si>
  <si>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</si>
  <si>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</si>
  <si>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</si>
  <si>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</si>
  <si>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</si>
  <si>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</si>
  <si>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</si>
  <si>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</si>
  <si>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</si>
  <si>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</si>
  <si>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</si>
  <si>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</si>
  <si>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</si>
  <si>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</si>
  <si>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</si>
  <si>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</si>
  <si>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</si>
  <si>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</si>
  <si>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</si>
  <si>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</si>
  <si>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</si>
  <si>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</si>
  <si>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</si>
  <si>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</si>
  <si>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</si>
  <si>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</si>
  <si>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</si>
  <si>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</si>
  <si>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</si>
  <si>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</si>
  <si>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</si>
  <si>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</si>
  <si>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</si>
  <si>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</si>
  <si>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</si>
  <si>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</si>
  <si>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</si>
  <si>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</si>
  <si>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</si>
  <si>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</si>
  <si>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</si>
  <si>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</si>
  <si>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</si>
  <si>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</si>
  <si>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</si>
  <si>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</si>
  <si>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</si>
  <si>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</si>
  <si>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</si>
  <si>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</si>
  <si>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</si>
  <si>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</si>
  <si>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</si>
  <si>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</si>
  <si>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</si>
  <si>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</si>
  <si>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</si>
  <si>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</si>
  <si>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</si>
  <si>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</si>
  <si>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</si>
  <si>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</si>
  <si>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</si>
  <si>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</si>
  <si>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</si>
  <si>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</si>
  <si>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</si>
  <si>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</si>
  <si>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</si>
  <si>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</si>
  <si>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</si>
  <si>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</si>
  <si>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</si>
  <si>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</si>
  <si>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</si>
  <si>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</si>
  <si>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</si>
  <si>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</si>
  <si>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</si>
  <si>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</si>
  <si>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</si>
  <si>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</si>
  <si>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</si>
  <si>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</si>
  <si>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</si>
  <si>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</si>
  <si>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</si>
  <si>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</si>
  <si>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</si>
  <si>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</si>
  <si>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</si>
  <si>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</si>
  <si>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</si>
  <si>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</si>
  <si>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</si>
  <si>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</si>
  <si>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</si>
  <si>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</si>
  <si>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</si>
  <si>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</si>
  <si>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</si>
  <si>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</si>
  <si>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</si>
  <si>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</si>
  <si>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</si>
  <si>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</si>
  <si>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</si>
  <si>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</si>
  <si>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</si>
  <si>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</si>
  <si>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</si>
  <si>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</si>
  <si>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</si>
  <si>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</si>
  <si>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</si>
  <si>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</si>
  <si>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</si>
  <si>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</si>
  <si>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</si>
  <si>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</si>
  <si>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</si>
  <si>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</si>
  <si>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</si>
  <si>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</si>
  <si>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</si>
  <si>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</si>
  <si>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</si>
  <si>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</si>
  <si>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</si>
  <si>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</si>
  <si>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</si>
  <si>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</si>
  <si>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</si>
  <si>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</si>
  <si>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</si>
  <si>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</si>
  <si>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</si>
  <si>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</si>
  <si>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</si>
  <si>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</si>
  <si>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</si>
  <si>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</si>
  <si>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</si>
  <si>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</si>
  <si>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</si>
  <si>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</si>
  <si>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</si>
  <si>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</si>
  <si>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</si>
  <si>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</si>
  <si>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</si>
  <si>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</si>
  <si>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</si>
  <si>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</si>
  <si>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</si>
  <si>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</si>
  <si>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</si>
  <si>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</si>
  <si>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</si>
  <si>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</si>
  <si>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</si>
  <si>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</si>
  <si>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</si>
  <si>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</si>
  <si>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</si>
  <si>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</si>
  <si>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</si>
  <si>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</si>
  <si>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</si>
  <si>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</si>
  <si>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</si>
  <si>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</si>
  <si>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</si>
  <si>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</si>
  <si>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</si>
  <si>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</si>
  <si>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</si>
  <si>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</si>
  <si>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</si>
  <si>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</si>
  <si>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</si>
  <si>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</si>
  <si>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</si>
  <si>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</si>
  <si>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</si>
  <si>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</si>
  <si>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</si>
  <si>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</si>
  <si>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</si>
  <si>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</si>
  <si>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</si>
  <si>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</si>
  <si>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</si>
  <si>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</si>
  <si>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</si>
  <si>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</si>
  <si>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</si>
  <si>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</si>
  <si>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</si>
  <si>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</si>
  <si>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</si>
  <si>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</si>
  <si>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</si>
  <si>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</si>
  <si>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</si>
  <si>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</si>
  <si>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</si>
  <si>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</si>
  <si>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</si>
  <si>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</si>
  <si>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</si>
  <si>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</si>
  <si>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</si>
  <si>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</si>
  <si>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</si>
  <si>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</si>
  <si>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</si>
  <si>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</si>
  <si>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</si>
  <si>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</si>
  <si>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</si>
  <si>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</si>
  <si>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</si>
  <si>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</si>
  <si>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</si>
  <si>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</si>
  <si>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</si>
  <si>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</si>
  <si>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</si>
  <si>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</si>
  <si>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</si>
  <si>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</si>
  <si>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</si>
  <si>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</si>
  <si>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</si>
  <si>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</si>
  <si>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</si>
  <si>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</si>
  <si>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</si>
  <si>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</si>
  <si>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</si>
  <si>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</si>
  <si>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</si>
  <si>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</si>
  <si>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</si>
  <si>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</si>
  <si>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</si>
  <si>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</si>
  <si>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</si>
  <si>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</si>
  <si>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</si>
  <si>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</si>
  <si>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</si>
  <si>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</si>
  <si>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</si>
  <si>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</si>
  <si>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</si>
  <si>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</si>
  <si>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</si>
  <si>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</si>
  <si>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</si>
  <si>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</si>
  <si>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</si>
  <si>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</si>
  <si>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</si>
  <si>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</si>
  <si>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室外工程</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</si>
</sst>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0_ ;[Red]\-0\ "/>
    <numFmt numFmtId="189" formatCode="0.0_);[Red]\(0.0\)"/>
    <numFmt numFmtId="190" formatCode="yyyy&quot;年&quot;m&quot;月&quot;d&quot;日&quot;;@"/>
    <numFmt numFmtId="191" formatCode="yyyy&quot;年&quot;m&quot;月&quot;;@"/>
    <numFmt numFmtId="192" formatCode="0.000_);[Red]\(0.000\)"/>
    <numFmt numFmtId="193" formatCode="[$-F800]dddd\,\ mmmm\ dd\,\ yyyy"/>
    <numFmt numFmtId="194" formatCode="0;_쐀"/>
    <numFmt numFmtId="195" formatCode="[$-10804]#,##0.0000;\-#,##0.0000"/>
    <numFmt numFmtId="196" formatCode="[$-10804]#,##0.00;\-#,##0.00"/>
    <numFmt numFmtId="197" formatCode="0.000"/>
    <numFmt numFmtId="198" formatCode="[$-10804]#,##0.00"/>
    <numFmt numFmtId="199" formatCode="[$-10804]yyyy/m/d"/>
    <numFmt numFmtId="200" formatCode="0.0000_);[Red]\(0.0000\)"/>
  </numFmts>
  <fonts count="230">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0"/>
      <color indexed="10"/>
      <name val="Arial"/>
      <family val="2"/>
    </font>
    <font>
      <b/>
      <sz val="10"/>
      <color indexed="8"/>
      <name val="Arial"/>
      <family val="2"/>
    </font>
    <font>
      <b/>
      <sz val="12"/>
      <color indexed="8"/>
      <name val="Arial"/>
      <family val="2"/>
    </font>
    <font>
      <sz val="16"/>
      <name val="Arial"/>
      <family val="2"/>
    </font>
    <font>
      <b/>
      <sz val="16"/>
      <name val="宋体"/>
      <family val="3"/>
      <charset val="134"/>
    </font>
    <font>
      <i/>
      <sz val="10"/>
      <color indexed="8"/>
      <name val="Arial"/>
      <family val="2"/>
    </font>
    <font>
      <b/>
      <sz val="10"/>
      <color rgb="FFFF0000"/>
      <name val="Arial"/>
      <family val="2"/>
    </font>
    <font>
      <sz val="10"/>
      <color indexed="8"/>
      <name val="宋体"/>
      <family val="3"/>
      <charset val="134"/>
    </font>
    <font>
      <b/>
      <sz val="16"/>
      <name val="Arial"/>
      <family val="2"/>
    </font>
    <font>
      <sz val="10"/>
      <color rgb="FF000000"/>
      <name val="Arial"/>
      <family val="2"/>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rgb="FFFF0000"/>
      <name val="Arial"/>
      <family val="2"/>
    </font>
    <font>
      <sz val="11"/>
      <color indexed="62"/>
      <name val="Arial"/>
      <family val="2"/>
    </font>
    <font>
      <sz val="11"/>
      <color indexed="10"/>
      <name val="Arial"/>
      <family val="2"/>
    </font>
    <font>
      <sz val="11"/>
      <color indexed="53"/>
      <name val="Arial"/>
      <family val="2"/>
    </font>
    <font>
      <b/>
      <sz val="16"/>
      <color indexed="10"/>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rgb="FF000000"/>
      <name val="宋体"/>
      <family val="3"/>
      <charset val="134"/>
    </font>
    <font>
      <b/>
      <sz val="11"/>
      <color indexed="62"/>
      <name val="Arial"/>
      <family val="2"/>
    </font>
    <font>
      <sz val="11"/>
      <color rgb="FF000000"/>
      <name val="Arial"/>
      <family val="2"/>
    </font>
    <font>
      <b/>
      <sz val="11"/>
      <color indexed="10"/>
      <name val="Arial"/>
      <family val="2"/>
    </font>
    <font>
      <b/>
      <sz val="11"/>
      <color indexed="53"/>
      <name val="Arial"/>
      <family val="2"/>
    </font>
    <font>
      <b/>
      <sz val="16"/>
      <color indexed="8"/>
      <name val="Arial"/>
      <family val="2"/>
    </font>
    <font>
      <sz val="11"/>
      <name val="宋体"/>
      <family val="3"/>
      <charset val="134"/>
    </font>
    <font>
      <b/>
      <sz val="14"/>
      <color rgb="FFFF0000"/>
      <name val="Arial"/>
      <family val="2"/>
    </font>
    <font>
      <sz val="12"/>
      <color indexed="8"/>
      <name val="Arial"/>
      <family val="2"/>
    </font>
    <font>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theme="1"/>
      <name val="Arial"/>
      <family val="2"/>
    </font>
    <font>
      <sz val="10"/>
      <color indexed="53"/>
      <name val="Arial"/>
      <family val="2"/>
    </font>
    <font>
      <sz val="12"/>
      <color indexed="53"/>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theme="1"/>
      <name val="华文细黑"/>
      <family val="3"/>
      <charset val="134"/>
    </font>
    <font>
      <sz val="10"/>
      <color theme="9" tint="-0.249977111117893"/>
      <name val="宋体"/>
      <family val="3"/>
      <charset val="134"/>
    </font>
    <font>
      <sz val="10"/>
      <color rgb="FF00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0"/>
      <name val="华文细黑"/>
      <family val="3"/>
      <charset val="134"/>
    </font>
    <font>
      <b/>
      <sz val="10"/>
      <color rgb="FF000000"/>
      <name val="华文细黑"/>
      <family val="3"/>
      <charset val="134"/>
    </font>
    <font>
      <sz val="10"/>
      <color rgb="FF000000"/>
      <name val="华文细黑"/>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1"/>
      <color rgb="FF000000"/>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1"/>
      <color indexed="8"/>
      <name val="宋体"/>
      <family val="3"/>
      <charset val="134"/>
    </font>
    <font>
      <b/>
      <sz val="11"/>
      <color theme="9" tint="-0.249977111117893"/>
      <name val="Arial"/>
      <family val="2"/>
    </font>
    <font>
      <b/>
      <sz val="11"/>
      <color theme="9" tint="-0.249977111117893"/>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b/>
      <i/>
      <sz val="10"/>
      <color rgb="FFFF0000"/>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4"/>
      <name val="楷体_GB2312"/>
      <family val="3"/>
      <charset val="134"/>
    </font>
    <font>
      <sz val="12"/>
      <name val="仿宋_GB2312"/>
      <charset val="134"/>
    </font>
    <font>
      <sz val="12"/>
      <name val="宋体"/>
      <family val="3"/>
      <charset val="134"/>
      <scheme val="minor"/>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theme="5" tint="0.39994506668294322"/>
        <bgColor indexed="64"/>
      </patternFill>
    </fill>
    <fill>
      <patternFill patternType="solid">
        <fgColor rgb="FFE2E2E2"/>
        <bgColor rgb="FFE2E2E2"/>
      </patternFill>
    </fill>
    <fill>
      <patternFill patternType="solid">
        <fgColor theme="5" tint="0.39994506668294322"/>
        <bgColor rgb="FFE2E2E2"/>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thin">
        <color auto="1"/>
      </left>
      <right/>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rgb="FF000000"/>
      </left>
      <right style="thin">
        <color rgb="FF000000"/>
      </right>
      <top style="thin">
        <color rgb="FF000000"/>
      </top>
      <bottom style="thin">
        <color rgb="FF000000"/>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9" fontId="228" fillId="0" borderId="0" applyFont="0" applyFill="0" applyBorder="0" applyAlignment="0" applyProtection="0">
      <alignment vertical="center"/>
    </xf>
    <xf numFmtId="0" fontId="157" fillId="0" borderId="0"/>
    <xf numFmtId="9" fontId="114" fillId="0" borderId="0" applyFont="0" applyFill="0" applyBorder="0" applyAlignment="0" applyProtection="0">
      <alignment vertical="center"/>
    </xf>
    <xf numFmtId="176" fontId="228"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xf numFmtId="0" fontId="228" fillId="0" borderId="0">
      <alignment vertical="center"/>
    </xf>
    <xf numFmtId="0" fontId="114" fillId="0" borderId="0"/>
    <xf numFmtId="0" fontId="228" fillId="0" borderId="0">
      <alignment vertical="center"/>
    </xf>
    <xf numFmtId="0" fontId="228" fillId="0" borderId="0"/>
    <xf numFmtId="0" fontId="158" fillId="0" borderId="0">
      <alignment vertical="center"/>
    </xf>
    <xf numFmtId="0" fontId="158" fillId="0" borderId="0">
      <alignment vertical="center"/>
    </xf>
    <xf numFmtId="0" fontId="158" fillId="0" borderId="0">
      <alignment vertical="center"/>
    </xf>
    <xf numFmtId="0" fontId="228" fillId="0" borderId="0">
      <alignment vertical="center"/>
    </xf>
    <xf numFmtId="0" fontId="158" fillId="0" borderId="0">
      <alignment vertical="center"/>
    </xf>
    <xf numFmtId="0" fontId="228" fillId="0" borderId="0"/>
  </cellStyleXfs>
  <cellXfs count="3808">
    <xf numFmtId="0" fontId="0" fillId="0" borderId="0" xfId="0">
      <alignment vertical="center"/>
    </xf>
    <xf numFmtId="0" fontId="1" fillId="0" borderId="0" xfId="0" applyFont="1" applyAlignment="1"/>
    <xf numFmtId="0" fontId="0" fillId="0" borderId="0" xfId="0" applyFont="1" applyAlignment="1"/>
    <xf numFmtId="0" fontId="2" fillId="2" borderId="0" xfId="9" applyFont="1" applyFill="1"/>
    <xf numFmtId="0" fontId="2" fillId="0" borderId="0" xfId="9" applyFont="1"/>
    <xf numFmtId="0" fontId="0" fillId="0" borderId="0" xfId="0" applyAlignment="1"/>
    <xf numFmtId="0" fontId="3" fillId="2" borderId="1" xfId="9" applyFont="1" applyFill="1" applyBorder="1"/>
    <xf numFmtId="0" fontId="4" fillId="2" borderId="2" xfId="9" applyFont="1" applyFill="1" applyBorder="1" applyAlignment="1">
      <alignment horizontal="center"/>
    </xf>
    <xf numFmtId="14" fontId="3" fillId="2" borderId="2" xfId="9" applyNumberFormat="1" applyFont="1" applyFill="1" applyBorder="1" applyAlignment="1" applyProtection="1">
      <alignment horizontal="center"/>
    </xf>
    <xf numFmtId="0" fontId="3" fillId="2" borderId="2" xfId="9" applyFont="1" applyFill="1" applyBorder="1" applyAlignment="1" applyProtection="1">
      <alignment horizontal="center"/>
    </xf>
    <xf numFmtId="10" fontId="3" fillId="2" borderId="2" xfId="9" applyNumberFormat="1" applyFont="1" applyFill="1" applyBorder="1" applyAlignment="1">
      <alignment horizontal="center"/>
    </xf>
    <xf numFmtId="0" fontId="5" fillId="2" borderId="0" xfId="0" applyFont="1" applyFill="1" applyAlignment="1"/>
    <xf numFmtId="0" fontId="6" fillId="2" borderId="0" xfId="9" applyFont="1" applyFill="1"/>
    <xf numFmtId="0" fontId="2" fillId="2" borderId="3" xfId="9" applyFont="1" applyFill="1" applyBorder="1"/>
    <xf numFmtId="0" fontId="7" fillId="2" borderId="4" xfId="9" applyFont="1" applyFill="1" applyBorder="1" applyAlignment="1">
      <alignment horizontal="center" vertical="center" wrapText="1"/>
    </xf>
    <xf numFmtId="0" fontId="2" fillId="2" borderId="5" xfId="9" applyFont="1" applyFill="1" applyBorder="1" applyAlignment="1">
      <alignment horizontal="center"/>
    </xf>
    <xf numFmtId="0" fontId="7" fillId="2" borderId="3" xfId="9" applyFont="1" applyFill="1" applyBorder="1" applyAlignment="1">
      <alignment horizontal="center" vertical="center" wrapText="1"/>
    </xf>
    <xf numFmtId="0" fontId="2" fillId="2" borderId="4" xfId="9" applyNumberFormat="1" applyFont="1" applyFill="1" applyBorder="1" applyAlignment="1">
      <alignment horizontal="center"/>
    </xf>
    <xf numFmtId="0" fontId="2" fillId="2" borderId="6" xfId="9" applyFont="1" applyFill="1" applyBorder="1"/>
    <xf numFmtId="0" fontId="7" fillId="2" borderId="7" xfId="9" applyFont="1" applyFill="1" applyBorder="1" applyAlignment="1">
      <alignment horizontal="center" vertical="center" wrapText="1"/>
    </xf>
    <xf numFmtId="0" fontId="2" fillId="2" borderId="8" xfId="9" applyFont="1" applyFill="1" applyBorder="1" applyAlignment="1">
      <alignment horizontal="center"/>
    </xf>
    <xf numFmtId="0" fontId="7" fillId="2" borderId="6" xfId="9" applyFont="1" applyFill="1" applyBorder="1" applyAlignment="1">
      <alignment horizontal="center" vertical="center" wrapText="1"/>
    </xf>
    <xf numFmtId="0" fontId="2" fillId="2" borderId="7" xfId="9" applyNumberFormat="1" applyFont="1" applyFill="1" applyBorder="1" applyAlignment="1">
      <alignment horizontal="center"/>
    </xf>
    <xf numFmtId="0" fontId="2" fillId="2" borderId="9" xfId="9" applyFont="1" applyFill="1" applyBorder="1"/>
    <xf numFmtId="0" fontId="7" fillId="2" borderId="10" xfId="9" applyFont="1" applyFill="1" applyBorder="1" applyAlignment="1">
      <alignment horizontal="center" vertical="center" wrapText="1"/>
    </xf>
    <xf numFmtId="0" fontId="2" fillId="2" borderId="11" xfId="9" applyFont="1" applyFill="1" applyBorder="1" applyAlignment="1">
      <alignment horizontal="center"/>
    </xf>
    <xf numFmtId="0" fontId="7" fillId="2" borderId="9" xfId="9" applyFont="1" applyFill="1" applyBorder="1" applyAlignment="1">
      <alignment horizontal="center" vertical="center" wrapText="1"/>
    </xf>
    <xf numFmtId="0" fontId="2" fillId="2" borderId="10" xfId="9" applyNumberFormat="1" applyFont="1" applyFill="1" applyBorder="1" applyAlignment="1">
      <alignment horizontal="center"/>
    </xf>
    <xf numFmtId="0" fontId="2" fillId="2" borderId="0" xfId="9" applyNumberFormat="1" applyFont="1" applyFill="1" applyAlignment="1">
      <alignment horizontal="center"/>
    </xf>
    <xf numFmtId="0" fontId="2" fillId="2" borderId="0" xfId="9" applyFont="1" applyFill="1" applyAlignment="1">
      <alignment horizontal="right"/>
    </xf>
    <xf numFmtId="14" fontId="2" fillId="2" borderId="0" xfId="9" applyNumberFormat="1" applyFont="1" applyFill="1" applyAlignment="1">
      <alignment horizontal="center"/>
    </xf>
    <xf numFmtId="0" fontId="8" fillId="2" borderId="0" xfId="9" applyNumberFormat="1" applyFont="1" applyFill="1" applyAlignment="1">
      <alignment horizontal="center"/>
    </xf>
    <xf numFmtId="0" fontId="9" fillId="2" borderId="0" xfId="9" applyFont="1" applyFill="1" applyAlignment="1">
      <alignment horizontal="left"/>
    </xf>
    <xf numFmtId="14" fontId="8" fillId="2" borderId="0" xfId="9" applyNumberFormat="1" applyFont="1" applyFill="1" applyAlignment="1">
      <alignment horizontal="center"/>
    </xf>
    <xf numFmtId="0" fontId="8" fillId="2" borderId="0" xfId="9" applyFont="1" applyFill="1"/>
    <xf numFmtId="0" fontId="10" fillId="2" borderId="0" xfId="9" applyFont="1" applyFill="1"/>
    <xf numFmtId="0" fontId="11" fillId="2" borderId="0" xfId="9" applyFont="1" applyFill="1"/>
    <xf numFmtId="0" fontId="7" fillId="2" borderId="0" xfId="9" applyFont="1" applyFill="1" applyAlignment="1"/>
    <xf numFmtId="0" fontId="4" fillId="2" borderId="12" xfId="9" applyFont="1" applyFill="1" applyBorder="1" applyAlignment="1">
      <alignment horizontal="center" vertical="center"/>
    </xf>
    <xf numFmtId="0" fontId="4" fillId="2" borderId="12" xfId="9" applyFont="1" applyFill="1" applyBorder="1" applyAlignment="1">
      <alignment vertical="center"/>
    </xf>
    <xf numFmtId="0" fontId="4" fillId="2" borderId="13" xfId="9" applyFont="1" applyFill="1" applyBorder="1" applyAlignment="1">
      <alignment vertical="center"/>
    </xf>
    <xf numFmtId="0" fontId="4" fillId="2" borderId="14" xfId="9" applyFont="1" applyFill="1" applyBorder="1" applyAlignment="1">
      <alignment vertical="center"/>
    </xf>
    <xf numFmtId="0" fontId="4" fillId="2" borderId="15" xfId="9" applyFont="1" applyFill="1" applyBorder="1" applyAlignment="1">
      <alignment vertical="center"/>
    </xf>
    <xf numFmtId="0" fontId="7" fillId="2" borderId="0" xfId="9" applyFont="1" applyFill="1"/>
    <xf numFmtId="0" fontId="4" fillId="2" borderId="16" xfId="9" applyFont="1" applyFill="1" applyBorder="1" applyAlignment="1">
      <alignment horizontal="center" vertical="center" wrapText="1"/>
    </xf>
    <xf numFmtId="0" fontId="4" fillId="2" borderId="16" xfId="9" applyFont="1" applyFill="1" applyBorder="1" applyAlignment="1">
      <alignment vertical="center" wrapText="1"/>
    </xf>
    <xf numFmtId="0" fontId="2" fillId="2" borderId="7" xfId="9" applyFont="1" applyFill="1" applyBorder="1"/>
    <xf numFmtId="0" fontId="12" fillId="2" borderId="0" xfId="9" applyFont="1" applyFill="1" applyAlignment="1">
      <alignment vertical="center"/>
    </xf>
    <xf numFmtId="0" fontId="12" fillId="2" borderId="7" xfId="9" applyFont="1" applyFill="1" applyBorder="1" applyAlignment="1">
      <alignment horizontal="left" vertical="center" wrapText="1"/>
    </xf>
    <xf numFmtId="177" fontId="12" fillId="2" borderId="7" xfId="9" applyNumberFormat="1" applyFont="1" applyFill="1" applyBorder="1" applyAlignment="1">
      <alignment horizontal="center" vertical="center" wrapText="1"/>
    </xf>
    <xf numFmtId="0" fontId="12" fillId="2" borderId="7" xfId="9" applyFont="1" applyFill="1" applyBorder="1" applyAlignment="1">
      <alignment horizontal="center" vertical="center" wrapText="1"/>
    </xf>
    <xf numFmtId="14" fontId="2" fillId="2" borderId="7" xfId="9" applyNumberFormat="1" applyFont="1" applyFill="1" applyBorder="1" applyAlignment="1">
      <alignment horizontal="center" wrapText="1"/>
    </xf>
    <xf numFmtId="0" fontId="2" fillId="2" borderId="7" xfId="9" applyFont="1" applyFill="1" applyBorder="1" applyAlignment="1">
      <alignment horizontal="center" wrapText="1"/>
    </xf>
    <xf numFmtId="0" fontId="13" fillId="2" borderId="0" xfId="9" applyFont="1" applyFill="1" applyAlignment="1">
      <alignment vertical="center"/>
    </xf>
    <xf numFmtId="14" fontId="14" fillId="2" borderId="7" xfId="9" applyNumberFormat="1" applyFont="1" applyFill="1" applyBorder="1" applyAlignment="1">
      <alignment horizontal="center" wrapText="1"/>
    </xf>
    <xf numFmtId="0" fontId="14" fillId="2" borderId="7" xfId="9" applyFont="1" applyFill="1" applyBorder="1" applyAlignment="1">
      <alignment horizontal="center" wrapText="1"/>
    </xf>
    <xf numFmtId="0" fontId="13" fillId="2" borderId="7" xfId="9" applyFont="1" applyFill="1" applyBorder="1" applyAlignment="1">
      <alignment horizontal="left" vertical="center" wrapText="1"/>
    </xf>
    <xf numFmtId="14" fontId="7" fillId="2" borderId="7" xfId="9" applyNumberFormat="1" applyFont="1" applyFill="1" applyBorder="1" applyAlignment="1">
      <alignment horizontal="center" wrapText="1"/>
    </xf>
    <xf numFmtId="0" fontId="7" fillId="2" borderId="7" xfId="9" applyFont="1" applyFill="1" applyBorder="1" applyAlignment="1">
      <alignment horizontal="center" wrapText="1"/>
    </xf>
    <xf numFmtId="178" fontId="4" fillId="2" borderId="1" xfId="9" applyNumberFormat="1" applyFont="1" applyFill="1" applyBorder="1" applyAlignment="1">
      <alignment horizontal="center"/>
    </xf>
    <xf numFmtId="0" fontId="4" fillId="2" borderId="7" xfId="9" applyFont="1" applyFill="1" applyBorder="1" applyAlignment="1">
      <alignment horizontal="center" vertical="center" wrapText="1"/>
    </xf>
    <xf numFmtId="14" fontId="12" fillId="2" borderId="7" xfId="9" applyNumberFormat="1" applyFont="1" applyFill="1" applyBorder="1" applyAlignment="1">
      <alignment horizontal="center" vertical="center" wrapText="1"/>
    </xf>
    <xf numFmtId="179" fontId="15" fillId="2" borderId="7" xfId="9" applyNumberFormat="1" applyFont="1" applyFill="1" applyBorder="1" applyAlignment="1">
      <alignment horizontal="center"/>
    </xf>
    <xf numFmtId="0" fontId="3" fillId="0" borderId="1" xfId="9" applyFont="1" applyBorder="1"/>
    <xf numFmtId="0" fontId="8" fillId="0" borderId="0" xfId="9" applyFont="1"/>
    <xf numFmtId="0" fontId="10" fillId="0" borderId="0" xfId="9" applyFont="1"/>
    <xf numFmtId="0" fontId="7" fillId="0" borderId="0" xfId="9" applyFont="1" applyAlignment="1"/>
    <xf numFmtId="0" fontId="7" fillId="0" borderId="0" xfId="9" applyFont="1"/>
    <xf numFmtId="0" fontId="12" fillId="3" borderId="0" xfId="9"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9" applyFont="1" applyFill="1" applyBorder="1" applyAlignment="1">
      <alignment horizontal="center" wrapText="1"/>
    </xf>
    <xf numFmtId="14" fontId="2" fillId="2" borderId="0" xfId="9" applyNumberFormat="1" applyFont="1" applyFill="1" applyBorder="1" applyAlignment="1">
      <alignment horizontal="center" wrapText="1"/>
    </xf>
    <xf numFmtId="0" fontId="17" fillId="0" borderId="0" xfId="14" applyFont="1" applyAlignment="1">
      <alignment horizontal="left" vertical="center"/>
    </xf>
    <xf numFmtId="0" fontId="17" fillId="0" borderId="17" xfId="14" applyFont="1" applyBorder="1" applyAlignment="1">
      <alignment horizontal="left" vertical="center"/>
    </xf>
    <xf numFmtId="0" fontId="17" fillId="4" borderId="0" xfId="14" applyFont="1" applyFill="1" applyAlignment="1">
      <alignment horizontal="left" vertical="center"/>
    </xf>
    <xf numFmtId="0" fontId="17" fillId="0" borderId="0" xfId="14" applyFont="1" applyFill="1" applyAlignment="1">
      <alignment horizontal="left" vertical="center"/>
    </xf>
    <xf numFmtId="0" fontId="18" fillId="5" borderId="0" xfId="14" applyFont="1" applyFill="1" applyAlignment="1">
      <alignment horizontal="left" vertical="center"/>
    </xf>
    <xf numFmtId="0" fontId="17" fillId="5" borderId="0" xfId="14" applyFont="1" applyFill="1" applyAlignment="1">
      <alignment horizontal="left" vertical="center"/>
    </xf>
    <xf numFmtId="0" fontId="19" fillId="3" borderId="0" xfId="14" applyFont="1" applyFill="1" applyAlignment="1">
      <alignment horizontal="left" vertical="center"/>
    </xf>
    <xf numFmtId="0" fontId="19" fillId="0" borderId="18" xfId="14" applyFont="1" applyBorder="1" applyAlignment="1">
      <alignment horizontal="left" vertical="center"/>
    </xf>
    <xf numFmtId="0" fontId="20" fillId="0" borderId="0" xfId="14" applyFont="1" applyAlignment="1">
      <alignment horizontal="left" vertical="center"/>
    </xf>
    <xf numFmtId="0" fontId="19" fillId="0" borderId="0" xfId="14" applyFont="1" applyAlignment="1">
      <alignment horizontal="left" vertical="center"/>
    </xf>
    <xf numFmtId="0" fontId="19" fillId="0" borderId="19" xfId="14" applyFont="1" applyBorder="1" applyAlignment="1">
      <alignment horizontal="left" vertical="center"/>
    </xf>
    <xf numFmtId="0" fontId="22" fillId="2" borderId="17" xfId="5" applyFont="1" applyFill="1" applyBorder="1" applyAlignment="1" applyProtection="1">
      <alignment horizontal="left" vertical="center"/>
    </xf>
    <xf numFmtId="0" fontId="23" fillId="2" borderId="17" xfId="5" applyFont="1" applyFill="1" applyBorder="1" applyAlignment="1" applyProtection="1">
      <alignment horizontal="left" vertical="center"/>
    </xf>
    <xf numFmtId="0" fontId="17" fillId="0" borderId="20" xfId="14" applyFont="1" applyBorder="1" applyAlignment="1">
      <alignment horizontal="left" vertical="center"/>
    </xf>
    <xf numFmtId="0" fontId="3" fillId="4" borderId="0" xfId="14" applyFont="1" applyFill="1" applyAlignment="1">
      <alignment horizontal="left" vertical="center"/>
    </xf>
    <xf numFmtId="0" fontId="24" fillId="4" borderId="0" xfId="5" applyFont="1" applyFill="1" applyAlignment="1" applyProtection="1">
      <alignment horizontal="left" vertical="center"/>
    </xf>
    <xf numFmtId="0" fontId="23" fillId="4" borderId="0" xfId="5" applyFont="1" applyFill="1" applyAlignment="1" applyProtection="1">
      <alignment horizontal="left" vertical="center"/>
    </xf>
    <xf numFmtId="0" fontId="17" fillId="4" borderId="19" xfId="14" applyFont="1" applyFill="1" applyBorder="1" applyAlignment="1">
      <alignment horizontal="left" vertical="center"/>
    </xf>
    <xf numFmtId="0" fontId="17" fillId="4" borderId="0" xfId="14" applyFont="1" applyFill="1" applyBorder="1" applyAlignment="1">
      <alignment horizontal="left" vertical="center"/>
    </xf>
    <xf numFmtId="0" fontId="24" fillId="0" borderId="0" xfId="5" applyFont="1" applyFill="1" applyAlignment="1" applyProtection="1">
      <alignment horizontal="left" vertical="center"/>
    </xf>
    <xf numFmtId="0" fontId="23" fillId="0" borderId="0" xfId="5" applyFont="1" applyFill="1" applyAlignment="1" applyProtection="1">
      <alignment horizontal="left" vertical="center"/>
    </xf>
    <xf numFmtId="0" fontId="17" fillId="0" borderId="19" xfId="14" applyFont="1" applyFill="1" applyBorder="1" applyAlignment="1">
      <alignment horizontal="left" vertical="center"/>
    </xf>
    <xf numFmtId="0" fontId="17" fillId="0" borderId="0" xfId="14" applyFont="1" applyFill="1" applyBorder="1" applyAlignment="1">
      <alignment horizontal="left" vertical="center"/>
    </xf>
    <xf numFmtId="49" fontId="25" fillId="2" borderId="7" xfId="14" applyNumberFormat="1" applyFont="1" applyFill="1" applyBorder="1" applyAlignment="1" applyProtection="1">
      <alignment horizontal="left" vertical="center" wrapText="1"/>
    </xf>
    <xf numFmtId="180" fontId="19" fillId="0" borderId="0" xfId="14" applyNumberFormat="1" applyFont="1" applyAlignment="1">
      <alignment horizontal="left" vertical="center"/>
    </xf>
    <xf numFmtId="0" fontId="26" fillId="6" borderId="21" xfId="14" applyFont="1" applyFill="1" applyBorder="1" applyAlignment="1" applyProtection="1">
      <alignment horizontal="left" vertical="center" wrapText="1"/>
    </xf>
    <xf numFmtId="0" fontId="26" fillId="7" borderId="22" xfId="14" applyFont="1" applyFill="1" applyBorder="1" applyAlignment="1" applyProtection="1">
      <alignment horizontal="left" vertical="center" wrapText="1"/>
    </xf>
    <xf numFmtId="49" fontId="25" fillId="5" borderId="7" xfId="14" applyNumberFormat="1" applyFont="1" applyFill="1" applyBorder="1" applyAlignment="1" applyProtection="1">
      <alignment horizontal="left" vertical="center" wrapText="1"/>
    </xf>
    <xf numFmtId="180" fontId="18" fillId="5" borderId="0" xfId="14" applyNumberFormat="1" applyFont="1" applyFill="1" applyAlignment="1">
      <alignment horizontal="left" vertical="center"/>
    </xf>
    <xf numFmtId="0" fontId="26" fillId="5" borderId="22" xfId="14" applyFont="1" applyFill="1" applyBorder="1" applyAlignment="1" applyProtection="1">
      <alignment horizontal="left" vertical="center" wrapText="1"/>
    </xf>
    <xf numFmtId="0" fontId="26" fillId="6" borderId="23" xfId="14" applyFont="1" applyFill="1" applyBorder="1" applyAlignment="1" applyProtection="1">
      <alignment horizontal="left" vertical="center" wrapText="1"/>
    </xf>
    <xf numFmtId="180" fontId="17" fillId="6" borderId="23" xfId="14" applyNumberFormat="1" applyFont="1" applyFill="1" applyBorder="1" applyAlignment="1" applyProtection="1">
      <alignment horizontal="left" vertical="center" wrapText="1"/>
    </xf>
    <xf numFmtId="180" fontId="17" fillId="6" borderId="24" xfId="14" applyNumberFormat="1" applyFont="1" applyFill="1" applyBorder="1" applyAlignment="1" applyProtection="1">
      <alignment horizontal="left" vertical="center" wrapText="1"/>
    </xf>
    <xf numFmtId="0" fontId="26" fillId="6" borderId="22" xfId="14" applyFont="1" applyFill="1" applyBorder="1" applyAlignment="1" applyProtection="1">
      <alignment horizontal="left" vertical="center" wrapText="1"/>
    </xf>
    <xf numFmtId="180" fontId="17" fillId="6" borderId="23" xfId="14" applyNumberFormat="1" applyFont="1" applyFill="1" applyBorder="1" applyAlignment="1">
      <alignment horizontal="left" vertical="center" wrapText="1"/>
    </xf>
    <xf numFmtId="180" fontId="17" fillId="6" borderId="24" xfId="14" applyNumberFormat="1" applyFont="1" applyFill="1" applyBorder="1" applyAlignment="1">
      <alignment horizontal="left" vertical="center" wrapText="1"/>
    </xf>
    <xf numFmtId="0" fontId="26" fillId="6" borderId="29" xfId="14" applyFont="1" applyFill="1" applyBorder="1" applyAlignment="1" applyProtection="1">
      <alignment horizontal="left" vertical="center" wrapText="1"/>
    </xf>
    <xf numFmtId="0" fontId="26" fillId="7" borderId="23" xfId="14" applyFont="1" applyFill="1" applyBorder="1" applyAlignment="1" applyProtection="1">
      <alignment horizontal="left" vertical="center" wrapText="1"/>
    </xf>
    <xf numFmtId="180" fontId="17" fillId="6" borderId="22" xfId="14" applyNumberFormat="1" applyFont="1" applyFill="1" applyBorder="1" applyAlignment="1">
      <alignment horizontal="left" vertical="center" wrapText="1"/>
    </xf>
    <xf numFmtId="180" fontId="17" fillId="6" borderId="30" xfId="14" applyNumberFormat="1" applyFont="1" applyFill="1" applyBorder="1" applyAlignment="1">
      <alignment horizontal="left" vertical="center" wrapText="1"/>
    </xf>
    <xf numFmtId="0" fontId="19" fillId="7" borderId="23" xfId="14" applyFont="1" applyFill="1" applyBorder="1" applyAlignment="1" applyProtection="1">
      <alignment horizontal="left" vertical="center" wrapText="1"/>
    </xf>
    <xf numFmtId="49" fontId="25" fillId="3" borderId="7" xfId="14" applyNumberFormat="1" applyFont="1" applyFill="1" applyBorder="1" applyAlignment="1" applyProtection="1">
      <alignment horizontal="left" vertical="center" wrapText="1"/>
    </xf>
    <xf numFmtId="180" fontId="19" fillId="3" borderId="0" xfId="14" applyNumberFormat="1" applyFont="1" applyFill="1" applyAlignment="1">
      <alignment horizontal="left" vertical="center"/>
    </xf>
    <xf numFmtId="0" fontId="19" fillId="3" borderId="22" xfId="14" applyFont="1" applyFill="1" applyBorder="1" applyAlignment="1" applyProtection="1">
      <alignment horizontal="left" vertical="center" wrapText="1"/>
    </xf>
    <xf numFmtId="0" fontId="19" fillId="6" borderId="29" xfId="14" applyFont="1" applyFill="1" applyBorder="1" applyAlignment="1" applyProtection="1">
      <alignment horizontal="left" vertical="center" wrapText="1"/>
    </xf>
    <xf numFmtId="180" fontId="17" fillId="6" borderId="29" xfId="14" applyNumberFormat="1" applyFont="1" applyFill="1" applyBorder="1" applyAlignment="1">
      <alignment horizontal="left" vertical="center" wrapText="1"/>
    </xf>
    <xf numFmtId="180" fontId="17" fillId="6" borderId="31" xfId="14" applyNumberFormat="1" applyFont="1" applyFill="1" applyBorder="1" applyAlignment="1">
      <alignment horizontal="left" vertical="center" wrapText="1"/>
    </xf>
    <xf numFmtId="180" fontId="19" fillId="5" borderId="0" xfId="14" applyNumberFormat="1" applyFont="1" applyFill="1" applyAlignment="1">
      <alignment horizontal="left" vertical="center"/>
    </xf>
    <xf numFmtId="180" fontId="19" fillId="0" borderId="18" xfId="14" applyNumberFormat="1" applyFont="1" applyBorder="1" applyAlignment="1">
      <alignment horizontal="left" vertical="center"/>
    </xf>
    <xf numFmtId="0" fontId="26" fillId="7" borderId="32" xfId="14" applyFont="1" applyFill="1" applyBorder="1" applyAlignment="1" applyProtection="1">
      <alignment horizontal="left" vertical="center" wrapText="1"/>
    </xf>
    <xf numFmtId="0" fontId="18" fillId="4" borderId="0" xfId="14" applyFont="1" applyFill="1" applyBorder="1" applyAlignment="1" applyProtection="1">
      <alignment horizontal="left" vertical="center"/>
      <protection locked="0"/>
    </xf>
    <xf numFmtId="0" fontId="17" fillId="0" borderId="0" xfId="14" applyFont="1" applyFill="1" applyBorder="1" applyAlignment="1" applyProtection="1">
      <alignment horizontal="left" vertical="center"/>
      <protection locked="0"/>
    </xf>
    <xf numFmtId="0" fontId="26" fillId="7" borderId="22" xfId="15" applyFont="1" applyFill="1" applyBorder="1" applyAlignment="1" applyProtection="1">
      <alignment horizontal="left" vertical="center" wrapText="1"/>
    </xf>
    <xf numFmtId="0" fontId="26" fillId="7" borderId="33" xfId="15" applyFont="1" applyFill="1" applyBorder="1" applyAlignment="1" applyProtection="1">
      <alignment horizontal="left" vertical="center" wrapText="1"/>
    </xf>
    <xf numFmtId="10" fontId="19" fillId="0" borderId="19" xfId="14" applyNumberFormat="1" applyFont="1" applyBorder="1" applyAlignment="1">
      <alignment horizontal="left" vertical="center"/>
    </xf>
    <xf numFmtId="10" fontId="19" fillId="0" borderId="0" xfId="14" applyNumberFormat="1" applyFont="1" applyAlignment="1">
      <alignment horizontal="left" vertical="center"/>
    </xf>
    <xf numFmtId="0" fontId="18" fillId="5" borderId="0" xfId="14" applyFont="1" applyFill="1" applyBorder="1" applyAlignment="1" applyProtection="1">
      <alignment horizontal="left" vertical="center"/>
      <protection locked="0"/>
    </xf>
    <xf numFmtId="10" fontId="18" fillId="5" borderId="34" xfId="14" applyNumberFormat="1" applyFont="1" applyFill="1" applyBorder="1" applyAlignment="1">
      <alignment horizontal="left" vertical="center"/>
    </xf>
    <xf numFmtId="0" fontId="26" fillId="7" borderId="33" xfId="14" applyFont="1" applyFill="1" applyBorder="1" applyAlignment="1" applyProtection="1">
      <alignment horizontal="left" vertical="center" wrapText="1"/>
    </xf>
    <xf numFmtId="0" fontId="26" fillId="6" borderId="35" xfId="14" applyFont="1" applyFill="1" applyBorder="1" applyAlignment="1" applyProtection="1">
      <alignment horizontal="left" vertical="center" wrapText="1"/>
    </xf>
    <xf numFmtId="0" fontId="26" fillId="6" borderId="33" xfId="14" applyFont="1" applyFill="1" applyBorder="1" applyAlignment="1" applyProtection="1">
      <alignment horizontal="left" vertical="center" wrapText="1"/>
    </xf>
    <xf numFmtId="0" fontId="26" fillId="6" borderId="36" xfId="14" applyFont="1" applyFill="1" applyBorder="1" applyAlignment="1" applyProtection="1">
      <alignment horizontal="left" vertical="center" wrapText="1"/>
    </xf>
    <xf numFmtId="10" fontId="19" fillId="0" borderId="37" xfId="14" applyNumberFormat="1" applyFont="1" applyBorder="1" applyAlignment="1">
      <alignment horizontal="left" vertical="center"/>
    </xf>
    <xf numFmtId="10" fontId="19" fillId="0" borderId="38" xfId="14" applyNumberFormat="1" applyFont="1" applyBorder="1" applyAlignment="1">
      <alignment horizontal="left" vertical="center"/>
    </xf>
    <xf numFmtId="0" fontId="26" fillId="7" borderId="35" xfId="14" applyFont="1" applyFill="1" applyBorder="1" applyAlignment="1" applyProtection="1">
      <alignment horizontal="left" vertical="center" wrapText="1"/>
    </xf>
    <xf numFmtId="10" fontId="19" fillId="0" borderId="0" xfId="14" applyNumberFormat="1" applyFont="1" applyBorder="1" applyAlignment="1">
      <alignment horizontal="left" vertical="center"/>
    </xf>
    <xf numFmtId="10" fontId="19" fillId="0" borderId="34" xfId="14" applyNumberFormat="1" applyFont="1" applyBorder="1" applyAlignment="1">
      <alignment horizontal="left" vertical="center"/>
    </xf>
    <xf numFmtId="10" fontId="19" fillId="0" borderId="39" xfId="14" applyNumberFormat="1" applyFont="1" applyBorder="1" applyAlignment="1">
      <alignment horizontal="left" vertical="center"/>
    </xf>
    <xf numFmtId="0" fontId="19" fillId="7" borderId="35" xfId="14" applyFont="1" applyFill="1" applyBorder="1" applyAlignment="1" applyProtection="1">
      <alignment horizontal="left" vertical="center" wrapText="1"/>
    </xf>
    <xf numFmtId="0" fontId="19" fillId="3" borderId="33" xfId="14" applyFont="1" applyFill="1" applyBorder="1" applyAlignment="1" applyProtection="1">
      <alignment horizontal="left" vertical="center" wrapText="1"/>
    </xf>
    <xf numFmtId="10" fontId="19" fillId="3" borderId="19" xfId="14" applyNumberFormat="1" applyFont="1" applyFill="1" applyBorder="1" applyAlignment="1">
      <alignment horizontal="left" vertical="center"/>
    </xf>
    <xf numFmtId="10" fontId="19" fillId="3" borderId="0" xfId="14" applyNumberFormat="1" applyFont="1" applyFill="1" applyAlignment="1">
      <alignment horizontal="left" vertical="center"/>
    </xf>
    <xf numFmtId="0" fontId="19" fillId="6" borderId="36" xfId="14" applyFont="1" applyFill="1" applyBorder="1" applyAlignment="1" applyProtection="1">
      <alignment horizontal="left" vertical="center" wrapText="1"/>
    </xf>
    <xf numFmtId="0" fontId="26" fillId="7" borderId="40" xfId="14" applyFont="1" applyFill="1" applyBorder="1" applyAlignment="1" applyProtection="1">
      <alignment horizontal="left" vertical="center" wrapText="1"/>
    </xf>
    <xf numFmtId="10" fontId="19" fillId="0" borderId="41" xfId="14" applyNumberFormat="1" applyFont="1" applyBorder="1" applyAlignment="1">
      <alignment horizontal="left" vertical="center"/>
    </xf>
    <xf numFmtId="10" fontId="19" fillId="0" borderId="18" xfId="14" applyNumberFormat="1" applyFont="1" applyBorder="1" applyAlignment="1">
      <alignment horizontal="left" vertical="center"/>
    </xf>
    <xf numFmtId="0" fontId="4" fillId="4" borderId="0" xfId="14" applyFont="1" applyFill="1" applyAlignment="1">
      <alignment horizontal="left" vertical="center"/>
    </xf>
    <xf numFmtId="0" fontId="19" fillId="4" borderId="0" xfId="14" applyFont="1" applyFill="1" applyAlignment="1">
      <alignment horizontal="left" vertical="center"/>
    </xf>
    <xf numFmtId="178" fontId="19" fillId="0" borderId="0" xfId="14" applyNumberFormat="1" applyFont="1" applyAlignment="1">
      <alignment horizontal="left" vertical="center"/>
    </xf>
    <xf numFmtId="0" fontId="19" fillId="0" borderId="0" xfId="14" applyFont="1" applyFill="1" applyAlignment="1">
      <alignment horizontal="left" vertical="center"/>
    </xf>
    <xf numFmtId="0" fontId="17" fillId="5" borderId="19" xfId="14" applyFont="1" applyFill="1" applyBorder="1" applyAlignment="1">
      <alignment horizontal="left" vertical="center"/>
    </xf>
    <xf numFmtId="0" fontId="20" fillId="3" borderId="0" xfId="14" applyFont="1" applyFill="1" applyAlignment="1">
      <alignment horizontal="left" vertical="center"/>
    </xf>
    <xf numFmtId="0" fontId="19" fillId="5" borderId="0" xfId="14" applyFont="1" applyFill="1" applyAlignment="1">
      <alignment horizontal="left" vertical="center"/>
    </xf>
    <xf numFmtId="181" fontId="19" fillId="0" borderId="19" xfId="14" applyNumberFormat="1" applyFont="1" applyBorder="1" applyAlignment="1">
      <alignment horizontal="left" vertical="center"/>
    </xf>
    <xf numFmtId="181" fontId="19" fillId="0" borderId="0" xfId="14" applyNumberFormat="1" applyFont="1" applyAlignment="1">
      <alignment horizontal="left" vertical="center"/>
    </xf>
    <xf numFmtId="178" fontId="19" fillId="3" borderId="0" xfId="14" applyNumberFormat="1" applyFont="1" applyFill="1" applyAlignment="1">
      <alignment horizontal="left" vertical="center"/>
    </xf>
    <xf numFmtId="10" fontId="19" fillId="3" borderId="34" xfId="14" applyNumberFormat="1" applyFont="1" applyFill="1" applyBorder="1" applyAlignment="1">
      <alignment horizontal="left" vertical="center"/>
    </xf>
    <xf numFmtId="10" fontId="19" fillId="3" borderId="39" xfId="14" applyNumberFormat="1" applyFont="1" applyFill="1" applyBorder="1" applyAlignment="1">
      <alignment horizontal="left" vertical="center"/>
    </xf>
    <xf numFmtId="0" fontId="7" fillId="3" borderId="0" xfId="14" applyFont="1" applyFill="1" applyAlignment="1">
      <alignment horizontal="left" vertical="center"/>
    </xf>
    <xf numFmtId="0" fontId="19" fillId="3" borderId="0" xfId="14" applyNumberFormat="1" applyFont="1" applyFill="1" applyAlignment="1">
      <alignment horizontal="left" vertical="center"/>
    </xf>
    <xf numFmtId="14" fontId="19" fillId="0" borderId="0" xfId="14" applyNumberFormat="1" applyFont="1" applyAlignment="1">
      <alignment horizontal="left" vertical="center"/>
    </xf>
    <xf numFmtId="0" fontId="19" fillId="0" borderId="0" xfId="14" applyNumberFormat="1" applyFont="1" applyAlignment="1">
      <alignment horizontal="left" vertical="center"/>
    </xf>
    <xf numFmtId="178" fontId="19" fillId="0" borderId="18" xfId="14" applyNumberFormat="1" applyFont="1" applyBorder="1" applyAlignment="1">
      <alignment horizontal="left" vertical="center"/>
    </xf>
    <xf numFmtId="10" fontId="19" fillId="4" borderId="0" xfId="14" applyNumberFormat="1" applyFont="1" applyFill="1" applyAlignment="1">
      <alignment horizontal="left" vertical="center"/>
    </xf>
    <xf numFmtId="10" fontId="19" fillId="0" borderId="0" xfId="14" applyNumberFormat="1" applyFont="1" applyFill="1" applyAlignment="1">
      <alignment horizontal="left" vertical="center"/>
    </xf>
    <xf numFmtId="10" fontId="19" fillId="5" borderId="0" xfId="14" applyNumberFormat="1" applyFont="1" applyFill="1" applyAlignment="1">
      <alignment horizontal="left" vertical="center"/>
    </xf>
    <xf numFmtId="0" fontId="7" fillId="0" borderId="0" xfId="14" applyFont="1" applyAlignment="1">
      <alignment horizontal="left" vertical="center"/>
    </xf>
    <xf numFmtId="0" fontId="26" fillId="6" borderId="42" xfId="14" applyFont="1" applyFill="1" applyBorder="1" applyAlignment="1" applyProtection="1">
      <alignment horizontal="left" vertical="center" wrapText="1"/>
    </xf>
    <xf numFmtId="0" fontId="17" fillId="7" borderId="43" xfId="14" applyFont="1" applyFill="1" applyBorder="1" applyAlignment="1">
      <alignment horizontal="left" vertical="center" wrapText="1"/>
    </xf>
    <xf numFmtId="0" fontId="17" fillId="7" borderId="44" xfId="14" applyFont="1" applyFill="1" applyBorder="1" applyAlignment="1">
      <alignment horizontal="left" vertical="center" wrapText="1"/>
    </xf>
    <xf numFmtId="178" fontId="19" fillId="8" borderId="0" xfId="14" applyNumberFormat="1" applyFont="1" applyFill="1" applyAlignment="1">
      <alignment horizontal="left" vertical="center"/>
    </xf>
    <xf numFmtId="0" fontId="26" fillId="7" borderId="29" xfId="14" applyFont="1" applyFill="1" applyBorder="1" applyAlignment="1" applyProtection="1">
      <alignment horizontal="left" vertical="center" wrapText="1"/>
    </xf>
    <xf numFmtId="0" fontId="17" fillId="6" borderId="29" xfId="14" applyFont="1" applyFill="1" applyBorder="1" applyAlignment="1">
      <alignment horizontal="left" vertical="center" wrapText="1"/>
    </xf>
    <xf numFmtId="0" fontId="17" fillId="6" borderId="31" xfId="14" applyFont="1" applyFill="1" applyBorder="1" applyAlignment="1">
      <alignment horizontal="left" vertical="center" wrapText="1"/>
    </xf>
    <xf numFmtId="0" fontId="26" fillId="3" borderId="22" xfId="14" applyFont="1" applyFill="1" applyBorder="1" applyAlignment="1" applyProtection="1">
      <alignment horizontal="left" vertical="center" wrapText="1"/>
    </xf>
    <xf numFmtId="0" fontId="17" fillId="6" borderId="45" xfId="14" applyFont="1" applyFill="1" applyBorder="1" applyAlignment="1">
      <alignment horizontal="left" vertical="center" wrapText="1"/>
    </xf>
    <xf numFmtId="0" fontId="17" fillId="6" borderId="46" xfId="14" applyFont="1" applyFill="1" applyBorder="1" applyAlignment="1">
      <alignment horizontal="left" vertical="center" wrapText="1"/>
    </xf>
    <xf numFmtId="0" fontId="17" fillId="6" borderId="47" xfId="14" applyFont="1" applyFill="1" applyBorder="1" applyAlignment="1">
      <alignment horizontal="left" vertical="center" wrapText="1"/>
    </xf>
    <xf numFmtId="0" fontId="14" fillId="0" borderId="0" xfId="14" applyFont="1" applyAlignment="1">
      <alignment horizontal="left" vertical="center"/>
    </xf>
    <xf numFmtId="0" fontId="20" fillId="0" borderId="19" xfId="14" applyFont="1" applyBorder="1" applyAlignment="1">
      <alignment horizontal="left" vertical="center"/>
    </xf>
    <xf numFmtId="0" fontId="26" fillId="6" borderId="48" xfId="14" applyFont="1" applyFill="1" applyBorder="1" applyAlignment="1" applyProtection="1">
      <alignment horizontal="left" vertical="center" wrapText="1"/>
    </xf>
    <xf numFmtId="10" fontId="19" fillId="8" borderId="19" xfId="14" applyNumberFormat="1" applyFont="1" applyFill="1" applyBorder="1" applyAlignment="1">
      <alignment horizontal="left" vertical="center"/>
    </xf>
    <xf numFmtId="10" fontId="19" fillId="8" borderId="0" xfId="14" applyNumberFormat="1" applyFont="1" applyFill="1" applyAlignment="1">
      <alignment horizontal="left" vertical="center"/>
    </xf>
    <xf numFmtId="10" fontId="19" fillId="8" borderId="34" xfId="14" applyNumberFormat="1" applyFont="1" applyFill="1" applyBorder="1" applyAlignment="1">
      <alignment horizontal="left" vertical="center"/>
    </xf>
    <xf numFmtId="10" fontId="19" fillId="8" borderId="39" xfId="14" applyNumberFormat="1" applyFont="1" applyFill="1" applyBorder="1" applyAlignment="1">
      <alignment horizontal="left" vertical="center"/>
    </xf>
    <xf numFmtId="10" fontId="19" fillId="8" borderId="41" xfId="14" applyNumberFormat="1" applyFont="1" applyFill="1" applyBorder="1" applyAlignment="1">
      <alignment horizontal="left" vertical="center"/>
    </xf>
    <xf numFmtId="10" fontId="19" fillId="8" borderId="18" xfId="14" applyNumberFormat="1" applyFont="1" applyFill="1" applyBorder="1" applyAlignment="1">
      <alignment horizontal="left" vertical="center"/>
    </xf>
    <xf numFmtId="182" fontId="19" fillId="0" borderId="0" xfId="14" applyNumberFormat="1" applyFont="1" applyAlignment="1">
      <alignment horizontal="left" vertical="center"/>
    </xf>
    <xf numFmtId="182" fontId="19" fillId="0" borderId="19" xfId="14" applyNumberFormat="1" applyFont="1" applyBorder="1" applyAlignment="1">
      <alignment horizontal="left" vertical="center"/>
    </xf>
    <xf numFmtId="182" fontId="19" fillId="3" borderId="0" xfId="14" applyNumberFormat="1" applyFont="1" applyFill="1" applyAlignment="1">
      <alignment horizontal="left" vertical="center"/>
    </xf>
    <xf numFmtId="0" fontId="19" fillId="3" borderId="19" xfId="14" applyFont="1" applyFill="1" applyBorder="1" applyAlignment="1">
      <alignment horizontal="left" vertical="center"/>
    </xf>
    <xf numFmtId="182" fontId="20" fillId="0" borderId="0" xfId="14" applyNumberFormat="1" applyFont="1" applyAlignment="1">
      <alignment horizontal="left" vertical="center"/>
    </xf>
    <xf numFmtId="182" fontId="20" fillId="0" borderId="19" xfId="14" applyNumberFormat="1" applyFont="1" applyBorder="1" applyAlignment="1">
      <alignment horizontal="left" vertical="center"/>
    </xf>
    <xf numFmtId="183" fontId="19" fillId="0" borderId="0" xfId="14" applyNumberFormat="1" applyFont="1" applyAlignment="1">
      <alignment horizontal="left" vertical="center"/>
    </xf>
    <xf numFmtId="183" fontId="19" fillId="0" borderId="18" xfId="14" applyNumberFormat="1" applyFont="1" applyBorder="1" applyAlignment="1">
      <alignment horizontal="left" vertical="center"/>
    </xf>
    <xf numFmtId="183" fontId="19" fillId="3" borderId="0" xfId="14" applyNumberFormat="1" applyFont="1" applyFill="1" applyAlignment="1">
      <alignment horizontal="left" vertical="center"/>
    </xf>
    <xf numFmtId="0" fontId="26" fillId="7" borderId="49" xfId="14" applyFont="1" applyFill="1" applyBorder="1" applyAlignment="1">
      <alignment horizontal="left" vertical="center" wrapText="1"/>
    </xf>
    <xf numFmtId="0" fontId="26" fillId="7" borderId="23" xfId="14" applyFont="1" applyFill="1" applyBorder="1" applyAlignment="1">
      <alignment horizontal="left" vertical="center" wrapText="1"/>
    </xf>
    <xf numFmtId="0" fontId="26" fillId="6" borderId="50" xfId="14" applyFont="1" applyFill="1" applyBorder="1" applyAlignment="1">
      <alignment horizontal="left" vertical="center" wrapText="1"/>
    </xf>
    <xf numFmtId="0" fontId="26" fillId="6" borderId="22" xfId="14" applyFont="1" applyFill="1" applyBorder="1" applyAlignment="1">
      <alignment horizontal="left" vertical="center" wrapText="1"/>
    </xf>
    <xf numFmtId="0" fontId="26" fillId="7" borderId="50" xfId="14" applyFont="1" applyFill="1" applyBorder="1" applyAlignment="1">
      <alignment horizontal="left" vertical="center" wrapText="1"/>
    </xf>
    <xf numFmtId="0" fontId="26" fillId="7" borderId="22" xfId="14" applyFont="1" applyFill="1" applyBorder="1" applyAlignment="1">
      <alignment horizontal="left" vertical="center" wrapText="1"/>
    </xf>
    <xf numFmtId="0" fontId="26" fillId="6" borderId="51" xfId="14" applyFont="1" applyFill="1" applyBorder="1" applyAlignment="1">
      <alignment horizontal="left" vertical="center" wrapText="1"/>
    </xf>
    <xf numFmtId="0" fontId="26" fillId="6" borderId="29" xfId="14" applyFont="1" applyFill="1" applyBorder="1" applyAlignment="1">
      <alignment horizontal="left" vertical="center" wrapText="1"/>
    </xf>
    <xf numFmtId="0" fontId="17" fillId="0" borderId="17" xfId="14" applyNumberFormat="1" applyFont="1" applyBorder="1" applyAlignment="1" applyProtection="1">
      <alignment horizontal="left" vertical="center"/>
    </xf>
    <xf numFmtId="0" fontId="27" fillId="4" borderId="0" xfId="14" applyNumberFormat="1" applyFont="1" applyFill="1" applyAlignment="1" applyProtection="1">
      <alignment horizontal="left" vertical="center"/>
    </xf>
    <xf numFmtId="0" fontId="17" fillId="0" borderId="0" xfId="14" applyNumberFormat="1" applyFont="1" applyFill="1" applyAlignment="1" applyProtection="1">
      <alignment horizontal="left" vertical="center"/>
    </xf>
    <xf numFmtId="0" fontId="18" fillId="5" borderId="0" xfId="14" applyNumberFormat="1" applyFont="1" applyFill="1" applyAlignment="1" applyProtection="1">
      <alignment horizontal="left" vertical="center"/>
    </xf>
    <xf numFmtId="0" fontId="18" fillId="9" borderId="0" xfId="14" applyNumberFormat="1" applyFont="1" applyFill="1" applyAlignment="1" applyProtection="1">
      <alignment horizontal="left" vertical="center"/>
    </xf>
    <xf numFmtId="0" fontId="18" fillId="10" borderId="52" xfId="14" applyNumberFormat="1" applyFont="1" applyFill="1" applyBorder="1" applyAlignment="1" applyProtection="1">
      <alignment horizontal="left" vertical="center"/>
    </xf>
    <xf numFmtId="0" fontId="0" fillId="0" borderId="0" xfId="0" applyNumberFormat="1">
      <alignment vertical="center"/>
    </xf>
    <xf numFmtId="0" fontId="17" fillId="0" borderId="0" xfId="1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4" applyNumberFormat="1" applyFont="1" applyAlignment="1" applyProtection="1">
      <alignment vertical="center"/>
    </xf>
    <xf numFmtId="0" fontId="17" fillId="0" borderId="0" xfId="14" applyNumberFormat="1" applyFont="1" applyAlignment="1" applyProtection="1">
      <alignment vertical="center"/>
    </xf>
    <xf numFmtId="0" fontId="17" fillId="2" borderId="20" xfId="14" applyNumberFormat="1" applyFont="1" applyFill="1" applyBorder="1" applyAlignment="1" applyProtection="1">
      <alignment horizontal="left" vertical="center"/>
    </xf>
    <xf numFmtId="0" fontId="17" fillId="2" borderId="17" xfId="14" applyNumberFormat="1" applyFont="1" applyFill="1" applyBorder="1" applyAlignment="1" applyProtection="1">
      <alignment horizontal="left" vertical="center"/>
    </xf>
    <xf numFmtId="0" fontId="22" fillId="2" borderId="17" xfId="5" applyNumberFormat="1" applyFont="1" applyFill="1" applyBorder="1" applyAlignment="1" applyProtection="1">
      <alignment horizontal="left" vertical="center"/>
    </xf>
    <xf numFmtId="0" fontId="23" fillId="2" borderId="17" xfId="5" applyNumberFormat="1" applyFont="1" applyFill="1" applyBorder="1" applyAlignment="1" applyProtection="1">
      <alignment horizontal="left" vertical="center"/>
    </xf>
    <xf numFmtId="0" fontId="28" fillId="4" borderId="0" xfId="14" applyNumberFormat="1" applyFont="1" applyFill="1" applyAlignment="1" applyProtection="1">
      <alignment horizontal="left" vertical="center"/>
    </xf>
    <xf numFmtId="0" fontId="27" fillId="4" borderId="19" xfId="14" applyNumberFormat="1" applyFont="1" applyFill="1" applyBorder="1" applyAlignment="1" applyProtection="1">
      <alignment horizontal="left" vertical="center"/>
    </xf>
    <xf numFmtId="0" fontId="27" fillId="4" borderId="0" xfId="14" applyNumberFormat="1" applyFont="1" applyFill="1" applyBorder="1" applyAlignment="1" applyProtection="1">
      <alignment horizontal="left" vertical="center"/>
    </xf>
    <xf numFmtId="0" fontId="17" fillId="0" borderId="19" xfId="14" applyNumberFormat="1" applyFont="1" applyFill="1" applyBorder="1" applyAlignment="1" applyProtection="1">
      <alignment horizontal="left" vertical="center"/>
    </xf>
    <xf numFmtId="0" fontId="17" fillId="0" borderId="0" xfId="14" applyNumberFormat="1" applyFont="1" applyFill="1" applyBorder="1" applyAlignment="1" applyProtection="1">
      <alignment horizontal="left" vertical="center"/>
    </xf>
    <xf numFmtId="0" fontId="26" fillId="6" borderId="21" xfId="14"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22" xfId="15" applyNumberFormat="1" applyFont="1" applyFill="1" applyBorder="1" applyAlignment="1" applyProtection="1">
      <alignment horizontal="left" vertical="center" wrapText="1"/>
    </xf>
    <xf numFmtId="0" fontId="26" fillId="7" borderId="30" xfId="15" applyNumberFormat="1" applyFont="1" applyFill="1" applyBorder="1" applyAlignment="1" applyProtection="1">
      <alignment horizontal="left" vertical="center" wrapText="1"/>
    </xf>
    <xf numFmtId="0" fontId="29" fillId="9" borderId="7" xfId="14" applyNumberFormat="1" applyFont="1" applyFill="1" applyBorder="1" applyAlignment="1" applyProtection="1">
      <alignment horizontal="left" vertical="center" wrapText="1"/>
    </xf>
    <xf numFmtId="0" fontId="30" fillId="9" borderId="21" xfId="14"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22" xfId="15" applyNumberFormat="1" applyFont="1" applyFill="1" applyBorder="1" applyAlignment="1" applyProtection="1">
      <alignment horizontal="left" vertical="center" wrapText="1"/>
    </xf>
    <xf numFmtId="0" fontId="30" fillId="9" borderId="30" xfId="15" applyNumberFormat="1" applyFont="1" applyFill="1" applyBorder="1" applyAlignment="1" applyProtection="1">
      <alignment horizontal="left" vertical="center" wrapText="1"/>
    </xf>
    <xf numFmtId="0" fontId="25" fillId="2" borderId="7" xfId="14" applyNumberFormat="1" applyFont="1" applyFill="1" applyBorder="1" applyAlignment="1" applyProtection="1">
      <alignment horizontal="left" vertical="center" wrapText="1"/>
    </xf>
    <xf numFmtId="0" fontId="25" fillId="10" borderId="53" xfId="14" applyNumberFormat="1" applyFont="1" applyFill="1" applyBorder="1" applyAlignment="1" applyProtection="1">
      <alignment horizontal="left" vertical="center" wrapText="1"/>
    </xf>
    <xf numFmtId="0" fontId="26" fillId="10" borderId="54" xfId="14"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5" xfId="15" applyNumberFormat="1" applyFont="1" applyFill="1" applyBorder="1" applyAlignment="1" applyProtection="1">
      <alignment horizontal="left" vertical="center" wrapText="1"/>
    </xf>
    <xf numFmtId="0" fontId="26" fillId="10" borderId="56" xfId="15" applyNumberFormat="1" applyFont="1" applyFill="1" applyBorder="1" applyAlignment="1" applyProtection="1">
      <alignment horizontal="left" vertical="center" wrapText="1"/>
    </xf>
    <xf numFmtId="0" fontId="31" fillId="0" borderId="0" xfId="14" applyNumberFormat="1" applyFont="1" applyAlignment="1" applyProtection="1">
      <alignment vertical="center"/>
    </xf>
    <xf numFmtId="0" fontId="17" fillId="11" borderId="0" xfId="14" applyNumberFormat="1" applyFont="1" applyFill="1" applyAlignment="1" applyProtection="1">
      <alignment horizontal="left" vertical="center"/>
    </xf>
    <xf numFmtId="0" fontId="17" fillId="11" borderId="17" xfId="14" applyNumberFormat="1" applyFont="1" applyFill="1" applyBorder="1" applyAlignment="1" applyProtection="1">
      <alignment horizontal="left" vertical="center"/>
    </xf>
    <xf numFmtId="0" fontId="27" fillId="11" borderId="0" xfId="14" applyNumberFormat="1" applyFont="1" applyFill="1" applyAlignment="1" applyProtection="1">
      <alignment horizontal="left" vertical="center"/>
    </xf>
    <xf numFmtId="10" fontId="27" fillId="4" borderId="19" xfId="14" applyNumberFormat="1" applyFont="1" applyFill="1" applyBorder="1" applyAlignment="1" applyProtection="1">
      <alignment horizontal="left" vertical="center"/>
    </xf>
    <xf numFmtId="10" fontId="27" fillId="4" borderId="0" xfId="14" applyNumberFormat="1" applyFont="1" applyFill="1" applyAlignment="1" applyProtection="1">
      <alignment horizontal="left" vertical="center"/>
    </xf>
    <xf numFmtId="10" fontId="17" fillId="0" borderId="19" xfId="14" applyNumberFormat="1" applyFont="1" applyFill="1" applyBorder="1" applyAlignment="1" applyProtection="1">
      <alignment horizontal="left" vertical="center"/>
    </xf>
    <xf numFmtId="10" fontId="17" fillId="0" borderId="0" xfId="14" applyNumberFormat="1" applyFont="1" applyFill="1" applyAlignment="1" applyProtection="1">
      <alignment horizontal="left" vertical="center"/>
    </xf>
    <xf numFmtId="0" fontId="26" fillId="7" borderId="33" xfId="15" applyNumberFormat="1" applyFont="1" applyFill="1" applyBorder="1" applyAlignment="1" applyProtection="1">
      <alignment horizontal="left" vertical="center" wrapText="1"/>
    </xf>
    <xf numFmtId="0" fontId="19" fillId="11" borderId="0" xfId="14" applyNumberFormat="1" applyFont="1" applyFill="1" applyAlignment="1" applyProtection="1">
      <alignment horizontal="left" vertical="center"/>
    </xf>
    <xf numFmtId="10" fontId="19" fillId="0" borderId="19" xfId="14" applyNumberFormat="1" applyFont="1" applyBorder="1" applyAlignment="1" applyProtection="1">
      <alignment horizontal="left" vertical="center"/>
    </xf>
    <xf numFmtId="10" fontId="19" fillId="0" borderId="0" xfId="14" applyNumberFormat="1" applyFont="1" applyAlignment="1" applyProtection="1">
      <alignment horizontal="left" vertical="center"/>
    </xf>
    <xf numFmtId="0" fontId="30" fillId="9" borderId="33" xfId="15" applyNumberFormat="1" applyFont="1" applyFill="1" applyBorder="1" applyAlignment="1" applyProtection="1">
      <alignment horizontal="left" vertical="center" wrapText="1"/>
    </xf>
    <xf numFmtId="0" fontId="17" fillId="9" borderId="0" xfId="14" applyNumberFormat="1" applyFont="1" applyFill="1" applyAlignment="1" applyProtection="1">
      <alignment horizontal="left" vertical="center"/>
    </xf>
    <xf numFmtId="10" fontId="17" fillId="9" borderId="19" xfId="14" applyNumberFormat="1" applyFont="1" applyFill="1" applyBorder="1" applyAlignment="1" applyProtection="1">
      <alignment horizontal="left" vertical="center"/>
    </xf>
    <xf numFmtId="10" fontId="17" fillId="9" borderId="0" xfId="14" applyNumberFormat="1" applyFont="1" applyFill="1" applyAlignment="1" applyProtection="1">
      <alignment horizontal="left" vertical="center"/>
    </xf>
    <xf numFmtId="0" fontId="26" fillId="10" borderId="57" xfId="15" applyNumberFormat="1" applyFont="1" applyFill="1" applyBorder="1" applyAlignment="1" applyProtection="1">
      <alignment horizontal="left" vertical="center" wrapText="1"/>
    </xf>
    <xf numFmtId="0" fontId="19" fillId="11" borderId="52" xfId="14" applyNumberFormat="1" applyFont="1" applyFill="1" applyBorder="1" applyAlignment="1" applyProtection="1">
      <alignment horizontal="left" vertical="center"/>
    </xf>
    <xf numFmtId="10" fontId="19" fillId="10" borderId="58" xfId="14" applyNumberFormat="1" applyFont="1" applyFill="1" applyBorder="1" applyAlignment="1" applyProtection="1">
      <alignment horizontal="left" vertical="center"/>
    </xf>
    <xf numFmtId="10" fontId="19" fillId="10" borderId="52" xfId="14" applyNumberFormat="1" applyFont="1" applyFill="1" applyBorder="1" applyAlignment="1" applyProtection="1">
      <alignment horizontal="left" vertical="center"/>
    </xf>
    <xf numFmtId="0" fontId="0" fillId="0" borderId="0" xfId="0" applyNumberFormat="1" applyFont="1">
      <alignment vertical="center"/>
    </xf>
    <xf numFmtId="0" fontId="32" fillId="4" borderId="0" xfId="14" applyNumberFormat="1" applyFont="1" applyFill="1" applyAlignment="1" applyProtection="1">
      <alignment horizontal="left" vertical="center"/>
    </xf>
    <xf numFmtId="0" fontId="32" fillId="4" borderId="59" xfId="14" applyNumberFormat="1" applyFont="1" applyFill="1" applyBorder="1" applyAlignment="1" applyProtection="1">
      <alignment horizontal="left" vertical="center"/>
    </xf>
    <xf numFmtId="0" fontId="19" fillId="0" borderId="0" xfId="14" applyNumberFormat="1" applyFont="1" applyAlignment="1" applyProtection="1">
      <alignment horizontal="left" vertical="center"/>
    </xf>
    <xf numFmtId="0" fontId="19" fillId="0" borderId="59" xfId="14" applyNumberFormat="1" applyFont="1" applyBorder="1" applyAlignment="1" applyProtection="1">
      <alignment horizontal="left" vertical="center"/>
    </xf>
    <xf numFmtId="0" fontId="19" fillId="0" borderId="60" xfId="14" applyNumberFormat="1" applyFont="1" applyBorder="1" applyAlignment="1" applyProtection="1">
      <alignment horizontal="left" vertical="center"/>
    </xf>
    <xf numFmtId="0" fontId="19" fillId="0" borderId="61" xfId="14" applyNumberFormat="1" applyFont="1" applyBorder="1" applyAlignment="1" applyProtection="1">
      <alignment horizontal="left" vertical="center"/>
    </xf>
    <xf numFmtId="0" fontId="19" fillId="0" borderId="0" xfId="14" applyNumberFormat="1" applyFont="1" applyFill="1" applyAlignment="1" applyProtection="1">
      <alignment horizontal="left" vertical="center"/>
    </xf>
    <xf numFmtId="0" fontId="19" fillId="10" borderId="52" xfId="14" applyNumberFormat="1" applyFont="1" applyFill="1" applyBorder="1" applyAlignment="1" applyProtection="1">
      <alignment horizontal="left" vertical="center"/>
    </xf>
    <xf numFmtId="10" fontId="32" fillId="4" borderId="0" xfId="14" applyNumberFormat="1" applyFont="1" applyFill="1" applyAlignment="1" applyProtection="1">
      <alignment horizontal="left" vertical="center"/>
    </xf>
    <xf numFmtId="10" fontId="32" fillId="4" borderId="59" xfId="14" applyNumberFormat="1" applyFont="1" applyFill="1" applyBorder="1" applyAlignment="1" applyProtection="1">
      <alignment horizontal="left" vertical="center"/>
    </xf>
    <xf numFmtId="10" fontId="32" fillId="4" borderId="60" xfId="14" applyNumberFormat="1" applyFont="1" applyFill="1" applyBorder="1" applyAlignment="1" applyProtection="1">
      <alignment horizontal="left" vertical="center"/>
    </xf>
    <xf numFmtId="10" fontId="32" fillId="4" borderId="61" xfId="14" applyNumberFormat="1" applyFont="1" applyFill="1" applyBorder="1" applyAlignment="1" applyProtection="1">
      <alignment horizontal="left" vertical="center"/>
    </xf>
    <xf numFmtId="10" fontId="19" fillId="0" borderId="59" xfId="14" applyNumberFormat="1" applyFont="1" applyBorder="1" applyAlignment="1" applyProtection="1">
      <alignment horizontal="left" vertical="center"/>
    </xf>
    <xf numFmtId="10" fontId="19" fillId="0" borderId="60" xfId="14" applyNumberFormat="1" applyFont="1" applyBorder="1" applyAlignment="1" applyProtection="1">
      <alignment horizontal="left" vertical="center"/>
    </xf>
    <xf numFmtId="10" fontId="19" fillId="0" borderId="61" xfId="14" applyNumberFormat="1" applyFont="1" applyBorder="1" applyAlignment="1" applyProtection="1">
      <alignment horizontal="left" vertical="center"/>
    </xf>
    <xf numFmtId="10" fontId="19" fillId="0" borderId="0" xfId="14" applyNumberFormat="1" applyFont="1" applyFill="1" applyAlignment="1" applyProtection="1">
      <alignment horizontal="left" vertical="center"/>
    </xf>
    <xf numFmtId="10" fontId="19" fillId="0" borderId="59" xfId="14" applyNumberFormat="1" applyFont="1" applyFill="1" applyBorder="1" applyAlignment="1" applyProtection="1">
      <alignment horizontal="left" vertical="center"/>
    </xf>
    <xf numFmtId="10" fontId="19" fillId="0" borderId="61" xfId="14" applyNumberFormat="1" applyFont="1" applyFill="1" applyBorder="1" applyAlignment="1" applyProtection="1">
      <alignment horizontal="left" vertical="center"/>
    </xf>
    <xf numFmtId="10" fontId="19" fillId="0" borderId="60" xfId="14" applyNumberFormat="1" applyFont="1" applyFill="1" applyBorder="1" applyAlignment="1" applyProtection="1">
      <alignment horizontal="left" vertical="center"/>
    </xf>
    <xf numFmtId="10" fontId="17" fillId="9" borderId="59" xfId="14" applyNumberFormat="1" applyFont="1" applyFill="1" applyBorder="1" applyAlignment="1" applyProtection="1">
      <alignment horizontal="left" vertical="center"/>
    </xf>
    <xf numFmtId="10" fontId="17" fillId="9" borderId="60" xfId="14" applyNumberFormat="1" applyFont="1" applyFill="1" applyBorder="1" applyAlignment="1" applyProtection="1">
      <alignment horizontal="left" vertical="center"/>
    </xf>
    <xf numFmtId="10" fontId="17" fillId="9" borderId="61" xfId="14" applyNumberFormat="1" applyFont="1" applyFill="1" applyBorder="1" applyAlignment="1" applyProtection="1">
      <alignment horizontal="left" vertical="center"/>
    </xf>
    <xf numFmtId="10" fontId="19" fillId="10" borderId="62" xfId="14" applyNumberFormat="1" applyFont="1" applyFill="1" applyBorder="1" applyAlignment="1" applyProtection="1">
      <alignment horizontal="left" vertical="center"/>
    </xf>
    <xf numFmtId="10" fontId="19" fillId="10" borderId="63" xfId="14" applyNumberFormat="1" applyFont="1" applyFill="1" applyBorder="1" applyAlignment="1" applyProtection="1">
      <alignment horizontal="left" vertical="center"/>
    </xf>
    <xf numFmtId="10" fontId="19" fillId="10" borderId="64" xfId="1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4"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4"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 applyFont="1" applyFill="1" applyBorder="1" applyAlignment="1" applyProtection="1">
      <alignment vertical="center"/>
    </xf>
    <xf numFmtId="0" fontId="48" fillId="2" borderId="83" xfId="6" applyFont="1" applyFill="1" applyBorder="1" applyAlignment="1" applyProtection="1">
      <alignment vertical="center"/>
    </xf>
    <xf numFmtId="0" fontId="48" fillId="2" borderId="73" xfId="6" applyFont="1" applyFill="1" applyBorder="1" applyAlignment="1" applyProtection="1">
      <alignment vertical="center"/>
    </xf>
    <xf numFmtId="0" fontId="48" fillId="2" borderId="0" xfId="6" applyFont="1" applyFill="1" applyBorder="1" applyAlignment="1" applyProtection="1">
      <alignment vertical="center"/>
    </xf>
    <xf numFmtId="0" fontId="48" fillId="2" borderId="7" xfId="6" applyFont="1" applyFill="1" applyBorder="1" applyAlignment="1" applyProtection="1">
      <alignment vertical="center"/>
    </xf>
    <xf numFmtId="178" fontId="48" fillId="2" borderId="7" xfId="6" applyNumberFormat="1" applyFont="1" applyFill="1" applyBorder="1" applyAlignment="1" applyProtection="1">
      <alignment horizontal="right" vertical="center"/>
    </xf>
    <xf numFmtId="0" fontId="50" fillId="2" borderId="0" xfId="6" applyFont="1" applyFill="1" applyBorder="1" applyAlignment="1" applyProtection="1">
      <alignment vertical="center"/>
    </xf>
    <xf numFmtId="0" fontId="48" fillId="2" borderId="12" xfId="6" applyFont="1" applyFill="1" applyBorder="1" applyAlignment="1" applyProtection="1">
      <alignment vertical="center"/>
    </xf>
    <xf numFmtId="0" fontId="48" fillId="2" borderId="12" xfId="6" applyFont="1" applyFill="1" applyBorder="1" applyAlignment="1" applyProtection="1">
      <alignment horizontal="right" vertical="center"/>
    </xf>
    <xf numFmtId="49" fontId="48" fillId="2" borderId="82" xfId="6" applyNumberFormat="1" applyFont="1" applyFill="1" applyBorder="1" applyAlignment="1" applyProtection="1"/>
    <xf numFmtId="49" fontId="48" fillId="2" borderId="83" xfId="6" applyNumberFormat="1" applyFont="1" applyFill="1" applyBorder="1" applyAlignment="1" applyProtection="1"/>
    <xf numFmtId="49" fontId="48" fillId="2" borderId="84" xfId="6" applyNumberFormat="1" applyFont="1" applyFill="1" applyBorder="1" applyAlignment="1" applyProtection="1"/>
    <xf numFmtId="49" fontId="29" fillId="2" borderId="6" xfId="6" applyNumberFormat="1" applyFont="1" applyFill="1" applyBorder="1" applyAlignment="1" applyProtection="1">
      <alignment horizontal="left"/>
    </xf>
    <xf numFmtId="0" fontId="29" fillId="2" borderId="13" xfId="6" applyFont="1" applyFill="1" applyBorder="1" applyAlignment="1" applyProtection="1"/>
    <xf numFmtId="178" fontId="29" fillId="2" borderId="7" xfId="6" applyNumberFormat="1" applyFont="1" applyFill="1" applyBorder="1" applyAlignment="1" applyProtection="1">
      <alignment horizontal="center"/>
    </xf>
    <xf numFmtId="0" fontId="29" fillId="2" borderId="7" xfId="6" applyFont="1" applyFill="1" applyBorder="1" applyAlignment="1" applyProtection="1">
      <alignment horizontal="center"/>
    </xf>
    <xf numFmtId="0" fontId="29" fillId="2" borderId="8" xfId="6" applyFont="1" applyFill="1" applyBorder="1" applyAlignment="1" applyProtection="1">
      <alignment horizontal="left"/>
    </xf>
    <xf numFmtId="49" fontId="25" fillId="2" borderId="6" xfId="6" applyNumberFormat="1" applyFont="1" applyFill="1" applyBorder="1" applyAlignment="1" applyProtection="1">
      <alignment horizontal="center"/>
    </xf>
    <xf numFmtId="0" fontId="25" fillId="2" borderId="13" xfId="6" applyFont="1" applyFill="1" applyBorder="1" applyAlignment="1" applyProtection="1"/>
    <xf numFmtId="178" fontId="25" fillId="0" borderId="7" xfId="6" applyNumberFormat="1" applyFont="1" applyFill="1" applyBorder="1" applyAlignment="1" applyProtection="1">
      <alignment horizontal="center"/>
      <protection locked="0"/>
    </xf>
    <xf numFmtId="179" fontId="25" fillId="2" borderId="7" xfId="6" applyNumberFormat="1" applyFont="1" applyFill="1" applyBorder="1" applyAlignment="1" applyProtection="1">
      <alignment horizontal="center"/>
    </xf>
    <xf numFmtId="0" fontId="25" fillId="2" borderId="7" xfId="6" applyFont="1" applyFill="1" applyBorder="1" applyAlignment="1" applyProtection="1">
      <alignment horizontal="center"/>
    </xf>
    <xf numFmtId="0" fontId="25" fillId="2" borderId="8" xfId="6" applyFont="1" applyFill="1" applyBorder="1" applyAlignment="1" applyProtection="1">
      <alignment horizontal="left"/>
    </xf>
    <xf numFmtId="178" fontId="25" fillId="2" borderId="7" xfId="6" applyNumberFormat="1" applyFont="1" applyFill="1" applyBorder="1" applyAlignment="1" applyProtection="1">
      <alignment horizontal="center"/>
    </xf>
    <xf numFmtId="10" fontId="25" fillId="2" borderId="7" xfId="6" applyNumberFormat="1" applyFont="1" applyFill="1" applyBorder="1" applyAlignment="1" applyProtection="1">
      <alignment horizontal="center"/>
    </xf>
    <xf numFmtId="178" fontId="25" fillId="2" borderId="7" xfId="6" applyNumberFormat="1" applyFont="1" applyFill="1" applyBorder="1" applyAlignment="1" applyProtection="1"/>
    <xf numFmtId="0" fontId="51" fillId="3" borderId="8" xfId="6" applyFont="1" applyFill="1" applyBorder="1" applyAlignment="1" applyProtection="1">
      <alignment horizontal="left" vertical="center"/>
      <protection locked="0"/>
    </xf>
    <xf numFmtId="0" fontId="52" fillId="2" borderId="6" xfId="6" applyFont="1" applyFill="1" applyBorder="1" applyAlignment="1" applyProtection="1">
      <alignment horizontal="right"/>
    </xf>
    <xf numFmtId="0" fontId="52" fillId="2" borderId="13" xfId="6" applyFont="1" applyFill="1" applyBorder="1" applyAlignment="1" applyProtection="1"/>
    <xf numFmtId="178" fontId="52" fillId="2" borderId="7" xfId="6" applyNumberFormat="1" applyFont="1" applyFill="1" applyBorder="1" applyAlignment="1" applyProtection="1">
      <alignment horizontal="center"/>
    </xf>
    <xf numFmtId="0" fontId="52" fillId="2" borderId="7" xfId="6" applyNumberFormat="1" applyFont="1" applyFill="1" applyBorder="1" applyAlignment="1" applyProtection="1"/>
    <xf numFmtId="0" fontId="25" fillId="2" borderId="8" xfId="6" applyFont="1" applyFill="1" applyBorder="1" applyAlignment="1" applyProtection="1">
      <alignment vertical="center" wrapText="1"/>
    </xf>
    <xf numFmtId="0" fontId="25" fillId="2" borderId="6" xfId="6" applyFont="1" applyFill="1" applyBorder="1" applyAlignment="1" applyProtection="1">
      <alignment horizontal="left"/>
    </xf>
    <xf numFmtId="0" fontId="25" fillId="2" borderId="7" xfId="6" applyNumberFormat="1" applyFont="1" applyFill="1" applyBorder="1" applyAlignment="1" applyProtection="1">
      <alignment horizontal="center"/>
    </xf>
    <xf numFmtId="0" fontId="25" fillId="2" borderId="0" xfId="6"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 applyNumberFormat="1" applyFont="1" applyFill="1" applyBorder="1" applyAlignment="1" applyProtection="1">
      <alignment horizontal="left"/>
    </xf>
    <xf numFmtId="0" fontId="29" fillId="2" borderId="7" xfId="6" applyNumberFormat="1" applyFont="1" applyFill="1" applyBorder="1" applyAlignment="1" applyProtection="1">
      <alignment horizontal="center"/>
    </xf>
    <xf numFmtId="9" fontId="29" fillId="2" borderId="13" xfId="6"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6"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6"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 applyFont="1" applyFill="1" applyBorder="1" applyAlignment="1" applyProtection="1">
      <alignment vertical="center"/>
    </xf>
    <xf numFmtId="178" fontId="29" fillId="2" borderId="7" xfId="6" applyNumberFormat="1" applyFont="1" applyFill="1" applyBorder="1" applyAlignment="1" applyProtection="1">
      <alignment horizontal="center" vertical="center"/>
    </xf>
    <xf numFmtId="9" fontId="29" fillId="2" borderId="13" xfId="6"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 applyFont="1" applyFill="1" applyBorder="1" applyAlignment="1" applyProtection="1">
      <alignment horizontal="left"/>
    </xf>
    <xf numFmtId="178" fontId="25" fillId="2" borderId="7" xfId="6" applyNumberFormat="1" applyFont="1" applyFill="1" applyBorder="1" applyAlignment="1" applyProtection="1">
      <alignment horizontal="center" vertical="center"/>
    </xf>
    <xf numFmtId="0" fontId="29" fillId="2" borderId="6" xfId="6" applyFont="1" applyFill="1" applyBorder="1" applyAlignment="1" applyProtection="1">
      <alignment horizontal="left"/>
    </xf>
    <xf numFmtId="179" fontId="29" fillId="2" borderId="7" xfId="6" applyNumberFormat="1" applyFont="1" applyFill="1" applyBorder="1" applyAlignment="1" applyProtection="1">
      <alignment horizontal="center"/>
    </xf>
    <xf numFmtId="9" fontId="29" fillId="2" borderId="7" xfId="6" applyNumberFormat="1" applyFont="1" applyFill="1" applyBorder="1" applyAlignment="1" applyProtection="1">
      <alignment horizontal="center"/>
    </xf>
    <xf numFmtId="49" fontId="48" fillId="2" borderId="86" xfId="6" applyNumberFormat="1" applyFont="1" applyFill="1" applyBorder="1" applyAlignment="1" applyProtection="1"/>
    <xf numFmtId="49" fontId="48" fillId="2" borderId="15" xfId="6" applyNumberFormat="1" applyFont="1" applyFill="1" applyBorder="1" applyAlignment="1" applyProtection="1"/>
    <xf numFmtId="49" fontId="48" fillId="2" borderId="87" xfId="6"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6" applyNumberFormat="1" applyFont="1" applyFill="1" applyBorder="1" applyAlignment="1" applyProtection="1">
      <alignment horizontal="center"/>
    </xf>
    <xf numFmtId="10" fontId="25" fillId="2" borderId="13" xfId="6"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6" applyNumberFormat="1" applyFont="1" applyFill="1" applyBorder="1" applyAlignment="1" applyProtection="1">
      <alignment horizontal="center" vertical="center"/>
    </xf>
    <xf numFmtId="49" fontId="48" fillId="2" borderId="89" xfId="6" applyNumberFormat="1" applyFont="1" applyFill="1" applyBorder="1" applyAlignment="1" applyProtection="1"/>
    <xf numFmtId="49" fontId="48" fillId="2" borderId="90" xfId="6"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6"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10" applyNumberFormat="1" applyFont="1" applyBorder="1" applyAlignment="1" applyProtection="1">
      <alignment horizontal="left" vertical="center"/>
    </xf>
    <xf numFmtId="185" fontId="56" fillId="2" borderId="3" xfId="10" applyNumberFormat="1" applyFont="1" applyFill="1" applyBorder="1" applyAlignment="1" applyProtection="1">
      <alignment horizontal="left" vertical="center"/>
    </xf>
    <xf numFmtId="185" fontId="56" fillId="2" borderId="4" xfId="10" applyNumberFormat="1" applyFont="1" applyFill="1" applyBorder="1" applyAlignment="1" applyProtection="1">
      <alignment horizontal="left" vertical="center"/>
    </xf>
    <xf numFmtId="185" fontId="56" fillId="2" borderId="4" xfId="10" applyNumberFormat="1" applyFont="1" applyFill="1" applyBorder="1" applyAlignment="1" applyProtection="1">
      <alignment horizontal="left" vertical="center" wrapText="1"/>
    </xf>
    <xf numFmtId="185" fontId="56" fillId="2" borderId="6" xfId="10" applyNumberFormat="1" applyFont="1" applyFill="1" applyBorder="1" applyAlignment="1" applyProtection="1">
      <alignment horizontal="left" vertical="center"/>
    </xf>
    <xf numFmtId="185" fontId="57" fillId="2" borderId="7" xfId="10" applyNumberFormat="1" applyFont="1" applyFill="1" applyBorder="1" applyAlignment="1" applyProtection="1">
      <alignment horizontal="left" vertical="center"/>
    </xf>
    <xf numFmtId="185"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85" fontId="56" fillId="2" borderId="80" xfId="10" applyNumberFormat="1" applyFont="1" applyFill="1" applyBorder="1" applyAlignment="1" applyProtection="1">
      <alignment horizontal="left" vertical="center"/>
    </xf>
    <xf numFmtId="185" fontId="56" fillId="2" borderId="81" xfId="10" applyNumberFormat="1" applyFont="1" applyFill="1" applyBorder="1" applyAlignment="1" applyProtection="1">
      <alignment horizontal="left" vertical="center"/>
    </xf>
    <xf numFmtId="185"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10" applyNumberFormat="1" applyFont="1" applyFill="1" applyBorder="1" applyAlignment="1" applyProtection="1">
      <alignment horizontal="left" vertical="center" wrapText="1"/>
    </xf>
    <xf numFmtId="185" fontId="57" fillId="2" borderId="10" xfId="10" applyNumberFormat="1" applyFont="1" applyFill="1" applyBorder="1" applyAlignment="1" applyProtection="1">
      <alignment horizontal="left" vertical="center"/>
    </xf>
    <xf numFmtId="185" fontId="57" fillId="2" borderId="11" xfId="10"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5"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4"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4"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4"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4"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5" fillId="2" borderId="7" xfId="0" applyFont="1" applyFill="1" applyBorder="1" applyProtection="1">
      <alignment vertical="center"/>
    </xf>
    <xf numFmtId="0" fontId="65" fillId="2" borderId="7" xfId="0" applyFont="1" applyFill="1" applyBorder="1" applyAlignment="1" applyProtection="1">
      <alignment horizontal="center" vertical="center"/>
    </xf>
    <xf numFmtId="0" fontId="29" fillId="3" borderId="89" xfId="6"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 applyFont="1" applyFill="1" applyBorder="1" applyAlignment="1" applyProtection="1">
      <alignment vertical="center"/>
      <protection locked="0"/>
    </xf>
    <xf numFmtId="0" fontId="6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3" fillId="2" borderId="122" xfId="0" applyNumberFormat="1" applyFont="1" applyFill="1" applyBorder="1" applyAlignment="1" applyProtection="1">
      <alignment horizontal="center" vertical="center" wrapText="1"/>
    </xf>
    <xf numFmtId="0" fontId="63"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6"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67" fillId="2" borderId="39" xfId="0" applyNumberFormat="1" applyFont="1" applyFill="1" applyBorder="1" applyAlignment="1" applyProtection="1"/>
    <xf numFmtId="0" fontId="66" fillId="2" borderId="0" xfId="0" applyFont="1" applyFill="1" applyAlignment="1" applyProtection="1">
      <alignment horizontal="center" vertical="center"/>
    </xf>
    <xf numFmtId="49" fontId="48" fillId="15" borderId="127"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6" fillId="2" borderId="0" xfId="0" applyFont="1" applyFill="1" applyAlignment="1" applyProtection="1">
      <alignment vertical="center"/>
      <protection locked="0"/>
    </xf>
    <xf numFmtId="0" fontId="29" fillId="2" borderId="7" xfId="6" applyFont="1" applyFill="1" applyBorder="1" applyAlignment="1" applyProtection="1">
      <alignment vertical="center"/>
    </xf>
    <xf numFmtId="186" fontId="6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 applyFont="1" applyFill="1" applyBorder="1" applyAlignment="1" applyProtection="1">
      <alignment vertical="center"/>
    </xf>
    <xf numFmtId="0" fontId="6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4" fillId="2" borderId="68" xfId="0" applyNumberFormat="1" applyFont="1" applyFill="1" applyBorder="1" applyAlignment="1" applyProtection="1">
      <alignment vertical="center"/>
    </xf>
    <xf numFmtId="0" fontId="6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8"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6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6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4" fillId="2" borderId="76" xfId="0" applyNumberFormat="1" applyFont="1" applyFill="1" applyBorder="1" applyAlignment="1" applyProtection="1">
      <alignment vertical="center"/>
    </xf>
    <xf numFmtId="0" fontId="64" fillId="2" borderId="78" xfId="0" applyFont="1" applyFill="1" applyBorder="1" applyAlignment="1" applyProtection="1">
      <alignment horizontal="center" vertical="center"/>
    </xf>
    <xf numFmtId="181" fontId="6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4" fillId="3" borderId="69" xfId="0" applyNumberFormat="1" applyFont="1" applyFill="1" applyBorder="1" applyAlignment="1" applyProtection="1">
      <alignment horizontal="center" vertical="center"/>
      <protection locked="0"/>
    </xf>
    <xf numFmtId="49" fontId="64" fillId="2" borderId="112" xfId="0" applyNumberFormat="1" applyFont="1" applyFill="1" applyBorder="1" applyAlignment="1" applyProtection="1">
      <alignment vertical="center"/>
    </xf>
    <xf numFmtId="0" fontId="68" fillId="2" borderId="7" xfId="0" applyFont="1" applyFill="1" applyBorder="1" applyAlignment="1" applyProtection="1">
      <alignment horizontal="right" vertical="center" wrapText="1"/>
    </xf>
    <xf numFmtId="0" fontId="64" fillId="2" borderId="7" xfId="0" applyFont="1" applyFill="1" applyBorder="1" applyAlignment="1" applyProtection="1">
      <alignment horizontal="center" vertical="center"/>
      <protection locked="0"/>
    </xf>
    <xf numFmtId="181" fontId="64" fillId="2" borderId="69" xfId="0" applyNumberFormat="1" applyFont="1" applyFill="1" applyBorder="1" applyAlignment="1" applyProtection="1">
      <alignment horizontal="center" vertical="center"/>
    </xf>
    <xf numFmtId="49" fontId="64" fillId="2" borderId="129" xfId="0" applyNumberFormat="1" applyFont="1" applyFill="1" applyBorder="1" applyAlignment="1" applyProtection="1">
      <alignment vertical="center"/>
    </xf>
    <xf numFmtId="49" fontId="54" fillId="2" borderId="130" xfId="0" applyNumberFormat="1" applyFont="1" applyFill="1" applyBorder="1" applyAlignment="1" applyProtection="1">
      <alignment vertical="center"/>
    </xf>
    <xf numFmtId="0" fontId="54" fillId="2" borderId="131" xfId="0" applyFont="1" applyFill="1" applyBorder="1" applyAlignment="1" applyProtection="1">
      <alignment vertical="center" wrapText="1"/>
    </xf>
    <xf numFmtId="0" fontId="6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4" fillId="2" borderId="132" xfId="0" applyNumberFormat="1" applyFont="1" applyFill="1" applyBorder="1" applyAlignment="1" applyProtection="1">
      <alignment horizontal="center" vertical="center"/>
    </xf>
    <xf numFmtId="49" fontId="64" fillId="2" borderId="112" xfId="0" applyNumberFormat="1" applyFont="1" applyFill="1" applyBorder="1" applyAlignment="1" applyProtection="1">
      <alignment horizontal="left" vertical="center"/>
    </xf>
    <xf numFmtId="0" fontId="64" fillId="2" borderId="16" xfId="0" applyFont="1" applyFill="1" applyBorder="1" applyAlignment="1" applyProtection="1">
      <alignment horizontal="left" vertical="center"/>
    </xf>
    <xf numFmtId="0" fontId="6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3" fillId="13" borderId="0" xfId="0" applyFont="1" applyFill="1" applyAlignment="1" applyProtection="1">
      <alignment vertical="center"/>
      <protection locked="0"/>
    </xf>
    <xf numFmtId="49" fontId="54" fillId="2" borderId="130"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2" xfId="0" applyNumberFormat="1" applyFont="1" applyFill="1" applyBorder="1" applyAlignment="1" applyProtection="1">
      <alignment horizontal="center" vertical="center"/>
    </xf>
    <xf numFmtId="49" fontId="6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4" fillId="2" borderId="8" xfId="0" applyNumberFormat="1" applyFont="1" applyFill="1" applyBorder="1" applyAlignment="1" applyProtection="1">
      <alignment horizontal="center" vertical="center"/>
    </xf>
    <xf numFmtId="187" fontId="64" fillId="2" borderId="8" xfId="0" applyNumberFormat="1" applyFont="1" applyFill="1" applyBorder="1" applyAlignment="1" applyProtection="1">
      <alignment horizontal="center" vertical="center"/>
    </xf>
    <xf numFmtId="0" fontId="6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8" xfId="0" applyFont="1" applyFill="1" applyBorder="1" applyAlignment="1" applyProtection="1">
      <alignment horizontal="center" vertical="center" wrapText="1"/>
    </xf>
    <xf numFmtId="0" fontId="6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4" fillId="2" borderId="16" xfId="0" applyFont="1" applyFill="1" applyBorder="1" applyAlignment="1" applyProtection="1">
      <alignment vertical="center" wrapText="1"/>
    </xf>
    <xf numFmtId="0" fontId="64" fillId="2" borderId="10" xfId="0" applyFont="1" applyFill="1" applyBorder="1" applyAlignment="1" applyProtection="1">
      <alignment horizontal="left" vertical="center"/>
    </xf>
    <xf numFmtId="0" fontId="6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70" fillId="2" borderId="0" xfId="0" applyFont="1" applyFill="1" applyAlignment="1" applyProtection="1">
      <protection locked="0"/>
    </xf>
    <xf numFmtId="0" fontId="69"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4" fillId="2" borderId="133" xfId="0" applyNumberFormat="1" applyFont="1" applyFill="1" applyBorder="1" applyAlignment="1" applyProtection="1">
      <alignment horizontal="left" vertical="center"/>
      <protection locked="0"/>
    </xf>
    <xf numFmtId="0" fontId="64" fillId="2" borderId="93" xfId="0" applyFont="1" applyFill="1" applyBorder="1" applyAlignment="1" applyProtection="1">
      <alignment vertical="center" wrapText="1"/>
      <protection locked="0"/>
    </xf>
    <xf numFmtId="0" fontId="6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4" fillId="2" borderId="70" xfId="0" applyNumberFormat="1" applyFont="1" applyFill="1" applyBorder="1" applyAlignment="1" applyProtection="1">
      <alignment horizontal="center" vertical="center"/>
      <protection locked="0"/>
    </xf>
    <xf numFmtId="0" fontId="64" fillId="2" borderId="92" xfId="0" applyFont="1" applyFill="1" applyBorder="1" applyAlignment="1" applyProtection="1">
      <alignment vertical="center" wrapText="1"/>
      <protection locked="0"/>
    </xf>
    <xf numFmtId="0" fontId="6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4" fillId="2" borderId="85" xfId="0" applyFont="1" applyFill="1" applyBorder="1" applyAlignment="1" applyProtection="1">
      <alignment horizontal="center" vertical="center"/>
    </xf>
    <xf numFmtId="49" fontId="6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64" fillId="0" borderId="8" xfId="0" applyNumberFormat="1" applyFont="1" applyFill="1" applyBorder="1" applyAlignment="1" applyProtection="1">
      <alignment horizontal="center" vertical="center"/>
      <protection locked="0"/>
    </xf>
    <xf numFmtId="49" fontId="64" fillId="2" borderId="86" xfId="0" applyNumberFormat="1" applyFont="1" applyFill="1" applyBorder="1" applyAlignment="1" applyProtection="1">
      <alignment horizontal="left" vertical="center"/>
      <protection locked="0"/>
    </xf>
    <xf numFmtId="0" fontId="6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4" fillId="2" borderId="6" xfId="0" applyNumberFormat="1" applyFont="1" applyFill="1" applyBorder="1" applyAlignment="1" applyProtection="1">
      <alignment horizontal="left" vertical="center"/>
      <protection locked="0"/>
    </xf>
    <xf numFmtId="0" fontId="6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8" xfId="0" applyFont="1" applyFill="1" applyBorder="1" applyAlignment="1" applyProtection="1">
      <alignment vertical="center"/>
      <protection locked="0"/>
    </xf>
    <xf numFmtId="49" fontId="6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1" fillId="2" borderId="0" xfId="0" applyNumberFormat="1" applyFont="1" applyFill="1" applyBorder="1" applyAlignment="1" applyProtection="1">
      <alignment horizontal="center"/>
      <protection locked="0"/>
    </xf>
    <xf numFmtId="49" fontId="71" fillId="2" borderId="0" xfId="0" applyNumberFormat="1" applyFont="1" applyFill="1" applyBorder="1" applyAlignment="1" applyProtection="1">
      <alignment horizontal="left"/>
      <protection locked="0"/>
    </xf>
    <xf numFmtId="0" fontId="6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70" fillId="2" borderId="12" xfId="0" applyFont="1" applyFill="1" applyBorder="1" applyAlignment="1" applyProtection="1">
      <alignment vertical="center"/>
    </xf>
    <xf numFmtId="0" fontId="70"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64" fillId="2" borderId="122" xfId="0" applyNumberFormat="1" applyFont="1" applyFill="1" applyBorder="1" applyAlignment="1" applyProtection="1">
      <alignment horizontal="center" vertical="center"/>
    </xf>
    <xf numFmtId="0" fontId="54" fillId="2" borderId="134" xfId="0" applyFont="1" applyFill="1" applyBorder="1" applyAlignment="1" applyProtection="1">
      <alignment vertical="center"/>
    </xf>
    <xf numFmtId="181" fontId="64" fillId="2" borderId="2" xfId="0" applyNumberFormat="1"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8"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4" xfId="0" applyFont="1" applyFill="1" applyBorder="1" applyAlignment="1" applyProtection="1">
      <alignment horizontal="left" vertical="center"/>
    </xf>
    <xf numFmtId="0" fontId="54" fillId="2" borderId="135" xfId="0" applyFont="1" applyFill="1" applyBorder="1" applyAlignment="1" applyProtection="1">
      <alignment vertical="center"/>
    </xf>
    <xf numFmtId="0" fontId="54" fillId="2" borderId="13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7" xfId="0" applyFont="1" applyFill="1" applyBorder="1" applyAlignment="1" applyProtection="1">
      <alignment vertical="center"/>
      <protection locked="0"/>
    </xf>
    <xf numFmtId="0" fontId="25" fillId="13" borderId="138" xfId="0" applyFont="1" applyFill="1" applyBorder="1" applyAlignment="1" applyProtection="1">
      <alignment vertical="center"/>
      <protection locked="0"/>
    </xf>
    <xf numFmtId="0" fontId="25" fillId="13" borderId="139" xfId="0" applyFont="1" applyFill="1" applyBorder="1" applyAlignment="1" applyProtection="1">
      <alignment horizontal="left" vertical="center"/>
      <protection locked="0"/>
    </xf>
    <xf numFmtId="0" fontId="17" fillId="2" borderId="140" xfId="0" applyFont="1" applyFill="1" applyBorder="1" applyAlignment="1" applyProtection="1">
      <alignment horizontal="center" vertical="center"/>
    </xf>
    <xf numFmtId="0" fontId="19" fillId="2" borderId="140" xfId="0" applyFont="1" applyFill="1" applyBorder="1" applyAlignment="1" applyProtection="1">
      <alignment vertical="center" wrapText="1"/>
    </xf>
    <xf numFmtId="0" fontId="19" fillId="2" borderId="139"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1"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1"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8"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9"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4" fillId="2" borderId="68" xfId="0" applyNumberFormat="1" applyFont="1" applyFill="1" applyBorder="1" applyAlignment="1" applyProtection="1">
      <alignment vertical="center"/>
      <protection locked="0"/>
    </xf>
    <xf numFmtId="0" fontId="64" fillId="2" borderId="12" xfId="0" applyFont="1" applyFill="1" applyBorder="1" applyAlignment="1" applyProtection="1">
      <alignment vertical="center" wrapText="1"/>
      <protection locked="0"/>
    </xf>
    <xf numFmtId="49" fontId="64" fillId="2" borderId="76" xfId="0" applyNumberFormat="1" applyFont="1" applyFill="1" applyBorder="1" applyAlignment="1" applyProtection="1">
      <alignment vertical="center"/>
      <protection locked="0"/>
    </xf>
    <xf numFmtId="0" fontId="6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4" fillId="2" borderId="112" xfId="0" applyNumberFormat="1" applyFont="1" applyFill="1" applyBorder="1" applyAlignment="1" applyProtection="1">
      <alignment vertical="center"/>
      <protection locked="0"/>
    </xf>
    <xf numFmtId="0" fontId="64" fillId="2" borderId="16" xfId="0" applyFont="1" applyFill="1" applyBorder="1" applyAlignment="1" applyProtection="1">
      <alignment vertical="center" wrapText="1"/>
      <protection locked="0"/>
    </xf>
    <xf numFmtId="49" fontId="64" fillId="2" borderId="9" xfId="0" applyNumberFormat="1" applyFont="1" applyFill="1" applyBorder="1" applyAlignment="1" applyProtection="1">
      <alignment horizontal="left" vertical="center"/>
      <protection locked="0"/>
    </xf>
    <xf numFmtId="0" fontId="6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72" fillId="2" borderId="72" xfId="0" applyFont="1" applyFill="1" applyBorder="1" applyAlignment="1" applyProtection="1">
      <alignment vertical="center"/>
    </xf>
    <xf numFmtId="188" fontId="19" fillId="2" borderId="72" xfId="0" applyNumberFormat="1" applyFont="1" applyFill="1" applyBorder="1" applyAlignment="1" applyProtection="1">
      <alignment vertical="center" wrapText="1"/>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6"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4" fillId="2" borderId="12"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4" fillId="2" borderId="38" xfId="0" applyFont="1" applyFill="1" applyBorder="1" applyAlignment="1" applyProtection="1">
      <alignment horizontal="center" vertical="center"/>
    </xf>
    <xf numFmtId="0" fontId="75" fillId="2" borderId="10" xfId="0" applyFont="1" applyFill="1" applyBorder="1" applyAlignment="1" applyProtection="1">
      <alignment horizontal="center" vertical="center"/>
    </xf>
    <xf numFmtId="0" fontId="74"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3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38" xfId="0" applyFont="1" applyFill="1" applyBorder="1" applyAlignment="1" applyProtection="1">
      <alignment horizontal="center" vertical="center" wrapText="1"/>
    </xf>
    <xf numFmtId="0" fontId="25" fillId="2" borderId="13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38" xfId="0" applyNumberFormat="1" applyFont="1" applyFill="1" applyBorder="1" applyAlignment="1" applyProtection="1">
      <alignment horizontal="left" vertical="center"/>
      <protection locked="0"/>
    </xf>
    <xf numFmtId="0" fontId="25" fillId="2" borderId="13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3"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4" fillId="2" borderId="79" xfId="0" applyNumberFormat="1" applyFont="1" applyFill="1" applyBorder="1" applyAlignment="1" applyProtection="1">
      <alignment horizontal="left" vertical="center" wrapText="1"/>
    </xf>
    <xf numFmtId="0" fontId="74" fillId="2" borderId="77" xfId="0" applyFont="1" applyFill="1" applyBorder="1" applyAlignment="1" applyProtection="1">
      <alignment horizontal="left" vertical="center" wrapText="1"/>
    </xf>
    <xf numFmtId="0" fontId="74"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4" fillId="2" borderId="18" xfId="0" applyFont="1" applyFill="1" applyBorder="1" applyAlignment="1" applyProtection="1">
      <alignment horizontal="center" vertical="center" wrapText="1"/>
    </xf>
    <xf numFmtId="49" fontId="74" fillId="2" borderId="97" xfId="0" applyNumberFormat="1"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186" fontId="74"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38" xfId="0" applyNumberFormat="1" applyFont="1" applyFill="1" applyBorder="1" applyAlignment="1" applyProtection="1">
      <alignment horizontal="center" vertical="center" wrapText="1"/>
    </xf>
    <xf numFmtId="0" fontId="25" fillId="3" borderId="98" xfId="7" applyFont="1" applyFill="1" applyBorder="1" applyAlignment="1" applyProtection="1">
      <alignment horizontal="center" vertical="center" wrapText="1"/>
      <protection locked="0"/>
    </xf>
    <xf numFmtId="49" fontId="74" fillId="2" borderId="67" xfId="0" applyNumberFormat="1" applyFont="1" applyFill="1" applyBorder="1" applyAlignment="1" applyProtection="1">
      <alignment horizontal="left" vertical="center" wrapText="1"/>
    </xf>
    <xf numFmtId="0" fontId="74" fillId="2" borderId="80" xfId="0" applyFont="1" applyFill="1" applyBorder="1" applyAlignment="1" applyProtection="1">
      <alignment horizontal="left" vertical="center" wrapText="1"/>
    </xf>
    <xf numFmtId="186" fontId="7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4" fillId="2" borderId="3" xfId="0" applyNumberFormat="1" applyFont="1" applyFill="1" applyBorder="1" applyAlignment="1" applyProtection="1">
      <alignment horizontal="left" vertical="center" wrapText="1"/>
    </xf>
    <xf numFmtId="0" fontId="74" fillId="3" borderId="4" xfId="0" applyFont="1" applyFill="1" applyBorder="1" applyAlignment="1" applyProtection="1">
      <alignment horizontal="left" vertical="center" wrapText="1"/>
      <protection locked="0"/>
    </xf>
    <xf numFmtId="0" fontId="73" fillId="2" borderId="4" xfId="0" applyFont="1" applyFill="1" applyBorder="1" applyAlignment="1" applyProtection="1">
      <alignment horizontal="center" vertical="center" wrapText="1"/>
    </xf>
    <xf numFmtId="0" fontId="73" fillId="2" borderId="73" xfId="0" applyFont="1" applyFill="1" applyBorder="1" applyAlignment="1" applyProtection="1">
      <alignment vertical="center" wrapText="1"/>
    </xf>
    <xf numFmtId="49" fontId="73" fillId="2" borderId="68" xfId="0" applyNumberFormat="1" applyFont="1" applyFill="1" applyBorder="1" applyAlignment="1" applyProtection="1">
      <alignment horizontal="center"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7" xfId="0" applyFont="1" applyFill="1" applyBorder="1" applyAlignment="1" applyProtection="1">
      <alignment horizontal="center" vertical="center" wrapText="1"/>
    </xf>
    <xf numFmtId="0" fontId="73" fillId="2" borderId="12" xfId="0" applyFont="1" applyFill="1" applyBorder="1" applyAlignment="1" applyProtection="1">
      <alignment horizontal="left" vertical="center" wrapText="1"/>
    </xf>
    <xf numFmtId="0" fontId="7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38" xfId="0" applyFont="1" applyFill="1" applyBorder="1" applyAlignment="1" applyProtection="1">
      <alignment vertical="center"/>
    </xf>
    <xf numFmtId="0" fontId="73" fillId="2" borderId="98" xfId="0" applyFont="1" applyFill="1" applyBorder="1" applyAlignment="1" applyProtection="1">
      <alignment vertical="center" wrapText="1"/>
    </xf>
    <xf numFmtId="0" fontId="7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4" fillId="2" borderId="4"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42"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4" fillId="2" borderId="14"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wrapText="1"/>
    </xf>
    <xf numFmtId="0" fontId="7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6"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6" fillId="2" borderId="82" xfId="0" applyFont="1" applyFill="1" applyBorder="1" applyAlignment="1" applyProtection="1">
      <alignment vertical="center"/>
    </xf>
    <xf numFmtId="186" fontId="7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6" fillId="2" borderId="83" xfId="0" applyFont="1" applyFill="1" applyBorder="1" applyAlignment="1" applyProtection="1">
      <alignment vertical="center"/>
    </xf>
    <xf numFmtId="0" fontId="76" fillId="2" borderId="84" xfId="0" applyFont="1" applyFill="1" applyBorder="1" applyAlignment="1" applyProtection="1">
      <alignment horizontal="center" vertical="center"/>
    </xf>
    <xf numFmtId="0" fontId="76"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43"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39"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39"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8"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43"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38" xfId="0" applyNumberFormat="1" applyFont="1" applyFill="1" applyBorder="1" applyAlignment="1" applyProtection="1">
      <alignment horizontal="center" vertical="center" wrapText="1"/>
    </xf>
    <xf numFmtId="0" fontId="25" fillId="3" borderId="139"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3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7" applyFont="1" applyFill="1" applyBorder="1" applyAlignment="1" applyProtection="1">
      <alignment horizontal="center" vertical="center" wrapText="1"/>
      <protection locked="0"/>
    </xf>
    <xf numFmtId="0" fontId="73" fillId="2" borderId="4" xfId="7" applyFont="1" applyFill="1" applyBorder="1" applyAlignment="1" applyProtection="1">
      <alignment vertical="center" wrapText="1"/>
      <protection locked="0"/>
    </xf>
    <xf numFmtId="0" fontId="73" fillId="2" borderId="116" xfId="7"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7" applyFont="1" applyFill="1" applyBorder="1" applyAlignment="1" applyProtection="1">
      <alignment horizontal="center" vertical="center" wrapText="1"/>
    </xf>
    <xf numFmtId="10" fontId="73" fillId="0" borderId="14" xfId="7" applyNumberFormat="1" applyFont="1" applyFill="1" applyBorder="1" applyAlignment="1" applyProtection="1">
      <alignment horizontal="center" vertical="center" wrapText="1"/>
      <protection locked="0"/>
    </xf>
    <xf numFmtId="10" fontId="25" fillId="2" borderId="8" xfId="7"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7" applyFont="1" applyFill="1" applyBorder="1" applyAlignment="1" applyProtection="1">
      <alignment horizontal="center" vertical="center" wrapText="1"/>
    </xf>
    <xf numFmtId="10" fontId="73" fillId="0" borderId="96" xfId="7" applyNumberFormat="1" applyFont="1" applyFill="1" applyBorder="1" applyAlignment="1" applyProtection="1">
      <alignment horizontal="center" vertical="center" wrapText="1"/>
      <protection locked="0"/>
    </xf>
    <xf numFmtId="10" fontId="25" fillId="2" borderId="11" xfId="7" applyNumberFormat="1" applyFont="1" applyFill="1" applyBorder="1" applyAlignment="1" applyProtection="1">
      <alignment horizontal="center" vertical="center" wrapText="1"/>
    </xf>
    <xf numFmtId="0" fontId="73" fillId="2" borderId="67" xfId="7" applyFont="1" applyFill="1" applyBorder="1" applyAlignment="1" applyProtection="1">
      <alignment horizontal="center" vertical="center" wrapText="1"/>
      <protection locked="0"/>
    </xf>
    <xf numFmtId="0" fontId="73" fillId="2" borderId="0" xfId="7" applyFont="1" applyFill="1" applyBorder="1" applyAlignment="1" applyProtection="1">
      <alignment vertical="center" wrapText="1"/>
      <protection locked="0"/>
    </xf>
    <xf numFmtId="10" fontId="25" fillId="2" borderId="69" xfId="7"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8"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7" applyFont="1" applyFill="1" applyBorder="1" applyAlignment="1" applyProtection="1">
      <alignment horizontal="center" vertical="center" wrapText="1"/>
    </xf>
    <xf numFmtId="0" fontId="25" fillId="2" borderId="0" xfId="7" applyFont="1" applyFill="1" applyAlignment="1" applyProtection="1">
      <alignment vertical="center" wrapText="1"/>
      <protection locked="0"/>
    </xf>
    <xf numFmtId="0" fontId="47" fillId="2" borderId="7" xfId="7" applyNumberFormat="1" applyFont="1" applyFill="1" applyBorder="1" applyAlignment="1" applyProtection="1">
      <alignment horizontal="left" vertical="center" wrapText="1"/>
    </xf>
    <xf numFmtId="0" fontId="47" fillId="0" borderId="7" xfId="7" applyFont="1" applyFill="1" applyBorder="1" applyAlignment="1" applyProtection="1">
      <alignment horizontal="center" vertical="center" wrapText="1"/>
      <protection locked="0"/>
    </xf>
    <xf numFmtId="0" fontId="47" fillId="0" borderId="7" xfId="7" applyFont="1" applyFill="1" applyBorder="1" applyAlignment="1" applyProtection="1">
      <alignment horizontal="center" vertical="center" wrapText="1"/>
    </xf>
    <xf numFmtId="0" fontId="25" fillId="2" borderId="14" xfId="7" applyFont="1" applyFill="1" applyBorder="1" applyAlignment="1" applyProtection="1">
      <alignment horizontal="center" vertical="center" wrapText="1"/>
      <protection locked="0"/>
    </xf>
    <xf numFmtId="0" fontId="25" fillId="2" borderId="7" xfId="7" applyFont="1" applyFill="1" applyBorder="1" applyAlignment="1" applyProtection="1">
      <alignment horizontal="center" vertical="center" wrapText="1"/>
      <protection locked="0"/>
    </xf>
    <xf numFmtId="0" fontId="19" fillId="2" borderId="7" xfId="7"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7" applyFont="1" applyFill="1" applyAlignment="1" applyProtection="1">
      <alignment horizontal="center" vertical="center" wrapText="1"/>
      <protection locked="0"/>
    </xf>
    <xf numFmtId="0" fontId="25" fillId="13" borderId="0" xfId="7" applyFont="1" applyFill="1" applyAlignment="1" applyProtection="1">
      <alignment horizontal="center" vertical="center" wrapText="1"/>
    </xf>
    <xf numFmtId="0" fontId="73" fillId="2" borderId="0" xfId="7" applyFont="1" applyFill="1" applyAlignment="1" applyProtection="1">
      <alignment horizontal="center" vertical="center" wrapText="1"/>
      <protection locked="0"/>
    </xf>
    <xf numFmtId="0" fontId="73" fillId="13" borderId="0" xfId="7" applyFont="1" applyFill="1" applyAlignment="1" applyProtection="1">
      <alignment horizontal="center" vertical="center" wrapText="1"/>
    </xf>
    <xf numFmtId="179" fontId="25" fillId="2" borderId="7" xfId="7" applyNumberFormat="1" applyFont="1" applyFill="1" applyBorder="1" applyAlignment="1" applyProtection="1">
      <alignment horizontal="center" vertical="center" wrapText="1"/>
      <protection locked="0"/>
    </xf>
    <xf numFmtId="0" fontId="19" fillId="2" borderId="7" xfId="7" applyFont="1" applyFill="1" applyBorder="1" applyAlignment="1" applyProtection="1">
      <alignment horizontal="center" vertical="center"/>
    </xf>
    <xf numFmtId="0" fontId="20" fillId="0" borderId="7" xfId="7" applyNumberFormat="1" applyFont="1" applyFill="1" applyBorder="1" applyAlignment="1" applyProtection="1">
      <alignment horizontal="left" vertical="center"/>
      <protection locked="0"/>
    </xf>
    <xf numFmtId="0" fontId="20" fillId="2" borderId="7" xfId="7" applyNumberFormat="1" applyFont="1" applyFill="1" applyBorder="1" applyAlignment="1" applyProtection="1">
      <alignment horizontal="left" vertical="center"/>
    </xf>
    <xf numFmtId="0" fontId="20" fillId="2" borderId="7" xfId="7" applyNumberFormat="1" applyFont="1" applyFill="1" applyBorder="1" applyAlignment="1" applyProtection="1">
      <alignment horizontal="left" vertical="center" wrapText="1"/>
    </xf>
    <xf numFmtId="0" fontId="25" fillId="13" borderId="0" xfId="7" applyFont="1" applyFill="1" applyAlignment="1" applyProtection="1">
      <alignment horizontal="center" vertical="center" wrapText="1"/>
      <protection locked="0"/>
    </xf>
    <xf numFmtId="0" fontId="25" fillId="0" borderId="0" xfId="7" applyFont="1" applyAlignment="1" applyProtection="1">
      <alignment horizontal="center" vertical="center" wrapText="1"/>
    </xf>
    <xf numFmtId="0" fontId="73" fillId="0" borderId="0" xfId="7" applyFont="1" applyAlignment="1" applyProtection="1">
      <alignment horizontal="center" vertical="center" wrapText="1"/>
    </xf>
    <xf numFmtId="0" fontId="25" fillId="0" borderId="0" xfId="7"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43"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6" fillId="2" borderId="82" xfId="0" applyNumberFormat="1" applyFont="1" applyFill="1" applyBorder="1" applyAlignment="1" applyProtection="1">
      <alignment horizontal="left" vertical="center"/>
    </xf>
    <xf numFmtId="0" fontId="7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43"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9" fillId="2" borderId="7" xfId="10"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49" fontId="71" fillId="15" borderId="127" xfId="0" applyNumberFormat="1" applyFont="1" applyFill="1" applyBorder="1" applyAlignment="1" applyProtection="1">
      <alignment horizontal="right"/>
      <protection locked="0"/>
    </xf>
    <xf numFmtId="0" fontId="80" fillId="2" borderId="73" xfId="6" applyFont="1" applyFill="1" applyBorder="1" applyAlignment="1" applyProtection="1">
      <alignment vertical="center"/>
    </xf>
    <xf numFmtId="49" fontId="48" fillId="2" borderId="0" xfId="6" applyNumberFormat="1" applyFont="1" applyFill="1" applyBorder="1" applyAlignment="1" applyProtection="1">
      <alignment horizontal="right" vertical="center"/>
    </xf>
    <xf numFmtId="0" fontId="47" fillId="2" borderId="0" xfId="0" applyFont="1" applyFill="1" applyAlignment="1" applyProtection="1">
      <alignment horizontal="center" vertical="center"/>
    </xf>
    <xf numFmtId="186" fontId="48" fillId="2" borderId="7" xfId="6" applyNumberFormat="1" applyFont="1" applyFill="1" applyBorder="1" applyAlignment="1" applyProtection="1">
      <alignment horizontal="right" vertical="center"/>
    </xf>
    <xf numFmtId="0" fontId="29" fillId="3" borderId="13" xfId="6" applyFont="1" applyFill="1" applyBorder="1" applyAlignment="1" applyProtection="1">
      <alignment vertical="center"/>
      <protection locked="0"/>
    </xf>
    <xf numFmtId="0" fontId="48" fillId="2" borderId="13" xfId="6" applyFont="1" applyFill="1" applyBorder="1" applyAlignment="1" applyProtection="1">
      <alignment horizontal="right" vertical="center"/>
    </xf>
    <xf numFmtId="0" fontId="48" fillId="2" borderId="14" xfId="6" applyFont="1" applyFill="1" applyBorder="1" applyAlignment="1" applyProtection="1">
      <alignment vertical="center"/>
    </xf>
    <xf numFmtId="0" fontId="48" fillId="3" borderId="7" xfId="6" applyFont="1" applyFill="1" applyBorder="1" applyAlignment="1" applyProtection="1">
      <alignment vertical="center"/>
      <protection locked="0"/>
    </xf>
    <xf numFmtId="0" fontId="29" fillId="3" borderId="8" xfId="6"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6" fillId="0" borderId="1"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49" fontId="7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9"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73" fillId="0" borderId="70" xfId="0" applyFont="1" applyFill="1" applyBorder="1" applyAlignment="1" applyProtection="1">
      <alignment horizontal="center" vertical="center"/>
      <protection locked="0"/>
    </xf>
    <xf numFmtId="0" fontId="49" fillId="2" borderId="134" xfId="0" applyFont="1" applyFill="1" applyBorder="1" applyAlignment="1" applyProtection="1">
      <alignment vertical="center"/>
    </xf>
    <xf numFmtId="0" fontId="71" fillId="2" borderId="134" xfId="0" applyFont="1" applyFill="1" applyBorder="1" applyAlignment="1" applyProtection="1">
      <alignment horizontal="right" vertical="center"/>
    </xf>
    <xf numFmtId="0" fontId="71" fillId="2" borderId="135" xfId="0" applyFont="1" applyFill="1" applyBorder="1" applyAlignment="1" applyProtection="1">
      <alignment horizontal="center" vertical="center"/>
    </xf>
    <xf numFmtId="0" fontId="71" fillId="15" borderId="135" xfId="0" applyFont="1" applyFill="1" applyBorder="1" applyAlignment="1" applyProtection="1">
      <alignment vertical="center"/>
      <protection locked="0"/>
    </xf>
    <xf numFmtId="0" fontId="71" fillId="3" borderId="131" xfId="0" applyFont="1" applyFill="1" applyBorder="1" applyAlignment="1" applyProtection="1">
      <alignment vertical="center"/>
      <protection locked="0"/>
    </xf>
    <xf numFmtId="0" fontId="71" fillId="3" borderId="2" xfId="0" applyFont="1" applyFill="1" applyBorder="1" applyAlignment="1" applyProtection="1">
      <alignment horizontal="center" vertical="center"/>
      <protection locked="0"/>
    </xf>
    <xf numFmtId="0" fontId="84" fillId="2" borderId="135" xfId="0" applyFont="1" applyFill="1" applyBorder="1" applyAlignment="1" applyProtection="1">
      <alignment vertical="center"/>
    </xf>
    <xf numFmtId="0" fontId="71" fillId="2" borderId="135" xfId="0" applyFont="1" applyFill="1" applyBorder="1" applyAlignment="1" applyProtection="1">
      <alignment vertical="center"/>
    </xf>
    <xf numFmtId="0" fontId="48" fillId="2" borderId="16" xfId="6"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 applyFont="1" applyFill="1" applyBorder="1" applyAlignment="1" applyProtection="1">
      <alignment vertical="center"/>
      <protection locked="0"/>
    </xf>
    <xf numFmtId="0" fontId="48" fillId="2" borderId="0" xfId="0" applyFont="1" applyFill="1" applyBorder="1" applyAlignment="1" applyProtection="1">
      <alignment vertical="center"/>
    </xf>
    <xf numFmtId="0" fontId="48" fillId="2" borderId="103" xfId="6" applyFont="1" applyFill="1" applyBorder="1" applyAlignment="1" applyProtection="1">
      <alignment vertical="center"/>
      <protection locked="0"/>
    </xf>
    <xf numFmtId="0" fontId="48" fillId="3" borderId="16" xfId="6"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6" fillId="2" borderId="0" xfId="0" applyFont="1" applyFill="1" applyAlignment="1" applyProtection="1">
      <alignment horizontal="center" vertical="center"/>
      <protection locked="0"/>
    </xf>
    <xf numFmtId="0" fontId="84" fillId="2" borderId="0" xfId="0" applyFont="1" applyFill="1" applyBorder="1" applyAlignment="1" applyProtection="1">
      <alignment vertical="center"/>
      <protection locked="0"/>
    </xf>
    <xf numFmtId="0" fontId="74" fillId="2" borderId="105" xfId="0" applyFont="1" applyFill="1" applyBorder="1" applyAlignment="1" applyProtection="1">
      <alignment vertical="center" wrapText="1"/>
    </xf>
    <xf numFmtId="0" fontId="74" fillId="2" borderId="73" xfId="0" applyFont="1" applyFill="1" applyBorder="1" applyAlignment="1" applyProtection="1">
      <alignment vertical="center" wrapText="1"/>
    </xf>
    <xf numFmtId="0" fontId="74" fillId="2" borderId="70" xfId="0" applyFont="1" applyFill="1" applyBorder="1" applyAlignment="1" applyProtection="1">
      <alignment vertical="center" wrapText="1"/>
    </xf>
    <xf numFmtId="0" fontId="74" fillId="2" borderId="0" xfId="0" applyFont="1" applyFill="1" applyBorder="1" applyAlignment="1" applyProtection="1">
      <alignment vertical="center" wrapText="1"/>
    </xf>
    <xf numFmtId="0" fontId="74" fillId="2" borderId="115" xfId="0" applyFont="1" applyFill="1" applyBorder="1" applyAlignment="1" applyProtection="1">
      <alignment vertical="center" wrapText="1"/>
    </xf>
    <xf numFmtId="0" fontId="74" fillId="2" borderId="18" xfId="0" applyFont="1" applyFill="1" applyBorder="1" applyAlignment="1" applyProtection="1">
      <alignment vertical="center" wrapText="1"/>
    </xf>
    <xf numFmtId="0" fontId="87" fillId="2" borderId="137" xfId="0" applyFont="1" applyFill="1" applyBorder="1" applyAlignment="1" applyProtection="1">
      <alignment vertical="center" wrapText="1"/>
    </xf>
    <xf numFmtId="0" fontId="87" fillId="2" borderId="138" xfId="0" applyFont="1" applyFill="1" applyBorder="1" applyAlignment="1" applyProtection="1">
      <alignment vertical="center" wrapText="1"/>
    </xf>
    <xf numFmtId="190" fontId="78" fillId="2" borderId="97" xfId="0" applyNumberFormat="1" applyFont="1" applyFill="1" applyBorder="1" applyAlignment="1" applyProtection="1">
      <alignment horizontal="center" vertical="center" wrapText="1"/>
    </xf>
    <xf numFmtId="0" fontId="78" fillId="2" borderId="101" xfId="0" applyNumberFormat="1" applyFont="1" applyFill="1" applyBorder="1" applyAlignment="1" applyProtection="1">
      <alignment horizontal="center" vertical="center" wrapText="1"/>
    </xf>
    <xf numFmtId="190" fontId="78" fillId="0" borderId="100" xfId="0" applyNumberFormat="1" applyFont="1" applyFill="1" applyBorder="1" applyAlignment="1" applyProtection="1">
      <alignment horizontal="center" vertical="center" wrapText="1"/>
      <protection locked="0"/>
    </xf>
    <xf numFmtId="0" fontId="78" fillId="2" borderId="99" xfId="0" applyNumberFormat="1" applyFont="1" applyFill="1" applyBorder="1" applyAlignment="1" applyProtection="1">
      <alignment horizontal="center" vertical="center" wrapText="1"/>
    </xf>
    <xf numFmtId="49" fontId="78" fillId="15" borderId="97" xfId="0" applyNumberFormat="1" applyFont="1" applyFill="1" applyBorder="1" applyAlignment="1" applyProtection="1">
      <alignment horizontal="center" vertical="center" wrapText="1"/>
      <protection locked="0"/>
    </xf>
    <xf numFmtId="0" fontId="87" fillId="2" borderId="67" xfId="0" applyFont="1" applyFill="1" applyBorder="1" applyAlignment="1" applyProtection="1">
      <alignment vertical="center" wrapText="1"/>
    </xf>
    <xf numFmtId="0" fontId="78" fillId="2" borderId="74" xfId="0" applyFont="1" applyFill="1" applyBorder="1" applyAlignment="1" applyProtection="1">
      <alignment horizontal="center" vertical="center" wrapText="1"/>
    </xf>
    <xf numFmtId="0" fontId="88" fillId="0" borderId="82" xfId="0" applyNumberFormat="1" applyFont="1" applyFill="1" applyBorder="1" applyAlignment="1" applyProtection="1">
      <alignment horizontal="center" vertical="center" wrapText="1"/>
      <protection locked="0"/>
    </xf>
    <xf numFmtId="0" fontId="78" fillId="2" borderId="5" xfId="0" applyNumberFormat="1" applyFont="1" applyFill="1" applyBorder="1" applyAlignment="1" applyProtection="1">
      <alignment horizontal="center" vertical="center" wrapText="1"/>
    </xf>
    <xf numFmtId="49" fontId="78" fillId="15" borderId="95" xfId="0" applyNumberFormat="1" applyFont="1" applyFill="1" applyBorder="1" applyAlignment="1" applyProtection="1">
      <alignment horizontal="center" vertical="center" wrapText="1"/>
      <protection locked="0"/>
    </xf>
    <xf numFmtId="0" fontId="78" fillId="2" borderId="74"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8" fillId="2" borderId="13" xfId="0" applyFont="1" applyFill="1" applyBorder="1" applyAlignment="1" applyProtection="1">
      <alignment horizontal="center" vertical="center" wrapText="1"/>
    </xf>
    <xf numFmtId="185" fontId="90" fillId="0" borderId="6" xfId="0" applyNumberFormat="1" applyFont="1" applyFill="1" applyBorder="1" applyAlignment="1" applyProtection="1">
      <alignment horizontal="center" vertical="center" wrapText="1"/>
      <protection locked="0"/>
    </xf>
    <xf numFmtId="0" fontId="78" fillId="2" borderId="8" xfId="0" applyNumberFormat="1" applyFont="1" applyFill="1" applyBorder="1" applyAlignment="1" applyProtection="1">
      <alignment horizontal="center" vertical="center" wrapText="1"/>
    </xf>
    <xf numFmtId="0" fontId="78" fillId="2" borderId="13" xfId="0" applyNumberFormat="1" applyFont="1" applyFill="1" applyBorder="1" applyAlignment="1" applyProtection="1">
      <alignment horizontal="center" vertical="center" wrapText="1"/>
    </xf>
    <xf numFmtId="0" fontId="74" fillId="2" borderId="76" xfId="0" applyFont="1" applyFill="1" applyBorder="1" applyAlignment="1" applyProtection="1">
      <alignment vertical="center" wrapText="1"/>
    </xf>
    <xf numFmtId="0" fontId="78" fillId="0" borderId="6" xfId="0" applyNumberFormat="1" applyFont="1" applyFill="1" applyBorder="1" applyAlignment="1" applyProtection="1">
      <alignment horizontal="center" vertical="center" wrapText="1"/>
      <protection locked="0"/>
    </xf>
    <xf numFmtId="0" fontId="78" fillId="0" borderId="14"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wrapText="1"/>
    </xf>
    <xf numFmtId="0" fontId="78" fillId="0" borderId="93" xfId="0" applyFont="1" applyFill="1" applyBorder="1" applyAlignment="1" applyProtection="1">
      <alignment horizontal="center" vertical="center" wrapText="1"/>
      <protection locked="0"/>
    </xf>
    <xf numFmtId="0" fontId="78" fillId="0" borderId="112" xfId="0" applyNumberFormat="1" applyFont="1" applyFill="1" applyBorder="1" applyAlignment="1" applyProtection="1">
      <alignment horizontal="center" vertical="center" wrapText="1"/>
      <protection locked="0"/>
    </xf>
    <xf numFmtId="0" fontId="78" fillId="2" borderId="128" xfId="0" applyNumberFormat="1" applyFont="1" applyFill="1" applyBorder="1" applyAlignment="1" applyProtection="1">
      <alignment horizontal="center" vertical="center" wrapText="1"/>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4" fillId="2" borderId="79" xfId="0" applyFont="1" applyFill="1" applyBorder="1" applyAlignment="1" applyProtection="1">
      <alignment vertical="center" wrapText="1"/>
    </xf>
    <xf numFmtId="0" fontId="7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3" fillId="2" borderId="75" xfId="0" applyNumberFormat="1" applyFont="1" applyFill="1" applyBorder="1" applyAlignment="1" applyProtection="1">
      <alignment horizontal="center" vertical="center" wrapText="1"/>
    </xf>
    <xf numFmtId="0" fontId="74" fillId="2" borderId="67" xfId="0" applyFont="1" applyFill="1" applyBorder="1" applyAlignment="1" applyProtection="1">
      <alignment vertical="center" wrapText="1"/>
    </xf>
    <xf numFmtId="0" fontId="7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42"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49" fontId="73" fillId="0" borderId="67"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88" xfId="0" applyNumberFormat="1" applyFont="1" applyFill="1" applyBorder="1" applyAlignment="1" applyProtection="1">
      <alignment horizontal="center" vertical="center" wrapText="1"/>
    </xf>
    <xf numFmtId="0" fontId="78" fillId="2" borderId="93"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92" xfId="0" applyNumberFormat="1" applyFont="1" applyFill="1" applyBorder="1" applyAlignment="1" applyProtection="1">
      <alignment horizontal="center" vertical="center" wrapText="1"/>
    </xf>
    <xf numFmtId="49" fontId="73" fillId="0" borderId="76"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78" fillId="2" borderId="102" xfId="0"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15" borderId="76"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73" fillId="2" borderId="93" xfId="0" applyNumberFormat="1" applyFont="1" applyFill="1" applyBorder="1" applyAlignment="1" applyProtection="1">
      <alignment horizontal="center" vertical="center" wrapText="1"/>
    </xf>
    <xf numFmtId="49" fontId="73" fillId="0" borderId="68" xfId="0" applyNumberFormat="1" applyFont="1" applyFill="1" applyBorder="1" applyAlignment="1" applyProtection="1">
      <alignment horizontal="center" vertical="center" wrapText="1"/>
      <protection locked="0"/>
    </xf>
    <xf numFmtId="49" fontId="73" fillId="15" borderId="103"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78" fillId="2" borderId="92" xfId="0" applyFont="1" applyFill="1" applyBorder="1" applyAlignment="1" applyProtection="1">
      <alignment horizontal="center" vertical="center" wrapText="1"/>
    </xf>
    <xf numFmtId="0" fontId="73" fillId="15" borderId="86"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8" fillId="0" borderId="13" xfId="0" applyFont="1" applyFill="1" applyBorder="1" applyAlignment="1" applyProtection="1">
      <alignment horizontal="center" vertical="center" wrapText="1"/>
      <protection locked="0"/>
    </xf>
    <xf numFmtId="0" fontId="78" fillId="15" borderId="112" xfId="0" applyNumberFormat="1" applyFont="1" applyFill="1" applyBorder="1" applyAlignment="1" applyProtection="1">
      <alignment horizontal="center" vertical="center" wrapText="1"/>
      <protection locked="0"/>
    </xf>
    <xf numFmtId="0" fontId="78" fillId="2" borderId="85" xfId="0" applyNumberFormat="1" applyFont="1" applyFill="1" applyBorder="1" applyAlignment="1" applyProtection="1">
      <alignment horizontal="center" vertical="center" wrapText="1"/>
    </xf>
    <xf numFmtId="0" fontId="78" fillId="2" borderId="102" xfId="0" applyNumberFormat="1" applyFont="1" applyFill="1" applyBorder="1" applyAlignment="1" applyProtection="1">
      <alignment horizontal="center" vertical="center" wrapText="1"/>
    </xf>
    <xf numFmtId="0" fontId="73" fillId="15" borderId="3" xfId="0"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textRotation="255" wrapText="1"/>
    </xf>
    <xf numFmtId="0" fontId="78" fillId="0" borderId="86"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textRotation="255" wrapText="1"/>
    </xf>
    <xf numFmtId="0" fontId="73" fillId="15" borderId="6" xfId="0" applyFont="1" applyFill="1" applyBorder="1" applyAlignment="1" applyProtection="1">
      <alignment horizontal="center" vertical="center" wrapText="1"/>
      <protection locked="0"/>
    </xf>
    <xf numFmtId="49" fontId="73" fillId="15" borderId="6" xfId="0" applyNumberFormat="1" applyFont="1" applyFill="1" applyBorder="1" applyAlignment="1" applyProtection="1">
      <alignment horizontal="center" vertical="center" wrapText="1"/>
      <protection locked="0"/>
    </xf>
    <xf numFmtId="9" fontId="78" fillId="0" borderId="86"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textRotation="255" wrapText="1"/>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73" fillId="2" borderId="13" xfId="0" applyFont="1" applyFill="1" applyBorder="1" applyAlignment="1" applyProtection="1">
      <alignment horizontal="center" vertical="center" wrapText="1"/>
    </xf>
    <xf numFmtId="0" fontId="74" fillId="2" borderId="79" xfId="0" applyFont="1" applyFill="1" applyBorder="1" applyAlignment="1" applyProtection="1">
      <alignment vertical="center" textRotation="255" wrapText="1"/>
    </xf>
    <xf numFmtId="49" fontId="74" fillId="2" borderId="82" xfId="0" applyNumberFormat="1" applyFont="1" applyFill="1" applyBorder="1" applyAlignment="1" applyProtection="1">
      <alignment vertical="center"/>
    </xf>
    <xf numFmtId="49" fontId="74" fillId="2" borderId="83" xfId="0" applyNumberFormat="1" applyFont="1" applyFill="1" applyBorder="1" applyAlignment="1" applyProtection="1">
      <alignment vertical="center"/>
    </xf>
    <xf numFmtId="0" fontId="74" fillId="2" borderId="82" xfId="0" applyNumberFormat="1" applyFont="1" applyFill="1" applyBorder="1" applyAlignment="1" applyProtection="1">
      <alignment horizontal="right" vertical="center" wrapText="1"/>
    </xf>
    <xf numFmtId="0" fontId="74" fillId="2" borderId="84" xfId="0" applyNumberFormat="1" applyFont="1" applyFill="1" applyBorder="1" applyAlignment="1" applyProtection="1">
      <alignment vertical="center" wrapText="1"/>
    </xf>
    <xf numFmtId="0" fontId="92" fillId="12" borderId="83" xfId="0" applyNumberFormat="1" applyFont="1" applyFill="1" applyBorder="1" applyAlignment="1" applyProtection="1">
      <alignment vertical="center" wrapText="1"/>
      <protection locked="0"/>
    </xf>
    <xf numFmtId="0" fontId="92" fillId="2" borderId="83" xfId="0" applyNumberFormat="1" applyFont="1" applyFill="1" applyBorder="1" applyAlignment="1" applyProtection="1">
      <alignment vertical="center" wrapText="1"/>
    </xf>
    <xf numFmtId="0" fontId="92" fillId="12" borderId="82" xfId="0" applyNumberFormat="1" applyFont="1" applyFill="1" applyBorder="1" applyAlignment="1" applyProtection="1">
      <alignment vertical="center" wrapText="1"/>
      <protection locked="0"/>
    </xf>
    <xf numFmtId="0" fontId="92" fillId="2" borderId="84" xfId="0" applyNumberFormat="1" applyFont="1" applyFill="1" applyBorder="1" applyAlignment="1" applyProtection="1">
      <alignment vertical="center" wrapText="1"/>
    </xf>
    <xf numFmtId="49" fontId="74" fillId="2" borderId="89" xfId="0" applyNumberFormat="1" applyFont="1" applyFill="1" applyBorder="1" applyAlignment="1" applyProtection="1">
      <alignment vertical="center"/>
    </xf>
    <xf numFmtId="49" fontId="74" fillId="2" borderId="90" xfId="0" applyNumberFormat="1" applyFont="1" applyFill="1" applyBorder="1" applyAlignment="1" applyProtection="1">
      <alignment vertical="center"/>
    </xf>
    <xf numFmtId="0" fontId="74"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74" fillId="2" borderId="90" xfId="0" applyNumberFormat="1" applyFont="1" applyFill="1" applyBorder="1" applyAlignment="1" applyProtection="1">
      <alignment vertical="center" wrapText="1"/>
    </xf>
    <xf numFmtId="181" fontId="74" fillId="10" borderId="91" xfId="0" applyNumberFormat="1" applyFont="1" applyFill="1" applyBorder="1" applyAlignment="1" applyProtection="1">
      <alignment horizontal="left" vertical="center" wrapText="1"/>
      <protection locked="0"/>
    </xf>
    <xf numFmtId="49" fontId="74" fillId="0" borderId="115" xfId="0" applyNumberFormat="1" applyFont="1" applyFill="1" applyBorder="1" applyAlignment="1" applyProtection="1">
      <alignment vertical="center"/>
      <protection locked="0"/>
    </xf>
    <xf numFmtId="49" fontId="74" fillId="0" borderId="72" xfId="0" applyNumberFormat="1" applyFont="1" applyFill="1" applyBorder="1" applyAlignment="1" applyProtection="1">
      <alignment vertical="center"/>
      <protection locked="0"/>
    </xf>
    <xf numFmtId="0" fontId="74"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left" vertical="center"/>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83"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7" borderId="0" xfId="0" applyNumberFormat="1" applyFont="1" applyFill="1" applyAlignment="1" applyProtection="1">
      <alignment horizontal="center" vertical="center"/>
      <protection locked="0"/>
    </xf>
    <xf numFmtId="0" fontId="93"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0" fontId="87" fillId="2" borderId="105" xfId="0" applyNumberFormat="1" applyFont="1" applyFill="1" applyBorder="1" applyAlignment="1" applyProtection="1">
      <alignment vertical="center" wrapText="1"/>
    </xf>
    <xf numFmtId="0" fontId="87" fillId="2" borderId="142" xfId="0" applyNumberFormat="1" applyFont="1" applyFill="1" applyBorder="1" applyAlignment="1" applyProtection="1">
      <alignment vertical="center" wrapText="1"/>
    </xf>
    <xf numFmtId="191" fontId="78" fillId="2" borderId="95" xfId="0" applyNumberFormat="1" applyFont="1" applyFill="1" applyBorder="1" applyAlignment="1" applyProtection="1">
      <alignment horizontal="center" vertical="center" wrapText="1"/>
    </xf>
    <xf numFmtId="191" fontId="78" fillId="2" borderId="4" xfId="0" applyNumberFormat="1" applyFont="1" applyFill="1" applyBorder="1" applyAlignment="1" applyProtection="1">
      <alignment horizontal="center" vertical="center" wrapText="1"/>
    </xf>
    <xf numFmtId="0" fontId="87" fillId="2" borderId="70" xfId="0" applyNumberFormat="1" applyFont="1" applyFill="1" applyBorder="1" applyAlignment="1" applyProtection="1">
      <alignment vertical="center" wrapText="1"/>
    </xf>
    <xf numFmtId="0" fontId="87" fillId="2" borderId="65"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0" fontId="78" fillId="0" borderId="12" xfId="0" applyNumberFormat="1" applyFont="1" applyFill="1" applyBorder="1" applyAlignment="1" applyProtection="1">
      <alignment horizontal="center" vertical="center" wrapText="1"/>
      <protection locked="0"/>
    </xf>
    <xf numFmtId="0" fontId="87" fillId="2" borderId="115" xfId="0" applyNumberFormat="1" applyFont="1" applyFill="1" applyBorder="1" applyAlignment="1" applyProtection="1">
      <alignment vertical="center"/>
    </xf>
    <xf numFmtId="0" fontId="87" fillId="2" borderId="121" xfId="0" applyNumberFormat="1" applyFont="1" applyFill="1" applyBorder="1" applyAlignment="1" applyProtection="1">
      <alignment vertical="center" wrapText="1"/>
    </xf>
    <xf numFmtId="0" fontId="78" fillId="0" borderId="121" xfId="0" applyNumberFormat="1" applyFont="1" applyFill="1" applyBorder="1" applyAlignment="1" applyProtection="1">
      <alignment horizontal="center" vertical="center" wrapText="1"/>
      <protection locked="0"/>
    </xf>
    <xf numFmtId="0" fontId="78" fillId="0" borderId="77" xfId="0" applyNumberFormat="1" applyFont="1" applyFill="1" applyBorder="1" applyAlignment="1" applyProtection="1">
      <alignment horizontal="center" vertical="center" wrapText="1"/>
      <protection locked="0"/>
    </xf>
    <xf numFmtId="0" fontId="87" fillId="2" borderId="92" xfId="0" applyNumberFormat="1" applyFont="1" applyFill="1" applyBorder="1" applyAlignment="1" applyProtection="1">
      <alignment vertical="center" wrapText="1"/>
    </xf>
    <xf numFmtId="0" fontId="78" fillId="2" borderId="103" xfId="0" applyNumberFormat="1" applyFont="1" applyFill="1" applyBorder="1" applyAlignment="1" applyProtection="1">
      <alignment horizontal="center" vertical="center" wrapText="1"/>
    </xf>
    <xf numFmtId="0" fontId="78" fillId="0" borderId="16" xfId="0" applyNumberFormat="1" applyFont="1" applyFill="1" applyBorder="1" applyAlignment="1" applyProtection="1">
      <alignment horizontal="center" vertical="center" wrapText="1"/>
      <protection locked="0"/>
    </xf>
    <xf numFmtId="0" fontId="78" fillId="0" borderId="94" xfId="0" applyNumberFormat="1" applyFont="1" applyFill="1" applyBorder="1" applyAlignment="1" applyProtection="1">
      <alignment horizontal="center" vertical="center" wrapText="1"/>
      <protection locked="0"/>
    </xf>
    <xf numFmtId="0" fontId="74" fillId="2" borderId="67" xfId="0" applyNumberFormat="1" applyFont="1" applyFill="1" applyBorder="1" applyAlignment="1" applyProtection="1">
      <alignment vertical="center" wrapText="1"/>
    </xf>
    <xf numFmtId="0" fontId="78" fillId="2" borderId="80"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73" fillId="0" borderId="4"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vertical="center" wrapText="1"/>
    </xf>
    <xf numFmtId="0" fontId="82" fillId="2" borderId="144"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189" fontId="71" fillId="2" borderId="135" xfId="0" applyNumberFormat="1" applyFont="1" applyFill="1" applyBorder="1" applyAlignment="1" applyProtection="1">
      <alignment horizontal="center" vertical="center"/>
    </xf>
    <xf numFmtId="181" fontId="71" fillId="2" borderId="135" xfId="0" applyNumberFormat="1" applyFont="1" applyFill="1" applyBorder="1" applyAlignment="1" applyProtection="1">
      <alignment vertical="center"/>
    </xf>
    <xf numFmtId="0" fontId="71" fillId="2" borderId="14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vertical="center"/>
      <protection locked="0"/>
    </xf>
    <xf numFmtId="0" fontId="71" fillId="7" borderId="0" xfId="0" applyFont="1" applyFill="1" applyBorder="1" applyAlignment="1" applyProtection="1">
      <alignment horizontal="center" vertical="center"/>
      <protection locked="0"/>
    </xf>
    <xf numFmtId="0" fontId="71" fillId="2" borderId="70" xfId="0" applyFont="1" applyFill="1" applyBorder="1" applyAlignment="1" applyProtection="1">
      <alignment horizontal="center" vertical="center"/>
      <protection locked="0"/>
    </xf>
    <xf numFmtId="189" fontId="71" fillId="2" borderId="0" xfId="0" applyNumberFormat="1" applyFont="1" applyFill="1" applyBorder="1" applyAlignment="1" applyProtection="1">
      <alignment horizontal="center" vertical="center"/>
      <protection locked="0"/>
    </xf>
    <xf numFmtId="189" fontId="78"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78"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181"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wrapText="1"/>
      <protection locked="0"/>
    </xf>
    <xf numFmtId="181" fontId="82" fillId="7" borderId="0"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181" fontId="83" fillId="7"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82" fillId="7" borderId="0" xfId="0" applyFont="1" applyFill="1" applyBorder="1" applyAlignment="1" applyProtection="1">
      <alignment horizontal="center" vertical="center"/>
      <protection locked="0"/>
    </xf>
    <xf numFmtId="189"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9" fontId="73" fillId="2" borderId="7" xfId="0" applyNumberFormat="1" applyFont="1" applyFill="1" applyBorder="1" applyAlignment="1" applyProtection="1">
      <alignment horizontal="center" vertical="center" wrapText="1"/>
    </xf>
    <xf numFmtId="189"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189" fontId="83" fillId="7" borderId="0" xfId="0" applyNumberFormat="1" applyFont="1" applyFill="1" applyAlignment="1" applyProtection="1">
      <alignment horizontal="center" vertical="center"/>
      <protection locked="0"/>
    </xf>
    <xf numFmtId="181" fontId="83" fillId="7" borderId="0" xfId="0" applyNumberFormat="1" applyFont="1" applyFill="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189"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protection locked="0"/>
    </xf>
    <xf numFmtId="0" fontId="73" fillId="2" borderId="0" xfId="0" applyFont="1" applyFill="1" applyBorder="1" applyAlignment="1" applyProtection="1">
      <protection locked="0"/>
    </xf>
    <xf numFmtId="0" fontId="73" fillId="7" borderId="70" xfId="0" applyFont="1" applyFill="1" applyBorder="1" applyAlignment="1" applyProtection="1">
      <protection locked="0"/>
    </xf>
    <xf numFmtId="49" fontId="78" fillId="7" borderId="70" xfId="0" applyNumberFormat="1" applyFont="1" applyFill="1" applyBorder="1" applyAlignment="1" applyProtection="1">
      <alignment horizontal="center" vertical="center"/>
      <protection locked="0"/>
    </xf>
    <xf numFmtId="0" fontId="78" fillId="0" borderId="93" xfId="0" applyNumberFormat="1" applyFont="1" applyFill="1" applyBorder="1" applyAlignment="1" applyProtection="1">
      <alignment horizontal="center" vertical="center" wrapText="1"/>
      <protection locked="0"/>
    </xf>
    <xf numFmtId="9" fontId="78" fillId="7" borderId="70" xfId="0" applyNumberFormat="1" applyFont="1" applyFill="1" applyBorder="1" applyAlignment="1" applyProtection="1">
      <alignment horizontal="center" vertical="center" wrapText="1"/>
      <protection locked="0"/>
    </xf>
    <xf numFmtId="0" fontId="78" fillId="0" borderId="104"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8"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3" fillId="0" borderId="132"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192"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78" fillId="2" borderId="7" xfId="0" applyFont="1" applyFill="1" applyBorder="1" applyAlignment="1" applyProtection="1">
      <alignment horizontal="center" vertical="center" wrapText="1"/>
    </xf>
    <xf numFmtId="192"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wrapText="1"/>
    </xf>
    <xf numFmtId="192"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9" fontId="78" fillId="7" borderId="0" xfId="0" applyNumberFormat="1" applyFont="1" applyFill="1" applyBorder="1" applyAlignment="1" applyProtection="1">
      <alignment horizontal="center" vertical="center" wrapText="1"/>
      <protection locked="0"/>
    </xf>
    <xf numFmtId="49" fontId="78" fillId="7" borderId="0" xfId="0" applyNumberFormat="1" applyFont="1" applyFill="1" applyAlignment="1" applyProtection="1">
      <alignment horizontal="center" vertical="center"/>
      <protection locked="0"/>
    </xf>
    <xf numFmtId="0" fontId="78" fillId="7" borderId="0" xfId="0" applyFont="1" applyFill="1" applyAlignment="1" applyProtection="1">
      <alignment horizontal="center" vertical="center"/>
      <protection locked="0"/>
    </xf>
    <xf numFmtId="0" fontId="66" fillId="2" borderId="1" xfId="0" applyFont="1" applyFill="1" applyBorder="1" applyAlignment="1" applyProtection="1">
      <alignment horizontal="center" vertical="center"/>
      <protection locked="0"/>
    </xf>
    <xf numFmtId="0" fontId="66" fillId="2" borderId="0" xfId="0" applyFont="1" applyFill="1" applyBorder="1" applyAlignment="1" applyProtection="1">
      <alignment horizontal="center" vertical="center"/>
      <protection locked="0"/>
    </xf>
    <xf numFmtId="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46" xfId="0" applyNumberFormat="1" applyFont="1" applyFill="1" applyBorder="1" applyAlignment="1" applyProtection="1">
      <alignment horizontal="center" vertical="center" wrapText="1"/>
    </xf>
    <xf numFmtId="0" fontId="73" fillId="0" borderId="147" xfId="0" applyNumberFormat="1" applyFont="1" applyFill="1" applyBorder="1" applyAlignment="1" applyProtection="1">
      <alignment horizontal="center" vertical="center" wrapText="1"/>
      <protection locked="0"/>
    </xf>
    <xf numFmtId="0" fontId="78" fillId="2" borderId="144"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2" borderId="2" xfId="0" applyNumberFormat="1" applyFont="1" applyFill="1" applyBorder="1" applyAlignment="1" applyProtection="1">
      <alignment horizontal="center" vertical="center" wrapText="1"/>
    </xf>
    <xf numFmtId="0" fontId="91" fillId="2" borderId="76" xfId="0" applyNumberFormat="1" applyFont="1" applyFill="1" applyBorder="1" applyAlignment="1" applyProtection="1">
      <alignment vertical="center" wrapText="1"/>
    </xf>
    <xf numFmtId="0" fontId="78" fillId="0" borderId="147" xfId="0" applyNumberFormat="1" applyFont="1" applyFill="1" applyBorder="1" applyAlignment="1" applyProtection="1">
      <alignment horizontal="center" vertical="center" wrapText="1"/>
      <protection locked="0"/>
    </xf>
    <xf numFmtId="0" fontId="82" fillId="0" borderId="147"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1" fillId="2" borderId="79" xfId="0" applyNumberFormat="1" applyFont="1" applyFill="1" applyBorder="1" applyAlignment="1" applyProtection="1">
      <alignment vertical="center" wrapText="1"/>
    </xf>
    <xf numFmtId="0" fontId="78" fillId="2" borderId="77" xfId="0" applyNumberFormat="1" applyFont="1" applyFill="1" applyBorder="1" applyAlignment="1" applyProtection="1">
      <alignment horizontal="center" vertical="center" wrapText="1"/>
    </xf>
    <xf numFmtId="0" fontId="78"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0" fontId="78" fillId="2" borderId="147" xfId="0" applyNumberFormat="1" applyFont="1" applyFill="1" applyBorder="1" applyAlignment="1" applyProtection="1">
      <alignment horizontal="center" vertical="center" wrapText="1"/>
    </xf>
    <xf numFmtId="0" fontId="73" fillId="2" borderId="147"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8" fillId="2" borderId="2" xfId="0" applyNumberFormat="1" applyFont="1" applyFill="1" applyBorder="1" applyAlignment="1" applyProtection="1">
      <alignment horizontal="center" vertical="center" wrapText="1"/>
    </xf>
    <xf numFmtId="0" fontId="78" fillId="0" borderId="148" xfId="0" applyNumberFormat="1" applyFont="1" applyFill="1" applyBorder="1" applyAlignment="1" applyProtection="1">
      <alignment horizontal="center" vertical="center"/>
      <protection locked="0"/>
    </xf>
    <xf numFmtId="0" fontId="73" fillId="0" borderId="16" xfId="0" applyNumberFormat="1" applyFont="1" applyFill="1" applyBorder="1" applyAlignment="1" applyProtection="1">
      <alignment horizontal="center" vertical="center" wrapText="1"/>
      <protection locked="0"/>
    </xf>
    <xf numFmtId="0" fontId="74" fillId="2" borderId="79" xfId="0" applyNumberFormat="1" applyFont="1" applyFill="1" applyBorder="1" applyAlignment="1" applyProtection="1">
      <alignment vertical="center" wrapText="1"/>
    </xf>
    <xf numFmtId="0" fontId="73" fillId="0" borderId="10" xfId="0" applyNumberFormat="1" applyFont="1" applyFill="1" applyBorder="1" applyAlignment="1" applyProtection="1">
      <alignment horizontal="center" vertical="center" wrapText="1"/>
      <protection locked="0"/>
    </xf>
    <xf numFmtId="0" fontId="94" fillId="0" borderId="4" xfId="0" applyNumberFormat="1" applyFont="1" applyFill="1" applyBorder="1" applyAlignment="1" applyProtection="1">
      <alignment horizontal="center" vertical="center" wrapText="1"/>
      <protection locked="0"/>
    </xf>
    <xf numFmtId="0" fontId="91" fillId="2" borderId="76" xfId="0" applyNumberFormat="1" applyFont="1" applyFill="1" applyBorder="1" applyAlignment="1" applyProtection="1">
      <alignment vertical="center" textRotation="255" wrapText="1"/>
    </xf>
    <xf numFmtId="0" fontId="78" fillId="2" borderId="92" xfId="0" applyNumberFormat="1" applyFont="1" applyFill="1" applyBorder="1" applyAlignment="1" applyProtection="1">
      <alignment horizontal="center" vertical="center"/>
    </xf>
    <xf numFmtId="0" fontId="78" fillId="0" borderId="7"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vertical="center" textRotation="255" wrapText="1"/>
    </xf>
    <xf numFmtId="0" fontId="88" fillId="0" borderId="147" xfId="0" applyNumberFormat="1" applyFont="1" applyFill="1" applyBorder="1" applyAlignment="1" applyProtection="1">
      <alignment horizontal="center" vertical="center" wrapText="1"/>
      <protection locked="0"/>
    </xf>
    <xf numFmtId="0" fontId="24" fillId="0" borderId="147" xfId="0" applyNumberFormat="1" applyFont="1" applyFill="1" applyBorder="1" applyAlignment="1" applyProtection="1">
      <alignment horizontal="center" vertical="center" wrapText="1"/>
      <protection locked="0"/>
    </xf>
    <xf numFmtId="0" fontId="83" fillId="0" borderId="147" xfId="0" applyNumberFormat="1" applyFont="1" applyFill="1" applyBorder="1" applyAlignment="1" applyProtection="1">
      <alignment horizontal="center" vertical="center" wrapText="1"/>
      <protection locked="0"/>
    </xf>
    <xf numFmtId="0" fontId="83" fillId="0" borderId="147" xfId="0" applyNumberFormat="1" applyFont="1" applyFill="1" applyBorder="1" applyAlignment="1" applyProtection="1">
      <alignment horizontal="left" vertical="center" wrapText="1"/>
      <protection locked="0"/>
    </xf>
    <xf numFmtId="0" fontId="83" fillId="0" borderId="149"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73" fillId="2" borderId="132" xfId="0" applyNumberFormat="1" applyFont="1" applyFill="1" applyBorder="1" applyAlignment="1" applyProtection="1">
      <alignment horizontal="center" vertical="center" wrapText="1"/>
    </xf>
    <xf numFmtId="0" fontId="82" fillId="0" borderId="147" xfId="0" applyNumberFormat="1" applyFont="1" applyFill="1" applyBorder="1" applyAlignment="1" applyProtection="1">
      <alignment horizontal="left" vertical="center" wrapText="1"/>
      <protection locked="0"/>
    </xf>
    <xf numFmtId="0" fontId="82" fillId="0" borderId="149"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0" borderId="13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78" fillId="7" borderId="70" xfId="0" applyFont="1" applyFill="1" applyBorder="1" applyAlignment="1" applyProtection="1">
      <alignment vertical="center" wrapText="1"/>
      <protection locked="0"/>
    </xf>
    <xf numFmtId="0" fontId="83" fillId="2" borderId="147" xfId="0" applyNumberFormat="1" applyFont="1" applyFill="1" applyBorder="1" applyAlignment="1" applyProtection="1">
      <alignment horizontal="center" vertical="center" wrapText="1"/>
    </xf>
    <xf numFmtId="0" fontId="83" fillId="2" borderId="147" xfId="0" applyNumberFormat="1" applyFont="1" applyFill="1" applyBorder="1" applyAlignment="1" applyProtection="1">
      <alignment horizontal="left" vertical="center" wrapText="1"/>
    </xf>
    <xf numFmtId="0" fontId="83" fillId="2" borderId="149" xfId="0" applyNumberFormat="1" applyFont="1" applyFill="1" applyBorder="1" applyAlignment="1" applyProtection="1">
      <alignment horizontal="center" vertical="center" wrapText="1"/>
    </xf>
    <xf numFmtId="0" fontId="73" fillId="2" borderId="149" xfId="0" applyNumberFormat="1" applyFont="1" applyFill="1" applyBorder="1" applyAlignment="1" applyProtection="1">
      <alignment horizontal="center" vertical="center" wrapText="1"/>
    </xf>
    <xf numFmtId="0" fontId="78" fillId="0" borderId="147" xfId="0" applyNumberFormat="1" applyFont="1" applyFill="1" applyBorder="1" applyAlignment="1" applyProtection="1">
      <alignment horizontal="left" vertical="center" wrapText="1"/>
      <protection locked="0"/>
    </xf>
    <xf numFmtId="0" fontId="78" fillId="0" borderId="149"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8" fillId="2" borderId="149" xfId="0" applyNumberFormat="1" applyFont="1" applyFill="1" applyBorder="1" applyAlignment="1" applyProtection="1">
      <alignment horizontal="center" vertical="center" wrapText="1"/>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9" fillId="0" borderId="15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9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6" fillId="2" borderId="12" xfId="0" applyFont="1" applyFill="1" applyBorder="1" applyProtection="1">
      <alignment vertical="center"/>
    </xf>
    <xf numFmtId="0" fontId="96" fillId="3" borderId="12" xfId="0" applyFont="1" applyFill="1" applyBorder="1" applyAlignment="1" applyProtection="1">
      <alignment horizontal="center" vertical="center" wrapText="1"/>
      <protection locked="0"/>
    </xf>
    <xf numFmtId="0" fontId="96" fillId="2" borderId="12" xfId="0" applyNumberFormat="1" applyFont="1" applyFill="1" applyBorder="1" applyProtection="1">
      <alignment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7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7" fillId="2" borderId="13" xfId="0" applyFont="1" applyFill="1" applyBorder="1" applyAlignment="1" applyProtection="1">
      <alignment horizontal="right" vertical="center"/>
    </xf>
    <xf numFmtId="0" fontId="78" fillId="2" borderId="14" xfId="0" applyFont="1" applyFill="1" applyBorder="1" applyProtection="1">
      <alignment vertical="center"/>
    </xf>
    <xf numFmtId="0" fontId="78" fillId="2" borderId="16" xfId="0" applyFont="1" applyFill="1" applyBorder="1" applyAlignment="1" applyProtection="1">
      <alignment horizontal="center" vertical="center"/>
    </xf>
    <xf numFmtId="0" fontId="87" fillId="2" borderId="92" xfId="0" applyFont="1" applyFill="1" applyBorder="1" applyAlignment="1" applyProtection="1">
      <alignment horizontal="right" vertical="center"/>
    </xf>
    <xf numFmtId="0" fontId="78" fillId="2" borderId="0" xfId="0" applyFont="1" applyFill="1" applyProtection="1">
      <alignment vertical="center"/>
    </xf>
    <xf numFmtId="179" fontId="78" fillId="2" borderId="12" xfId="0" applyNumberFormat="1" applyFont="1" applyFill="1" applyBorder="1" applyAlignment="1" applyProtection="1">
      <alignment horizontal="center" vertical="center"/>
    </xf>
    <xf numFmtId="0" fontId="87" fillId="2" borderId="105" xfId="0" applyFont="1" applyFill="1" applyBorder="1" applyAlignment="1" applyProtection="1">
      <alignment vertical="center"/>
    </xf>
    <xf numFmtId="0" fontId="7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7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7" fillId="2" borderId="70" xfId="0" applyFont="1" applyFill="1" applyBorder="1" applyAlignment="1" applyProtection="1">
      <alignment vertical="center"/>
    </xf>
    <xf numFmtId="0" fontId="78" fillId="2" borderId="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78" fillId="2" borderId="13" xfId="0" applyFont="1" applyFill="1" applyBorder="1" applyAlignment="1" applyProtection="1">
      <alignment horizontal="right" vertical="center"/>
    </xf>
    <xf numFmtId="0" fontId="87" fillId="2" borderId="115" xfId="0" applyFont="1" applyFill="1" applyBorder="1" applyAlignment="1" applyProtection="1">
      <alignment vertical="center"/>
    </xf>
    <xf numFmtId="0" fontId="78" fillId="2" borderId="10" xfId="0" applyFont="1" applyFill="1" applyBorder="1" applyProtection="1">
      <alignment vertical="center"/>
    </xf>
    <xf numFmtId="0" fontId="78" fillId="2" borderId="10" xfId="0" applyFont="1" applyFill="1" applyBorder="1" applyAlignment="1" applyProtection="1">
      <alignment horizontal="center" vertical="center"/>
    </xf>
    <xf numFmtId="0" fontId="78" fillId="2" borderId="11" xfId="0" applyFont="1" applyFill="1" applyBorder="1" applyAlignment="1" applyProtection="1">
      <alignment horizontal="center" vertical="center"/>
    </xf>
    <xf numFmtId="0" fontId="7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8" fillId="2" borderId="137" xfId="0" applyFont="1" applyFill="1" applyBorder="1" applyAlignment="1" applyProtection="1">
      <alignment vertical="center"/>
    </xf>
    <xf numFmtId="0" fontId="78" fillId="2" borderId="100" xfId="0" applyFont="1" applyFill="1" applyBorder="1" applyProtection="1">
      <alignment vertical="center"/>
    </xf>
    <xf numFmtId="0" fontId="78" fillId="2" borderId="99" xfId="0" applyFont="1" applyFill="1" applyBorder="1" applyProtection="1">
      <alignment vertical="center"/>
    </xf>
    <xf numFmtId="181" fontId="98" fillId="2" borderId="139" xfId="0" applyNumberFormat="1" applyFont="1" applyFill="1" applyBorder="1" applyAlignment="1" applyProtection="1">
      <alignment horizontal="center" vertical="center"/>
    </xf>
    <xf numFmtId="0" fontId="78" fillId="2" borderId="84" xfId="0" applyFont="1" applyFill="1" applyBorder="1" applyAlignment="1" applyProtection="1">
      <alignment horizontal="center" vertical="center"/>
    </xf>
    <xf numFmtId="0" fontId="78" fillId="2" borderId="102" xfId="0" applyFont="1" applyFill="1" applyBorder="1" applyAlignment="1" applyProtection="1">
      <alignment horizontal="right" vertical="center"/>
    </xf>
    <xf numFmtId="0" fontId="78" fillId="2" borderId="87" xfId="0" applyFont="1" applyFill="1" applyBorder="1" applyAlignment="1" applyProtection="1">
      <alignment horizontal="center" vertical="center"/>
    </xf>
    <xf numFmtId="0" fontId="97" fillId="0" borderId="6" xfId="0" applyFont="1" applyBorder="1" applyAlignment="1" applyProtection="1">
      <alignment horizontal="center" vertical="center"/>
      <protection locked="0"/>
    </xf>
    <xf numFmtId="0" fontId="97" fillId="0" borderId="7" xfId="0" applyFont="1" applyFill="1" applyBorder="1" applyAlignment="1" applyProtection="1">
      <alignment horizontal="center" vertical="center"/>
      <protection locked="0"/>
    </xf>
    <xf numFmtId="0" fontId="97"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99" fillId="2" borderId="150" xfId="0" applyFont="1" applyFill="1" applyBorder="1" applyAlignment="1" applyProtection="1">
      <alignment horizontal="left"/>
    </xf>
    <xf numFmtId="0" fontId="49" fillId="2" borderId="150" xfId="0" applyFont="1" applyFill="1" applyBorder="1" applyAlignment="1" applyProtection="1">
      <alignment horizontal="left"/>
    </xf>
    <xf numFmtId="0" fontId="87" fillId="2" borderId="105" xfId="0" applyFont="1" applyFill="1" applyBorder="1" applyAlignment="1" applyProtection="1">
      <alignment horizontal="left" vertical="center"/>
    </xf>
    <xf numFmtId="0" fontId="78" fillId="2" borderId="73" xfId="0" applyFont="1" applyFill="1" applyBorder="1" applyProtection="1">
      <alignment vertical="center"/>
    </xf>
    <xf numFmtId="0" fontId="78" fillId="2" borderId="66" xfId="0" applyFont="1" applyFill="1" applyBorder="1" applyAlignment="1" applyProtection="1">
      <alignment horizontal="center" vertical="center"/>
    </xf>
    <xf numFmtId="0" fontId="87" fillId="3" borderId="81" xfId="0" applyFont="1" applyFill="1" applyBorder="1" applyAlignment="1" applyProtection="1">
      <alignment horizontal="right" vertical="center"/>
      <protection locked="0"/>
    </xf>
    <xf numFmtId="0" fontId="87"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87" fillId="3" borderId="7" xfId="0" applyFont="1" applyFill="1" applyBorder="1" applyAlignment="1" applyProtection="1">
      <alignment horizontal="center" vertical="center"/>
      <protection locked="0"/>
    </xf>
    <xf numFmtId="0" fontId="7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7" fillId="2" borderId="129" xfId="0" applyFont="1" applyFill="1" applyBorder="1" applyAlignment="1" applyProtection="1">
      <alignment horizontal="left" vertical="center"/>
    </xf>
    <xf numFmtId="0" fontId="78" fillId="2" borderId="103" xfId="0" applyFont="1" applyFill="1" applyBorder="1" applyAlignment="1" applyProtection="1">
      <alignment horizontal="right" vertical="center"/>
    </xf>
    <xf numFmtId="0" fontId="87" fillId="2" borderId="102" xfId="0" applyFont="1" applyFill="1" applyBorder="1" applyAlignment="1" applyProtection="1">
      <alignment horizontal="center" vertical="center"/>
    </xf>
    <xf numFmtId="181" fontId="7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7" fillId="2" borderId="89" xfId="0" applyFont="1" applyFill="1" applyBorder="1" applyAlignment="1" applyProtection="1">
      <alignment horizontal="left" vertical="center"/>
    </xf>
    <xf numFmtId="0" fontId="78" fillId="2" borderId="96" xfId="0" applyFont="1" applyFill="1" applyBorder="1" applyAlignment="1" applyProtection="1">
      <alignment horizontal="right" vertical="center"/>
    </xf>
    <xf numFmtId="0" fontId="87" fillId="2" borderId="75" xfId="0" applyFont="1" applyFill="1" applyBorder="1" applyAlignment="1" applyProtection="1">
      <alignment horizontal="center" vertical="center"/>
    </xf>
    <xf numFmtId="181" fontId="7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8" fillId="2" borderId="95" xfId="0" applyFont="1" applyFill="1" applyBorder="1" applyAlignment="1" applyProtection="1">
      <alignment horizontal="left" vertical="center"/>
    </xf>
    <xf numFmtId="0" fontId="87" fillId="0" borderId="5" xfId="0" applyFont="1" applyFill="1" applyBorder="1" applyAlignment="1" applyProtection="1">
      <alignment horizontal="center" vertical="center"/>
      <protection locked="0"/>
    </xf>
    <xf numFmtId="0" fontId="78" fillId="3" borderId="137" xfId="0" applyFont="1" applyFill="1" applyBorder="1" applyProtection="1">
      <alignment vertical="center"/>
      <protection locked="0"/>
    </xf>
    <xf numFmtId="0" fontId="78" fillId="2" borderId="139" xfId="0" applyFont="1" applyFill="1" applyBorder="1" applyProtection="1">
      <alignment vertical="center"/>
    </xf>
    <xf numFmtId="0" fontId="78" fillId="2" borderId="0" xfId="0" applyFont="1" applyFill="1" applyBorder="1" applyAlignment="1" applyProtection="1">
      <alignment horizontal="left" vertical="center"/>
      <protection locked="0"/>
    </xf>
    <xf numFmtId="0" fontId="78" fillId="2" borderId="14" xfId="0" applyFont="1" applyFill="1" applyBorder="1" applyAlignment="1" applyProtection="1">
      <alignment horizontal="left" vertical="center"/>
    </xf>
    <xf numFmtId="0" fontId="87" fillId="0" borderId="8" xfId="0" applyFont="1" applyFill="1" applyBorder="1" applyAlignment="1" applyProtection="1">
      <alignment horizontal="center" vertical="center"/>
      <protection locked="0"/>
    </xf>
    <xf numFmtId="0" fontId="78" fillId="2" borderId="0" xfId="0" applyFont="1" applyFill="1" applyProtection="1">
      <alignment vertical="center"/>
      <protection locked="0"/>
    </xf>
    <xf numFmtId="0" fontId="78" fillId="2" borderId="96" xfId="0" applyFont="1" applyFill="1" applyBorder="1" applyAlignment="1" applyProtection="1">
      <alignment horizontal="left" vertical="center"/>
    </xf>
    <xf numFmtId="0" fontId="87" fillId="0" borderId="10" xfId="0" applyFont="1" applyFill="1" applyBorder="1" applyAlignment="1" applyProtection="1">
      <alignment horizontal="center" vertical="center"/>
      <protection locked="0"/>
    </xf>
    <xf numFmtId="0" fontId="78" fillId="0" borderId="139" xfId="0" applyFont="1" applyFill="1" applyBorder="1" applyProtection="1">
      <alignment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95"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64" fillId="2" borderId="70" xfId="0" applyFont="1" applyFill="1" applyBorder="1" applyAlignment="1" applyProtection="1">
      <alignment horizontal="left" vertical="center" wrapText="1"/>
    </xf>
    <xf numFmtId="0" fontId="64" fillId="2" borderId="39" xfId="0" applyFont="1" applyFill="1" applyBorder="1" applyAlignment="1" applyProtection="1">
      <alignment horizontal="left" vertical="center" wrapText="1"/>
    </xf>
    <xf numFmtId="0" fontId="64" fillId="2" borderId="103"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3"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7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3"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6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6"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54" fillId="2" borderId="14" xfId="0" applyFont="1" applyFill="1" applyBorder="1" applyAlignment="1" applyProtection="1">
      <alignment vertical="center" wrapText="1"/>
    </xf>
    <xf numFmtId="0" fontId="99" fillId="2" borderId="150" xfId="0" applyFont="1" applyFill="1" applyBorder="1" applyAlignment="1" applyProtection="1">
      <alignment horizontal="right"/>
    </xf>
    <xf numFmtId="0" fontId="99" fillId="11" borderId="150" xfId="0" applyFont="1" applyFill="1" applyBorder="1" applyAlignment="1" applyProtection="1">
      <alignment horizontal="right"/>
      <protection locked="0"/>
    </xf>
    <xf numFmtId="0" fontId="49" fillId="13" borderId="15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3" fillId="2" borderId="7" xfId="0" applyFont="1" applyFill="1" applyBorder="1" applyAlignment="1" applyProtection="1">
      <alignment horizontal="left" vertical="center" wrapText="1"/>
    </xf>
    <xf numFmtId="10" fontId="103" fillId="2" borderId="7" xfId="0" applyNumberFormat="1" applyFont="1" applyFill="1" applyBorder="1" applyAlignment="1" applyProtection="1">
      <alignment horizontal="left" vertical="center"/>
    </xf>
    <xf numFmtId="9" fontId="10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3" fillId="2" borderId="12" xfId="0" applyFont="1" applyFill="1" applyBorder="1" applyAlignment="1" applyProtection="1">
      <alignment horizontal="left" vertical="center" wrapText="1"/>
    </xf>
    <xf numFmtId="9" fontId="103"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3" fillId="2" borderId="93" xfId="0" applyFont="1" applyFill="1" applyBorder="1" applyAlignment="1" applyProtection="1">
      <alignment horizontal="left" vertical="center" wrapText="1"/>
    </xf>
    <xf numFmtId="0" fontId="103" fillId="2" borderId="38" xfId="0" applyFont="1" applyFill="1" applyBorder="1" applyAlignment="1" applyProtection="1">
      <alignment horizontal="left" vertical="center" wrapText="1"/>
    </xf>
    <xf numFmtId="0" fontId="103"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3" fillId="2" borderId="13" xfId="0" applyFont="1" applyFill="1" applyBorder="1" applyAlignment="1" applyProtection="1">
      <alignment horizontal="left" vertical="center" wrapText="1"/>
    </xf>
    <xf numFmtId="0" fontId="103" fillId="2" borderId="15" xfId="0" applyFont="1" applyFill="1" applyBorder="1" applyAlignment="1" applyProtection="1">
      <alignment horizontal="left" vertical="center"/>
    </xf>
    <xf numFmtId="0" fontId="103" fillId="2" borderId="14" xfId="0" applyFont="1" applyFill="1" applyBorder="1" applyAlignment="1" applyProtection="1">
      <alignment horizontal="left" vertical="center" wrapText="1"/>
    </xf>
    <xf numFmtId="0" fontId="70" fillId="10" borderId="0" xfId="0" applyFont="1" applyFill="1" applyProtection="1">
      <alignment vertical="center"/>
    </xf>
    <xf numFmtId="0" fontId="103" fillId="2" borderId="92" xfId="0" applyFont="1" applyFill="1" applyBorder="1" applyAlignment="1" applyProtection="1">
      <alignment horizontal="left" vertical="center" wrapText="1"/>
    </xf>
    <xf numFmtId="0" fontId="103" fillId="2" borderId="0" xfId="0" applyFont="1" applyFill="1" applyBorder="1" applyAlignment="1" applyProtection="1">
      <alignment horizontal="left" vertical="center" wrapText="1"/>
    </xf>
    <xf numFmtId="0" fontId="103" fillId="2" borderId="65" xfId="0" applyFont="1" applyFill="1" applyBorder="1" applyAlignment="1" applyProtection="1">
      <alignment horizontal="left" vertical="center" wrapText="1"/>
    </xf>
    <xf numFmtId="0" fontId="103" fillId="2" borderId="102" xfId="0" applyFont="1" applyFill="1" applyBorder="1" applyAlignment="1" applyProtection="1">
      <alignment horizontal="left" vertical="center" wrapText="1"/>
    </xf>
    <xf numFmtId="0" fontId="103" fillId="2" borderId="39" xfId="0" applyFont="1" applyFill="1" applyBorder="1" applyAlignment="1" applyProtection="1">
      <alignment horizontal="left" vertical="center" wrapText="1"/>
    </xf>
    <xf numFmtId="0" fontId="103" fillId="2" borderId="103" xfId="0" applyFont="1" applyFill="1" applyBorder="1" applyAlignment="1" applyProtection="1">
      <alignment horizontal="left" vertical="center" wrapText="1"/>
    </xf>
    <xf numFmtId="0" fontId="7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5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8" fillId="2" borderId="84" xfId="9" applyFont="1" applyFill="1" applyBorder="1" applyAlignment="1" applyProtection="1">
      <alignment horizontal="left" vertical="center" wrapText="1"/>
    </xf>
    <xf numFmtId="0" fontId="78" fillId="2" borderId="87" xfId="9"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8" fillId="2" borderId="7" xfId="9" applyFont="1" applyFill="1" applyBorder="1" applyAlignment="1" applyProtection="1">
      <alignment horizontal="left" vertical="center" wrapText="1"/>
    </xf>
    <xf numFmtId="0" fontId="78" fillId="15" borderId="7" xfId="9"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8" fillId="2" borderId="91" xfId="9"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9" applyFont="1" applyFill="1" applyAlignment="1" applyProtection="1">
      <alignment horizontal="left"/>
    </xf>
    <xf numFmtId="0" fontId="54" fillId="2" borderId="84" xfId="9" applyFont="1" applyFill="1" applyBorder="1" applyAlignment="1" applyProtection="1">
      <alignment horizontal="left" vertical="center" wrapText="1"/>
    </xf>
    <xf numFmtId="0" fontId="54" fillId="2" borderId="87" xfId="9"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4" fillId="3" borderId="13" xfId="0" applyNumberFormat="1" applyFont="1" applyFill="1" applyBorder="1" applyAlignment="1" applyProtection="1">
      <alignment horizontal="left" vertical="center" wrapText="1"/>
      <protection locked="0"/>
    </xf>
    <xf numFmtId="0" fontId="54" fillId="2" borderId="91" xfId="9" applyFont="1" applyFill="1" applyBorder="1" applyAlignment="1" applyProtection="1">
      <alignment horizontal="left" vertical="center" wrapText="1"/>
    </xf>
    <xf numFmtId="0" fontId="87" fillId="2" borderId="84" xfId="0" applyFont="1" applyFill="1" applyBorder="1" applyAlignment="1" applyProtection="1">
      <alignment horizontal="center" vertical="center"/>
    </xf>
    <xf numFmtId="0" fontId="105" fillId="2" borderId="7" xfId="0" applyFont="1" applyFill="1" applyBorder="1" applyAlignment="1" applyProtection="1">
      <alignment horizontal="left" vertical="center" wrapText="1"/>
    </xf>
    <xf numFmtId="0" fontId="105" fillId="2" borderId="8"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xf>
    <xf numFmtId="0" fontId="106" fillId="2" borderId="7" xfId="0" applyFont="1" applyFill="1" applyBorder="1" applyAlignment="1" applyProtection="1">
      <alignment vertical="center" wrapText="1"/>
    </xf>
    <xf numFmtId="0" fontId="87" fillId="2" borderId="8" xfId="0" applyFont="1" applyFill="1" applyBorder="1" applyAlignment="1" applyProtection="1">
      <alignment horizontal="left" vertical="center"/>
    </xf>
    <xf numFmtId="0" fontId="106" fillId="2" borderId="7" xfId="0" applyFont="1" applyFill="1" applyBorder="1" applyAlignment="1" applyProtection="1">
      <alignment horizontal="left" vertical="center" wrapText="1"/>
    </xf>
    <xf numFmtId="0" fontId="105" fillId="2" borderId="12" xfId="0" applyFont="1" applyFill="1" applyBorder="1" applyAlignment="1" applyProtection="1">
      <alignment horizontal="left" vertical="center" wrapText="1"/>
    </xf>
    <xf numFmtId="0" fontId="105" fillId="2" borderId="69" xfId="0" applyFont="1" applyFill="1" applyBorder="1" applyAlignment="1" applyProtection="1">
      <alignment horizontal="left" vertical="center" wrapText="1"/>
    </xf>
    <xf numFmtId="0" fontId="105" fillId="2" borderId="7" xfId="0" applyFont="1" applyFill="1" applyBorder="1" applyAlignment="1" applyProtection="1">
      <alignment vertical="center" wrapText="1"/>
    </xf>
    <xf numFmtId="0" fontId="106" fillId="2" borderId="13" xfId="0" applyFont="1" applyFill="1" applyBorder="1" applyAlignment="1" applyProtection="1">
      <alignment horizontal="left" vertical="center" wrapText="1"/>
    </xf>
    <xf numFmtId="0" fontId="105" fillId="2" borderId="13" xfId="0" applyFont="1" applyFill="1" applyBorder="1" applyAlignment="1" applyProtection="1">
      <alignment horizontal="left" vertical="center" wrapText="1"/>
    </xf>
    <xf numFmtId="0" fontId="105" fillId="2" borderId="87"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xf>
    <xf numFmtId="0" fontId="78" fillId="10" borderId="8" xfId="0" applyFont="1" applyFill="1" applyBorder="1" applyAlignment="1" applyProtection="1">
      <alignment horizontal="left" vertical="center"/>
    </xf>
    <xf numFmtId="0" fontId="106" fillId="2" borderId="75" xfId="0" applyFont="1" applyFill="1" applyBorder="1" applyAlignment="1" applyProtection="1">
      <alignment horizontal="left" vertical="center" wrapText="1"/>
    </xf>
    <xf numFmtId="0" fontId="105" fillId="2" borderId="75" xfId="0" applyFont="1" applyFill="1" applyBorder="1" applyAlignment="1" applyProtection="1">
      <alignment horizontal="left" vertical="center" wrapText="1"/>
    </xf>
    <xf numFmtId="0" fontId="105" fillId="2" borderId="91" xfId="0" applyFont="1" applyFill="1" applyBorder="1" applyAlignment="1" applyProtection="1">
      <alignment horizontal="left" vertical="center" wrapText="1"/>
    </xf>
    <xf numFmtId="0" fontId="78"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64" fillId="2" borderId="8" xfId="0" applyFont="1" applyFill="1" applyBorder="1" applyAlignment="1" applyProtection="1">
      <alignment horizontal="left" vertical="center"/>
    </xf>
    <xf numFmtId="0" fontId="106" fillId="2" borderId="10" xfId="0" applyFont="1" applyFill="1" applyBorder="1" applyAlignment="1" applyProtection="1">
      <alignment vertical="center" wrapText="1"/>
    </xf>
    <xf numFmtId="0" fontId="78" fillId="2" borderId="11" xfId="0" applyFont="1" applyFill="1" applyBorder="1" applyAlignment="1" applyProtection="1">
      <alignment horizontal="left" vertical="center"/>
    </xf>
    <xf numFmtId="0" fontId="78"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9"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9" applyFont="1" applyFill="1" applyAlignment="1" applyProtection="1">
      <alignment vertical="center" wrapText="1"/>
      <protection locked="0"/>
    </xf>
    <xf numFmtId="0" fontId="24" fillId="2" borderId="0" xfId="9" applyFont="1" applyFill="1" applyProtection="1">
      <protection locked="0"/>
    </xf>
    <xf numFmtId="0" fontId="107" fillId="13" borderId="0" xfId="0" applyFont="1" applyFill="1" applyProtection="1">
      <alignment vertical="center"/>
    </xf>
    <xf numFmtId="0" fontId="24" fillId="0" borderId="6" xfId="0" applyFont="1" applyFill="1" applyBorder="1" applyProtection="1">
      <alignment vertical="center"/>
      <protection locked="0"/>
    </xf>
    <xf numFmtId="0" fontId="97" fillId="13" borderId="0" xfId="0" applyFont="1" applyFill="1" applyProtection="1">
      <alignment vertical="center"/>
    </xf>
    <xf numFmtId="0" fontId="24" fillId="13" borderId="0" xfId="0" applyFont="1" applyFill="1" applyProtection="1">
      <alignment vertical="center"/>
    </xf>
    <xf numFmtId="0" fontId="8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3"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69" fillId="3" borderId="8" xfId="6"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108"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108" fillId="7" borderId="0" xfId="0" applyFont="1" applyFill="1" applyProtection="1">
      <alignment vertical="center"/>
      <protection locked="0"/>
    </xf>
    <xf numFmtId="0" fontId="108" fillId="2" borderId="7" xfId="0" applyFont="1" applyFill="1" applyBorder="1" applyAlignment="1">
      <alignment horizontal="left" vertical="center" wrapText="1"/>
    </xf>
    <xf numFmtId="0" fontId="108" fillId="2" borderId="7" xfId="0" applyFont="1" applyFill="1" applyBorder="1" applyAlignment="1">
      <alignment horizontal="center" vertical="center"/>
    </xf>
    <xf numFmtId="0" fontId="24" fillId="2" borderId="7" xfId="0" applyFont="1" applyFill="1" applyBorder="1">
      <alignment vertical="center"/>
    </xf>
    <xf numFmtId="0" fontId="108" fillId="2" borderId="7" xfId="0" applyFont="1" applyFill="1" applyBorder="1" applyAlignment="1">
      <alignment horizontal="left" vertical="center"/>
    </xf>
    <xf numFmtId="0" fontId="108" fillId="3" borderId="7" xfId="0" applyFont="1" applyFill="1" applyBorder="1" applyAlignment="1" applyProtection="1">
      <alignment horizontal="left" vertical="center"/>
      <protection locked="0"/>
    </xf>
    <xf numFmtId="0" fontId="109"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1" fillId="2" borderId="38" xfId="0" applyFont="1" applyFill="1" applyBorder="1" applyAlignment="1" applyProtection="1">
      <alignment horizontal="right" vertical="center"/>
    </xf>
    <xf numFmtId="0" fontId="71" fillId="2" borderId="0" xfId="0" applyFont="1" applyFill="1" applyAlignment="1" applyProtection="1">
      <alignment horizontal="center" vertical="center"/>
    </xf>
    <xf numFmtId="0" fontId="71" fillId="2" borderId="38" xfId="0" applyFont="1" applyFill="1" applyBorder="1" applyAlignment="1" applyProtection="1">
      <alignment vertical="center"/>
    </xf>
    <xf numFmtId="0" fontId="84"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1" fillId="0" borderId="10" xfId="0" applyFont="1" applyFill="1" applyBorder="1" applyAlignment="1" applyProtection="1">
      <alignment vertical="center"/>
      <protection locked="0"/>
    </xf>
    <xf numFmtId="190" fontId="78" fillId="0" borderId="97" xfId="0" applyNumberFormat="1" applyFont="1" applyFill="1" applyBorder="1" applyAlignment="1" applyProtection="1">
      <alignment horizontal="center" vertical="center" wrapText="1"/>
      <protection locked="0"/>
    </xf>
    <xf numFmtId="0" fontId="78" fillId="15" borderId="82"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71" xfId="0" applyFont="1" applyFill="1" applyBorder="1" applyAlignment="1" applyProtection="1">
      <alignment horizontal="center" vertical="center"/>
    </xf>
    <xf numFmtId="0" fontId="73" fillId="15" borderId="103" xfId="0" applyNumberFormat="1" applyFont="1" applyFill="1" applyBorder="1" applyAlignment="1" applyProtection="1">
      <alignment horizontal="center" vertical="center" wrapText="1"/>
      <protection locked="0"/>
    </xf>
    <xf numFmtId="0" fontId="78" fillId="2" borderId="69" xfId="0" applyFont="1" applyFill="1" applyBorder="1" applyAlignment="1" applyProtection="1">
      <alignment horizontal="center" vertical="center" wrapText="1"/>
    </xf>
    <xf numFmtId="0" fontId="78" fillId="2" borderId="85" xfId="0" applyFont="1" applyFill="1" applyBorder="1" applyAlignment="1" applyProtection="1">
      <alignment horizontal="center" vertical="center" wrapText="1"/>
    </xf>
    <xf numFmtId="0" fontId="87" fillId="2" borderId="70" xfId="0" applyFont="1" applyFill="1" applyBorder="1" applyAlignment="1" applyProtection="1">
      <alignment vertical="center" wrapText="1"/>
    </xf>
    <xf numFmtId="0" fontId="78" fillId="2" borderId="88" xfId="0" applyFont="1" applyFill="1" applyBorder="1" applyAlignment="1" applyProtection="1">
      <alignment horizontal="center" vertical="center" wrapText="1"/>
    </xf>
    <xf numFmtId="0" fontId="78" fillId="15" borderId="129" xfId="0" applyNumberFormat="1" applyFont="1" applyFill="1" applyBorder="1" applyAlignment="1" applyProtection="1">
      <alignment horizontal="center" vertical="center" wrapText="1"/>
      <protection locked="0"/>
    </xf>
    <xf numFmtId="0" fontId="78" fillId="15" borderId="39"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7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7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91"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7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73" fillId="0" borderId="3" xfId="0" applyNumberFormat="1" applyFont="1" applyFill="1" applyBorder="1" applyAlignment="1" applyProtection="1">
      <alignment horizontal="center" vertical="center" wrapText="1"/>
      <protection locked="0"/>
    </xf>
    <xf numFmtId="9" fontId="7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2" fillId="0" borderId="89" xfId="0" applyNumberFormat="1" applyFont="1" applyFill="1" applyBorder="1" applyAlignment="1" applyProtection="1">
      <alignment horizontal="center" vertical="center" wrapText="1"/>
      <protection locked="0"/>
    </xf>
    <xf numFmtId="49" fontId="74" fillId="15" borderId="5" xfId="0" applyNumberFormat="1" applyFont="1" applyFill="1" applyBorder="1" applyAlignment="1" applyProtection="1">
      <alignment vertical="center"/>
      <protection locked="0"/>
    </xf>
    <xf numFmtId="0" fontId="74" fillId="2" borderId="83" xfId="0" applyFont="1" applyFill="1" applyBorder="1" applyAlignment="1" applyProtection="1">
      <alignment horizontal="right" vertical="center" wrapText="1"/>
    </xf>
    <xf numFmtId="0" fontId="74" fillId="2" borderId="84" xfId="0" applyFont="1" applyFill="1" applyBorder="1" applyAlignment="1" applyProtection="1">
      <alignment vertical="center" wrapText="1"/>
    </xf>
    <xf numFmtId="0" fontId="92" fillId="12" borderId="83" xfId="0" applyFont="1" applyFill="1" applyBorder="1" applyAlignment="1" applyProtection="1">
      <alignment vertical="center" wrapText="1"/>
      <protection locked="0"/>
    </xf>
    <xf numFmtId="0" fontId="92" fillId="2" borderId="83" xfId="0" applyFont="1" applyFill="1" applyBorder="1" applyAlignment="1" applyProtection="1">
      <alignment vertical="center" wrapText="1"/>
    </xf>
    <xf numFmtId="0" fontId="92" fillId="12" borderId="82" xfId="0" applyFont="1" applyFill="1" applyBorder="1" applyAlignment="1" applyProtection="1">
      <alignment vertical="center" wrapText="1"/>
      <protection locked="0"/>
    </xf>
    <xf numFmtId="0" fontId="92" fillId="2" borderId="84" xfId="0" applyFont="1" applyFill="1" applyBorder="1" applyAlignment="1" applyProtection="1">
      <alignment vertical="center" wrapText="1"/>
    </xf>
    <xf numFmtId="49" fontId="74" fillId="2" borderId="91" xfId="0" applyNumberFormat="1" applyFont="1" applyFill="1" applyBorder="1" applyAlignment="1" applyProtection="1">
      <alignment vertical="center"/>
    </xf>
    <xf numFmtId="180" fontId="74" fillId="2" borderId="90" xfId="0" applyNumberFormat="1" applyFont="1" applyFill="1" applyBorder="1" applyAlignment="1" applyProtection="1">
      <alignment vertical="center" wrapText="1"/>
    </xf>
    <xf numFmtId="180" fontId="74" fillId="2" borderId="89" xfId="0" applyNumberFormat="1" applyFont="1" applyFill="1" applyBorder="1" applyAlignment="1" applyProtection="1">
      <alignment vertical="center" wrapText="1"/>
    </xf>
    <xf numFmtId="180" fontId="74" fillId="2" borderId="18" xfId="0" applyNumberFormat="1" applyFont="1" applyFill="1" applyBorder="1" applyAlignment="1" applyProtection="1">
      <alignment vertical="center" wrapText="1"/>
    </xf>
    <xf numFmtId="185" fontId="73"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6"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109" fillId="2" borderId="7" xfId="0" applyFont="1" applyFill="1" applyBorder="1" applyAlignment="1" applyProtection="1">
      <alignment horizontal="center" vertical="center"/>
      <protection locked="0"/>
    </xf>
    <xf numFmtId="178" fontId="25" fillId="2" borderId="8" xfId="6" applyNumberFormat="1" applyFont="1" applyFill="1" applyBorder="1" applyAlignment="1" applyProtection="1">
      <alignment horizontal="center"/>
    </xf>
    <xf numFmtId="0" fontId="25" fillId="2" borderId="6" xfId="6" applyFont="1" applyFill="1" applyBorder="1" applyAlignment="1" applyProtection="1"/>
    <xf numFmtId="9" fontId="109" fillId="3" borderId="7" xfId="0" applyNumberFormat="1" applyFont="1" applyFill="1" applyBorder="1" applyAlignment="1" applyProtection="1">
      <alignment horizontal="center" vertical="center"/>
      <protection locked="0"/>
    </xf>
    <xf numFmtId="179" fontId="25" fillId="0" borderId="7" xfId="6"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10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10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109" fillId="2" borderId="10" xfId="0" applyFont="1" applyFill="1" applyBorder="1" applyAlignment="1" applyProtection="1">
      <alignment horizontal="center" vertical="center"/>
    </xf>
    <xf numFmtId="0" fontId="29" fillId="2" borderId="9" xfId="6"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189" fontId="71" fillId="2" borderId="38" xfId="0" applyNumberFormat="1" applyFont="1" applyFill="1" applyBorder="1" applyAlignment="1" applyProtection="1">
      <alignment horizontal="center" vertical="center"/>
    </xf>
    <xf numFmtId="181" fontId="71" fillId="2" borderId="38" xfId="0" applyNumberFormat="1" applyFont="1" applyFill="1" applyBorder="1" applyAlignment="1" applyProtection="1">
      <alignment vertical="center"/>
    </xf>
    <xf numFmtId="0" fontId="71" fillId="2" borderId="38"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78" fillId="7" borderId="65" xfId="0" applyFont="1" applyFill="1" applyBorder="1" applyAlignment="1" applyProtection="1">
      <alignment horizontal="center" vertical="center"/>
      <protection locked="0"/>
    </xf>
    <xf numFmtId="0" fontId="96" fillId="2" borderId="14" xfId="0" applyNumberFormat="1" applyFont="1" applyFill="1" applyBorder="1" applyAlignment="1" applyProtection="1">
      <alignment horizontal="center" vertical="center" wrapText="1"/>
    </xf>
    <xf numFmtId="0" fontId="81" fillId="7" borderId="65" xfId="0" applyFont="1" applyFill="1" applyBorder="1" applyAlignment="1" applyProtection="1">
      <alignment horizontal="center" vertical="center"/>
      <protection locked="0"/>
    </xf>
    <xf numFmtId="0" fontId="96" fillId="0" borderId="14"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0" fontId="96" fillId="2" borderId="14" xfId="0" applyNumberFormat="1" applyFont="1" applyFill="1" applyBorder="1" applyAlignment="1" applyProtection="1">
      <alignment horizontal="center" vertical="center" wrapText="1"/>
      <protection locked="0"/>
    </xf>
    <xf numFmtId="0" fontId="82" fillId="7" borderId="65" xfId="0" applyFont="1" applyFill="1" applyBorder="1" applyAlignment="1" applyProtection="1">
      <alignment horizontal="center" vertical="center"/>
      <protection locked="0"/>
    </xf>
    <xf numFmtId="0" fontId="110" fillId="2" borderId="14" xfId="0" applyNumberFormat="1" applyFont="1" applyFill="1" applyBorder="1" applyAlignment="1" applyProtection="1">
      <alignment horizontal="center" vertical="center" wrapText="1"/>
    </xf>
    <xf numFmtId="0" fontId="97" fillId="2" borderId="0" xfId="0" applyFont="1" applyFill="1" applyAlignment="1" applyProtection="1">
      <alignment horizontal="left" vertical="center"/>
      <protection locked="0"/>
    </xf>
    <xf numFmtId="0" fontId="10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181" fontId="73" fillId="2" borderId="0" xfId="0" applyNumberFormat="1" applyFont="1" applyFill="1" applyBorder="1" applyAlignment="1" applyProtection="1"/>
    <xf numFmtId="0" fontId="73" fillId="7" borderId="0" xfId="0" applyFont="1" applyFill="1" applyBorder="1" applyAlignment="1" applyProtection="1">
      <protection locked="0"/>
    </xf>
    <xf numFmtId="0" fontId="66" fillId="2" borderId="0"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87" fillId="2" borderId="105" xfId="0" applyNumberFormat="1" applyFont="1" applyFill="1" applyBorder="1" applyAlignment="1" applyProtection="1">
      <alignment vertical="center"/>
    </xf>
    <xf numFmtId="0" fontId="87" fillId="2" borderId="142" xfId="0" applyNumberFormat="1" applyFont="1" applyFill="1" applyBorder="1" applyAlignment="1" applyProtection="1">
      <alignment vertical="center"/>
    </xf>
    <xf numFmtId="0" fontId="78" fillId="2" borderId="95" xfId="0" applyNumberFormat="1" applyFont="1" applyFill="1" applyBorder="1" applyAlignment="1" applyProtection="1">
      <alignment horizontal="center" vertical="center" wrapText="1"/>
    </xf>
    <xf numFmtId="0" fontId="87" fillId="2" borderId="86" xfId="0" applyNumberFormat="1" applyFont="1" applyFill="1" applyBorder="1" applyAlignment="1" applyProtection="1">
      <alignment horizontal="center" vertical="center" wrapText="1"/>
    </xf>
    <xf numFmtId="10" fontId="87" fillId="2" borderId="7" xfId="0" applyNumberFormat="1" applyFont="1" applyFill="1" applyBorder="1" applyAlignment="1" applyProtection="1">
      <alignment horizontal="center" vertical="center" wrapText="1"/>
    </xf>
    <xf numFmtId="0" fontId="78" fillId="2" borderId="94" xfId="0" applyNumberFormat="1" applyFont="1" applyFill="1" applyBorder="1" applyAlignment="1" applyProtection="1">
      <alignment horizontal="center" vertical="center" wrapText="1"/>
    </xf>
    <xf numFmtId="0" fontId="82" fillId="2" borderId="147"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82" fillId="2" borderId="77" xfId="0" applyNumberFormat="1" applyFont="1" applyFill="1" applyBorder="1" applyAlignment="1" applyProtection="1">
      <alignment horizontal="center" vertical="center" wrapText="1"/>
    </xf>
    <xf numFmtId="49" fontId="78" fillId="7" borderId="0" xfId="0" applyNumberFormat="1" applyFont="1" applyFill="1" applyBorder="1" applyAlignment="1" applyProtection="1">
      <alignment horizontal="center" vertical="center"/>
      <protection locked="0"/>
    </xf>
    <xf numFmtId="0" fontId="78" fillId="0" borderId="13" xfId="0" applyNumberFormat="1" applyFont="1" applyFill="1" applyBorder="1" applyAlignment="1" applyProtection="1">
      <alignment horizontal="center" vertical="center" wrapText="1"/>
      <protection locked="0"/>
    </xf>
    <xf numFmtId="0" fontId="78" fillId="0" borderId="8" xfId="0" applyNumberFormat="1" applyFont="1" applyFill="1" applyBorder="1" applyAlignment="1" applyProtection="1">
      <alignment horizontal="center" vertical="center" wrapText="1"/>
      <protection locked="0"/>
    </xf>
    <xf numFmtId="0" fontId="78" fillId="0" borderId="143"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8" fillId="7" borderId="0" xfId="0"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78" fillId="7" borderId="0" xfId="0" applyFont="1" applyFill="1" applyBorder="1" applyAlignment="1" applyProtection="1">
      <alignment vertical="center" wrapText="1"/>
      <protection locked="0"/>
    </xf>
    <xf numFmtId="0" fontId="78" fillId="2" borderId="147" xfId="0" applyNumberFormat="1" applyFont="1" applyFill="1" applyBorder="1" applyAlignment="1" applyProtection="1">
      <alignment horizontal="left" vertical="center" wrapText="1"/>
    </xf>
    <xf numFmtId="0" fontId="82" fillId="2" borderId="147" xfId="0" applyNumberFormat="1" applyFont="1" applyFill="1" applyBorder="1" applyAlignment="1" applyProtection="1">
      <alignment horizontal="left" vertical="center" wrapText="1"/>
    </xf>
    <xf numFmtId="0" fontId="82" fillId="2" borderId="149" xfId="0" applyNumberFormat="1" applyFont="1" applyFill="1" applyBorder="1" applyAlignment="1" applyProtection="1">
      <alignment horizontal="center" vertical="center" wrapText="1"/>
    </xf>
    <xf numFmtId="0" fontId="82" fillId="2" borderId="132"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48" fillId="2" borderId="0" xfId="0" applyFont="1" applyFill="1" applyBorder="1" applyAlignment="1" applyProtection="1">
      <alignment vertical="center"/>
      <protection locked="0"/>
    </xf>
    <xf numFmtId="49" fontId="78" fillId="0" borderId="112" xfId="0" applyNumberFormat="1" applyFont="1" applyFill="1" applyBorder="1" applyAlignment="1" applyProtection="1">
      <alignment horizontal="center" vertical="center" wrapText="1"/>
      <protection locked="0"/>
    </xf>
    <xf numFmtId="49" fontId="78" fillId="0" borderId="103" xfId="0" applyNumberFormat="1"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78" fontId="25" fillId="2" borderId="13" xfId="6" applyNumberFormat="1" applyFont="1" applyFill="1" applyBorder="1" applyAlignment="1" applyProtection="1">
      <alignment horizont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3" xfId="0" applyFont="1" applyFill="1" applyBorder="1" applyAlignment="1" applyProtection="1">
      <alignment horizontal="center" vertical="center"/>
    </xf>
    <xf numFmtId="0" fontId="19" fillId="0" borderId="153"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25" fillId="2" borderId="0" xfId="0" applyFont="1" applyFill="1" applyAlignment="1" applyProtection="1"/>
    <xf numFmtId="0" fontId="87"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73" fillId="2" borderId="0" xfId="0" applyNumberFormat="1" applyFont="1" applyFill="1" applyBorder="1" applyAlignment="1" applyProtection="1">
      <alignment horizontal="center"/>
      <protection locked="0"/>
    </xf>
    <xf numFmtId="0" fontId="78" fillId="0" borderId="87"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71" fillId="2" borderId="135" xfId="0" applyFont="1" applyFill="1" applyBorder="1" applyAlignment="1" applyProtection="1">
      <alignment horizontal="right" vertical="center"/>
    </xf>
    <xf numFmtId="0" fontId="71" fillId="2" borderId="1" xfId="0" applyFont="1" applyFill="1" applyBorder="1" applyAlignment="1" applyProtection="1">
      <alignment horizontal="center" vertical="center"/>
    </xf>
    <xf numFmtId="0" fontId="71" fillId="3" borderId="135" xfId="0" applyFont="1" applyFill="1" applyBorder="1" applyAlignment="1" applyProtection="1">
      <alignment vertical="center"/>
      <protection locked="0"/>
    </xf>
    <xf numFmtId="0" fontId="78" fillId="0" borderId="82" xfId="0" applyNumberFormat="1" applyFont="1" applyFill="1" applyBorder="1" applyAlignment="1" applyProtection="1">
      <alignment horizontal="center" vertical="center" wrapText="1"/>
      <protection locked="0"/>
    </xf>
    <xf numFmtId="49" fontId="78" fillId="15" borderId="3" xfId="0" applyNumberFormat="1" applyFont="1" applyFill="1" applyBorder="1" applyAlignment="1" applyProtection="1">
      <alignment horizontal="center" vertical="center" wrapText="1"/>
      <protection locked="0"/>
    </xf>
    <xf numFmtId="185" fontId="78" fillId="0" borderId="6" xfId="0" applyNumberFormat="1" applyFont="1" applyFill="1" applyBorder="1" applyAlignment="1" applyProtection="1">
      <alignment horizontal="center" vertical="center" wrapText="1"/>
      <protection locked="0"/>
    </xf>
    <xf numFmtId="185" fontId="78" fillId="0" borderId="14" xfId="0" applyNumberFormat="1" applyFont="1" applyFill="1" applyBorder="1" applyAlignment="1" applyProtection="1">
      <alignment horizontal="center" vertical="center" wrapText="1"/>
      <protection locked="0"/>
    </xf>
    <xf numFmtId="0" fontId="78" fillId="0" borderId="15" xfId="0" applyNumberFormat="1" applyFont="1" applyFill="1" applyBorder="1" applyAlignment="1" applyProtection="1">
      <alignment horizontal="center" vertical="center" wrapText="1"/>
      <protection locked="0"/>
    </xf>
    <xf numFmtId="0" fontId="74"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181" fontId="71" fillId="2" borderId="0" xfId="0" applyNumberFormat="1" applyFont="1" applyFill="1" applyBorder="1" applyAlignment="1" applyProtection="1">
      <alignment vertical="center"/>
      <protection locked="0"/>
    </xf>
    <xf numFmtId="181" fontId="7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1" fontId="82"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1" fontId="73" fillId="2" borderId="0" xfId="0" applyNumberFormat="1" applyFont="1" applyFill="1" applyBorder="1" applyAlignment="1" applyProtection="1">
      <alignment vertical="center" wrapText="1"/>
      <protection locked="0"/>
    </xf>
    <xf numFmtId="181"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78" fillId="0" borderId="0" xfId="0" applyNumberFormat="1" applyFont="1" applyFill="1" applyBorder="1" applyAlignment="1" applyProtection="1">
      <alignment horizontal="center" vertical="center"/>
      <protection locked="0"/>
    </xf>
    <xf numFmtId="9" fontId="78" fillId="0" borderId="0" xfId="0" applyNumberFormat="1" applyFont="1" applyFill="1" applyBorder="1" applyAlignment="1" applyProtection="1">
      <alignment horizontal="center" vertical="center" wrapText="1"/>
      <protection locked="0"/>
    </xf>
    <xf numFmtId="0" fontId="78" fillId="0" borderId="77" xfId="0" applyNumberFormat="1" applyFont="1" applyFill="1" applyBorder="1" applyAlignment="1" applyProtection="1">
      <alignment horizontal="center" vertical="center" wrapText="1"/>
    </xf>
    <xf numFmtId="0" fontId="78" fillId="0" borderId="143"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wrapText="1"/>
      <protection locked="0"/>
    </xf>
    <xf numFmtId="0" fontId="66" fillId="2" borderId="1" xfId="0" applyFont="1" applyFill="1" applyBorder="1" applyAlignment="1" applyProtection="1">
      <alignment horizontal="center" vertical="center"/>
    </xf>
    <xf numFmtId="0" fontId="73" fillId="2" borderId="146" xfId="0" applyNumberFormat="1" applyFont="1" applyFill="1" applyBorder="1" applyAlignment="1" applyProtection="1">
      <alignment horizontal="center"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7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8" fillId="0" borderId="103" xfId="0" applyNumberFormat="1" applyFont="1" applyFill="1" applyBorder="1" applyAlignment="1" applyProtection="1">
      <alignment horizontal="center" vertical="center" wrapText="1"/>
      <protection locked="0"/>
    </xf>
    <xf numFmtId="0" fontId="78" fillId="0" borderId="79" xfId="0" applyNumberFormat="1" applyFont="1" applyFill="1" applyBorder="1" applyAlignment="1" applyProtection="1">
      <alignment horizontal="center" vertical="center" wrapText="1"/>
      <protection locked="0"/>
    </xf>
    <xf numFmtId="49" fontId="73" fillId="2" borderId="142"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8" fillId="15" borderId="103" xfId="0" applyNumberFormat="1" applyFont="1" applyFill="1" applyBorder="1" applyAlignment="1" applyProtection="1">
      <alignment horizontal="center" vertical="center" wrapText="1"/>
      <protection locked="0"/>
    </xf>
    <xf numFmtId="0" fontId="78" fillId="0" borderId="11" xfId="0"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78" fillId="7" borderId="92" xfId="0" applyNumberFormat="1" applyFont="1" applyFill="1" applyBorder="1" applyAlignment="1" applyProtection="1">
      <alignment horizontal="center" vertical="center"/>
      <protection locked="0"/>
    </xf>
    <xf numFmtId="9" fontId="7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8" fillId="7" borderId="92" xfId="0"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78" fillId="7" borderId="92" xfId="0" applyFont="1" applyFill="1" applyBorder="1" applyAlignment="1" applyProtection="1">
      <alignment vertical="center" wrapText="1"/>
      <protection locked="0"/>
    </xf>
    <xf numFmtId="0" fontId="73" fillId="0" borderId="147" xfId="0" applyNumberFormat="1" applyFont="1" applyFill="1" applyBorder="1" applyAlignment="1" applyProtection="1">
      <alignment horizontal="left" vertical="center" wrapText="1"/>
      <protection locked="0"/>
    </xf>
    <xf numFmtId="0" fontId="73" fillId="0" borderId="149"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9" fontId="73" fillId="7" borderId="0"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111" fillId="2" borderId="0" xfId="0" applyFont="1" applyFill="1" applyBorder="1" applyAlignment="1" applyProtection="1">
      <alignment vertical="center"/>
      <protection locked="0"/>
    </xf>
    <xf numFmtId="49" fontId="7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9" fontId="78" fillId="0" borderId="6" xfId="0" applyNumberFormat="1" applyFont="1" applyFill="1" applyBorder="1" applyAlignment="1" applyProtection="1">
      <alignment horizontal="center" vertical="center" wrapText="1"/>
      <protection locked="0"/>
    </xf>
    <xf numFmtId="0" fontId="74" fillId="2" borderId="18" xfId="0" applyNumberFormat="1" applyFont="1" applyFill="1" applyBorder="1" applyAlignment="1" applyProtection="1">
      <alignment vertical="center" wrapText="1"/>
      <protection locked="0"/>
    </xf>
    <xf numFmtId="191" fontId="78" fillId="2" borderId="142" xfId="0" applyNumberFormat="1" applyFont="1" applyFill="1" applyBorder="1" applyAlignment="1" applyProtection="1">
      <alignment horizontal="center" vertical="center" wrapText="1"/>
    </xf>
    <xf numFmtId="0" fontId="87" fillId="2" borderId="0" xfId="0" applyNumberFormat="1" applyFont="1" applyFill="1" applyBorder="1" applyAlignment="1" applyProtection="1">
      <alignment vertical="center" wrapText="1"/>
    </xf>
    <xf numFmtId="0" fontId="71" fillId="2" borderId="145"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8" fillId="2" borderId="84" xfId="0" applyNumberFormat="1" applyFont="1" applyFill="1" applyBorder="1" applyAlignment="1" applyProtection="1">
      <alignment horizontal="center" vertical="center" wrapText="1"/>
    </xf>
    <xf numFmtId="189" fontId="78" fillId="2" borderId="87" xfId="0" applyNumberFormat="1" applyFont="1" applyFill="1" applyBorder="1" applyAlignment="1" applyProtection="1">
      <alignment horizontal="center" vertical="center" wrapText="1"/>
    </xf>
    <xf numFmtId="0" fontId="7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4" xfId="0" applyNumberFormat="1" applyFont="1" applyFill="1" applyBorder="1" applyAlignment="1" applyProtection="1">
      <alignment horizontal="center" vertical="center" wrapText="1"/>
      <protection locked="0"/>
    </xf>
    <xf numFmtId="0" fontId="47" fillId="2" borderId="155" xfId="0" applyNumberFormat="1" applyFont="1" applyFill="1" applyBorder="1" applyAlignment="1" applyProtection="1">
      <alignment horizontal="center" vertical="center" wrapText="1"/>
    </xf>
    <xf numFmtId="0" fontId="47" fillId="2" borderId="156" xfId="0" applyNumberFormat="1" applyFont="1" applyFill="1" applyBorder="1" applyAlignment="1" applyProtection="1">
      <alignment horizontal="center" vertical="center" wrapText="1"/>
    </xf>
    <xf numFmtId="9" fontId="78" fillId="0" borderId="14" xfId="0" applyNumberFormat="1" applyFont="1" applyFill="1" applyBorder="1" applyAlignment="1" applyProtection="1">
      <alignment horizontal="center" vertical="center" wrapText="1"/>
      <protection locked="0"/>
    </xf>
    <xf numFmtId="189"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9" fontId="73"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78" fillId="0" borderId="70" xfId="0" applyNumberFormat="1" applyFont="1" applyFill="1" applyBorder="1" applyAlignment="1" applyProtection="1">
      <alignment horizontal="center" vertical="center"/>
      <protection locked="0"/>
    </xf>
    <xf numFmtId="9" fontId="7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78"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29"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157"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9"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 applyFont="1" applyFill="1" applyBorder="1" applyAlignment="1" applyProtection="1">
      <alignment vertical="center"/>
    </xf>
    <xf numFmtId="0" fontId="77" fillId="2" borderId="6" xfId="0" applyFont="1" applyFill="1" applyBorder="1" applyAlignment="1">
      <alignment horizontal="left" vertical="center"/>
    </xf>
    <xf numFmtId="0" fontId="77" fillId="7" borderId="0" xfId="0" applyFont="1" applyFill="1" applyBorder="1">
      <alignment vertical="center"/>
    </xf>
    <xf numFmtId="0" fontId="7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1" applyFont="1" applyAlignment="1">
      <alignment horizontal="left"/>
    </xf>
    <xf numFmtId="0" fontId="2" fillId="0" borderId="0" xfId="11" applyFont="1" applyAlignment="1">
      <alignment horizontal="right"/>
    </xf>
    <xf numFmtId="0" fontId="112" fillId="0" borderId="0" xfId="11" applyFont="1" applyAlignment="1">
      <alignment horizontal="left"/>
    </xf>
    <xf numFmtId="0" fontId="112" fillId="0" borderId="0" xfId="11" applyFont="1" applyFill="1" applyAlignment="1" applyProtection="1">
      <alignment horizontal="left"/>
      <protection locked="0"/>
    </xf>
    <xf numFmtId="0" fontId="112" fillId="0" borderId="0" xfId="11" applyFont="1" applyAlignment="1" applyProtection="1">
      <alignment horizontal="left"/>
      <protection locked="0"/>
    </xf>
    <xf numFmtId="0" fontId="113" fillId="0" borderId="0" xfId="11" applyFont="1" applyAlignment="1" applyProtection="1">
      <alignment horizontal="left"/>
      <protection locked="0"/>
    </xf>
    <xf numFmtId="0" fontId="113" fillId="0" borderId="0" xfId="11" applyFont="1" applyAlignment="1" applyProtection="1">
      <alignment horizontal="left" vertical="center"/>
      <protection locked="0"/>
    </xf>
    <xf numFmtId="49" fontId="67" fillId="2" borderId="39" xfId="11" applyNumberFormat="1" applyFont="1" applyFill="1" applyBorder="1" applyAlignment="1" applyProtection="1"/>
    <xf numFmtId="0" fontId="66" fillId="2" borderId="0" xfId="11" applyFont="1" applyFill="1" applyAlignment="1" applyProtection="1">
      <alignment horizontal="center" vertical="center"/>
    </xf>
    <xf numFmtId="0" fontId="25" fillId="2" borderId="0" xfId="11" applyFont="1" applyFill="1" applyBorder="1" applyAlignment="1" applyProtection="1">
      <alignment vertical="center"/>
    </xf>
    <xf numFmtId="49" fontId="47" fillId="2" borderId="0" xfId="11" applyNumberFormat="1" applyFont="1" applyFill="1" applyBorder="1" applyAlignment="1" applyProtection="1">
      <alignment horizontal="center"/>
    </xf>
    <xf numFmtId="0" fontId="47" fillId="2" borderId="0" xfId="11" applyNumberFormat="1" applyFont="1" applyFill="1" applyBorder="1" applyAlignment="1" applyProtection="1">
      <alignment horizontal="center"/>
    </xf>
    <xf numFmtId="0" fontId="47" fillId="0" borderId="0" xfId="11" applyNumberFormat="1" applyFont="1" applyFill="1" applyBorder="1" applyAlignment="1" applyProtection="1">
      <alignment horizontal="center"/>
      <protection locked="0"/>
    </xf>
    <xf numFmtId="180" fontId="64" fillId="2" borderId="7" xfId="11" applyNumberFormat="1" applyFont="1" applyFill="1" applyBorder="1" applyAlignment="1" applyProtection="1">
      <alignment horizontal="right" vertical="center"/>
    </xf>
    <xf numFmtId="0" fontId="25" fillId="3" borderId="0" xfId="11" applyFont="1" applyFill="1" applyBorder="1" applyAlignment="1" applyProtection="1">
      <alignment vertical="center"/>
      <protection locked="0"/>
    </xf>
    <xf numFmtId="185" fontId="25" fillId="0" borderId="0" xfId="11" applyNumberFormat="1" applyFont="1" applyFill="1" applyBorder="1" applyAlignment="1" applyProtection="1">
      <protection locked="0"/>
    </xf>
    <xf numFmtId="49" fontId="29" fillId="2" borderId="0" xfId="11" applyNumberFormat="1" applyFont="1" applyFill="1" applyBorder="1" applyAlignment="1" applyProtection="1"/>
    <xf numFmtId="49" fontId="29" fillId="0" borderId="0" xfId="11" applyNumberFormat="1" applyFont="1" applyFill="1" applyBorder="1" applyAlignment="1" applyProtection="1">
      <protection locked="0"/>
    </xf>
    <xf numFmtId="0" fontId="2" fillId="0" borderId="0" xfId="11" applyFont="1" applyAlignment="1" applyProtection="1">
      <alignment horizontal="left"/>
      <protection locked="0"/>
    </xf>
    <xf numFmtId="0" fontId="29" fillId="2" borderId="12" xfId="6" applyFont="1" applyFill="1" applyBorder="1" applyAlignment="1" applyProtection="1">
      <alignment vertical="center"/>
    </xf>
    <xf numFmtId="0" fontId="64" fillId="2" borderId="12" xfId="11" applyFont="1" applyFill="1" applyBorder="1" applyAlignment="1" applyProtection="1">
      <alignment horizontal="right" vertical="center"/>
    </xf>
    <xf numFmtId="49" fontId="25" fillId="2" borderId="0" xfId="11" applyNumberFormat="1" applyFont="1" applyFill="1" applyBorder="1" applyAlignment="1" applyProtection="1"/>
    <xf numFmtId="0" fontId="2" fillId="2" borderId="7" xfId="11" applyFont="1" applyFill="1" applyBorder="1" applyAlignment="1" applyProtection="1">
      <alignment vertical="center"/>
    </xf>
    <xf numFmtId="0" fontId="25" fillId="0" borderId="7" xfId="11" applyFont="1" applyFill="1" applyBorder="1" applyAlignment="1" applyProtection="1">
      <alignment horizontal="left" vertical="center"/>
      <protection locked="0"/>
    </xf>
    <xf numFmtId="0" fontId="6" fillId="2" borderId="0" xfId="6" applyFont="1" applyFill="1" applyBorder="1" applyAlignment="1" applyProtection="1">
      <alignment vertical="center"/>
    </xf>
    <xf numFmtId="0" fontId="54" fillId="0" borderId="10" xfId="11" applyFont="1" applyFill="1" applyBorder="1" applyAlignment="1" applyProtection="1">
      <alignment horizontal="left" vertical="center"/>
      <protection locked="0"/>
    </xf>
    <xf numFmtId="0" fontId="2" fillId="2" borderId="92" xfId="11" applyFont="1" applyFill="1" applyBorder="1" applyAlignment="1" applyProtection="1">
      <alignment vertical="center"/>
    </xf>
    <xf numFmtId="0" fontId="29" fillId="0" borderId="99" xfId="11" applyFont="1" applyFill="1" applyBorder="1" applyAlignment="1" applyProtection="1">
      <alignment horizontal="left" vertical="center"/>
      <protection locked="0"/>
    </xf>
    <xf numFmtId="0" fontId="29" fillId="2" borderId="138" xfId="11" applyFont="1" applyFill="1" applyBorder="1" applyAlignment="1">
      <alignment vertical="center"/>
    </xf>
    <xf numFmtId="0" fontId="29" fillId="2" borderId="139" xfId="11" applyFont="1" applyFill="1" applyBorder="1" applyAlignment="1">
      <alignment vertical="center"/>
    </xf>
    <xf numFmtId="0" fontId="29" fillId="0" borderId="0" xfId="11" applyFont="1" applyFill="1" applyBorder="1" applyAlignment="1" applyProtection="1">
      <alignment vertical="center"/>
      <protection locked="0"/>
    </xf>
    <xf numFmtId="0" fontId="29" fillId="2" borderId="129" xfId="11" applyFont="1" applyFill="1" applyBorder="1" applyAlignment="1">
      <alignment horizontal="left" vertical="center"/>
    </xf>
    <xf numFmtId="0" fontId="29" fillId="2" borderId="39" xfId="11" applyFont="1" applyFill="1" applyBorder="1" applyAlignment="1">
      <alignment horizontal="left" vertical="center"/>
    </xf>
    <xf numFmtId="0" fontId="29" fillId="2" borderId="103" xfId="11" applyFont="1" applyFill="1" applyBorder="1" applyAlignment="1">
      <alignment horizontal="left" vertical="center"/>
    </xf>
    <xf numFmtId="180" fontId="29" fillId="2" borderId="102" xfId="11" applyNumberFormat="1" applyFont="1" applyFill="1" applyBorder="1" applyAlignment="1">
      <alignment horizontal="left" vertical="center"/>
    </xf>
    <xf numFmtId="10" fontId="29" fillId="2" borderId="39" xfId="11" applyNumberFormat="1" applyFont="1" applyFill="1" applyBorder="1" applyAlignment="1">
      <alignment horizontal="left" vertical="center"/>
    </xf>
    <xf numFmtId="180" fontId="29" fillId="2" borderId="128" xfId="11" applyNumberFormat="1" applyFont="1" applyFill="1" applyBorder="1" applyAlignment="1">
      <alignment horizontal="left" vertical="center"/>
    </xf>
    <xf numFmtId="180" fontId="29" fillId="0" borderId="0" xfId="11" applyNumberFormat="1" applyFont="1" applyFill="1" applyBorder="1" applyAlignment="1" applyProtection="1">
      <alignment horizontal="left" vertical="center"/>
      <protection locked="0"/>
    </xf>
    <xf numFmtId="0" fontId="29" fillId="2" borderId="6" xfId="11" applyFont="1" applyFill="1" applyBorder="1" applyAlignment="1">
      <alignment horizontal="left" vertical="center"/>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180" fontId="29" fillId="2" borderId="7" xfId="11" applyNumberFormat="1" applyFont="1" applyFill="1" applyBorder="1" applyAlignment="1">
      <alignment horizontal="left" vertical="center"/>
    </xf>
    <xf numFmtId="0" fontId="29" fillId="2" borderId="7" xfId="11" applyFont="1" applyFill="1" applyBorder="1" applyAlignment="1">
      <alignment horizontal="left" vertical="center"/>
    </xf>
    <xf numFmtId="0" fontId="29" fillId="2" borderId="8" xfId="11" applyFont="1" applyFill="1" applyBorder="1" applyAlignment="1">
      <alignment horizontal="left" vertical="center"/>
    </xf>
    <xf numFmtId="0" fontId="29" fillId="0" borderId="0" xfId="11" applyFont="1" applyFill="1" applyBorder="1" applyAlignment="1" applyProtection="1">
      <alignment horizontal="left" vertical="center"/>
      <protection locked="0"/>
    </xf>
    <xf numFmtId="9" fontId="29" fillId="0" borderId="7" xfId="11" applyNumberFormat="1" applyFont="1" applyFill="1" applyBorder="1" applyAlignment="1" applyProtection="1">
      <alignment horizontal="left" vertical="center"/>
      <protection locked="0"/>
    </xf>
    <xf numFmtId="0" fontId="29" fillId="2" borderId="8" xfId="11" applyFont="1" applyFill="1" applyBorder="1" applyAlignment="1">
      <alignment vertical="center"/>
    </xf>
    <xf numFmtId="181" fontId="29" fillId="2" borderId="7" xfId="11" applyNumberFormat="1" applyFont="1" applyFill="1" applyBorder="1" applyAlignment="1">
      <alignment horizontal="left" vertical="center"/>
    </xf>
    <xf numFmtId="49" fontId="25" fillId="2" borderId="6" xfId="11" applyNumberFormat="1" applyFont="1" applyFill="1" applyBorder="1" applyAlignment="1">
      <alignment horizontal="left" vertical="center"/>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180" fontId="25" fillId="2" borderId="7" xfId="11" applyNumberFormat="1" applyFont="1" applyFill="1" applyBorder="1" applyAlignment="1">
      <alignment horizontal="left" vertical="center"/>
    </xf>
    <xf numFmtId="181" fontId="25" fillId="2" borderId="7" xfId="11" applyNumberFormat="1" applyFont="1" applyFill="1" applyBorder="1" applyAlignment="1">
      <alignment horizontal="left" vertical="center"/>
    </xf>
    <xf numFmtId="0" fontId="2" fillId="2" borderId="14" xfId="11" applyFont="1" applyFill="1" applyBorder="1" applyAlignment="1">
      <alignment horizontal="right" vertical="center"/>
    </xf>
    <xf numFmtId="185" fontId="25" fillId="0" borderId="7" xfId="11" applyNumberFormat="1" applyFont="1" applyFill="1" applyBorder="1" applyAlignment="1" applyProtection="1">
      <alignment horizontal="left" vertical="center"/>
      <protection locked="0"/>
    </xf>
    <xf numFmtId="181" fontId="25" fillId="2" borderId="14" xfId="11" applyNumberFormat="1" applyFont="1" applyFill="1" applyBorder="1" applyAlignment="1">
      <alignment horizontal="right" vertical="center"/>
    </xf>
    <xf numFmtId="178" fontId="25" fillId="0" borderId="7" xfId="11" applyNumberFormat="1" applyFont="1" applyFill="1" applyBorder="1" applyAlignment="1" applyProtection="1">
      <alignment horizontal="left" vertical="center"/>
      <protection locked="0"/>
    </xf>
    <xf numFmtId="180" fontId="25" fillId="0" borderId="7" xfId="11" applyNumberFormat="1" applyFont="1" applyFill="1" applyBorder="1" applyAlignment="1" applyProtection="1">
      <alignment horizontal="left" vertical="center"/>
      <protection locked="0"/>
    </xf>
    <xf numFmtId="181" fontId="25" fillId="0" borderId="7" xfId="11" applyNumberFormat="1" applyFont="1" applyFill="1" applyBorder="1" applyAlignment="1" applyProtection="1">
      <alignment horizontal="left" vertical="center"/>
      <protection locked="0"/>
    </xf>
    <xf numFmtId="0" fontId="29" fillId="2" borderId="9" xfId="11" applyFont="1" applyFill="1" applyBorder="1" applyAlignment="1">
      <alignment horizontal="left" vertical="center"/>
    </xf>
    <xf numFmtId="180" fontId="29" fillId="2" borderId="10" xfId="11" applyNumberFormat="1" applyFont="1" applyFill="1" applyBorder="1" applyAlignment="1">
      <alignment horizontal="left" vertical="center"/>
    </xf>
    <xf numFmtId="181" fontId="29" fillId="0" borderId="10" xfId="11" applyNumberFormat="1" applyFont="1" applyFill="1" applyBorder="1" applyAlignment="1" applyProtection="1">
      <alignment horizontal="left" vertical="center"/>
      <protection locked="0"/>
    </xf>
    <xf numFmtId="0" fontId="29" fillId="2" borderId="11" xfId="11" applyFont="1" applyFill="1" applyBorder="1" applyAlignment="1">
      <alignment vertical="center"/>
    </xf>
    <xf numFmtId="180" fontId="29" fillId="2" borderId="39" xfId="11" applyNumberFormat="1" applyFont="1" applyFill="1" applyBorder="1" applyAlignment="1">
      <alignment horizontal="left" vertical="center"/>
    </xf>
    <xf numFmtId="181" fontId="29" fillId="0" borderId="39" xfId="11" applyNumberFormat="1" applyFont="1" applyFill="1" applyBorder="1" applyAlignment="1" applyProtection="1">
      <alignment horizontal="left" vertical="center"/>
      <protection locked="0"/>
    </xf>
    <xf numFmtId="0" fontId="29" fillId="2" borderId="71" xfId="11" applyFont="1" applyFill="1" applyBorder="1" applyAlignment="1">
      <alignment vertical="center"/>
    </xf>
    <xf numFmtId="0" fontId="29" fillId="2" borderId="137" xfId="11" applyFont="1" applyFill="1" applyBorder="1" applyAlignment="1">
      <alignment vertical="center"/>
    </xf>
    <xf numFmtId="0" fontId="29" fillId="2" borderId="128" xfId="11" applyFont="1" applyFill="1" applyBorder="1" applyAlignment="1">
      <alignment horizontal="left" vertical="center"/>
    </xf>
    <xf numFmtId="0" fontId="29" fillId="2" borderId="160" xfId="11" applyFont="1" applyFill="1" applyBorder="1" applyAlignment="1">
      <alignment horizontal="left" vertical="center"/>
    </xf>
    <xf numFmtId="0" fontId="27" fillId="0" borderId="13" xfId="11" applyFont="1" applyFill="1" applyBorder="1" applyAlignment="1" applyProtection="1">
      <alignment horizontal="left" vertical="center"/>
      <protection locked="0"/>
    </xf>
    <xf numFmtId="0" fontId="27" fillId="0" borderId="160" xfId="11" applyFont="1" applyFill="1" applyBorder="1" applyAlignment="1" applyProtection="1">
      <alignment horizontal="left" vertical="center"/>
      <protection locked="0"/>
    </xf>
    <xf numFmtId="0" fontId="27" fillId="0" borderId="14" xfId="11" applyFont="1" applyFill="1" applyBorder="1" applyAlignment="1" applyProtection="1">
      <alignment horizontal="left" vertical="center"/>
      <protection locked="0"/>
    </xf>
    <xf numFmtId="0" fontId="25" fillId="0" borderId="0" xfId="11" applyFont="1" applyFill="1" applyBorder="1" applyAlignment="1" applyProtection="1">
      <alignment horizontal="left" vertical="center"/>
      <protection locked="0"/>
    </xf>
    <xf numFmtId="0" fontId="25" fillId="2" borderId="86" xfId="11" applyFont="1" applyFill="1" applyBorder="1" applyAlignment="1">
      <alignment horizontal="left" vertical="center"/>
    </xf>
    <xf numFmtId="0" fontId="25" fillId="2" borderId="7" xfId="11" applyFont="1" applyFill="1" applyBorder="1" applyAlignment="1">
      <alignment horizontal="left" vertical="center"/>
    </xf>
    <xf numFmtId="180" fontId="25" fillId="2" borderId="13" xfId="11" applyNumberFormat="1" applyFont="1" applyFill="1" applyBorder="1" applyAlignment="1">
      <alignment horizontal="left" vertical="center"/>
    </xf>
    <xf numFmtId="180" fontId="25" fillId="2" borderId="160" xfId="11" applyNumberFormat="1" applyFont="1" applyFill="1" applyBorder="1" applyAlignment="1">
      <alignment horizontal="left" vertical="center"/>
    </xf>
    <xf numFmtId="180" fontId="25" fillId="2" borderId="14" xfId="11" applyNumberFormat="1" applyFont="1" applyFill="1" applyBorder="1" applyAlignment="1">
      <alignment horizontal="left" vertical="center"/>
    </xf>
    <xf numFmtId="0" fontId="25" fillId="2" borderId="8" xfId="11" applyFont="1" applyFill="1" applyBorder="1" applyAlignment="1">
      <alignment horizontal="left" vertical="center"/>
    </xf>
    <xf numFmtId="0" fontId="25" fillId="0" borderId="0" xfId="11" applyFont="1" applyFill="1" applyBorder="1" applyAlignment="1" applyProtection="1">
      <alignment horizontal="right" vertical="center"/>
      <protection locked="0"/>
    </xf>
    <xf numFmtId="0" fontId="25" fillId="2" borderId="86" xfId="11" applyFont="1" applyFill="1" applyBorder="1" applyAlignment="1">
      <alignment horizontal="right" vertical="center"/>
    </xf>
    <xf numFmtId="0" fontId="25" fillId="2" borderId="7" xfId="11" applyFont="1" applyFill="1" applyBorder="1" applyAlignment="1">
      <alignment horizontal="right" vertical="center"/>
    </xf>
    <xf numFmtId="180" fontId="25" fillId="2" borderId="13" xfId="11" applyNumberFormat="1" applyFont="1" applyFill="1" applyBorder="1" applyAlignment="1">
      <alignment horizontal="right" vertical="center"/>
    </xf>
    <xf numFmtId="181" fontId="25" fillId="0" borderId="160" xfId="11" applyNumberFormat="1" applyFont="1" applyFill="1" applyBorder="1" applyAlignment="1" applyProtection="1">
      <alignment horizontal="right" vertical="center"/>
      <protection locked="0"/>
    </xf>
    <xf numFmtId="181" fontId="25" fillId="0" borderId="14" xfId="11" applyNumberFormat="1" applyFont="1" applyFill="1" applyBorder="1" applyAlignment="1" applyProtection="1">
      <alignment horizontal="right" vertical="center"/>
      <protection locked="0"/>
    </xf>
    <xf numFmtId="0" fontId="25" fillId="2" borderId="8" xfId="11" applyFont="1" applyFill="1" applyBorder="1" applyAlignment="1">
      <alignment horizontal="right" vertical="center"/>
    </xf>
    <xf numFmtId="181" fontId="25" fillId="2" borderId="13" xfId="11" applyNumberFormat="1" applyFont="1" applyFill="1" applyBorder="1" applyAlignment="1">
      <alignment horizontal="right" vertical="center"/>
    </xf>
    <xf numFmtId="0" fontId="2" fillId="0" borderId="0" xfId="11" applyFont="1" applyAlignment="1" applyProtection="1">
      <alignment horizontal="right"/>
      <protection locked="0"/>
    </xf>
    <xf numFmtId="181" fontId="25" fillId="2" borderId="160" xfId="11" applyNumberFormat="1" applyFont="1" applyFill="1" applyBorder="1" applyAlignment="1">
      <alignment horizontal="right" vertical="center"/>
    </xf>
    <xf numFmtId="181" fontId="25" fillId="0" borderId="13" xfId="11" applyNumberFormat="1" applyFont="1" applyFill="1" applyBorder="1" applyAlignment="1" applyProtection="1">
      <alignment horizontal="right" vertical="center"/>
      <protection locked="0"/>
    </xf>
    <xf numFmtId="0" fontId="25" fillId="2" borderId="160" xfId="11" applyFont="1" applyFill="1" applyBorder="1" applyAlignment="1">
      <alignment horizontal="left" vertical="center"/>
    </xf>
    <xf numFmtId="10" fontId="25" fillId="0" borderId="13" xfId="11" applyNumberFormat="1" applyFont="1" applyFill="1" applyBorder="1" applyAlignment="1" applyProtection="1">
      <alignment horizontal="left" vertical="center"/>
      <protection locked="0"/>
    </xf>
    <xf numFmtId="10" fontId="25" fillId="0" borderId="160" xfId="11" applyNumberFormat="1" applyFont="1" applyFill="1" applyBorder="1" applyAlignment="1" applyProtection="1">
      <alignment horizontal="left" vertical="center"/>
      <protection locked="0"/>
    </xf>
    <xf numFmtId="10" fontId="25" fillId="0" borderId="14" xfId="11" applyNumberFormat="1" applyFont="1" applyFill="1" applyBorder="1" applyAlignment="1" applyProtection="1">
      <alignment horizontal="left" vertical="center"/>
      <protection locked="0"/>
    </xf>
    <xf numFmtId="181" fontId="25" fillId="0" borderId="13" xfId="11" applyNumberFormat="1" applyFont="1" applyFill="1" applyBorder="1" applyAlignment="1" applyProtection="1">
      <alignment horizontal="left" vertical="center"/>
      <protection locked="0"/>
    </xf>
    <xf numFmtId="181" fontId="25" fillId="0" borderId="160" xfId="11" applyNumberFormat="1" applyFont="1" applyFill="1" applyBorder="1" applyAlignment="1" applyProtection="1">
      <alignment horizontal="left" vertical="center"/>
      <protection locked="0"/>
    </xf>
    <xf numFmtId="181" fontId="25" fillId="0" borderId="14" xfId="11" applyNumberFormat="1" applyFont="1" applyFill="1" applyBorder="1" applyAlignment="1" applyProtection="1">
      <alignment horizontal="left" vertical="center"/>
      <protection locked="0"/>
    </xf>
    <xf numFmtId="185" fontId="25" fillId="0" borderId="0" xfId="11" applyNumberFormat="1" applyFont="1" applyFill="1" applyBorder="1" applyAlignment="1" applyProtection="1">
      <alignment horizontal="left" vertical="center"/>
      <protection locked="0"/>
    </xf>
    <xf numFmtId="0" fontId="25" fillId="2" borderId="10" xfId="11" applyFont="1" applyFill="1" applyBorder="1" applyAlignment="1">
      <alignment horizontal="left" vertical="center"/>
    </xf>
    <xf numFmtId="185" fontId="25" fillId="0" borderId="75" xfId="11" applyNumberFormat="1" applyFont="1" applyFill="1" applyBorder="1" applyAlignment="1" applyProtection="1">
      <alignment horizontal="left" vertical="center"/>
      <protection locked="0"/>
    </xf>
    <xf numFmtId="185" fontId="25" fillId="0" borderId="161" xfId="11" applyNumberFormat="1" applyFont="1" applyFill="1" applyBorder="1" applyAlignment="1" applyProtection="1">
      <alignment horizontal="left" vertical="center"/>
      <protection locked="0"/>
    </xf>
    <xf numFmtId="185" fontId="25" fillId="0" borderId="96" xfId="11" applyNumberFormat="1" applyFont="1" applyFill="1" applyBorder="1" applyAlignment="1" applyProtection="1">
      <alignment horizontal="left" vertical="center"/>
      <protection locked="0"/>
    </xf>
    <xf numFmtId="185" fontId="25" fillId="2" borderId="8" xfId="11" applyNumberFormat="1" applyFont="1" applyFill="1" applyBorder="1" applyAlignment="1">
      <alignment horizontal="left" vertical="center"/>
    </xf>
    <xf numFmtId="0" fontId="25" fillId="0" borderId="0" xfId="11" applyFont="1" applyFill="1" applyBorder="1" applyAlignment="1" applyProtection="1">
      <alignment horizontal="left"/>
      <protection locked="0"/>
    </xf>
    <xf numFmtId="0" fontId="25" fillId="2" borderId="6" xfId="11" applyFont="1" applyFill="1" applyBorder="1" applyAlignment="1">
      <alignment horizontal="left" vertical="center"/>
    </xf>
    <xf numFmtId="180" fontId="25" fillId="2" borderId="7" xfId="11" applyNumberFormat="1" applyFont="1" applyFill="1" applyBorder="1" applyAlignment="1">
      <alignment horizontal="left"/>
    </xf>
    <xf numFmtId="0" fontId="25" fillId="2" borderId="7" xfId="11" applyFont="1" applyFill="1" applyBorder="1" applyAlignment="1">
      <alignment horizontal="left"/>
    </xf>
    <xf numFmtId="0" fontId="25" fillId="2" borderId="8" xfId="11" applyFont="1" applyFill="1" applyBorder="1" applyAlignment="1">
      <alignment horizontal="left"/>
    </xf>
    <xf numFmtId="0" fontId="25" fillId="2" borderId="9" xfId="11" applyFont="1" applyFill="1" applyBorder="1" applyAlignment="1">
      <alignment horizontal="left" vertical="center"/>
    </xf>
    <xf numFmtId="180" fontId="25" fillId="2" borderId="10" xfId="11" applyNumberFormat="1" applyFont="1" applyFill="1" applyBorder="1" applyAlignment="1">
      <alignment horizontal="left" vertical="center"/>
    </xf>
    <xf numFmtId="0" fontId="25" fillId="2" borderId="10" xfId="11" applyFont="1" applyFill="1" applyBorder="1" applyAlignment="1">
      <alignment horizontal="left"/>
    </xf>
    <xf numFmtId="0" fontId="25" fillId="2" borderId="11" xfId="11" applyFont="1" applyFill="1" applyBorder="1" applyAlignment="1">
      <alignment horizontal="left" vertical="center"/>
    </xf>
    <xf numFmtId="0" fontId="2" fillId="0" borderId="0" xfId="11" applyFont="1" applyFill="1" applyAlignment="1" applyProtection="1">
      <alignment horizontal="left"/>
      <protection locked="0"/>
    </xf>
    <xf numFmtId="0" fontId="29" fillId="3" borderId="105" xfId="11" applyFont="1" applyFill="1" applyBorder="1" applyAlignment="1" applyProtection="1">
      <alignment vertical="center"/>
      <protection locked="0"/>
    </xf>
    <xf numFmtId="0" fontId="29" fillId="3" borderId="73" xfId="11" applyFont="1" applyFill="1" applyBorder="1" applyAlignment="1" applyProtection="1">
      <alignment vertical="center"/>
      <protection locked="0"/>
    </xf>
    <xf numFmtId="0" fontId="25" fillId="0" borderId="0" xfId="11" applyFont="1" applyAlignment="1" applyProtection="1">
      <alignment horizontal="left"/>
      <protection locked="0"/>
    </xf>
    <xf numFmtId="0" fontId="29" fillId="0" borderId="7" xfId="11" applyFont="1" applyFill="1" applyBorder="1" applyAlignment="1" applyProtection="1">
      <alignment horizontal="left" vertical="center"/>
      <protection locked="0"/>
    </xf>
    <xf numFmtId="178" fontId="19" fillId="0" borderId="7" xfId="6" applyNumberFormat="1" applyFont="1" applyBorder="1" applyAlignment="1" applyProtection="1">
      <alignment horizontal="left" vertical="center"/>
      <protection locked="0" hidden="1"/>
    </xf>
    <xf numFmtId="0" fontId="25" fillId="0" borderId="12" xfId="11" applyFont="1" applyFill="1" applyBorder="1" applyAlignment="1" applyProtection="1">
      <alignment horizontal="left" vertical="center"/>
      <protection locked="0"/>
    </xf>
    <xf numFmtId="0" fontId="17" fillId="2" borderId="86" xfId="11" applyFont="1" applyFill="1" applyBorder="1" applyAlignment="1" applyProtection="1">
      <alignment vertical="center"/>
      <protection locked="0"/>
    </xf>
    <xf numFmtId="0" fontId="17" fillId="2" borderId="15" xfId="11" applyFont="1" applyFill="1" applyBorder="1" applyAlignment="1" applyProtection="1">
      <alignment vertical="center"/>
      <protection locked="0"/>
    </xf>
    <xf numFmtId="0" fontId="29" fillId="2" borderId="15" xfId="11" applyFont="1" applyFill="1" applyBorder="1" applyAlignment="1" applyProtection="1">
      <alignment vertical="center"/>
      <protection locked="0"/>
    </xf>
    <xf numFmtId="0" fontId="29" fillId="2" borderId="6" xfId="11" applyFont="1" applyFill="1" applyBorder="1" applyAlignment="1" applyProtection="1">
      <alignment horizontal="left" vertical="center" wrapText="1"/>
      <protection locked="0"/>
    </xf>
    <xf numFmtId="0" fontId="25" fillId="2" borderId="13" xfId="11" applyFont="1" applyFill="1" applyBorder="1" applyAlignment="1" applyProtection="1">
      <alignment vertical="center"/>
      <protection locked="0"/>
    </xf>
    <xf numFmtId="0" fontId="25" fillId="2" borderId="7" xfId="11" applyFont="1" applyFill="1" applyBorder="1" applyAlignment="1" applyProtection="1">
      <alignment horizontal="left" vertical="center"/>
      <protection locked="0"/>
    </xf>
    <xf numFmtId="0" fontId="25" fillId="0" borderId="13" xfId="11" applyFont="1" applyFill="1" applyBorder="1" applyAlignment="1" applyProtection="1">
      <alignment vertical="center"/>
      <protection locked="0"/>
    </xf>
    <xf numFmtId="0" fontId="19" fillId="0" borderId="7" xfId="11" applyFont="1" applyFill="1" applyBorder="1" applyAlignment="1" applyProtection="1">
      <alignment horizontal="left" vertical="center"/>
      <protection locked="0"/>
    </xf>
    <xf numFmtId="9" fontId="25" fillId="0" borderId="7" xfId="11" applyNumberFormat="1" applyFont="1" applyFill="1" applyBorder="1" applyAlignment="1" applyProtection="1">
      <alignment horizontal="left" vertical="center"/>
      <protection locked="0"/>
    </xf>
    <xf numFmtId="0" fontId="29" fillId="2" borderId="13" xfId="11" applyFont="1" applyFill="1" applyBorder="1" applyAlignment="1" applyProtection="1">
      <alignment vertical="center"/>
      <protection locked="0"/>
    </xf>
    <xf numFmtId="0" fontId="17" fillId="2" borderId="7" xfId="11" applyFont="1" applyFill="1" applyBorder="1" applyAlignment="1" applyProtection="1">
      <alignment horizontal="left" vertical="center"/>
      <protection locked="0"/>
    </xf>
    <xf numFmtId="9" fontId="29" fillId="2" borderId="7" xfId="11" applyNumberFormat="1" applyFont="1" applyFill="1" applyBorder="1" applyAlignment="1" applyProtection="1">
      <alignment horizontal="left" vertical="center"/>
      <protection locked="0"/>
    </xf>
    <xf numFmtId="178" fontId="25" fillId="3" borderId="7" xfId="11" applyNumberFormat="1" applyFont="1" applyFill="1" applyBorder="1" applyAlignment="1" applyProtection="1">
      <alignment horizontal="left" vertical="center"/>
      <protection locked="0"/>
    </xf>
    <xf numFmtId="0" fontId="19" fillId="0" borderId="7" xfId="11" applyFont="1" applyFill="1" applyBorder="1" applyAlignment="1" applyProtection="1">
      <alignment horizontal="left" vertical="center" wrapText="1"/>
      <protection locked="0"/>
    </xf>
    <xf numFmtId="0" fontId="29" fillId="2" borderId="13" xfId="11" applyFont="1" applyFill="1" applyBorder="1" applyAlignment="1" applyProtection="1">
      <alignment vertical="center" wrapText="1"/>
      <protection locked="0"/>
    </xf>
    <xf numFmtId="0" fontId="29" fillId="2" borderId="15" xfId="11" applyFont="1" applyFill="1" applyBorder="1" applyAlignment="1" applyProtection="1">
      <alignment vertical="center" wrapText="1"/>
      <protection locked="0"/>
    </xf>
    <xf numFmtId="0" fontId="29" fillId="2" borderId="14" xfId="11" applyFont="1" applyFill="1" applyBorder="1" applyAlignment="1" applyProtection="1">
      <alignment vertical="center" wrapText="1"/>
      <protection locked="0"/>
    </xf>
    <xf numFmtId="0" fontId="17" fillId="2" borderId="93" xfId="11" applyFont="1" applyFill="1" applyBorder="1" applyAlignment="1" applyProtection="1">
      <alignment vertical="center"/>
      <protection locked="0"/>
    </xf>
    <xf numFmtId="0" fontId="17" fillId="2" borderId="38" xfId="11" applyFont="1" applyFill="1" applyBorder="1" applyAlignment="1" applyProtection="1">
      <alignment vertical="center"/>
      <protection locked="0"/>
    </xf>
    <xf numFmtId="0" fontId="17" fillId="2" borderId="94" xfId="11" applyFont="1" applyFill="1" applyBorder="1" applyAlignment="1" applyProtection="1">
      <alignment vertical="center"/>
      <protection locked="0"/>
    </xf>
    <xf numFmtId="0" fontId="19" fillId="2" borderId="7" xfId="11" applyFont="1" applyFill="1" applyBorder="1" applyAlignment="1" applyProtection="1">
      <alignment horizontal="left" vertical="center"/>
      <protection locked="0"/>
    </xf>
    <xf numFmtId="9" fontId="19" fillId="2" borderId="7" xfId="11" applyNumberFormat="1" applyFont="1" applyFill="1" applyBorder="1" applyAlignment="1" applyProtection="1">
      <alignment horizontal="left" vertical="center"/>
      <protection locked="0"/>
    </xf>
    <xf numFmtId="0" fontId="25" fillId="0" borderId="0" xfId="11" applyFont="1" applyAlignment="1" applyProtection="1">
      <alignment horizontal="right"/>
      <protection locked="0"/>
    </xf>
    <xf numFmtId="0" fontId="17" fillId="2" borderId="102" xfId="11" applyFont="1" applyFill="1" applyBorder="1" applyAlignment="1" applyProtection="1">
      <alignment vertical="center"/>
      <protection locked="0"/>
    </xf>
    <xf numFmtId="0" fontId="17" fillId="2" borderId="39" xfId="11" applyFont="1" applyFill="1" applyBorder="1" applyAlignment="1" applyProtection="1">
      <alignment vertical="center"/>
      <protection locked="0"/>
    </xf>
    <xf numFmtId="0" fontId="17" fillId="2" borderId="103" xfId="11" applyFont="1" applyFill="1" applyBorder="1" applyAlignment="1" applyProtection="1">
      <alignment vertical="center"/>
      <protection locked="0"/>
    </xf>
    <xf numFmtId="0" fontId="17" fillId="0" borderId="7" xfId="11" applyFont="1" applyFill="1" applyBorder="1" applyAlignment="1" applyProtection="1">
      <alignment horizontal="left" vertical="center"/>
      <protection locked="0"/>
    </xf>
    <xf numFmtId="0" fontId="6" fillId="2" borderId="79" xfId="11" applyFont="1" applyFill="1" applyBorder="1" applyAlignment="1" applyProtection="1">
      <alignment horizontal="left" vertical="center" wrapText="1"/>
      <protection locked="0"/>
    </xf>
    <xf numFmtId="0" fontId="4" fillId="2" borderId="77" xfId="11" applyFont="1" applyFill="1" applyBorder="1" applyAlignment="1" applyProtection="1">
      <alignment vertical="center"/>
      <protection locked="0"/>
    </xf>
    <xf numFmtId="0" fontId="2" fillId="2" borderId="77" xfId="11" applyFont="1" applyFill="1" applyBorder="1" applyAlignment="1" applyProtection="1">
      <alignment vertical="center"/>
      <protection locked="0"/>
    </xf>
    <xf numFmtId="0" fontId="114" fillId="0" borderId="77" xfId="11" applyFill="1" applyBorder="1" applyAlignment="1" applyProtection="1">
      <alignment horizontal="left" vertical="center"/>
      <protection locked="0"/>
    </xf>
    <xf numFmtId="9" fontId="25" fillId="0" borderId="10" xfId="11" applyNumberFormat="1" applyFont="1" applyFill="1" applyBorder="1" applyAlignment="1" applyProtection="1">
      <alignment horizontal="left" vertical="center"/>
      <protection locked="0"/>
    </xf>
    <xf numFmtId="0" fontId="25" fillId="0" borderId="0" xfId="11" applyFont="1" applyFill="1" applyAlignment="1" applyProtection="1">
      <alignment horizontal="left" vertical="center"/>
      <protection locked="0"/>
    </xf>
    <xf numFmtId="0" fontId="6" fillId="2" borderId="77" xfId="11" applyFont="1" applyFill="1" applyBorder="1" applyAlignment="1" applyProtection="1">
      <alignment vertical="center"/>
      <protection locked="0"/>
    </xf>
    <xf numFmtId="0" fontId="29" fillId="3" borderId="116" xfId="11" applyFont="1" applyFill="1" applyBorder="1" applyAlignment="1" applyProtection="1">
      <alignment vertical="center"/>
      <protection locked="0"/>
    </xf>
    <xf numFmtId="0" fontId="25" fillId="0" borderId="0" xfId="11" applyFont="1" applyAlignment="1" applyProtection="1">
      <alignment horizontal="left" vertical="center"/>
      <protection locked="0"/>
    </xf>
    <xf numFmtId="0" fontId="29" fillId="0" borderId="8" xfId="11" applyFont="1" applyFill="1" applyBorder="1" applyAlignment="1" applyProtection="1">
      <alignment horizontal="left" vertical="center"/>
      <protection locked="0"/>
    </xf>
    <xf numFmtId="0" fontId="29" fillId="2" borderId="8" xfId="11" applyFont="1" applyFill="1" applyBorder="1" applyAlignment="1" applyProtection="1">
      <alignment horizontal="left" vertical="center"/>
      <protection locked="0"/>
    </xf>
    <xf numFmtId="178" fontId="19" fillId="0" borderId="8" xfId="6" applyNumberFormat="1" applyFont="1" applyBorder="1" applyAlignment="1" applyProtection="1">
      <alignment horizontal="left" vertical="center"/>
      <protection locked="0" hidden="1"/>
    </xf>
    <xf numFmtId="178" fontId="25" fillId="2" borderId="8" xfId="11" applyNumberFormat="1" applyFont="1" applyFill="1" applyBorder="1" applyAlignment="1" applyProtection="1">
      <alignment horizontal="left" vertical="center"/>
      <protection locked="0"/>
    </xf>
    <xf numFmtId="0" fontId="25" fillId="0" borderId="69" xfId="11" applyFont="1" applyFill="1" applyBorder="1" applyAlignment="1" applyProtection="1">
      <alignment horizontal="left" vertical="center"/>
      <protection locked="0"/>
    </xf>
    <xf numFmtId="0" fontId="25" fillId="2" borderId="69" xfId="11" applyFont="1" applyFill="1" applyBorder="1" applyAlignment="1" applyProtection="1">
      <alignment horizontal="left" vertical="center"/>
      <protection locked="0"/>
    </xf>
    <xf numFmtId="0" fontId="25" fillId="0" borderId="8" xfId="11" applyFont="1" applyFill="1" applyBorder="1" applyAlignment="1" applyProtection="1">
      <alignment horizontal="left" vertical="center"/>
      <protection locked="0"/>
    </xf>
    <xf numFmtId="178" fontId="29" fillId="2" borderId="7" xfId="11" applyNumberFormat="1" applyFont="1" applyFill="1" applyBorder="1" applyAlignment="1" applyProtection="1">
      <alignment horizontal="left" vertical="center"/>
      <protection locked="0"/>
    </xf>
    <xf numFmtId="178" fontId="25" fillId="0" borderId="8" xfId="11" applyNumberFormat="1" applyFont="1" applyFill="1" applyBorder="1" applyAlignment="1" applyProtection="1">
      <alignment horizontal="left" vertical="center"/>
      <protection locked="0"/>
    </xf>
    <xf numFmtId="0" fontId="17" fillId="2" borderId="8" xfId="11" applyFont="1" applyFill="1" applyBorder="1" applyAlignment="1" applyProtection="1">
      <alignment horizontal="left" vertical="center"/>
      <protection locked="0"/>
    </xf>
    <xf numFmtId="0" fontId="19" fillId="0" borderId="8" xfId="11" applyFont="1" applyFill="1" applyBorder="1" applyAlignment="1" applyProtection="1">
      <alignment horizontal="left" vertical="center"/>
      <protection locked="0"/>
    </xf>
    <xf numFmtId="9" fontId="19" fillId="0" borderId="7" xfId="11" applyNumberFormat="1" applyFont="1" applyFill="1" applyBorder="1" applyAlignment="1" applyProtection="1">
      <alignment horizontal="left" vertical="center"/>
      <protection locked="0"/>
    </xf>
    <xf numFmtId="0" fontId="29" fillId="0" borderId="0" xfId="11" applyFont="1" applyFill="1" applyAlignment="1" applyProtection="1">
      <alignment horizontal="left" vertical="center"/>
      <protection locked="0"/>
    </xf>
    <xf numFmtId="9" fontId="17" fillId="0" borderId="7" xfId="11" applyNumberFormat="1" applyFont="1" applyFill="1" applyBorder="1" applyAlignment="1" applyProtection="1">
      <alignment horizontal="left" vertical="center"/>
      <protection locked="0"/>
    </xf>
    <xf numFmtId="181" fontId="19" fillId="0" borderId="10" xfId="11" applyNumberFormat="1" applyFont="1" applyFill="1" applyBorder="1" applyAlignment="1" applyProtection="1">
      <alignment horizontal="left" vertical="center"/>
      <protection locked="0"/>
    </xf>
    <xf numFmtId="0" fontId="115" fillId="0" borderId="143" xfId="11" applyFont="1" applyFill="1" applyBorder="1" applyAlignment="1" applyProtection="1">
      <alignment horizontal="left" vertical="center"/>
      <protection locked="0"/>
    </xf>
    <xf numFmtId="0" fontId="29" fillId="2" borderId="7" xfId="11" applyFont="1" applyFill="1" applyBorder="1" applyAlignment="1" applyProtection="1">
      <alignment horizontal="left" vertical="center"/>
      <protection locked="0"/>
    </xf>
    <xf numFmtId="178" fontId="25" fillId="2" borderId="7" xfId="11" applyNumberFormat="1" applyFont="1" applyFill="1" applyBorder="1" applyAlignment="1" applyProtection="1">
      <alignment horizontal="left" vertical="center"/>
      <protection locked="0"/>
    </xf>
    <xf numFmtId="0" fontId="25" fillId="2" borderId="12" xfId="11" applyFont="1" applyFill="1" applyBorder="1" applyAlignment="1" applyProtection="1">
      <alignment horizontal="left" vertical="center"/>
      <protection locked="0"/>
    </xf>
    <xf numFmtId="0" fontId="29" fillId="2" borderId="13" xfId="11" applyFont="1" applyFill="1" applyBorder="1" applyAlignment="1" applyProtection="1">
      <alignment horizontal="left" vertical="center"/>
      <protection locked="0"/>
    </xf>
    <xf numFmtId="0" fontId="113" fillId="0" borderId="0" xfId="11" applyFont="1" applyAlignment="1">
      <alignment horizontal="left"/>
    </xf>
    <xf numFmtId="0" fontId="116" fillId="0" borderId="0" xfId="0" applyFont="1" applyAlignment="1">
      <alignment horizontal="left" vertical="center"/>
    </xf>
    <xf numFmtId="0" fontId="71" fillId="15" borderId="135" xfId="0" applyFont="1" applyFill="1" applyBorder="1" applyAlignment="1" applyProtection="1">
      <alignment horizontal="right" vertical="center"/>
      <protection locked="0"/>
    </xf>
    <xf numFmtId="0" fontId="78" fillId="0" borderId="89" xfId="0" applyNumberFormat="1" applyFont="1" applyFill="1" applyBorder="1" applyAlignment="1" applyProtection="1">
      <alignment horizontal="center" vertical="center" wrapText="1"/>
      <protection locked="0"/>
    </xf>
    <xf numFmtId="0" fontId="73" fillId="0" borderId="133" xfId="0" applyNumberFormat="1" applyFont="1" applyFill="1" applyBorder="1" applyAlignment="1" applyProtection="1">
      <alignment horizontal="center" vertical="center" wrapText="1"/>
      <protection locked="0"/>
    </xf>
    <xf numFmtId="0" fontId="78" fillId="2" borderId="88" xfId="0" applyNumberFormat="1" applyFont="1" applyFill="1" applyBorder="1" applyAlignment="1" applyProtection="1">
      <alignment horizontal="center" vertical="center" wrapText="1"/>
    </xf>
    <xf numFmtId="0" fontId="78" fillId="2" borderId="92" xfId="0" applyNumberFormat="1" applyFont="1" applyFill="1" applyBorder="1" applyAlignment="1" applyProtection="1">
      <alignment horizontal="center" vertical="center" wrapText="1"/>
    </xf>
    <xf numFmtId="0" fontId="73" fillId="2" borderId="74" xfId="0" applyNumberFormat="1" applyFont="1" applyFill="1" applyBorder="1" applyAlignment="1" applyProtection="1">
      <alignment horizontal="center" vertical="center" wrapText="1"/>
    </xf>
    <xf numFmtId="0" fontId="78" fillId="15" borderId="86" xfId="0" applyNumberFormat="1"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9"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0" fontId="96" fillId="13"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82" fillId="13"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63"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63"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5" fillId="3" borderId="13" xfId="6" applyFont="1" applyFill="1" applyBorder="1" applyAlignment="1" applyProtection="1">
      <alignment horizontal="left" vertical="center"/>
      <protection locked="0"/>
    </xf>
    <xf numFmtId="0" fontId="65" fillId="3" borderId="14" xfId="6" applyFont="1" applyFill="1" applyBorder="1" applyAlignment="1" applyProtection="1">
      <alignment vertical="center"/>
    </xf>
    <xf numFmtId="0" fontId="65" fillId="7" borderId="0" xfId="6" applyFont="1" applyFill="1" applyBorder="1" applyAlignment="1" applyProtection="1">
      <alignment vertical="center"/>
    </xf>
    <xf numFmtId="0" fontId="54" fillId="7" borderId="0" xfId="0" applyFont="1" applyFill="1" applyAlignment="1" applyProtection="1">
      <alignment vertical="center"/>
      <protection locked="0"/>
    </xf>
    <xf numFmtId="0" fontId="65" fillId="2" borderId="0" xfId="6" applyFont="1" applyFill="1" applyBorder="1" applyAlignment="1" applyProtection="1">
      <alignment vertical="center"/>
    </xf>
    <xf numFmtId="0" fontId="65" fillId="2" borderId="82" xfId="0" applyFont="1" applyFill="1" applyBorder="1" applyAlignment="1" applyProtection="1">
      <alignment vertical="center"/>
    </xf>
    <xf numFmtId="0" fontId="65" fillId="2" borderId="83" xfId="0" applyFont="1" applyFill="1" applyBorder="1" applyAlignment="1" applyProtection="1">
      <alignment vertical="center"/>
    </xf>
    <xf numFmtId="180" fontId="87" fillId="2" borderId="74" xfId="0" applyNumberFormat="1" applyFont="1" applyFill="1" applyBorder="1" applyAlignment="1" applyProtection="1">
      <alignment horizontal="center" vertical="center"/>
    </xf>
    <xf numFmtId="0" fontId="87"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7" fillId="2" borderId="13" xfId="0" applyFont="1" applyFill="1" applyBorder="1" applyAlignment="1" applyProtection="1">
      <alignment vertical="center"/>
    </xf>
    <xf numFmtId="180" fontId="87" fillId="2" borderId="7" xfId="0" applyNumberFormat="1"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7" fillId="2" borderId="15" xfId="0" applyFont="1" applyFill="1" applyBorder="1" applyAlignment="1" applyProtection="1">
      <alignment vertical="center"/>
    </xf>
    <xf numFmtId="0" fontId="54" fillId="2" borderId="6" xfId="6" applyFont="1" applyFill="1" applyBorder="1" applyAlignment="1" applyProtection="1">
      <alignment horizontal="right" vertical="center"/>
    </xf>
    <xf numFmtId="0" fontId="54" fillId="2" borderId="13" xfId="6"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6" applyNumberFormat="1" applyFont="1" applyFill="1" applyBorder="1" applyAlignment="1" applyProtection="1">
      <alignment horizontal="center" vertical="center"/>
    </xf>
    <xf numFmtId="10" fontId="54" fillId="2" borderId="7" xfId="6" applyNumberFormat="1" applyFont="1" applyFill="1" applyBorder="1" applyAlignment="1" applyProtection="1">
      <alignment horizontal="center" vertical="center"/>
    </xf>
    <xf numFmtId="0" fontId="54" fillId="2" borderId="7" xfId="6" applyNumberFormat="1" applyFont="1" applyFill="1" applyBorder="1" applyAlignment="1" applyProtection="1">
      <alignment horizontal="center" vertical="center"/>
    </xf>
    <xf numFmtId="9" fontId="54" fillId="2" borderId="7" xfId="6" applyNumberFormat="1" applyFont="1" applyFill="1" applyBorder="1" applyAlignment="1" applyProtection="1">
      <alignment horizontal="center" vertical="center"/>
    </xf>
    <xf numFmtId="178" fontId="54" fillId="2" borderId="7" xfId="6" applyNumberFormat="1" applyFont="1" applyFill="1" applyBorder="1" applyAlignment="1" applyProtection="1">
      <alignment horizontal="center" vertical="center"/>
    </xf>
    <xf numFmtId="178" fontId="54" fillId="2" borderId="7" xfId="6"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6"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87" fillId="2" borderId="13" xfId="6" applyFont="1" applyFill="1" applyBorder="1" applyAlignment="1" applyProtection="1">
      <alignment vertical="center"/>
    </xf>
    <xf numFmtId="178" fontId="87" fillId="2" borderId="7" xfId="6" applyNumberFormat="1" applyFont="1" applyFill="1" applyBorder="1" applyAlignment="1" applyProtection="1">
      <alignment horizontal="center" vertical="center"/>
    </xf>
    <xf numFmtId="0" fontId="87" fillId="2" borderId="7" xfId="6" applyFont="1" applyFill="1" applyBorder="1" applyAlignment="1" applyProtection="1">
      <alignment vertical="center"/>
    </xf>
    <xf numFmtId="178" fontId="87" fillId="2" borderId="7" xfId="6" applyNumberFormat="1" applyFont="1" applyFill="1" applyBorder="1" applyAlignment="1" applyProtection="1">
      <alignment vertical="center"/>
    </xf>
    <xf numFmtId="10" fontId="87" fillId="2" borderId="7" xfId="6" applyNumberFormat="1" applyFont="1" applyFill="1" applyBorder="1" applyAlignment="1" applyProtection="1">
      <alignment horizontal="center" vertical="center"/>
    </xf>
    <xf numFmtId="0" fontId="87" fillId="2" borderId="7" xfId="0" applyFont="1" applyFill="1" applyBorder="1" applyAlignment="1" applyProtection="1">
      <alignment horizontal="right" vertical="center"/>
    </xf>
    <xf numFmtId="0" fontId="78" fillId="2" borderId="15" xfId="0" applyFont="1" applyFill="1" applyBorder="1" applyAlignment="1" applyProtection="1">
      <alignment vertical="center"/>
    </xf>
    <xf numFmtId="178" fontId="87" fillId="2" borderId="0" xfId="0" applyNumberFormat="1" applyFont="1" applyFill="1" applyBorder="1" applyAlignment="1" applyProtection="1">
      <alignment horizontal="center" vertical="center"/>
    </xf>
    <xf numFmtId="178" fontId="87" fillId="2" borderId="15" xfId="6" applyNumberFormat="1" applyFont="1" applyFill="1" applyBorder="1" applyAlignment="1" applyProtection="1">
      <alignment vertical="center"/>
    </xf>
    <xf numFmtId="10" fontId="87" fillId="2" borderId="12" xfId="0" applyNumberFormat="1" applyFont="1" applyFill="1" applyBorder="1" applyAlignment="1" applyProtection="1">
      <alignment horizontal="center" vertical="center"/>
    </xf>
    <xf numFmtId="0" fontId="54" fillId="2" borderId="7" xfId="6"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6"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7" fillId="2" borderId="7" xfId="6" applyFont="1" applyFill="1" applyBorder="1" applyAlignment="1" applyProtection="1">
      <alignment vertical="center" wrapText="1"/>
    </xf>
    <xf numFmtId="178" fontId="87" fillId="2" borderId="14" xfId="0" applyNumberFormat="1" applyFont="1" applyFill="1" applyBorder="1" applyAlignment="1" applyProtection="1">
      <alignment horizontal="center" vertical="center" wrapText="1"/>
    </xf>
    <xf numFmtId="0" fontId="78" fillId="2" borderId="13" xfId="0" applyFont="1" applyFill="1" applyBorder="1" applyAlignment="1" applyProtection="1">
      <alignment vertical="center"/>
    </xf>
    <xf numFmtId="0" fontId="54" fillId="2" borderId="13" xfId="6"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7" fillId="2" borderId="75" xfId="6" applyFont="1" applyFill="1" applyBorder="1" applyAlignment="1" applyProtection="1">
      <alignment vertical="center"/>
    </xf>
    <xf numFmtId="178" fontId="87" fillId="2" borderId="10" xfId="0" applyNumberFormat="1" applyFont="1" applyFill="1" applyBorder="1" applyAlignment="1" applyProtection="1">
      <alignment horizontal="center" vertical="center"/>
    </xf>
    <xf numFmtId="0" fontId="87" fillId="2" borderId="10" xfId="0" applyFont="1" applyFill="1" applyBorder="1" applyAlignment="1" applyProtection="1">
      <alignment vertical="center"/>
    </xf>
    <xf numFmtId="178" fontId="87" fillId="2" borderId="10" xfId="0" applyNumberFormat="1" applyFont="1" applyFill="1" applyBorder="1" applyAlignment="1" applyProtection="1">
      <alignment vertical="center"/>
    </xf>
    <xf numFmtId="10" fontId="87" fillId="2" borderId="10" xfId="0" applyNumberFormat="1" applyFont="1" applyFill="1" applyBorder="1" applyAlignment="1" applyProtection="1">
      <alignment horizontal="center" vertical="center"/>
    </xf>
    <xf numFmtId="178" fontId="87" fillId="2" borderId="75" xfId="0" applyNumberFormat="1" applyFont="1" applyFill="1" applyBorder="1" applyAlignment="1" applyProtection="1">
      <alignment vertical="center"/>
    </xf>
    <xf numFmtId="178" fontId="87" fillId="2" borderId="90" xfId="0" applyNumberFormat="1" applyFont="1" applyFill="1" applyBorder="1" applyAlignment="1" applyProtection="1">
      <alignment vertical="center"/>
    </xf>
    <xf numFmtId="0" fontId="87" fillId="2" borderId="18" xfId="0" applyFont="1" applyFill="1" applyBorder="1" applyAlignment="1" applyProtection="1">
      <alignment vertical="center"/>
    </xf>
    <xf numFmtId="180" fontId="65" fillId="2" borderId="77" xfId="0" applyNumberFormat="1" applyFont="1" applyFill="1" applyBorder="1" applyAlignment="1" applyProtection="1">
      <alignment horizontal="center" vertical="center"/>
    </xf>
    <xf numFmtId="0" fontId="65" fillId="2" borderId="104" xfId="0" applyFont="1" applyFill="1" applyBorder="1" applyAlignment="1" applyProtection="1">
      <alignment vertical="center"/>
    </xf>
    <xf numFmtId="0" fontId="65" fillId="2" borderId="0" xfId="6" applyFont="1" applyFill="1" applyBorder="1" applyAlignment="1" applyProtection="1">
      <alignment horizontal="center" vertical="center"/>
    </xf>
    <xf numFmtId="0" fontId="65" fillId="2" borderId="84" xfId="0" applyFont="1" applyFill="1" applyBorder="1" applyAlignment="1" applyProtection="1">
      <alignment vertical="center"/>
    </xf>
    <xf numFmtId="0" fontId="87"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7" fillId="2" borderId="87" xfId="0" applyFont="1" applyFill="1" applyBorder="1" applyAlignment="1" applyProtection="1">
      <alignment vertical="center"/>
    </xf>
    <xf numFmtId="0" fontId="6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8" fillId="2" borderId="87" xfId="0" applyFont="1" applyFill="1" applyBorder="1" applyAlignment="1" applyProtection="1">
      <alignment vertical="center"/>
    </xf>
    <xf numFmtId="178" fontId="87" fillId="2" borderId="91" xfId="0" applyNumberFormat="1" applyFont="1" applyFill="1" applyBorder="1" applyAlignment="1" applyProtection="1">
      <alignment vertical="center"/>
    </xf>
    <xf numFmtId="0" fontId="87" fillId="2" borderId="72" xfId="0" applyFont="1" applyFill="1" applyBorder="1" applyAlignment="1" applyProtection="1">
      <alignment vertical="center"/>
    </xf>
    <xf numFmtId="0" fontId="6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49" fontId="64" fillId="2" borderId="94" xfId="0" applyNumberFormat="1" applyFont="1" applyFill="1" applyBorder="1" applyAlignment="1" applyProtection="1">
      <alignment horizontal="left" vertical="center"/>
      <protection locked="0"/>
    </xf>
    <xf numFmtId="49" fontId="64" fillId="2" borderId="112"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72" fillId="0" borderId="6"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117" fillId="0" borderId="106" xfId="0" applyNumberFormat="1" applyFont="1" applyFill="1" applyBorder="1" applyAlignment="1" applyProtection="1">
      <alignment horizontal="center" vertical="center" wrapText="1"/>
      <protection locked="0"/>
    </xf>
    <xf numFmtId="0" fontId="118" fillId="0" borderId="107" xfId="0" applyNumberFormat="1" applyFont="1" applyFill="1" applyBorder="1" applyAlignment="1" applyProtection="1">
      <alignment horizontal="center" vertical="center" wrapText="1"/>
      <protection locked="0"/>
    </xf>
    <xf numFmtId="0" fontId="118" fillId="0" borderId="108" xfId="0" applyNumberFormat="1" applyFont="1" applyFill="1" applyBorder="1" applyAlignment="1" applyProtection="1">
      <alignment horizontal="center" vertical="center" wrapText="1"/>
      <protection locked="0"/>
    </xf>
    <xf numFmtId="0" fontId="118" fillId="0" borderId="7" xfId="0" applyFont="1" applyBorder="1" applyProtection="1">
      <alignment vertical="center"/>
      <protection locked="0"/>
    </xf>
    <xf numFmtId="0" fontId="84" fillId="2" borderId="135" xfId="0" applyFont="1" applyFill="1" applyBorder="1" applyAlignment="1" applyProtection="1">
      <alignment vertical="center"/>
      <protection locked="0"/>
    </xf>
    <xf numFmtId="0" fontId="71" fillId="2" borderId="135" xfId="0" applyFont="1" applyFill="1" applyBorder="1" applyAlignment="1" applyProtection="1">
      <alignment vertical="center"/>
      <protection locked="0"/>
    </xf>
    <xf numFmtId="0" fontId="87" fillId="2" borderId="127" xfId="0" applyFont="1" applyFill="1" applyBorder="1" applyAlignment="1" applyProtection="1">
      <alignment vertical="center" wrapText="1"/>
    </xf>
    <xf numFmtId="0" fontId="78" fillId="2" borderId="83" xfId="0" applyFont="1" applyFill="1" applyBorder="1" applyAlignment="1" applyProtection="1">
      <alignment horizontal="center" vertical="center" wrapText="1"/>
    </xf>
    <xf numFmtId="0" fontId="89" fillId="2" borderId="156" xfId="0" applyFont="1" applyFill="1" applyBorder="1" applyAlignment="1" applyProtection="1">
      <alignment vertical="center" wrapText="1"/>
    </xf>
    <xf numFmtId="0" fontId="78" fillId="2" borderId="15" xfId="0" applyFont="1" applyFill="1" applyBorder="1" applyAlignment="1" applyProtection="1">
      <alignment horizontal="center" vertical="center" wrapText="1"/>
    </xf>
    <xf numFmtId="0" fontId="74" fillId="2" borderId="156" xfId="0" applyFont="1" applyFill="1" applyBorder="1" applyAlignment="1" applyProtection="1">
      <alignment vertical="center" wrapText="1"/>
    </xf>
    <xf numFmtId="0" fontId="78" fillId="0" borderId="38" xfId="0" applyFont="1" applyFill="1" applyBorder="1" applyAlignment="1" applyProtection="1">
      <alignment horizontal="center" vertical="center" wrapText="1"/>
      <protection locked="0"/>
    </xf>
    <xf numFmtId="0" fontId="87" fillId="2" borderId="156" xfId="0" applyFont="1" applyFill="1" applyBorder="1" applyAlignment="1" applyProtection="1">
      <alignment vertical="center" wrapText="1"/>
    </xf>
    <xf numFmtId="0" fontId="74" fillId="2" borderId="141" xfId="0" applyFont="1" applyFill="1" applyBorder="1" applyAlignment="1" applyProtection="1">
      <alignment vertical="center" wrapText="1"/>
    </xf>
    <xf numFmtId="0" fontId="78" fillId="0" borderId="69" xfId="0" applyFont="1" applyFill="1" applyBorder="1" applyAlignment="1" applyProtection="1">
      <alignment horizontal="center" vertical="center" wrapText="1"/>
      <protection locked="0"/>
    </xf>
    <xf numFmtId="0" fontId="78" fillId="2" borderId="143" xfId="0" applyNumberFormat="1" applyFont="1" applyFill="1" applyBorder="1" applyAlignment="1" applyProtection="1">
      <alignment horizontal="center" vertical="center" wrapText="1"/>
    </xf>
    <xf numFmtId="0" fontId="78" fillId="2" borderId="104" xfId="0" applyNumberFormat="1" applyFont="1" applyFill="1" applyBorder="1" applyAlignment="1" applyProtection="1">
      <alignment horizontal="center" vertical="center" wrapText="1"/>
    </xf>
    <xf numFmtId="0" fontId="74" fillId="2" borderId="105" xfId="0" applyFont="1" applyFill="1" applyBorder="1" applyAlignment="1" applyProtection="1">
      <alignment vertical="center" textRotation="255" wrapText="1"/>
    </xf>
    <xf numFmtId="0" fontId="7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91" fillId="2" borderId="70" xfId="0" applyFont="1" applyFill="1" applyBorder="1" applyAlignment="1" applyProtection="1">
      <alignment vertical="center" textRotation="255" wrapText="1"/>
    </xf>
    <xf numFmtId="49" fontId="78" fillId="0" borderId="86"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textRotation="255" wrapText="1"/>
    </xf>
    <xf numFmtId="0" fontId="87" fillId="2" borderId="70" xfId="0" applyFont="1" applyFill="1" applyBorder="1" applyAlignment="1" applyProtection="1">
      <alignment vertical="center" textRotation="255" wrapText="1"/>
    </xf>
    <xf numFmtId="0" fontId="90" fillId="0" borderId="86" xfId="0" applyNumberFormat="1" applyFont="1" applyFill="1" applyBorder="1" applyAlignment="1" applyProtection="1">
      <alignment horizontal="center" vertical="center" wrapText="1"/>
      <protection locked="0"/>
    </xf>
    <xf numFmtId="0" fontId="74" fillId="2" borderId="115" xfId="0" applyFont="1" applyFill="1" applyBorder="1" applyAlignment="1" applyProtection="1">
      <alignment vertical="center" textRotation="255" wrapText="1"/>
    </xf>
    <xf numFmtId="49" fontId="74" fillId="3" borderId="83" xfId="0" applyNumberFormat="1" applyFont="1" applyFill="1" applyBorder="1" applyAlignment="1" applyProtection="1">
      <alignment vertical="center"/>
      <protection locked="0"/>
    </xf>
    <xf numFmtId="0" fontId="93"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78" fillId="2" borderId="94" xfId="0" applyNumberFormat="1" applyFont="1" applyFill="1" applyBorder="1" applyAlignment="1" applyProtection="1">
      <alignment horizontal="center" vertical="center" wrapText="1"/>
      <protection locked="0"/>
    </xf>
    <xf numFmtId="189" fontId="71" fillId="2" borderId="135" xfId="0" applyNumberFormat="1" applyFont="1" applyFill="1" applyBorder="1" applyAlignment="1" applyProtection="1">
      <alignment horizontal="center" vertical="center"/>
      <protection locked="0"/>
    </xf>
    <xf numFmtId="181" fontId="71" fillId="2" borderId="135" xfId="0" applyNumberFormat="1" applyFont="1" applyFill="1" applyBorder="1" applyAlignment="1" applyProtection="1">
      <alignment vertical="center"/>
      <protection locked="0"/>
    </xf>
    <xf numFmtId="0" fontId="71" fillId="2" borderId="135" xfId="0" applyFont="1" applyFill="1" applyBorder="1" applyAlignment="1" applyProtection="1">
      <alignment horizontal="center" vertical="center"/>
      <protection locked="0"/>
    </xf>
    <xf numFmtId="0" fontId="71" fillId="2" borderId="162" xfId="0" applyFont="1" applyFill="1" applyBorder="1" applyAlignment="1" applyProtection="1">
      <alignment horizontal="center" vertical="center"/>
    </xf>
    <xf numFmtId="0" fontId="71" fillId="2" borderId="92" xfId="0" applyFont="1" applyFill="1" applyBorder="1" applyAlignment="1" applyProtection="1">
      <alignment horizontal="center" vertical="center"/>
    </xf>
    <xf numFmtId="49" fontId="90" fillId="0" borderId="86" xfId="0" applyNumberFormat="1" applyFont="1" applyFill="1" applyBorder="1" applyAlignment="1" applyProtection="1">
      <alignment horizontal="center" vertical="center" wrapText="1"/>
      <protection locked="0"/>
    </xf>
    <xf numFmtId="189" fontId="73" fillId="12" borderId="14" xfId="0" applyNumberFormat="1" applyFont="1" applyFill="1" applyBorder="1" applyAlignment="1" applyProtection="1">
      <alignment horizontal="center" vertical="center"/>
      <protection locked="0"/>
    </xf>
    <xf numFmtId="189" fontId="73" fillId="12" borderId="7" xfId="0" applyNumberFormat="1" applyFont="1" applyFill="1" applyBorder="1" applyAlignment="1" applyProtection="1">
      <alignment horizontal="center" vertical="center" wrapText="1"/>
      <protection locked="0"/>
    </xf>
    <xf numFmtId="49" fontId="73" fillId="0" borderId="4" xfId="0" applyNumberFormat="1" applyFont="1" applyFill="1" applyBorder="1" applyAlignment="1" applyProtection="1">
      <alignment horizontal="center" vertical="center" wrapText="1"/>
      <protection locked="0"/>
    </xf>
    <xf numFmtId="0" fontId="90" fillId="0" borderId="7"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228" fillId="0" borderId="0" xfId="19" applyAlignment="1" applyProtection="1">
      <alignment horizontal="left"/>
      <protection locked="0"/>
    </xf>
    <xf numFmtId="0" fontId="119" fillId="2" borderId="7" xfId="19" applyFont="1" applyFill="1" applyBorder="1" applyAlignment="1" applyProtection="1">
      <alignment horizontal="left" vertical="center" wrapText="1"/>
    </xf>
    <xf numFmtId="0" fontId="119" fillId="7" borderId="0" xfId="19" applyFont="1" applyFill="1" applyBorder="1" applyAlignment="1" applyProtection="1">
      <alignment horizontal="left" vertical="center" wrapText="1"/>
      <protection locked="0"/>
    </xf>
    <xf numFmtId="0" fontId="228" fillId="7" borderId="0" xfId="19" applyFill="1" applyBorder="1" applyAlignment="1" applyProtection="1">
      <alignment horizontal="left"/>
      <protection locked="0"/>
    </xf>
    <xf numFmtId="0" fontId="228" fillId="7" borderId="0" xfId="19" applyFill="1" applyAlignment="1" applyProtection="1">
      <alignment horizontal="left"/>
      <protection locked="0"/>
    </xf>
    <xf numFmtId="14" fontId="119" fillId="2" borderId="7" xfId="19" applyNumberFormat="1" applyFont="1" applyFill="1" applyBorder="1" applyAlignment="1" applyProtection="1">
      <alignment horizontal="left" vertical="center" wrapText="1"/>
    </xf>
    <xf numFmtId="0" fontId="119" fillId="0" borderId="7" xfId="19" applyFont="1" applyFill="1" applyBorder="1" applyAlignment="1" applyProtection="1">
      <alignment horizontal="left" vertical="center" wrapText="1"/>
      <protection locked="0"/>
    </xf>
    <xf numFmtId="0" fontId="119" fillId="7" borderId="7" xfId="19" applyFont="1" applyFill="1" applyBorder="1" applyAlignment="1" applyProtection="1">
      <alignment horizontal="left" vertical="center" wrapText="1"/>
      <protection locked="0"/>
    </xf>
    <xf numFmtId="0" fontId="228" fillId="2" borderId="7" xfId="19" applyFill="1" applyBorder="1" applyAlignment="1" applyProtection="1">
      <alignment horizontal="left"/>
    </xf>
    <xf numFmtId="9" fontId="228" fillId="7" borderId="7" xfId="19" applyNumberFormat="1" applyFill="1" applyBorder="1" applyAlignment="1" applyProtection="1">
      <alignment horizontal="left"/>
      <protection locked="0"/>
    </xf>
    <xf numFmtId="0" fontId="228" fillId="2" borderId="7" xfId="19" applyFill="1" applyBorder="1" applyAlignment="1" applyProtection="1">
      <alignment horizontal="left" vertical="center"/>
    </xf>
    <xf numFmtId="0" fontId="119" fillId="2" borderId="12" xfId="19" applyFont="1" applyFill="1" applyBorder="1" applyAlignment="1" applyProtection="1">
      <alignment horizontal="left" vertical="center" wrapText="1"/>
    </xf>
    <xf numFmtId="0" fontId="0" fillId="0" borderId="7" xfId="19" applyFont="1" applyFill="1" applyBorder="1" applyAlignment="1" applyProtection="1">
      <alignment horizontal="left"/>
      <protection locked="0"/>
    </xf>
    <xf numFmtId="0" fontId="119" fillId="0" borderId="12" xfId="19" applyFont="1" applyFill="1" applyBorder="1" applyAlignment="1" applyProtection="1">
      <alignment horizontal="left" vertical="center" wrapText="1"/>
      <protection locked="0"/>
    </xf>
    <xf numFmtId="0" fontId="228" fillId="0" borderId="7" xfId="19" applyBorder="1" applyAlignment="1" applyProtection="1">
      <alignment horizontal="left"/>
      <protection locked="0"/>
    </xf>
    <xf numFmtId="0" fontId="119" fillId="0" borderId="7" xfId="19" applyFont="1" applyBorder="1" applyAlignment="1" applyProtection="1">
      <alignment horizontal="left" vertical="center" wrapText="1"/>
      <protection locked="0"/>
    </xf>
    <xf numFmtId="0" fontId="101" fillId="0" borderId="0" xfId="0" applyFont="1" applyAlignment="1" applyProtection="1">
      <alignment vertical="center"/>
      <protection locked="0"/>
    </xf>
    <xf numFmtId="0" fontId="78" fillId="0" borderId="0" xfId="0" applyFont="1" applyFill="1" applyAlignment="1" applyProtection="1">
      <alignment vertical="center"/>
      <protection locked="0"/>
    </xf>
    <xf numFmtId="0" fontId="78" fillId="0" borderId="0" xfId="0" applyFont="1" applyAlignment="1" applyProtection="1">
      <alignment vertical="center"/>
      <protection locked="0"/>
    </xf>
    <xf numFmtId="0" fontId="78" fillId="0" borderId="0" xfId="0" applyFont="1" applyAlignment="1" applyProtection="1">
      <alignment vertical="center" wrapText="1"/>
      <protection locked="0"/>
    </xf>
    <xf numFmtId="0" fontId="78" fillId="0" borderId="0" xfId="0" applyFont="1" applyFill="1" applyAlignment="1" applyProtection="1">
      <alignment vertical="center" wrapText="1"/>
      <protection locked="0"/>
    </xf>
    <xf numFmtId="0" fontId="78" fillId="0" borderId="0" xfId="0" applyNumberFormat="1" applyFont="1" applyFill="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NumberFormat="1" applyFont="1" applyFill="1" applyAlignment="1" applyProtection="1">
      <alignment vertical="center" wrapText="1"/>
      <protection locked="0"/>
    </xf>
    <xf numFmtId="0" fontId="78" fillId="13" borderId="0" xfId="0" applyNumberFormat="1" applyFont="1" applyFill="1" applyAlignment="1" applyProtection="1">
      <alignment vertical="center"/>
      <protection locked="0"/>
    </xf>
    <xf numFmtId="0" fontId="100" fillId="13" borderId="164" xfId="0" applyFont="1" applyFill="1" applyBorder="1" applyAlignment="1" applyProtection="1">
      <alignment vertical="center" wrapText="1"/>
      <protection locked="0"/>
    </xf>
    <xf numFmtId="0" fontId="64" fillId="2" borderId="137" xfId="0" applyFont="1" applyFill="1" applyBorder="1" applyAlignment="1" applyProtection="1">
      <alignment vertical="center" wrapText="1"/>
    </xf>
    <xf numFmtId="0" fontId="64" fillId="2" borderId="99" xfId="0" applyFont="1" applyFill="1" applyBorder="1" applyAlignment="1" applyProtection="1">
      <alignment vertical="center" wrapText="1"/>
    </xf>
    <xf numFmtId="0" fontId="64" fillId="2" borderId="139" xfId="0" applyFont="1" applyFill="1" applyBorder="1" applyAlignment="1" applyProtection="1">
      <alignment vertical="center"/>
    </xf>
    <xf numFmtId="0" fontId="64" fillId="2" borderId="0" xfId="0" applyFont="1" applyFill="1" applyBorder="1" applyAlignment="1" applyProtection="1">
      <alignment vertical="center" wrapText="1"/>
    </xf>
    <xf numFmtId="0" fontId="54" fillId="2" borderId="138" xfId="0" applyFont="1" applyFill="1" applyBorder="1" applyAlignment="1" applyProtection="1">
      <alignment vertical="center"/>
    </xf>
    <xf numFmtId="0" fontId="6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8" fillId="13" borderId="0" xfId="0" applyFont="1" applyFill="1" applyBorder="1" applyAlignment="1" applyProtection="1">
      <alignment vertical="center" wrapText="1"/>
      <protection locked="0"/>
    </xf>
    <xf numFmtId="0" fontId="6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0" fillId="13" borderId="0" xfId="0" applyFont="1" applyFill="1" applyBorder="1" applyAlignment="1" applyProtection="1">
      <alignment vertical="center" wrapText="1"/>
      <protection locked="0"/>
    </xf>
    <xf numFmtId="0" fontId="91" fillId="2" borderId="165" xfId="0" applyFont="1" applyFill="1" applyBorder="1" applyAlignment="1" applyProtection="1">
      <alignment vertical="center"/>
    </xf>
    <xf numFmtId="0" fontId="64" fillId="2" borderId="105" xfId="0" applyFont="1" applyFill="1" applyBorder="1" applyAlignment="1" applyProtection="1">
      <alignment vertical="center" wrapText="1"/>
    </xf>
    <xf numFmtId="0" fontId="64" fillId="2" borderId="116" xfId="0" applyFont="1" applyFill="1" applyBorder="1" applyAlignment="1" applyProtection="1">
      <alignment vertical="center" wrapText="1"/>
    </xf>
    <xf numFmtId="0" fontId="64" fillId="2" borderId="140" xfId="0" applyFont="1" applyFill="1" applyBorder="1" applyAlignment="1" applyProtection="1">
      <alignment vertical="center" wrapText="1"/>
    </xf>
    <xf numFmtId="0" fontId="64" fillId="2" borderId="127"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4" fillId="2" borderId="127"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4" fillId="2" borderId="156"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4" fillId="2" borderId="156"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4" fillId="2" borderId="141"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4" fillId="2" borderId="141"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0" fillId="13" borderId="164" xfId="0" applyNumberFormat="1" applyFont="1" applyFill="1" applyBorder="1" applyAlignment="1" applyProtection="1">
      <alignment vertical="center" wrapText="1"/>
      <protection locked="0"/>
    </xf>
    <xf numFmtId="0" fontId="78" fillId="13" borderId="0" xfId="0" applyNumberFormat="1" applyFont="1" applyFill="1" applyBorder="1" applyAlignment="1" applyProtection="1">
      <alignment vertical="center" wrapText="1"/>
      <protection locked="0"/>
    </xf>
    <xf numFmtId="49" fontId="78" fillId="13" borderId="0" xfId="0" applyNumberFormat="1" applyFont="1" applyFill="1" applyBorder="1" applyAlignment="1" applyProtection="1">
      <alignment vertical="center" wrapText="1"/>
      <protection locked="0"/>
    </xf>
    <xf numFmtId="0" fontId="100" fillId="13" borderId="0" xfId="0" applyNumberFormat="1" applyFont="1" applyFill="1" applyBorder="1" applyAlignment="1" applyProtection="1">
      <alignment vertical="center" wrapText="1"/>
      <protection locked="0"/>
    </xf>
    <xf numFmtId="0" fontId="100" fillId="13" borderId="65" xfId="0" applyNumberFormat="1" applyFont="1" applyFill="1" applyBorder="1" applyAlignment="1" applyProtection="1">
      <alignment vertical="center" wrapText="1"/>
      <protection locked="0"/>
    </xf>
    <xf numFmtId="0" fontId="101" fillId="13" borderId="0" xfId="0" applyFont="1" applyFill="1" applyAlignment="1" applyProtection="1">
      <alignment vertical="center" wrapText="1"/>
      <protection locked="0"/>
    </xf>
    <xf numFmtId="0" fontId="101" fillId="13" borderId="0" xfId="0" applyNumberFormat="1" applyFont="1" applyFill="1" applyAlignment="1" applyProtection="1">
      <alignment vertical="center" wrapText="1"/>
      <protection locked="0"/>
    </xf>
    <xf numFmtId="0" fontId="100" fillId="13" borderId="166" xfId="0" applyFont="1" applyFill="1" applyBorder="1" applyAlignment="1" applyProtection="1">
      <alignment vertical="center" wrapText="1"/>
      <protection locked="0"/>
    </xf>
    <xf numFmtId="0" fontId="101" fillId="13" borderId="0" xfId="0" applyNumberFormat="1" applyFont="1" applyFill="1" applyAlignment="1" applyProtection="1">
      <alignment vertical="center"/>
      <protection locked="0"/>
    </xf>
    <xf numFmtId="0" fontId="101" fillId="13" borderId="0" xfId="0" applyFont="1" applyFill="1" applyAlignment="1" applyProtection="1">
      <alignment vertical="center"/>
      <protection locked="0"/>
    </xf>
    <xf numFmtId="0" fontId="78" fillId="0" borderId="0" xfId="0" applyFont="1" applyAlignment="1" applyProtection="1">
      <alignment vertical="center"/>
    </xf>
    <xf numFmtId="0" fontId="7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95"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7" fillId="2" borderId="97" xfId="0" applyFont="1" applyFill="1" applyBorder="1" applyAlignment="1" applyProtection="1">
      <alignment vertical="center" wrapText="1"/>
    </xf>
    <xf numFmtId="14" fontId="78" fillId="2" borderId="101" xfId="0" applyNumberFormat="1" applyFont="1" applyFill="1" applyBorder="1" applyAlignment="1" applyProtection="1">
      <alignment horizontal="center" vertical="center"/>
    </xf>
    <xf numFmtId="0" fontId="78" fillId="2" borderId="0" xfId="0" applyFont="1" applyFill="1" applyAlignment="1" applyProtection="1">
      <alignment vertical="center"/>
      <protection locked="0"/>
    </xf>
    <xf numFmtId="179" fontId="78" fillId="2" borderId="0" xfId="0" applyNumberFormat="1" applyFont="1" applyFill="1" applyAlignment="1" applyProtection="1">
      <alignment vertical="center"/>
      <protection locked="0"/>
    </xf>
    <xf numFmtId="0" fontId="78" fillId="2" borderId="0" xfId="0" applyFont="1" applyFill="1" applyAlignment="1" applyProtection="1">
      <alignment vertical="center" wrapText="1"/>
    </xf>
    <xf numFmtId="0" fontId="78" fillId="2" borderId="0" xfId="0" applyFont="1" applyFill="1" applyAlignment="1" applyProtection="1">
      <alignment vertical="center"/>
    </xf>
    <xf numFmtId="0" fontId="78" fillId="2" borderId="138" xfId="0" applyFont="1" applyFill="1" applyBorder="1" applyAlignment="1" applyProtection="1">
      <alignment vertical="center"/>
    </xf>
    <xf numFmtId="179" fontId="78" fillId="2" borderId="138" xfId="0" applyNumberFormat="1" applyFont="1" applyFill="1" applyBorder="1" applyAlignment="1" applyProtection="1">
      <alignment vertical="center"/>
    </xf>
    <xf numFmtId="0" fontId="78" fillId="2" borderId="3" xfId="6" applyFont="1" applyFill="1" applyBorder="1" applyAlignment="1" applyProtection="1">
      <alignment vertical="center" wrapText="1"/>
    </xf>
    <xf numFmtId="0" fontId="78" fillId="2" borderId="4" xfId="6" applyFont="1" applyFill="1" applyBorder="1" applyAlignment="1" applyProtection="1">
      <alignment vertical="center" wrapText="1"/>
    </xf>
    <xf numFmtId="0" fontId="78" fillId="2" borderId="74" xfId="6" applyFont="1" applyFill="1" applyBorder="1" applyAlignment="1" applyProtection="1">
      <alignment vertical="center" wrapText="1"/>
    </xf>
    <xf numFmtId="182" fontId="73" fillId="2" borderId="3" xfId="6" applyNumberFormat="1" applyFont="1" applyFill="1" applyBorder="1" applyAlignment="1" applyProtection="1">
      <alignment horizontal="center" vertical="center" wrapText="1"/>
    </xf>
    <xf numFmtId="0" fontId="78" fillId="2" borderId="4" xfId="0" applyFont="1" applyFill="1" applyBorder="1" applyAlignment="1" applyProtection="1">
      <alignment horizontal="center" vertical="center" wrapText="1"/>
    </xf>
    <xf numFmtId="179" fontId="78" fillId="2" borderId="4" xfId="0" applyNumberFormat="1" applyFont="1" applyFill="1" applyBorder="1" applyAlignment="1" applyProtection="1">
      <alignment horizontal="center" vertical="center" wrapText="1"/>
    </xf>
    <xf numFmtId="178" fontId="54" fillId="2" borderId="6" xfId="6" applyNumberFormat="1" applyFont="1" applyFill="1" applyBorder="1" applyAlignment="1" applyProtection="1">
      <alignment horizontal="left" vertical="center"/>
    </xf>
    <xf numFmtId="178" fontId="78" fillId="2" borderId="7" xfId="6" applyNumberFormat="1" applyFont="1" applyFill="1" applyBorder="1" applyAlignment="1" applyProtection="1">
      <alignment vertical="center"/>
    </xf>
    <xf numFmtId="178" fontId="78" fillId="15" borderId="13" xfId="6" applyNumberFormat="1" applyFont="1" applyFill="1" applyBorder="1" applyAlignment="1" applyProtection="1">
      <alignment vertical="center"/>
      <protection locked="0"/>
    </xf>
    <xf numFmtId="178" fontId="54" fillId="2" borderId="6" xfId="6"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9" fontId="73" fillId="2" borderId="7" xfId="6" applyNumberFormat="1" applyFont="1" applyFill="1" applyBorder="1" applyAlignment="1" applyProtection="1">
      <alignment horizontal="center" vertical="center"/>
    </xf>
    <xf numFmtId="182" fontId="73" fillId="2" borderId="7" xfId="6"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8" fillId="0" borderId="7" xfId="0" applyNumberFormat="1" applyFont="1" applyFill="1" applyBorder="1" applyAlignment="1" applyProtection="1">
      <alignment horizontal="center" vertical="center"/>
      <protection locked="0"/>
    </xf>
    <xf numFmtId="178" fontId="78" fillId="2" borderId="6" xfId="6" applyNumberFormat="1" applyFont="1" applyFill="1" applyBorder="1" applyAlignment="1" applyProtection="1">
      <alignment horizontal="left" vertical="center" wrapText="1"/>
      <protection locked="0"/>
    </xf>
    <xf numFmtId="178" fontId="78" fillId="2" borderId="13" xfId="6" applyNumberFormat="1" applyFont="1" applyFill="1" applyBorder="1" applyAlignment="1" applyProtection="1">
      <alignment vertical="center"/>
    </xf>
    <xf numFmtId="181" fontId="82" fillId="2" borderId="7" xfId="0" applyNumberFormat="1" applyFont="1" applyFill="1" applyBorder="1" applyAlignment="1" applyProtection="1">
      <alignment horizontal="center" vertical="center"/>
      <protection locked="0"/>
    </xf>
    <xf numFmtId="0" fontId="87" fillId="2" borderId="9" xfId="6" applyFont="1" applyFill="1" applyBorder="1" applyAlignment="1" applyProtection="1">
      <alignment vertical="center" wrapText="1"/>
    </xf>
    <xf numFmtId="0" fontId="87" fillId="2" borderId="10" xfId="6" applyFont="1" applyFill="1" applyBorder="1" applyAlignment="1" applyProtection="1">
      <alignment vertical="center"/>
    </xf>
    <xf numFmtId="0" fontId="87" fillId="2" borderId="9" xfId="6" applyFont="1" applyFill="1" applyBorder="1" applyAlignment="1" applyProtection="1">
      <alignment vertical="center"/>
    </xf>
    <xf numFmtId="0" fontId="87" fillId="2" borderId="10" xfId="6" applyFont="1" applyFill="1" applyBorder="1" applyAlignment="1" applyProtection="1">
      <alignment horizontal="center" vertical="center"/>
    </xf>
    <xf numFmtId="181" fontId="87" fillId="2" borderId="10" xfId="6" applyNumberFormat="1" applyFont="1" applyFill="1" applyBorder="1" applyAlignment="1" applyProtection="1">
      <alignment vertical="center"/>
    </xf>
    <xf numFmtId="0" fontId="6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8" fillId="7" borderId="0" xfId="0" applyFont="1" applyFill="1" applyAlignment="1" applyProtection="1">
      <alignment vertical="center"/>
    </xf>
    <xf numFmtId="0" fontId="78" fillId="7" borderId="0" xfId="0" applyFont="1" applyFill="1" applyAlignment="1" applyProtection="1">
      <alignment vertical="center"/>
      <protection locked="0"/>
    </xf>
    <xf numFmtId="179" fontId="78" fillId="7" borderId="0" xfId="0" applyNumberFormat="1" applyFont="1" applyFill="1" applyAlignment="1" applyProtection="1">
      <alignment vertical="center"/>
      <protection locked="0"/>
    </xf>
    <xf numFmtId="185" fontId="73" fillId="2" borderId="3" xfId="6" applyNumberFormat="1" applyFont="1" applyFill="1" applyBorder="1" applyAlignment="1" applyProtection="1">
      <alignment vertical="center" wrapText="1"/>
    </xf>
    <xf numFmtId="185" fontId="73" fillId="0" borderId="5" xfId="6" applyNumberFormat="1" applyFont="1" applyFill="1" applyBorder="1" applyAlignment="1" applyProtection="1">
      <alignment horizontal="center" vertical="center"/>
      <protection locked="0"/>
    </xf>
    <xf numFmtId="0" fontId="107" fillId="7" borderId="0" xfId="0" applyFont="1" applyFill="1" applyAlignment="1" applyProtection="1">
      <alignment vertical="center"/>
    </xf>
    <xf numFmtId="185" fontId="73" fillId="2" borderId="6" xfId="6" applyNumberFormat="1" applyFont="1" applyFill="1" applyBorder="1" applyAlignment="1" applyProtection="1">
      <alignment vertical="center" wrapText="1"/>
    </xf>
    <xf numFmtId="185" fontId="78" fillId="0" borderId="8" xfId="6"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85" fontId="78" fillId="2" borderId="6" xfId="6" applyNumberFormat="1" applyFont="1" applyFill="1" applyBorder="1" applyAlignment="1" applyProtection="1">
      <alignment vertical="center" wrapText="1"/>
    </xf>
    <xf numFmtId="185" fontId="73" fillId="2" borderId="8" xfId="6" applyNumberFormat="1" applyFont="1" applyFill="1" applyBorder="1" applyAlignment="1" applyProtection="1">
      <alignment horizontal="center" vertical="center"/>
    </xf>
    <xf numFmtId="185" fontId="73" fillId="2" borderId="9" xfId="6" applyNumberFormat="1" applyFont="1" applyFill="1" applyBorder="1" applyAlignment="1" applyProtection="1">
      <alignment vertical="center" wrapText="1"/>
    </xf>
    <xf numFmtId="185" fontId="73" fillId="2" borderId="11" xfId="6" applyNumberFormat="1" applyFont="1" applyFill="1" applyBorder="1" applyAlignment="1" applyProtection="1">
      <alignment horizontal="center" vertical="center"/>
    </xf>
    <xf numFmtId="0" fontId="78" fillId="2" borderId="99" xfId="0" applyFont="1" applyFill="1" applyBorder="1" applyAlignment="1" applyProtection="1">
      <alignment horizontal="center" vertical="center"/>
    </xf>
    <xf numFmtId="0" fontId="78" fillId="7" borderId="101" xfId="0" applyFont="1" applyFill="1" applyBorder="1" applyAlignment="1" applyProtection="1">
      <alignment horizontal="center" vertical="center"/>
      <protection locked="0"/>
    </xf>
    <xf numFmtId="0" fontId="78" fillId="2" borderId="3" xfId="0" applyFont="1" applyFill="1" applyBorder="1" applyAlignment="1" applyProtection="1">
      <alignment vertical="center" wrapText="1"/>
    </xf>
    <xf numFmtId="0" fontId="25" fillId="0" borderId="5" xfId="6"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79" fontId="78" fillId="7" borderId="0" xfId="0" applyNumberFormat="1" applyFont="1" applyFill="1" applyAlignment="1" applyProtection="1">
      <alignment horizontal="center" vertical="center"/>
      <protection locked="0"/>
    </xf>
    <xf numFmtId="0" fontId="78" fillId="2" borderId="6" xfId="0" applyFont="1" applyFill="1" applyBorder="1" applyAlignment="1" applyProtection="1">
      <alignment vertical="center" wrapText="1"/>
    </xf>
    <xf numFmtId="0" fontId="25" fillId="0" borderId="8" xfId="6" applyNumberFormat="1" applyFont="1" applyFill="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78" fillId="2" borderId="9" xfId="0" applyFont="1" applyFill="1" applyBorder="1" applyAlignment="1" applyProtection="1">
      <alignment vertical="center" wrapText="1"/>
    </xf>
    <xf numFmtId="0" fontId="25" fillId="0" borderId="11" xfId="6"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78" fillId="2" borderId="112" xfId="0" applyFont="1" applyFill="1" applyBorder="1" applyAlignment="1" applyProtection="1">
      <alignment vertical="center" wrapText="1"/>
    </xf>
    <xf numFmtId="0" fontId="25" fillId="0" borderId="85" xfId="6" applyNumberFormat="1" applyFont="1" applyFill="1" applyBorder="1" applyAlignment="1" applyProtection="1">
      <alignment horizontal="center" vertical="center"/>
      <protection locked="0"/>
    </xf>
    <xf numFmtId="0" fontId="73" fillId="2" borderId="8" xfId="6" applyNumberFormat="1" applyFont="1" applyFill="1" applyBorder="1" applyAlignment="1" applyProtection="1">
      <alignment horizontal="center" vertical="center"/>
    </xf>
    <xf numFmtId="0" fontId="97" fillId="7" borderId="0" xfId="0" applyFont="1" applyFill="1" applyAlignment="1" applyProtection="1">
      <alignment horizontal="left" vertical="center"/>
      <protection locked="0"/>
    </xf>
    <xf numFmtId="0" fontId="78" fillId="2" borderId="68" xfId="0" applyFont="1" applyFill="1" applyBorder="1" applyAlignment="1" applyProtection="1">
      <alignment vertical="center" wrapText="1"/>
    </xf>
    <xf numFmtId="0" fontId="25" fillId="0" borderId="69" xfId="6"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7"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8" fillId="2" borderId="5" xfId="0" applyNumberFormat="1" applyFont="1" applyFill="1" applyBorder="1" applyAlignment="1" applyProtection="1">
      <alignment horizontal="center" vertical="center"/>
    </xf>
    <xf numFmtId="0" fontId="78" fillId="2" borderId="68" xfId="0" applyFont="1" applyFill="1" applyBorder="1" applyAlignment="1" applyProtection="1">
      <alignment horizontal="left" vertical="center" wrapText="1"/>
    </xf>
    <xf numFmtId="10" fontId="7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87" fontId="78" fillId="2" borderId="69" xfId="0" applyNumberFormat="1" applyFont="1" applyFill="1" applyBorder="1" applyAlignment="1" applyProtection="1">
      <alignment horizontal="center" vertical="center"/>
    </xf>
    <xf numFmtId="0" fontId="78" fillId="2" borderId="68" xfId="0" applyFont="1" applyFill="1" applyBorder="1" applyAlignment="1" applyProtection="1">
      <alignment horizontal="right" vertical="center" wrapText="1"/>
    </xf>
    <xf numFmtId="10" fontId="78" fillId="15" borderId="69" xfId="0" applyNumberFormat="1" applyFont="1" applyFill="1" applyBorder="1" applyAlignment="1" applyProtection="1">
      <alignment horizontal="center" vertical="center"/>
      <protection locked="0"/>
    </xf>
    <xf numFmtId="0" fontId="78" fillId="2" borderId="9" xfId="0" applyFont="1" applyFill="1" applyBorder="1" applyAlignment="1" applyProtection="1">
      <alignment horizontal="right" vertical="center" wrapText="1"/>
    </xf>
    <xf numFmtId="10" fontId="78" fillId="0" borderId="11" xfId="0" applyNumberFormat="1" applyFont="1" applyFill="1" applyBorder="1" applyAlignment="1" applyProtection="1">
      <alignment horizontal="center" vertical="center"/>
      <protection locked="0"/>
    </xf>
    <xf numFmtId="0" fontId="107" fillId="7" borderId="0" xfId="0" applyFont="1" applyFill="1" applyAlignment="1" applyProtection="1">
      <alignment horizontal="left" vertical="center"/>
    </xf>
    <xf numFmtId="0" fontId="78" fillId="2" borderId="76" xfId="0" applyFont="1" applyFill="1" applyBorder="1" applyAlignment="1" applyProtection="1">
      <alignment vertical="center" wrapText="1"/>
    </xf>
    <xf numFmtId="10" fontId="78" fillId="0" borderId="88" xfId="0" applyNumberFormat="1" applyFont="1" applyFill="1" applyBorder="1" applyAlignment="1" applyProtection="1">
      <alignment horizontal="center" vertical="center"/>
      <protection locked="0"/>
    </xf>
    <xf numFmtId="0" fontId="78" fillId="2" borderId="67" xfId="0" applyFont="1" applyFill="1" applyBorder="1" applyAlignment="1" applyProtection="1">
      <alignment vertical="center" wrapText="1"/>
    </xf>
    <xf numFmtId="10" fontId="78" fillId="2" borderId="81" xfId="0" applyNumberFormat="1" applyFont="1" applyFill="1" applyBorder="1" applyAlignment="1" applyProtection="1">
      <alignment horizontal="center" vertical="center"/>
    </xf>
    <xf numFmtId="10" fontId="78" fillId="2" borderId="11" xfId="0" applyNumberFormat="1" applyFont="1" applyFill="1" applyBorder="1" applyAlignment="1" applyProtection="1">
      <alignment horizontal="center" vertical="center"/>
    </xf>
    <xf numFmtId="183" fontId="78" fillId="2" borderId="81" xfId="0" applyNumberFormat="1" applyFont="1" applyFill="1" applyBorder="1" applyAlignment="1" applyProtection="1">
      <alignment horizontal="center" vertical="center"/>
    </xf>
    <xf numFmtId="0" fontId="78" fillId="15"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8" fillId="0" borderId="6" xfId="0" applyFont="1" applyBorder="1" applyAlignment="1" applyProtection="1">
      <alignment horizontal="right" vertical="center" wrapText="1"/>
      <protection locked="0"/>
    </xf>
    <xf numFmtId="0" fontId="78" fillId="0" borderId="8" xfId="0" applyFont="1" applyBorder="1" applyAlignment="1" applyProtection="1">
      <alignment horizontal="center" vertical="center"/>
      <protection locked="0"/>
    </xf>
    <xf numFmtId="0" fontId="78" fillId="0" borderId="9" xfId="0" applyFont="1" applyBorder="1" applyAlignment="1" applyProtection="1">
      <alignment horizontal="right" vertical="center" wrapText="1"/>
      <protection locked="0"/>
    </xf>
    <xf numFmtId="0" fontId="7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8" fillId="2" borderId="0" xfId="0" applyFont="1" applyFill="1" applyAlignment="1" applyProtection="1">
      <alignment horizontal="center" vertical="center"/>
      <protection locked="0"/>
    </xf>
    <xf numFmtId="0" fontId="78" fillId="2" borderId="139" xfId="0" applyFont="1" applyFill="1" applyBorder="1" applyAlignment="1" applyProtection="1">
      <alignment vertical="center"/>
    </xf>
    <xf numFmtId="0" fontId="78" fillId="2" borderId="137" xfId="0" applyFont="1" applyFill="1" applyBorder="1" applyAlignment="1" applyProtection="1">
      <alignment horizontal="center" vertical="center"/>
    </xf>
    <xf numFmtId="0" fontId="78" fillId="2" borderId="13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8" fillId="2" borderId="3" xfId="6" applyNumberFormat="1" applyFont="1" applyFill="1" applyBorder="1" applyAlignment="1" applyProtection="1">
      <alignment horizontal="center" vertical="center" wrapText="1"/>
    </xf>
    <xf numFmtId="0" fontId="78" fillId="2" borderId="4" xfId="6" applyFont="1" applyFill="1" applyBorder="1" applyAlignment="1" applyProtection="1">
      <alignment horizontal="center" vertical="center" wrapText="1"/>
    </xf>
    <xf numFmtId="179" fontId="78" fillId="2" borderId="4" xfId="6" applyNumberFormat="1" applyFont="1" applyFill="1" applyBorder="1" applyAlignment="1" applyProtection="1">
      <alignment horizontal="center" vertical="center" wrapText="1"/>
    </xf>
    <xf numFmtId="0" fontId="78" fillId="3" borderId="4" xfId="6" applyFont="1" applyFill="1" applyBorder="1" applyAlignment="1" applyProtection="1">
      <alignment horizontal="center" vertical="center" wrapText="1"/>
      <protection locked="0"/>
    </xf>
    <xf numFmtId="0" fontId="78" fillId="2" borderId="74" xfId="6" applyFont="1" applyFill="1" applyBorder="1" applyAlignment="1" applyProtection="1">
      <alignment horizontal="center" vertical="center" wrapText="1"/>
    </xf>
    <xf numFmtId="179" fontId="54" fillId="2" borderId="6" xfId="6" applyNumberFormat="1" applyFont="1" applyFill="1" applyBorder="1" applyAlignment="1" applyProtection="1">
      <alignment horizontal="center" vertical="center"/>
    </xf>
    <xf numFmtId="178" fontId="54" fillId="0" borderId="7" xfId="6" applyNumberFormat="1" applyFont="1" applyFill="1" applyBorder="1" applyAlignment="1" applyProtection="1">
      <alignment horizontal="center" vertical="center"/>
      <protection locked="0"/>
    </xf>
    <xf numFmtId="0" fontId="78" fillId="2" borderId="7" xfId="6" applyNumberFormat="1" applyFont="1" applyFill="1" applyBorder="1" applyAlignment="1" applyProtection="1">
      <alignment horizontal="center" vertical="center"/>
    </xf>
    <xf numFmtId="10" fontId="54" fillId="0" borderId="7" xfId="6" applyNumberFormat="1" applyFont="1" applyFill="1" applyBorder="1" applyAlignment="1" applyProtection="1">
      <alignment horizontal="center" vertical="center"/>
      <protection locked="0"/>
    </xf>
    <xf numFmtId="0" fontId="78" fillId="2" borderId="13" xfId="0" applyNumberFormat="1" applyFont="1" applyFill="1" applyBorder="1" applyAlignment="1" applyProtection="1">
      <alignment horizontal="center" vertical="center"/>
    </xf>
    <xf numFmtId="178" fontId="78" fillId="0" borderId="7" xfId="6" applyNumberFormat="1" applyFont="1" applyFill="1" applyBorder="1" applyAlignment="1" applyProtection="1">
      <alignment horizontal="center" vertical="center"/>
      <protection locked="0"/>
    </xf>
    <xf numFmtId="10" fontId="78" fillId="0" borderId="7" xfId="6" applyNumberFormat="1" applyFont="1" applyFill="1" applyBorder="1" applyAlignment="1" applyProtection="1">
      <alignment horizontal="center" vertical="center"/>
      <protection locked="0"/>
    </xf>
    <xf numFmtId="178" fontId="78" fillId="2" borderId="7" xfId="6" applyNumberFormat="1" applyFont="1" applyFill="1" applyBorder="1" applyAlignment="1" applyProtection="1">
      <alignment horizontal="center" vertical="center"/>
    </xf>
    <xf numFmtId="10" fontId="78" fillId="2" borderId="7" xfId="6" applyNumberFormat="1" applyFont="1" applyFill="1" applyBorder="1" applyAlignment="1" applyProtection="1">
      <alignment horizontal="center" vertical="center"/>
    </xf>
    <xf numFmtId="0" fontId="87" fillId="2" borderId="11" xfId="6" applyFont="1" applyFill="1" applyBorder="1" applyAlignment="1" applyProtection="1">
      <alignment vertical="center"/>
    </xf>
    <xf numFmtId="185" fontId="78" fillId="2" borderId="9" xfId="0" applyNumberFormat="1" applyFont="1" applyFill="1" applyBorder="1" applyAlignment="1" applyProtection="1">
      <alignment horizontal="center" vertical="center"/>
    </xf>
    <xf numFmtId="0" fontId="78" fillId="2" borderId="10" xfId="6" applyNumberFormat="1" applyFont="1" applyFill="1" applyBorder="1" applyAlignment="1" applyProtection="1">
      <alignment horizontal="center" vertical="center"/>
    </xf>
    <xf numFmtId="10" fontId="78" fillId="2" borderId="10" xfId="6"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8" fillId="7" borderId="0" xfId="0" applyFont="1" applyFill="1" applyAlignment="1" applyProtection="1">
      <alignment horizontal="center" vertical="center"/>
      <protection locked="0"/>
    </xf>
    <xf numFmtId="0" fontId="118" fillId="7" borderId="0" xfId="0" applyFont="1" applyFill="1" applyAlignment="1" applyProtection="1">
      <alignment horizontal="right" vertical="center"/>
      <protection locked="0"/>
    </xf>
    <xf numFmtId="0" fontId="78" fillId="7" borderId="0" xfId="0" applyFont="1" applyFill="1" applyBorder="1" applyAlignment="1" applyProtection="1">
      <alignment vertical="center"/>
      <protection locked="0"/>
    </xf>
    <xf numFmtId="0" fontId="54" fillId="2" borderId="140" xfId="0" applyFont="1" applyFill="1" applyBorder="1" applyAlignment="1" applyProtection="1">
      <alignment horizontal="center" vertical="center"/>
    </xf>
    <xf numFmtId="0" fontId="78" fillId="2" borderId="3" xfId="6" applyFont="1" applyFill="1" applyBorder="1" applyAlignment="1" applyProtection="1">
      <alignment horizontal="center" vertical="center" wrapText="1"/>
    </xf>
    <xf numFmtId="0" fontId="78" fillId="2" borderId="73" xfId="6" applyFont="1" applyFill="1" applyBorder="1" applyAlignment="1" applyProtection="1">
      <alignment horizontal="center" vertical="center" wrapText="1"/>
    </xf>
    <xf numFmtId="0" fontId="78" fillId="2" borderId="81" xfId="6"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8" fillId="2" borderId="6" xfId="6" applyNumberFormat="1" applyFont="1" applyFill="1" applyBorder="1" applyAlignment="1" applyProtection="1">
      <alignment horizontal="center" vertical="center"/>
    </xf>
    <xf numFmtId="179" fontId="78" fillId="2" borderId="7" xfId="0" applyNumberFormat="1" applyFont="1" applyFill="1" applyBorder="1" applyAlignment="1" applyProtection="1">
      <alignment horizontal="center" vertical="center"/>
    </xf>
    <xf numFmtId="0" fontId="78" fillId="2" borderId="8" xfId="6" applyNumberFormat="1" applyFont="1" applyFill="1" applyBorder="1" applyAlignment="1" applyProtection="1">
      <alignment horizontal="center" vertical="center"/>
    </xf>
    <xf numFmtId="179" fontId="78" fillId="0" borderId="6" xfId="0" applyNumberFormat="1" applyFont="1" applyBorder="1" applyAlignment="1" applyProtection="1">
      <alignment horizontal="center" vertical="center"/>
      <protection locked="0"/>
    </xf>
    <xf numFmtId="181" fontId="78" fillId="0" borderId="7" xfId="0" applyNumberFormat="1" applyFont="1" applyBorder="1" applyAlignment="1" applyProtection="1">
      <alignment vertical="center"/>
      <protection locked="0"/>
    </xf>
    <xf numFmtId="181" fontId="78"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8" fillId="0" borderId="13" xfId="0" applyNumberFormat="1" applyFont="1" applyFill="1" applyBorder="1" applyAlignment="1" applyProtection="1">
      <alignment horizontal="center" vertical="center"/>
      <protection locked="0"/>
    </xf>
    <xf numFmtId="179" fontId="78" fillId="0" borderId="6" xfId="0" applyNumberFormat="1" applyFont="1" applyBorder="1" applyAlignment="1" applyProtection="1">
      <alignment vertical="center"/>
      <protection locked="0"/>
    </xf>
    <xf numFmtId="9" fontId="78" fillId="2" borderId="13" xfId="0" applyNumberFormat="1" applyFont="1" applyFill="1" applyBorder="1" applyAlignment="1" applyProtection="1">
      <alignment horizontal="center" vertical="center"/>
    </xf>
    <xf numFmtId="0" fontId="78" fillId="2" borderId="6" xfId="0" applyFont="1" applyFill="1" applyBorder="1" applyAlignment="1" applyProtection="1">
      <alignment vertical="center"/>
    </xf>
    <xf numFmtId="181" fontId="78" fillId="2" borderId="7" xfId="0" applyNumberFormat="1" applyFont="1" applyFill="1" applyBorder="1" applyAlignment="1" applyProtection="1">
      <alignment vertical="center"/>
    </xf>
    <xf numFmtId="181" fontId="78" fillId="2" borderId="13" xfId="0" applyNumberFormat="1" applyFont="1" applyFill="1" applyBorder="1" applyAlignment="1" applyProtection="1">
      <alignment vertical="center"/>
    </xf>
    <xf numFmtId="9" fontId="78" fillId="2" borderId="75" xfId="0" applyNumberFormat="1" applyFont="1" applyFill="1" applyBorder="1" applyAlignment="1" applyProtection="1">
      <alignment horizontal="center" vertical="center"/>
    </xf>
    <xf numFmtId="179" fontId="78" fillId="2" borderId="9" xfId="6" applyNumberFormat="1" applyFont="1" applyFill="1" applyBorder="1" applyAlignment="1" applyProtection="1">
      <alignment horizontal="center" vertical="center"/>
    </xf>
    <xf numFmtId="179" fontId="78" fillId="2" borderId="96" xfId="6" applyNumberFormat="1" applyFont="1" applyFill="1" applyBorder="1" applyAlignment="1" applyProtection="1">
      <alignment horizontal="center" vertical="center"/>
    </xf>
    <xf numFmtId="0" fontId="78" fillId="2" borderId="91" xfId="6" applyNumberFormat="1" applyFont="1" applyFill="1" applyBorder="1" applyAlignment="1" applyProtection="1">
      <alignment horizontal="center" vertical="center"/>
    </xf>
    <xf numFmtId="0" fontId="78" fillId="2" borderId="9" xfId="0" applyFont="1" applyFill="1" applyBorder="1" applyAlignment="1" applyProtection="1">
      <alignment vertical="center"/>
    </xf>
    <xf numFmtId="0" fontId="78" fillId="2" borderId="10" xfId="0" applyFont="1" applyFill="1" applyBorder="1" applyAlignment="1" applyProtection="1">
      <alignment vertical="center"/>
    </xf>
    <xf numFmtId="0" fontId="78" fillId="2" borderId="75" xfId="0" applyFont="1" applyFill="1" applyBorder="1" applyAlignment="1" applyProtection="1">
      <alignment vertical="center"/>
    </xf>
    <xf numFmtId="0" fontId="78" fillId="2" borderId="73" xfId="0" applyFont="1" applyFill="1" applyBorder="1" applyAlignment="1" applyProtection="1">
      <alignment vertical="center"/>
    </xf>
    <xf numFmtId="0" fontId="78" fillId="2" borderId="105" xfId="0" applyFont="1" applyFill="1" applyBorder="1" applyAlignment="1" applyProtection="1">
      <alignment vertical="center"/>
    </xf>
    <xf numFmtId="0" fontId="78" fillId="2" borderId="95" xfId="0" applyFont="1" applyFill="1" applyBorder="1" applyAlignment="1" applyProtection="1">
      <alignment horizontal="center" vertical="center" wrapText="1"/>
    </xf>
    <xf numFmtId="181" fontId="78" fillId="0" borderId="8" xfId="0" applyNumberFormat="1" applyFont="1" applyBorder="1" applyAlignment="1" applyProtection="1">
      <alignment vertical="center"/>
      <protection locked="0"/>
    </xf>
    <xf numFmtId="0" fontId="78" fillId="0" borderId="14" xfId="0" applyFont="1" applyBorder="1" applyAlignment="1" applyProtection="1">
      <alignment vertical="center"/>
      <protection locked="0"/>
    </xf>
    <xf numFmtId="181" fontId="78" fillId="0" borderId="13" xfId="0" applyNumberFormat="1" applyFont="1" applyBorder="1" applyAlignment="1" applyProtection="1">
      <alignment vertical="center"/>
      <protection locked="0"/>
    </xf>
    <xf numFmtId="0" fontId="78" fillId="2" borderId="6" xfId="0" applyFont="1" applyFill="1" applyBorder="1" applyAlignment="1" applyProtection="1">
      <alignment horizontal="center" vertical="center"/>
    </xf>
    <xf numFmtId="0" fontId="78" fillId="0" borderId="14" xfId="0" applyFont="1" applyBorder="1" applyAlignment="1" applyProtection="1">
      <alignment horizontal="center" vertical="center"/>
      <protection locked="0"/>
    </xf>
    <xf numFmtId="181" fontId="78" fillId="2" borderId="8" xfId="0" applyNumberFormat="1" applyFont="1" applyFill="1" applyBorder="1" applyAlignment="1" applyProtection="1">
      <alignment vertical="center"/>
    </xf>
    <xf numFmtId="0" fontId="78" fillId="2" borderId="14" xfId="0" applyFont="1" applyFill="1" applyBorder="1" applyAlignment="1" applyProtection="1">
      <alignment vertical="center"/>
    </xf>
    <xf numFmtId="181" fontId="78" fillId="2" borderId="7" xfId="0" applyNumberFormat="1" applyFont="1" applyFill="1" applyBorder="1" applyAlignment="1" applyProtection="1">
      <alignment horizontal="center" vertical="center"/>
    </xf>
    <xf numFmtId="0" fontId="78" fillId="2" borderId="11" xfId="0" applyFont="1" applyFill="1" applyBorder="1" applyAlignment="1" applyProtection="1">
      <alignment vertical="center"/>
    </xf>
    <xf numFmtId="0" fontId="78" fillId="2" borderId="96" xfId="0" applyFont="1" applyFill="1" applyBorder="1" applyAlignment="1" applyProtection="1">
      <alignment vertical="center"/>
    </xf>
    <xf numFmtId="0" fontId="78" fillId="2" borderId="116" xfId="0" applyFont="1" applyFill="1" applyBorder="1" applyAlignment="1" applyProtection="1">
      <alignment vertical="center"/>
    </xf>
    <xf numFmtId="0" fontId="78" fillId="2" borderId="14" xfId="0" applyFont="1" applyFill="1" applyBorder="1" applyAlignment="1" applyProtection="1">
      <alignment horizontal="center" vertical="center" wrapText="1"/>
      <protection locked="0"/>
    </xf>
    <xf numFmtId="0" fontId="78" fillId="0" borderId="6" xfId="0" applyFont="1" applyBorder="1" applyAlignment="1" applyProtection="1">
      <alignment horizontal="center" vertical="center"/>
      <protection locked="0"/>
    </xf>
    <xf numFmtId="0" fontId="78" fillId="3" borderId="14" xfId="0" applyFont="1" applyFill="1" applyBorder="1" applyAlignment="1" applyProtection="1">
      <alignment horizontal="center" vertical="center"/>
      <protection locked="0"/>
    </xf>
    <xf numFmtId="0" fontId="78" fillId="0" borderId="7" xfId="0" applyNumberFormat="1" applyFont="1" applyBorder="1" applyAlignment="1" applyProtection="1">
      <alignment horizontal="center" vertical="center"/>
      <protection locked="0"/>
    </xf>
    <xf numFmtId="10" fontId="78" fillId="0" borderId="7" xfId="0" applyNumberFormat="1" applyFont="1" applyBorder="1" applyAlignment="1" applyProtection="1">
      <alignment horizontal="center" vertical="center"/>
      <protection locked="0"/>
    </xf>
    <xf numFmtId="187" fontId="78" fillId="0" borderId="7" xfId="0" applyNumberFormat="1" applyFont="1" applyBorder="1" applyAlignment="1" applyProtection="1">
      <alignment horizontal="center" vertical="center"/>
      <protection locked="0"/>
    </xf>
    <xf numFmtId="181" fontId="7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7"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8" fillId="0" borderId="7" xfId="0" applyNumberFormat="1" applyFont="1" applyFill="1" applyBorder="1" applyAlignment="1" applyProtection="1">
      <alignment horizontal="center" vertical="center"/>
      <protection locked="0"/>
    </xf>
    <xf numFmtId="187" fontId="78" fillId="0" borderId="7" xfId="0" applyNumberFormat="1" applyFont="1" applyFill="1" applyBorder="1" applyAlignment="1" applyProtection="1">
      <alignment horizontal="center" vertical="center"/>
      <protection locked="0"/>
    </xf>
    <xf numFmtId="181" fontId="78" fillId="0" borderId="8" xfId="0" applyNumberFormat="1" applyFont="1" applyFill="1" applyBorder="1" applyAlignment="1" applyProtection="1">
      <alignment horizontal="center" vertical="center"/>
      <protection locked="0"/>
    </xf>
    <xf numFmtId="10" fontId="78" fillId="2" borderId="7" xfId="0" applyNumberFormat="1" applyFont="1" applyFill="1" applyBorder="1" applyAlignment="1" applyProtection="1">
      <alignment horizontal="center" vertical="center"/>
    </xf>
    <xf numFmtId="187" fontId="78" fillId="2" borderId="7" xfId="0" applyNumberFormat="1" applyFont="1" applyFill="1" applyBorder="1" applyAlignment="1" applyProtection="1">
      <alignment horizontal="center" vertical="center"/>
    </xf>
    <xf numFmtId="181" fontId="78" fillId="2" borderId="8" xfId="0" applyNumberFormat="1" applyFont="1" applyFill="1" applyBorder="1" applyAlignment="1" applyProtection="1">
      <alignment horizontal="center" vertical="center"/>
    </xf>
    <xf numFmtId="0" fontId="78" fillId="2" borderId="7" xfId="0" applyFont="1" applyFill="1" applyBorder="1" applyAlignment="1" applyProtection="1">
      <alignment vertical="center" wrapText="1"/>
    </xf>
    <xf numFmtId="0" fontId="78" fillId="2" borderId="7" xfId="0" applyFont="1" applyFill="1" applyBorder="1" applyAlignment="1" applyProtection="1">
      <alignment horizontal="right" vertical="center" wrapText="1"/>
    </xf>
    <xf numFmtId="0" fontId="78" fillId="2" borderId="7" xfId="6" applyFont="1" applyFill="1" applyBorder="1" applyAlignment="1" applyProtection="1">
      <alignment horizontal="center" vertical="center" wrapText="1"/>
    </xf>
    <xf numFmtId="0" fontId="7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122" fillId="0" borderId="0" xfId="0" applyFont="1" applyFill="1" applyBorder="1" applyAlignment="1">
      <alignment horizontal="left" vertical="center"/>
    </xf>
    <xf numFmtId="0" fontId="122" fillId="0" borderId="0" xfId="0" applyNumberFormat="1" applyFont="1" applyFill="1" applyBorder="1" applyAlignment="1">
      <alignment horizontal="left" vertical="center"/>
    </xf>
    <xf numFmtId="195" fontId="122" fillId="0" borderId="0" xfId="0" applyNumberFormat="1" applyFont="1" applyFill="1" applyBorder="1" applyAlignment="1">
      <alignment horizontal="left" vertical="center"/>
    </xf>
    <xf numFmtId="196" fontId="122" fillId="0" borderId="0" xfId="0" applyNumberFormat="1" applyFont="1" applyFill="1" applyBorder="1" applyAlignment="1">
      <alignment horizontal="left" vertical="center"/>
    </xf>
    <xf numFmtId="197" fontId="122" fillId="0" borderId="0" xfId="0" applyNumberFormat="1" applyFont="1" applyFill="1" applyBorder="1" applyAlignment="1">
      <alignment horizontal="left" vertical="center"/>
    </xf>
    <xf numFmtId="0" fontId="122" fillId="0" borderId="0" xfId="0" applyFont="1" applyFill="1" applyBorder="1" applyAlignment="1">
      <alignment horizontal="left"/>
    </xf>
    <xf numFmtId="0" fontId="94" fillId="0" borderId="0" xfId="0" applyFont="1" applyFill="1" applyBorder="1" applyAlignment="1"/>
    <xf numFmtId="0" fontId="94" fillId="17" borderId="0" xfId="0" applyFont="1" applyFill="1" applyBorder="1" applyAlignment="1"/>
    <xf numFmtId="0" fontId="123" fillId="18" borderId="167" xfId="2" applyNumberFormat="1" applyFont="1" applyFill="1" applyBorder="1" applyAlignment="1">
      <alignment horizontal="left" vertical="center" wrapText="1" readingOrder="1"/>
    </xf>
    <xf numFmtId="0" fontId="124" fillId="0" borderId="167" xfId="2" applyNumberFormat="1" applyFont="1" applyFill="1" applyBorder="1" applyAlignment="1">
      <alignment horizontal="left" vertical="center" wrapText="1" readingOrder="1"/>
    </xf>
    <xf numFmtId="0" fontId="123" fillId="19" borderId="167" xfId="2" applyNumberFormat="1" applyFont="1" applyFill="1" applyBorder="1" applyAlignment="1">
      <alignment horizontal="left" vertical="center" wrapText="1" readingOrder="1"/>
    </xf>
    <xf numFmtId="195" fontId="124" fillId="0" borderId="167" xfId="2" applyNumberFormat="1" applyFont="1" applyFill="1" applyBorder="1" applyAlignment="1">
      <alignment horizontal="left" vertical="center" wrapText="1" readingOrder="1"/>
    </xf>
    <xf numFmtId="196" fontId="124" fillId="0" borderId="167" xfId="2" applyNumberFormat="1" applyFont="1" applyFill="1" applyBorder="1" applyAlignment="1">
      <alignment horizontal="left" vertical="center" wrapText="1" readingOrder="1"/>
    </xf>
    <xf numFmtId="196" fontId="124" fillId="17" borderId="167" xfId="2" applyNumberFormat="1" applyFont="1" applyFill="1" applyBorder="1" applyAlignment="1">
      <alignment horizontal="left" vertical="center" wrapText="1" readingOrder="1"/>
    </xf>
    <xf numFmtId="198" fontId="124" fillId="0" borderId="167" xfId="2" applyNumberFormat="1" applyFont="1" applyFill="1" applyBorder="1" applyAlignment="1">
      <alignment horizontal="left" vertical="center" wrapText="1" readingOrder="1"/>
    </xf>
    <xf numFmtId="199" fontId="124" fillId="0" borderId="167" xfId="2" applyNumberFormat="1" applyFont="1" applyFill="1" applyBorder="1" applyAlignment="1">
      <alignment horizontal="left" vertical="center" wrapText="1" readingOrder="1"/>
    </xf>
    <xf numFmtId="0" fontId="124" fillId="17" borderId="167" xfId="2" applyNumberFormat="1" applyFont="1" applyFill="1" applyBorder="1" applyAlignment="1">
      <alignment horizontal="left" vertical="center" wrapText="1" readingOrder="1"/>
    </xf>
    <xf numFmtId="195" fontId="124" fillId="3" borderId="167" xfId="2" applyNumberFormat="1" applyFont="1" applyFill="1" applyBorder="1" applyAlignment="1">
      <alignment horizontal="left" vertical="center" wrapText="1" readingOrder="1"/>
    </xf>
    <xf numFmtId="195" fontId="123" fillId="18" borderId="167" xfId="2" applyNumberFormat="1" applyFont="1" applyFill="1" applyBorder="1" applyAlignment="1">
      <alignment horizontal="left" vertical="center" wrapText="1" readingOrder="1"/>
    </xf>
    <xf numFmtId="196" fontId="123" fillId="18" borderId="167" xfId="2" applyNumberFormat="1" applyFont="1" applyFill="1" applyBorder="1" applyAlignment="1">
      <alignment horizontal="left" vertical="center" wrapText="1" readingOrder="1"/>
    </xf>
    <xf numFmtId="196" fontId="123" fillId="19" borderId="167" xfId="2" applyNumberFormat="1" applyFont="1" applyFill="1" applyBorder="1" applyAlignment="1">
      <alignment horizontal="left" vertical="center" wrapText="1" readingOrder="1"/>
    </xf>
    <xf numFmtId="198" fontId="123" fillId="18" borderId="167" xfId="2" applyNumberFormat="1" applyFont="1" applyFill="1" applyBorder="1" applyAlignment="1">
      <alignment horizontal="left" vertical="center" wrapText="1" readingOrder="1"/>
    </xf>
    <xf numFmtId="0" fontId="78" fillId="0" borderId="0" xfId="0" applyFont="1" applyProtection="1">
      <alignment vertical="center"/>
      <protection locked="0"/>
    </xf>
    <xf numFmtId="0" fontId="78" fillId="0" borderId="0" xfId="0" applyFont="1" applyFill="1" applyProtection="1">
      <alignment vertical="center"/>
      <protection locked="0"/>
    </xf>
    <xf numFmtId="185" fontId="74" fillId="2" borderId="7" xfId="6" applyNumberFormat="1" applyFont="1" applyFill="1" applyBorder="1" applyAlignment="1" applyProtection="1">
      <alignment horizontal="center" vertical="center"/>
    </xf>
    <xf numFmtId="0" fontId="78" fillId="7" borderId="0" xfId="0" applyFont="1" applyFill="1" applyProtection="1">
      <alignment vertical="center"/>
      <protection locked="0"/>
    </xf>
    <xf numFmtId="0" fontId="78" fillId="2" borderId="82" xfId="0" applyFont="1" applyFill="1" applyBorder="1" applyProtection="1">
      <alignment vertical="center"/>
    </xf>
    <xf numFmtId="0" fontId="78" fillId="2" borderId="83" xfId="0" applyFont="1" applyFill="1" applyBorder="1" applyProtection="1">
      <alignment vertical="center"/>
    </xf>
    <xf numFmtId="0" fontId="87" fillId="2" borderId="12" xfId="0" applyFont="1" applyFill="1" applyBorder="1" applyAlignment="1" applyProtection="1">
      <alignment vertical="center"/>
    </xf>
    <xf numFmtId="0" fontId="78" fillId="2" borderId="68" xfId="0" applyFont="1" applyFill="1" applyBorder="1" applyProtection="1">
      <alignment vertical="center"/>
    </xf>
    <xf numFmtId="0" fontId="87" fillId="2" borderId="4" xfId="0" applyFont="1" applyFill="1" applyBorder="1" applyAlignment="1" applyProtection="1">
      <alignment horizontal="center" vertical="center"/>
    </xf>
    <xf numFmtId="185" fontId="74" fillId="2" borderId="5" xfId="6" applyNumberFormat="1" applyFont="1" applyFill="1" applyBorder="1" applyAlignment="1" applyProtection="1">
      <alignment horizontal="center" vertical="center"/>
    </xf>
    <xf numFmtId="0" fontId="78" fillId="2" borderId="112" xfId="0" applyFont="1" applyFill="1" applyBorder="1" applyProtection="1">
      <alignment vertical="center"/>
    </xf>
    <xf numFmtId="0" fontId="78" fillId="2" borderId="68" xfId="0" applyFont="1" applyFill="1" applyBorder="1" applyAlignment="1" applyProtection="1">
      <alignment vertical="center"/>
    </xf>
    <xf numFmtId="0" fontId="78" fillId="2" borderId="7" xfId="0" applyFont="1" applyFill="1" applyBorder="1" applyAlignment="1" applyProtection="1">
      <alignment vertical="center"/>
    </xf>
    <xf numFmtId="185" fontId="78" fillId="2" borderId="8" xfId="0" applyNumberFormat="1" applyFont="1" applyFill="1" applyBorder="1" applyAlignment="1" applyProtection="1">
      <alignment vertical="center"/>
    </xf>
    <xf numFmtId="0" fontId="78" fillId="2" borderId="79" xfId="0" applyFont="1" applyFill="1" applyBorder="1" applyAlignment="1" applyProtection="1">
      <alignment vertical="center"/>
    </xf>
    <xf numFmtId="0" fontId="78" fillId="2" borderId="76" xfId="0" applyFont="1" applyFill="1" applyBorder="1" applyProtection="1">
      <alignment vertical="center"/>
    </xf>
    <xf numFmtId="0" fontId="78" fillId="2" borderId="12" xfId="0" applyFont="1" applyFill="1" applyBorder="1" applyProtection="1">
      <alignment vertical="center"/>
    </xf>
    <xf numFmtId="185" fontId="87" fillId="2" borderId="5" xfId="6" applyNumberFormat="1" applyFont="1" applyFill="1" applyBorder="1" applyAlignment="1" applyProtection="1">
      <alignment horizontal="center" vertical="center"/>
    </xf>
    <xf numFmtId="0" fontId="78" fillId="2" borderId="89" xfId="0" applyFont="1" applyFill="1" applyBorder="1" applyProtection="1">
      <alignment vertical="center"/>
    </xf>
    <xf numFmtId="0" fontId="78" fillId="2" borderId="96" xfId="0" applyFont="1" applyFill="1" applyBorder="1" applyProtection="1">
      <alignment vertical="center"/>
    </xf>
    <xf numFmtId="0" fontId="78" fillId="2" borderId="12" xfId="0" applyFont="1" applyFill="1" applyBorder="1" applyAlignment="1" applyProtection="1">
      <alignment vertical="center"/>
    </xf>
    <xf numFmtId="0" fontId="78" fillId="2" borderId="8" xfId="0" applyFont="1" applyFill="1" applyBorder="1" applyAlignment="1" applyProtection="1">
      <alignment vertical="center"/>
    </xf>
    <xf numFmtId="0" fontId="78" fillId="7" borderId="0" xfId="0" applyFont="1" applyFill="1" applyBorder="1" applyProtection="1">
      <alignment vertical="center"/>
      <protection locked="0"/>
    </xf>
    <xf numFmtId="0" fontId="78" fillId="2" borderId="76" xfId="0" applyFont="1" applyFill="1" applyBorder="1" applyAlignment="1" applyProtection="1">
      <alignment vertical="center"/>
    </xf>
    <xf numFmtId="0" fontId="78" fillId="2" borderId="78" xfId="0" applyFont="1" applyFill="1" applyBorder="1" applyAlignment="1" applyProtection="1">
      <alignment vertical="center"/>
    </xf>
    <xf numFmtId="0" fontId="78" fillId="0" borderId="8" xfId="0" applyFont="1" applyFill="1" applyBorder="1" applyAlignment="1" applyProtection="1">
      <alignment vertical="center"/>
      <protection locked="0"/>
    </xf>
    <xf numFmtId="0" fontId="78" fillId="2" borderId="69" xfId="0" applyFont="1" applyFill="1" applyBorder="1" applyAlignment="1" applyProtection="1">
      <alignment vertical="center"/>
    </xf>
    <xf numFmtId="0" fontId="87" fillId="2" borderId="82" xfId="0" applyFont="1" applyFill="1" applyBorder="1" applyProtection="1">
      <alignment vertical="center"/>
    </xf>
    <xf numFmtId="0" fontId="78" fillId="2" borderId="80" xfId="0" applyFont="1" applyFill="1" applyBorder="1" applyProtection="1">
      <alignment vertical="center"/>
    </xf>
    <xf numFmtId="0" fontId="87" fillId="2" borderId="80" xfId="0" applyFont="1" applyFill="1" applyBorder="1" applyAlignment="1" applyProtection="1">
      <alignment horizontal="center" vertical="center"/>
    </xf>
    <xf numFmtId="185" fontId="74" fillId="2" borderId="66" xfId="6" applyNumberFormat="1" applyFont="1" applyFill="1" applyBorder="1" applyAlignment="1" applyProtection="1">
      <alignment horizontal="center" vertical="center"/>
    </xf>
    <xf numFmtId="185" fontId="74" fillId="2" borderId="83" xfId="6" applyNumberFormat="1" applyFont="1" applyFill="1" applyBorder="1" applyAlignment="1" applyProtection="1">
      <alignment horizontal="center" vertical="center"/>
    </xf>
    <xf numFmtId="185" fontId="74" fillId="2" borderId="84" xfId="6" applyNumberFormat="1" applyFont="1" applyFill="1" applyBorder="1" applyAlignment="1" applyProtection="1">
      <alignment horizontal="center" vertical="center"/>
    </xf>
    <xf numFmtId="0" fontId="87" fillId="2" borderId="133" xfId="0" applyFont="1" applyFill="1" applyBorder="1" applyAlignment="1" applyProtection="1">
      <alignment horizontal="right" vertical="center"/>
    </xf>
    <xf numFmtId="0" fontId="78" fillId="2" borderId="16" xfId="0" applyFont="1" applyFill="1" applyBorder="1" applyAlignment="1" applyProtection="1">
      <alignment vertical="center"/>
    </xf>
    <xf numFmtId="0" fontId="78" fillId="2" borderId="0" xfId="0" applyFont="1" applyFill="1" applyBorder="1" applyAlignment="1" applyProtection="1">
      <alignment vertical="center"/>
    </xf>
    <xf numFmtId="0" fontId="87" fillId="2" borderId="16" xfId="0" applyFont="1" applyFill="1" applyBorder="1" applyAlignment="1" applyProtection="1">
      <alignment horizontal="center" vertical="center"/>
    </xf>
    <xf numFmtId="185" fontId="73" fillId="2" borderId="16" xfId="6" applyNumberFormat="1" applyFont="1" applyFill="1" applyBorder="1" applyAlignment="1" applyProtection="1">
      <alignment horizontal="center" vertical="center"/>
    </xf>
    <xf numFmtId="0" fontId="78" fillId="2" borderId="103" xfId="0" applyFont="1" applyFill="1" applyBorder="1" applyAlignment="1" applyProtection="1">
      <alignment horizontal="center" vertical="center"/>
    </xf>
    <xf numFmtId="0" fontId="78" fillId="2" borderId="85" xfId="0" applyFont="1" applyFill="1" applyBorder="1" applyAlignment="1" applyProtection="1">
      <alignment horizontal="center" vertical="center"/>
    </xf>
    <xf numFmtId="0" fontId="78" fillId="2" borderId="70" xfId="0" applyFont="1" applyFill="1" applyBorder="1" applyProtection="1">
      <alignment vertical="center"/>
    </xf>
    <xf numFmtId="178" fontId="70" fillId="0" borderId="7" xfId="6" applyNumberFormat="1" applyFont="1" applyFill="1" applyBorder="1" applyAlignment="1" applyProtection="1">
      <alignment vertical="center"/>
      <protection locked="0" hidden="1"/>
    </xf>
    <xf numFmtId="185" fontId="7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8" fillId="2" borderId="70" xfId="0" applyFont="1" applyFill="1" applyBorder="1" applyAlignment="1" applyProtection="1">
      <alignment vertical="center"/>
    </xf>
    <xf numFmtId="178" fontId="125" fillId="0" borderId="7" xfId="6" applyNumberFormat="1" applyFont="1" applyFill="1" applyBorder="1" applyAlignment="1" applyProtection="1">
      <alignment vertical="center"/>
      <protection locked="0"/>
    </xf>
    <xf numFmtId="0" fontId="78" fillId="0" borderId="94" xfId="0" applyFont="1" applyFill="1" applyBorder="1" applyProtection="1">
      <alignment vertical="center"/>
      <protection locked="0"/>
    </xf>
    <xf numFmtId="0" fontId="78" fillId="0" borderId="69" xfId="0" applyFont="1" applyFill="1" applyBorder="1" applyProtection="1">
      <alignment vertical="center"/>
      <protection locked="0"/>
    </xf>
    <xf numFmtId="178" fontId="78" fillId="0" borderId="14" xfId="6" applyNumberFormat="1" applyFont="1" applyFill="1" applyBorder="1" applyAlignment="1" applyProtection="1">
      <alignment vertical="center"/>
      <protection locked="0"/>
    </xf>
    <xf numFmtId="185" fontId="87" fillId="2" borderId="7" xfId="0" applyNumberFormat="1" applyFont="1" applyFill="1" applyBorder="1" applyAlignment="1" applyProtection="1">
      <alignment vertical="center"/>
    </xf>
    <xf numFmtId="185" fontId="87" fillId="2" borderId="7" xfId="0" applyNumberFormat="1" applyFont="1" applyFill="1" applyBorder="1" applyAlignment="1" applyProtection="1">
      <alignment horizontal="center" vertical="center"/>
    </xf>
    <xf numFmtId="185" fontId="87" fillId="2" borderId="8" xfId="0" applyNumberFormat="1" applyFont="1" applyFill="1" applyBorder="1" applyAlignment="1" applyProtection="1">
      <alignment vertical="center"/>
    </xf>
    <xf numFmtId="185" fontId="87" fillId="2" borderId="9" xfId="0" applyNumberFormat="1" applyFont="1" applyFill="1" applyBorder="1" applyAlignment="1" applyProtection="1">
      <alignment vertical="center"/>
    </xf>
    <xf numFmtId="0" fontId="78" fillId="2" borderId="87" xfId="0" applyFont="1" applyFill="1" applyBorder="1" applyProtection="1">
      <alignment vertical="center"/>
    </xf>
    <xf numFmtId="0" fontId="78" fillId="2" borderId="94" xfId="0" applyFont="1" applyFill="1" applyBorder="1" applyProtection="1">
      <alignment vertical="center"/>
    </xf>
    <xf numFmtId="0" fontId="78" fillId="2" borderId="69" xfId="0" applyFont="1" applyFill="1" applyBorder="1" applyProtection="1">
      <alignment vertical="center"/>
    </xf>
    <xf numFmtId="0" fontId="87" fillId="2" borderId="94" xfId="0" applyFont="1" applyFill="1" applyBorder="1" applyAlignment="1" applyProtection="1">
      <alignment horizontal="left" vertical="center"/>
    </xf>
    <xf numFmtId="0" fontId="78" fillId="2" borderId="115" xfId="0" applyFont="1" applyFill="1" applyBorder="1" applyAlignment="1" applyProtection="1">
      <alignment vertical="center"/>
    </xf>
    <xf numFmtId="0" fontId="78" fillId="2" borderId="75" xfId="0" applyFont="1" applyFill="1" applyBorder="1" applyProtection="1">
      <alignment vertical="center"/>
    </xf>
    <xf numFmtId="179" fontId="87" fillId="2" borderId="96" xfId="0" applyNumberFormat="1" applyFont="1" applyFill="1" applyBorder="1" applyAlignment="1" applyProtection="1">
      <alignment vertical="center"/>
    </xf>
    <xf numFmtId="179" fontId="87" fillId="2" borderId="10" xfId="0" applyNumberFormat="1" applyFont="1" applyFill="1" applyBorder="1" applyAlignment="1" applyProtection="1">
      <alignment vertical="center"/>
    </xf>
    <xf numFmtId="179" fontId="87" fillId="2" borderId="11" xfId="0" applyNumberFormat="1" applyFont="1" applyFill="1" applyBorder="1" applyAlignment="1" applyProtection="1">
      <alignment vertical="center"/>
    </xf>
    <xf numFmtId="0" fontId="78" fillId="2" borderId="16" xfId="0" applyFont="1" applyFill="1" applyBorder="1" applyProtection="1">
      <alignment vertical="center"/>
    </xf>
    <xf numFmtId="179" fontId="78" fillId="2" borderId="16" xfId="0" applyNumberFormat="1" applyFont="1" applyFill="1" applyBorder="1" applyProtection="1">
      <alignment vertical="center"/>
    </xf>
    <xf numFmtId="185" fontId="78" fillId="0" borderId="0" xfId="0" applyNumberFormat="1" applyFont="1" applyProtection="1">
      <alignment vertical="center"/>
      <protection locked="0"/>
    </xf>
    <xf numFmtId="0" fontId="78" fillId="2" borderId="8" xfId="0" applyFont="1" applyFill="1" applyBorder="1" applyAlignment="1" applyProtection="1">
      <alignment horizontal="center" vertical="center"/>
    </xf>
    <xf numFmtId="0" fontId="78" fillId="2" borderId="69" xfId="0" applyFont="1" applyFill="1" applyBorder="1" applyAlignment="1" applyProtection="1">
      <alignment horizontal="center" vertical="center"/>
    </xf>
    <xf numFmtId="0" fontId="78" fillId="0" borderId="11" xfId="0" applyFont="1" applyFill="1" applyBorder="1" applyAlignment="1" applyProtection="1">
      <alignment horizontal="center" vertical="center"/>
      <protection locked="0"/>
    </xf>
    <xf numFmtId="0" fontId="78" fillId="2" borderId="84" xfId="0" applyFont="1" applyFill="1" applyBorder="1" applyProtection="1">
      <alignment vertical="center"/>
    </xf>
    <xf numFmtId="179" fontId="87" fillId="15" borderId="8" xfId="0" applyNumberFormat="1" applyFont="1" applyFill="1" applyBorder="1" applyAlignment="1" applyProtection="1">
      <alignment horizontal="center" vertical="center"/>
      <protection locked="0"/>
    </xf>
    <xf numFmtId="179" fontId="78" fillId="2" borderId="8" xfId="0" applyNumberFormat="1" applyFont="1" applyFill="1" applyBorder="1" applyAlignment="1" applyProtection="1">
      <alignment horizontal="center" vertical="center"/>
    </xf>
    <xf numFmtId="0" fontId="78" fillId="2" borderId="6" xfId="0" applyFont="1" applyFill="1" applyBorder="1" applyProtection="1">
      <alignment vertical="center"/>
    </xf>
    <xf numFmtId="0" fontId="78" fillId="2" borderId="8" xfId="0" applyFont="1" applyFill="1" applyBorder="1" applyProtection="1">
      <alignment vertical="center"/>
    </xf>
    <xf numFmtId="0" fontId="78" fillId="0" borderId="6" xfId="0" applyFont="1" applyBorder="1" applyProtection="1">
      <alignment vertical="center"/>
      <protection locked="0"/>
    </xf>
    <xf numFmtId="0" fontId="78" fillId="0" borderId="7" xfId="0" applyFont="1" applyBorder="1" applyProtection="1">
      <alignment vertical="center"/>
      <protection locked="0"/>
    </xf>
    <xf numFmtId="0" fontId="78" fillId="0" borderId="68" xfId="0" applyFont="1" applyBorder="1" applyProtection="1">
      <alignment vertical="center"/>
      <protection locked="0"/>
    </xf>
    <xf numFmtId="0" fontId="78" fillId="0" borderId="12" xfId="0" applyFont="1" applyBorder="1" applyProtection="1">
      <alignment vertical="center"/>
      <protection locked="0"/>
    </xf>
    <xf numFmtId="185" fontId="87" fillId="2" borderId="143" xfId="0" applyNumberFormat="1" applyFont="1" applyFill="1" applyBorder="1" applyAlignment="1" applyProtection="1">
      <alignment vertical="center"/>
    </xf>
    <xf numFmtId="0" fontId="87" fillId="2" borderId="9" xfId="0" applyFont="1" applyFill="1" applyBorder="1" applyProtection="1">
      <alignment vertical="center"/>
    </xf>
    <xf numFmtId="0" fontId="87" fillId="2" borderId="10" xfId="0" applyFont="1" applyFill="1" applyBorder="1" applyProtection="1">
      <alignment vertical="center"/>
    </xf>
    <xf numFmtId="0" fontId="87" fillId="2" borderId="11" xfId="0" applyFont="1" applyFill="1" applyBorder="1" applyProtection="1">
      <alignment vertical="center"/>
    </xf>
    <xf numFmtId="0" fontId="78" fillId="2" borderId="11" xfId="0" applyFont="1" applyFill="1" applyBorder="1" applyProtection="1">
      <alignment vertical="center"/>
    </xf>
    <xf numFmtId="0" fontId="78" fillId="2" borderId="13" xfId="0" applyFont="1" applyFill="1" applyBorder="1" applyProtection="1">
      <alignment vertical="center"/>
    </xf>
    <xf numFmtId="185" fontId="7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8"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78" fillId="0" borderId="0" xfId="0" applyFont="1" applyAlignment="1" applyProtection="1">
      <alignment horizontal="center" vertical="center" wrapText="1"/>
    </xf>
    <xf numFmtId="0" fontId="95" fillId="2" borderId="0" xfId="0" applyFont="1" applyFill="1" applyAlignment="1" applyProtection="1">
      <alignment horizontal="left" vertical="center"/>
    </xf>
    <xf numFmtId="0" fontId="7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3"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3"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8" fillId="0" borderId="7"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78" fillId="3" borderId="16" xfId="0" applyFont="1" applyFill="1" applyBorder="1" applyAlignment="1" applyProtection="1">
      <alignment horizontal="center" vertical="center" wrapText="1"/>
      <protection locked="0"/>
    </xf>
    <xf numFmtId="185" fontId="78" fillId="2" borderId="7" xfId="0" applyNumberFormat="1" applyFont="1" applyFill="1" applyBorder="1" applyAlignment="1" applyProtection="1">
      <alignment horizontal="center" vertical="center" wrapText="1"/>
    </xf>
    <xf numFmtId="185" fontId="78" fillId="0" borderId="16" xfId="0" applyNumberFormat="1" applyFont="1" applyFill="1" applyBorder="1" applyAlignment="1" applyProtection="1">
      <alignment horizontal="center" vertical="center" wrapText="1"/>
      <protection locked="0"/>
    </xf>
    <xf numFmtId="185" fontId="78" fillId="2" borderId="16" xfId="0" applyNumberFormat="1" applyFont="1" applyFill="1" applyBorder="1" applyAlignment="1" applyProtection="1">
      <alignment horizontal="center" vertical="center" wrapText="1"/>
    </xf>
    <xf numFmtId="185" fontId="78" fillId="2" borderId="12" xfId="0" applyNumberFormat="1" applyFont="1" applyFill="1" applyBorder="1" applyAlignment="1" applyProtection="1">
      <alignment horizontal="center" vertical="center" wrapText="1"/>
    </xf>
    <xf numFmtId="0" fontId="63"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3"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3"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3"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8" fillId="0" borderId="7" xfId="0" applyNumberFormat="1" applyFont="1" applyBorder="1" applyAlignment="1" applyProtection="1">
      <alignment horizontal="center" vertical="center" wrapText="1"/>
      <protection locked="0"/>
    </xf>
    <xf numFmtId="0" fontId="12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8" fillId="0" borderId="16" xfId="0" applyNumberFormat="1" applyFont="1" applyBorder="1" applyAlignment="1" applyProtection="1">
      <alignment horizontal="center" vertical="center" wrapText="1"/>
      <protection locked="0"/>
    </xf>
    <xf numFmtId="0" fontId="7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3"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8" fillId="2" borderId="8" xfId="0" applyNumberFormat="1" applyFont="1" applyFill="1" applyBorder="1" applyAlignment="1" applyProtection="1">
      <alignment horizontal="center" vertical="center" wrapText="1"/>
    </xf>
    <xf numFmtId="185" fontId="78" fillId="0" borderId="7" xfId="0" applyNumberFormat="1" applyFont="1" applyFill="1" applyBorder="1" applyAlignment="1" applyProtection="1">
      <alignment horizontal="center" vertical="center" wrapText="1"/>
      <protection locked="0"/>
    </xf>
    <xf numFmtId="0" fontId="78" fillId="0" borderId="7" xfId="0" applyFont="1" applyBorder="1" applyAlignment="1" applyProtection="1">
      <alignment vertical="center" wrapText="1"/>
      <protection locked="0"/>
    </xf>
    <xf numFmtId="0" fontId="78" fillId="0" borderId="13" xfId="0" applyFont="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xf>
    <xf numFmtId="185" fontId="78"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64"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9"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34" xfId="0" applyFont="1" applyFill="1" applyBorder="1" applyAlignment="1" applyProtection="1">
      <alignment vertical="center" wrapText="1"/>
    </xf>
    <xf numFmtId="0" fontId="54" fillId="3" borderId="134" xfId="0" applyFont="1" applyFill="1" applyBorder="1" applyAlignment="1" applyProtection="1">
      <alignment horizontal="left" vertical="center"/>
      <protection locked="0"/>
    </xf>
    <xf numFmtId="0" fontId="54" fillId="3" borderId="135" xfId="0" applyFont="1" applyFill="1" applyBorder="1" applyAlignment="1" applyProtection="1">
      <alignment vertical="center" wrapText="1"/>
    </xf>
    <xf numFmtId="0" fontId="54" fillId="3" borderId="131"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78" fontId="54" fillId="3" borderId="7" xfId="6"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4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43"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27"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5" xfId="0" applyFont="1" applyFill="1" applyBorder="1" applyAlignment="1" applyProtection="1">
      <alignment vertical="center" wrapText="1"/>
    </xf>
    <xf numFmtId="0" fontId="54" fillId="2" borderId="130" xfId="0" applyFont="1" applyFill="1" applyBorder="1" applyAlignment="1" applyProtection="1">
      <alignment vertical="center" wrapText="1"/>
    </xf>
    <xf numFmtId="0" fontId="32" fillId="0" borderId="132" xfId="0" applyFont="1" applyFill="1" applyBorder="1" applyAlignment="1" applyProtection="1">
      <alignment vertical="center" wrapText="1"/>
      <protection locked="0"/>
    </xf>
    <xf numFmtId="0" fontId="32" fillId="0" borderId="136"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0"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8" xfId="0" applyFont="1" applyFill="1" applyBorder="1" applyAlignment="1" applyProtection="1">
      <alignment vertical="center"/>
    </xf>
    <xf numFmtId="0" fontId="64" fillId="2" borderId="168" xfId="0" applyFont="1" applyFill="1" applyBorder="1" applyAlignment="1" applyProtection="1">
      <alignment vertical="center" wrapText="1"/>
    </xf>
    <xf numFmtId="0" fontId="6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4" fillId="2" borderId="168" xfId="0" applyFont="1" applyFill="1" applyBorder="1" applyAlignment="1" applyProtection="1">
      <alignment vertical="center" wrapText="1"/>
      <protection locked="0"/>
    </xf>
    <xf numFmtId="0" fontId="64" fillId="2" borderId="170" xfId="0" applyFont="1" applyFill="1" applyBorder="1" applyAlignment="1" applyProtection="1">
      <alignment vertical="center" wrapText="1"/>
      <protection locked="0"/>
    </xf>
    <xf numFmtId="0" fontId="64"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4"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200"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200"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7" fillId="2" borderId="0" xfId="0" applyNumberFormat="1" applyFont="1" applyFill="1" applyBorder="1" applyAlignment="1" applyProtection="1">
      <alignment horizontal="center" vertical="center" wrapText="1"/>
    </xf>
    <xf numFmtId="0" fontId="128" fillId="0" borderId="0" xfId="12" applyFont="1" applyFill="1" applyAlignment="1">
      <alignment horizontal="left" vertical="center"/>
    </xf>
    <xf numFmtId="0" fontId="129" fillId="0" borderId="0" xfId="12" applyFont="1" applyAlignment="1">
      <alignment horizontal="left" vertical="center"/>
    </xf>
    <xf numFmtId="0" fontId="128" fillId="0" borderId="0" xfId="12" applyFont="1" applyAlignment="1">
      <alignment horizontal="left" vertical="center"/>
    </xf>
    <xf numFmtId="0" fontId="130" fillId="0" borderId="0" xfId="12" applyFont="1" applyAlignment="1">
      <alignment horizontal="left" vertical="center"/>
    </xf>
    <xf numFmtId="0" fontId="131" fillId="0" borderId="0" xfId="12" applyFont="1" applyAlignment="1">
      <alignment horizontal="left" vertical="center"/>
    </xf>
    <xf numFmtId="14" fontId="131" fillId="0" borderId="0" xfId="12" applyNumberFormat="1" applyFont="1" applyAlignment="1">
      <alignment horizontal="left" vertical="center"/>
    </xf>
    <xf numFmtId="0" fontId="132" fillId="0" borderId="0" xfId="12" applyFont="1" applyAlignment="1">
      <alignment horizontal="left" vertical="center"/>
    </xf>
    <xf numFmtId="0" fontId="133" fillId="3" borderId="12" xfId="12" applyFont="1" applyFill="1" applyBorder="1" applyAlignment="1">
      <alignment horizontal="left" vertical="center"/>
    </xf>
    <xf numFmtId="0" fontId="134" fillId="0" borderId="7" xfId="12" applyFont="1" applyBorder="1" applyAlignment="1">
      <alignment horizontal="left" vertical="center"/>
    </xf>
    <xf numFmtId="0" fontId="134" fillId="0" borderId="13" xfId="12" applyFont="1" applyBorder="1" applyAlignment="1">
      <alignment horizontal="left" vertical="center"/>
    </xf>
    <xf numFmtId="0" fontId="133" fillId="3" borderId="174" xfId="12" applyFont="1" applyFill="1" applyBorder="1" applyAlignment="1">
      <alignment horizontal="left" vertical="center"/>
    </xf>
    <xf numFmtId="0" fontId="134" fillId="0" borderId="7" xfId="12" applyFont="1" applyFill="1" applyBorder="1" applyAlignment="1">
      <alignment horizontal="left" vertical="center"/>
    </xf>
    <xf numFmtId="193" fontId="134" fillId="0" borderId="7" xfId="12" applyNumberFormat="1" applyFont="1" applyFill="1" applyBorder="1" applyAlignment="1">
      <alignment horizontal="left" vertical="center"/>
    </xf>
    <xf numFmtId="193" fontId="135" fillId="0" borderId="13" xfId="12" applyNumberFormat="1" applyFont="1" applyFill="1" applyBorder="1" applyAlignment="1">
      <alignment horizontal="left" vertical="center"/>
    </xf>
    <xf numFmtId="0" fontId="134" fillId="0" borderId="175" xfId="12" applyFont="1" applyFill="1" applyBorder="1" applyAlignment="1">
      <alignment horizontal="left" vertical="center"/>
    </xf>
    <xf numFmtId="190" fontId="134" fillId="0" borderId="7" xfId="12" applyNumberFormat="1" applyFont="1" applyFill="1" applyBorder="1" applyAlignment="1">
      <alignment horizontal="left" vertical="center"/>
    </xf>
    <xf numFmtId="0" fontId="135" fillId="0" borderId="7" xfId="12" applyFont="1" applyFill="1" applyBorder="1" applyAlignment="1">
      <alignment horizontal="left" vertical="center"/>
    </xf>
    <xf numFmtId="193" fontId="134" fillId="0" borderId="13" xfId="12" applyNumberFormat="1" applyFont="1" applyFill="1" applyBorder="1" applyAlignment="1">
      <alignment horizontal="left" vertical="center"/>
    </xf>
    <xf numFmtId="0" fontId="135" fillId="0" borderId="0" xfId="12" applyFont="1" applyFill="1" applyAlignment="1">
      <alignment horizontal="left" vertical="center"/>
    </xf>
    <xf numFmtId="0" fontId="133" fillId="0" borderId="7" xfId="12" applyFont="1" applyFill="1" applyBorder="1" applyAlignment="1">
      <alignment horizontal="left" vertical="center"/>
    </xf>
    <xf numFmtId="0" fontId="131" fillId="0" borderId="7" xfId="12" applyFont="1" applyBorder="1" applyAlignment="1">
      <alignment horizontal="left" vertical="center"/>
    </xf>
    <xf numFmtId="190" fontId="134" fillId="0" borderId="13" xfId="12" applyNumberFormat="1" applyFont="1" applyFill="1" applyBorder="1" applyAlignment="1">
      <alignment horizontal="left" vertical="center"/>
    </xf>
    <xf numFmtId="0" fontId="131" fillId="0" borderId="175" xfId="12" applyFont="1" applyBorder="1" applyAlignment="1">
      <alignment horizontal="left" vertical="center"/>
    </xf>
    <xf numFmtId="0" fontId="136" fillId="0" borderId="7" xfId="12" applyFont="1" applyBorder="1" applyAlignment="1">
      <alignment horizontal="left" vertical="center"/>
    </xf>
    <xf numFmtId="190" fontId="136" fillId="0" borderId="7" xfId="0" applyNumberFormat="1" applyFont="1" applyFill="1" applyBorder="1" applyAlignment="1">
      <alignment horizontal="left" vertical="center"/>
    </xf>
    <xf numFmtId="14" fontId="131" fillId="0" borderId="7" xfId="12" applyNumberFormat="1" applyFont="1" applyBorder="1" applyAlignment="1">
      <alignment horizontal="left" vertical="center"/>
    </xf>
    <xf numFmtId="14" fontId="131" fillId="0" borderId="13" xfId="12" applyNumberFormat="1" applyFont="1" applyBorder="1" applyAlignment="1">
      <alignment horizontal="left" vertical="center"/>
    </xf>
    <xf numFmtId="14" fontId="128" fillId="0" borderId="0" xfId="12" applyNumberFormat="1" applyFont="1" applyAlignment="1">
      <alignment horizontal="left" vertical="center"/>
    </xf>
    <xf numFmtId="14" fontId="128" fillId="0" borderId="176" xfId="12" applyNumberFormat="1" applyFont="1" applyBorder="1" applyAlignment="1">
      <alignment horizontal="left" vertical="center"/>
    </xf>
    <xf numFmtId="0" fontId="128" fillId="0" borderId="0" xfId="12" applyFont="1" applyBorder="1" applyAlignment="1">
      <alignment horizontal="left" vertical="center"/>
    </xf>
    <xf numFmtId="0" fontId="137" fillId="0" borderId="0" xfId="12"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15" borderId="7" xfId="0" applyFont="1" applyFill="1" applyBorder="1" applyAlignment="1" applyProtection="1">
      <alignment horizontal="center" vertical="center" wrapText="1"/>
    </xf>
    <xf numFmtId="0" fontId="139" fillId="2" borderId="7" xfId="0" applyFont="1" applyFill="1" applyBorder="1" applyAlignment="1" applyProtection="1">
      <alignment horizontal="center" vertical="center" wrapText="1"/>
    </xf>
    <xf numFmtId="0" fontId="140" fillId="22" borderId="7" xfId="0" applyFont="1" applyFill="1" applyBorder="1" applyAlignment="1" applyProtection="1">
      <alignment horizontal="center" vertical="center"/>
    </xf>
    <xf numFmtId="0" fontId="141" fillId="0" borderId="7" xfId="0" applyFont="1" applyFill="1" applyBorder="1" applyAlignment="1" applyProtection="1">
      <alignment horizontal="center" vertical="center"/>
    </xf>
    <xf numFmtId="0" fontId="127" fillId="0" borderId="0" xfId="0" applyFont="1" applyProtection="1">
      <alignment vertical="center"/>
    </xf>
    <xf numFmtId="0" fontId="129"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3"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7" fillId="0" borderId="0" xfId="0" applyFont="1" applyAlignment="1" applyProtection="1">
      <alignment horizontal="left" vertical="center"/>
    </xf>
    <xf numFmtId="185" fontId="127"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0" fontId="96" fillId="0" borderId="7" xfId="0" applyFont="1" applyFill="1" applyBorder="1" applyAlignment="1" applyProtection="1">
      <alignment horizontal="center" vertical="center" wrapText="1"/>
    </xf>
    <xf numFmtId="0" fontId="96" fillId="0" borderId="7" xfId="0" applyFont="1" applyFill="1" applyBorder="1" applyAlignment="1" applyProtection="1">
      <alignment horizontal="left" vertical="center" wrapText="1"/>
    </xf>
    <xf numFmtId="0" fontId="145" fillId="0" borderId="0" xfId="0" applyFont="1" applyProtection="1">
      <alignment vertical="center"/>
      <protection locked="0"/>
    </xf>
    <xf numFmtId="0" fontId="24" fillId="0" borderId="0" xfId="17" applyFont="1">
      <alignment vertical="center"/>
    </xf>
    <xf numFmtId="0" fontId="143" fillId="0" borderId="0" xfId="17" applyFont="1" applyProtection="1">
      <alignment vertical="center"/>
    </xf>
    <xf numFmtId="0" fontId="24" fillId="0" borderId="0" xfId="17" applyFont="1" applyProtection="1">
      <alignment vertical="center"/>
    </xf>
    <xf numFmtId="0" fontId="143" fillId="0" borderId="0" xfId="17" applyFont="1" applyAlignment="1" applyProtection="1">
      <alignment horizontal="center" vertical="center"/>
    </xf>
    <xf numFmtId="0" fontId="108" fillId="0" borderId="16" xfId="17" applyFont="1" applyFill="1" applyBorder="1" applyAlignment="1" applyProtection="1">
      <alignment horizontal="left" vertical="center" wrapText="1"/>
    </xf>
    <xf numFmtId="0" fontId="65" fillId="0" borderId="16" xfId="17" applyFont="1" applyFill="1" applyBorder="1" applyAlignment="1" applyProtection="1">
      <alignment horizontal="center" vertical="center" wrapText="1"/>
    </xf>
    <xf numFmtId="0" fontId="106" fillId="0" borderId="7" xfId="17" applyFont="1" applyFill="1" applyBorder="1" applyAlignment="1" applyProtection="1">
      <alignment horizontal="left" vertical="center" wrapText="1"/>
    </xf>
    <xf numFmtId="0" fontId="65" fillId="0" borderId="7" xfId="17" applyFont="1" applyFill="1" applyBorder="1" applyAlignment="1" applyProtection="1">
      <alignment horizontal="center" vertical="center" wrapText="1"/>
    </xf>
    <xf numFmtId="0" fontId="149" fillId="0" borderId="7" xfId="17" applyFont="1" applyFill="1" applyBorder="1" applyAlignment="1" applyProtection="1">
      <alignment horizontal="left" vertical="center" wrapText="1"/>
    </xf>
    <xf numFmtId="0" fontId="96" fillId="0" borderId="13" xfId="17" applyFont="1" applyFill="1" applyBorder="1" applyAlignment="1" applyProtection="1">
      <alignment vertical="center" wrapText="1"/>
    </xf>
    <xf numFmtId="0" fontId="105" fillId="0" borderId="7" xfId="17" applyFont="1" applyFill="1" applyBorder="1" applyAlignment="1" applyProtection="1">
      <alignment horizontal="left" vertical="center" wrapText="1"/>
    </xf>
    <xf numFmtId="0" fontId="96" fillId="0" borderId="7" xfId="17" applyFont="1" applyFill="1" applyBorder="1" applyAlignment="1" applyProtection="1">
      <alignment horizontal="center" vertical="center" wrapText="1"/>
    </xf>
    <xf numFmtId="0" fontId="108" fillId="0" borderId="7" xfId="17" applyFont="1" applyFill="1" applyBorder="1" applyAlignment="1" applyProtection="1">
      <alignment horizontal="left" vertical="center" wrapText="1"/>
    </xf>
    <xf numFmtId="0" fontId="65" fillId="0" borderId="14" xfId="17" applyFont="1" applyFill="1" applyBorder="1" applyAlignment="1" applyProtection="1">
      <alignment horizontal="center" vertical="center" wrapText="1"/>
    </xf>
    <xf numFmtId="0" fontId="96" fillId="0" borderId="14" xfId="17" applyFont="1" applyFill="1" applyBorder="1" applyAlignment="1" applyProtection="1">
      <alignment horizontal="center" vertical="center" wrapText="1"/>
    </xf>
    <xf numFmtId="0" fontId="77" fillId="0" borderId="7" xfId="17" applyFont="1" applyBorder="1" applyAlignment="1">
      <alignment horizontal="center" vertical="center"/>
    </xf>
    <xf numFmtId="0" fontId="106" fillId="0" borderId="2" xfId="17" applyFont="1" applyFill="1" applyBorder="1" applyAlignment="1" applyProtection="1">
      <alignment horizontal="left" vertical="center" wrapText="1"/>
    </xf>
    <xf numFmtId="0" fontId="96"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45" fillId="0" borderId="0" xfId="17" applyFont="1" applyProtection="1">
      <alignment vertical="center"/>
      <protection locked="0"/>
    </xf>
    <xf numFmtId="0" fontId="150" fillId="0" borderId="0" xfId="0" applyFont="1" applyBorder="1" applyAlignment="1">
      <alignment horizontal="center" vertical="center"/>
    </xf>
    <xf numFmtId="0" fontId="24"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90" fontId="145" fillId="0" borderId="0" xfId="0" applyNumberFormat="1" applyFont="1" applyAlignment="1">
      <alignment horizontal="left" vertical="center"/>
    </xf>
    <xf numFmtId="0" fontId="148" fillId="3" borderId="0" xfId="0" applyFont="1" applyFill="1" applyProtection="1">
      <alignment vertical="center"/>
      <protection locked="0"/>
    </xf>
    <xf numFmtId="0" fontId="154" fillId="0" borderId="0" xfId="12" applyFont="1">
      <alignment vertical="center"/>
    </xf>
    <xf numFmtId="0" fontId="228" fillId="0" borderId="0" xfId="12">
      <alignment vertical="center"/>
    </xf>
    <xf numFmtId="0" fontId="154" fillId="0" borderId="0" xfId="12" applyFont="1" applyAlignment="1">
      <alignment vertical="top" wrapText="1"/>
    </xf>
    <xf numFmtId="0" fontId="155" fillId="0" borderId="0" xfId="12" applyFont="1">
      <alignment vertical="center"/>
    </xf>
    <xf numFmtId="0" fontId="128" fillId="0" borderId="1" xfId="0" applyFont="1" applyBorder="1" applyProtection="1">
      <alignment vertical="center"/>
    </xf>
    <xf numFmtId="0" fontId="128" fillId="0" borderId="148" xfId="0" applyFont="1" applyBorder="1" applyProtection="1">
      <alignment vertical="center"/>
    </xf>
    <xf numFmtId="0" fontId="128" fillId="0" borderId="0" xfId="0" applyFont="1" applyBorder="1" applyProtection="1">
      <alignment vertical="center"/>
    </xf>
    <xf numFmtId="0" fontId="128" fillId="0" borderId="0" xfId="18" applyFont="1" applyBorder="1" applyAlignment="1" applyProtection="1">
      <alignment vertical="center" wrapText="1"/>
    </xf>
    <xf numFmtId="0" fontId="128" fillId="0" borderId="0" xfId="0" applyFont="1" applyAlignment="1" applyProtection="1">
      <alignment horizontal="left" vertical="center"/>
    </xf>
    <xf numFmtId="0" fontId="128" fillId="0" borderId="0" xfId="0" applyFont="1" applyProtection="1">
      <alignment vertical="center"/>
    </xf>
    <xf numFmtId="0" fontId="128" fillId="0" borderId="2" xfId="18" applyFont="1" applyBorder="1" applyAlignment="1" applyProtection="1">
      <alignment horizontal="left" vertical="center" wrapText="1"/>
    </xf>
    <xf numFmtId="0" fontId="108" fillId="0" borderId="2" xfId="0" applyFont="1" applyBorder="1" applyAlignment="1" applyProtection="1">
      <alignment horizontal="left" vertical="center"/>
    </xf>
    <xf numFmtId="0" fontId="128" fillId="0" borderId="147" xfId="18" applyFont="1" applyBorder="1" applyAlignment="1" applyProtection="1">
      <alignment vertical="center" wrapText="1"/>
    </xf>
    <xf numFmtId="0" fontId="128" fillId="0" borderId="147" xfId="0" applyFont="1" applyBorder="1" applyAlignment="1" applyProtection="1">
      <alignment horizontal="left" vertical="center"/>
    </xf>
    <xf numFmtId="0" fontId="128" fillId="0" borderId="7" xfId="18" applyFont="1" applyBorder="1" applyAlignment="1" applyProtection="1">
      <alignment vertical="center" wrapText="1"/>
    </xf>
    <xf numFmtId="0" fontId="128" fillId="0" borderId="7" xfId="0" applyFont="1" applyBorder="1" applyAlignment="1" applyProtection="1">
      <alignment horizontal="left" vertical="center"/>
    </xf>
    <xf numFmtId="0" fontId="128" fillId="0" borderId="2" xfId="18" applyFont="1" applyBorder="1" applyAlignment="1" applyProtection="1">
      <alignment vertical="center" wrapText="1"/>
    </xf>
    <xf numFmtId="0" fontId="128" fillId="0" borderId="2" xfId="0" applyFont="1" applyBorder="1" applyAlignment="1" applyProtection="1">
      <alignment horizontal="left" vertical="center"/>
    </xf>
    <xf numFmtId="176" fontId="128" fillId="0" borderId="2" xfId="0" applyNumberFormat="1" applyFont="1" applyBorder="1" applyAlignment="1" applyProtection="1">
      <alignment horizontal="left" vertical="center"/>
    </xf>
    <xf numFmtId="0" fontId="128" fillId="0" borderId="16" xfId="18" applyFont="1" applyBorder="1" applyAlignment="1" applyProtection="1">
      <alignment vertical="center" wrapText="1"/>
    </xf>
    <xf numFmtId="14" fontId="128" fillId="0" borderId="16" xfId="0" applyNumberFormat="1" applyFont="1" applyBorder="1" applyAlignment="1" applyProtection="1">
      <alignment horizontal="left" vertical="center"/>
    </xf>
    <xf numFmtId="14" fontId="128" fillId="0" borderId="7" xfId="0" applyNumberFormat="1" applyFont="1" applyBorder="1" applyAlignment="1" applyProtection="1">
      <alignment horizontal="left" vertical="center"/>
    </xf>
    <xf numFmtId="0" fontId="155" fillId="0" borderId="0" xfId="12" applyFont="1" applyAlignment="1" applyProtection="1">
      <alignment horizontal="left" vertical="top" wrapText="1"/>
    </xf>
    <xf numFmtId="0" fontId="65" fillId="0" borderId="12" xfId="17" applyFont="1" applyFill="1" applyBorder="1" applyAlignment="1" applyProtection="1">
      <alignment horizontal="left" vertical="center" wrapText="1"/>
    </xf>
    <xf numFmtId="0" fontId="65" fillId="0" borderId="78" xfId="17" applyFont="1" applyFill="1" applyBorder="1" applyAlignment="1" applyProtection="1">
      <alignment horizontal="left" vertical="center" wrapText="1"/>
    </xf>
    <xf numFmtId="0" fontId="65" fillId="0" borderId="16" xfId="17" applyFont="1" applyFill="1" applyBorder="1" applyAlignment="1" applyProtection="1">
      <alignment horizontal="left" vertical="center" wrapText="1"/>
    </xf>
    <xf numFmtId="0" fontId="65" fillId="0" borderId="12" xfId="17" applyFont="1" applyFill="1" applyBorder="1" applyAlignment="1" applyProtection="1">
      <alignment vertical="center" wrapText="1"/>
    </xf>
    <xf numFmtId="0" fontId="65" fillId="0" borderId="78" xfId="17" applyFont="1" applyFill="1" applyBorder="1" applyAlignment="1" applyProtection="1">
      <alignment vertical="center" wrapText="1"/>
    </xf>
    <xf numFmtId="0" fontId="65" fillId="0" borderId="16" xfId="17" applyFont="1" applyFill="1" applyBorder="1" applyAlignment="1" applyProtection="1">
      <alignment vertical="center" wrapText="1"/>
    </xf>
    <xf numFmtId="0" fontId="65" fillId="0" borderId="144" xfId="17" applyFont="1" applyFill="1" applyBorder="1" applyAlignment="1" applyProtection="1">
      <alignment horizontal="left" vertical="center" wrapText="1"/>
    </xf>
    <xf numFmtId="0" fontId="145" fillId="0" borderId="0" xfId="17" applyFont="1" applyAlignment="1" applyProtection="1">
      <alignment horizontal="left" vertical="center" wrapText="1"/>
    </xf>
    <xf numFmtId="0" fontId="143" fillId="0" borderId="0" xfId="17" applyFont="1" applyAlignment="1" applyProtection="1">
      <alignment horizontal="center" vertical="center"/>
    </xf>
    <xf numFmtId="0" fontId="143" fillId="0" borderId="1" xfId="17" applyFont="1" applyBorder="1" applyAlignment="1" applyProtection="1">
      <alignment horizontal="center" vertical="center"/>
    </xf>
    <xf numFmtId="0" fontId="65" fillId="0" borderId="7" xfId="0" applyFont="1" applyFill="1" applyBorder="1" applyAlignment="1" applyProtection="1">
      <alignment horizontal="center" vertical="center" wrapText="1"/>
    </xf>
    <xf numFmtId="0" fontId="96"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96" fillId="0" borderId="7" xfId="0" applyFont="1" applyFill="1" applyBorder="1" applyAlignment="1" applyProtection="1">
      <alignment horizontal="center" vertical="center" wrapText="1"/>
    </xf>
    <xf numFmtId="0" fontId="96" fillId="0" borderId="13" xfId="0" applyFont="1" applyFill="1" applyBorder="1" applyAlignment="1" applyProtection="1">
      <alignment horizontal="center" vertical="center" wrapText="1"/>
    </xf>
    <xf numFmtId="0" fontId="96" fillId="0" borderId="15" xfId="0" applyFont="1" applyFill="1" applyBorder="1" applyAlignment="1" applyProtection="1">
      <alignment horizontal="center" vertical="center" wrapText="1"/>
    </xf>
    <xf numFmtId="0" fontId="96" fillId="0" borderId="14" xfId="0" applyFont="1" applyFill="1" applyBorder="1" applyAlignment="1" applyProtection="1">
      <alignment horizontal="center" vertical="center" wrapText="1"/>
    </xf>
    <xf numFmtId="0" fontId="100" fillId="0" borderId="0" xfId="0" applyFont="1" applyFill="1" applyBorder="1" applyAlignment="1" applyProtection="1">
      <alignment horizontal="center" vertical="center"/>
    </xf>
    <xf numFmtId="0" fontId="96" fillId="0" borderId="147" xfId="0" applyFont="1" applyFill="1" applyBorder="1" applyAlignment="1" applyProtection="1">
      <alignment horizontal="center" vertical="center" wrapText="1"/>
    </xf>
    <xf numFmtId="176" fontId="148" fillId="0" borderId="0" xfId="0" applyNumberFormat="1" applyFont="1" applyAlignment="1" applyProtection="1">
      <alignment horizontal="right" vertical="center"/>
      <protection locked="0"/>
    </xf>
    <xf numFmtId="0" fontId="106"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85" fillId="0" borderId="0" xfId="0" applyFont="1" applyAlignment="1" applyProtection="1">
      <alignment vertical="center" wrapText="1"/>
      <protection locked="0"/>
    </xf>
    <xf numFmtId="0" fontId="108"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96"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4"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0" borderId="13" xfId="0" applyFont="1" applyBorder="1" applyAlignment="1" applyProtection="1">
      <alignment horizontal="left" vertical="center"/>
    </xf>
    <xf numFmtId="0" fontId="133" fillId="3" borderId="7" xfId="12" applyFont="1" applyFill="1" applyBorder="1" applyAlignment="1">
      <alignment horizontal="left" vertical="center"/>
    </xf>
    <xf numFmtId="0" fontId="134" fillId="0" borderId="7" xfId="12" applyFont="1" applyBorder="1" applyAlignment="1">
      <alignment horizontal="left" vertical="center"/>
    </xf>
    <xf numFmtId="0" fontId="134" fillId="0" borderId="175" xfId="12"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38" xfId="0" applyFont="1" applyFill="1" applyBorder="1" applyAlignment="1" applyProtection="1">
      <alignment horizontal="left" vertical="center" wrapText="1"/>
    </xf>
    <xf numFmtId="0" fontId="54" fillId="2" borderId="139"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4" xfId="0" applyNumberFormat="1" applyFont="1" applyFill="1" applyBorder="1" applyAlignment="1" applyProtection="1">
      <alignment horizontal="left" vertical="center"/>
      <protection locked="0"/>
    </xf>
    <xf numFmtId="49" fontId="32" fillId="13" borderId="135" xfId="0" applyNumberFormat="1" applyFont="1" applyFill="1" applyBorder="1" applyAlignment="1" applyProtection="1">
      <alignment horizontal="left" vertical="center"/>
      <protection locked="0"/>
    </xf>
    <xf numFmtId="49" fontId="32" fillId="13" borderId="131" xfId="0" applyNumberFormat="1" applyFont="1" applyFill="1" applyBorder="1" applyAlignment="1" applyProtection="1">
      <alignment horizontal="left" vertical="center"/>
      <protection locked="0"/>
    </xf>
    <xf numFmtId="0" fontId="54" fillId="20" borderId="12" xfId="0" applyFont="1" applyFill="1" applyBorder="1" applyAlignment="1" applyProtection="1">
      <alignment horizontal="center" vertical="center" wrapText="1"/>
    </xf>
    <xf numFmtId="0" fontId="54" fillId="20" borderId="162" xfId="0" applyFont="1" applyFill="1" applyBorder="1" applyAlignment="1" applyProtection="1">
      <alignment horizontal="center" vertical="center" wrapText="1"/>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95" xfId="0" applyFont="1" applyFill="1" applyBorder="1" applyAlignment="1" applyProtection="1">
      <alignment horizontal="center" vertical="center"/>
    </xf>
    <xf numFmtId="0" fontId="87" fillId="2" borderId="67" xfId="0" applyFont="1" applyFill="1" applyBorder="1" applyAlignment="1" applyProtection="1">
      <alignment horizontal="center" vertical="center"/>
    </xf>
    <xf numFmtId="0" fontId="87" fillId="2" borderId="80" xfId="0" applyFont="1" applyFill="1" applyBorder="1" applyAlignment="1" applyProtection="1">
      <alignment horizontal="center" vertical="center"/>
    </xf>
    <xf numFmtId="0" fontId="87" fillId="2" borderId="81" xfId="0" applyFont="1" applyFill="1" applyBorder="1" applyAlignment="1" applyProtection="1">
      <alignment horizontal="center" vertical="center"/>
    </xf>
    <xf numFmtId="0" fontId="78" fillId="2" borderId="3"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78" fillId="2" borderId="5" xfId="0"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7" fillId="2" borderId="12" xfId="0" applyFont="1" applyFill="1" applyBorder="1" applyAlignment="1" applyProtection="1">
      <alignment horizontal="center" vertical="center"/>
    </xf>
    <xf numFmtId="0" fontId="87" fillId="2" borderId="82" xfId="0" applyFont="1" applyFill="1" applyBorder="1" applyAlignment="1" applyProtection="1">
      <alignment horizontal="center" vertical="center"/>
    </xf>
    <xf numFmtId="0" fontId="87" fillId="2" borderId="83" xfId="0" applyFont="1" applyFill="1" applyBorder="1" applyAlignment="1" applyProtection="1">
      <alignment horizontal="center" vertical="center"/>
    </xf>
    <xf numFmtId="0" fontId="87" fillId="2" borderId="95" xfId="0"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91" fillId="2" borderId="163" xfId="0" applyFont="1" applyFill="1" applyBorder="1" applyAlignment="1" applyProtection="1">
      <alignment vertical="center"/>
    </xf>
    <xf numFmtId="0" fontId="91" fillId="2" borderId="164" xfId="0" applyFont="1" applyFill="1" applyBorder="1" applyAlignment="1" applyProtection="1">
      <alignment vertical="center"/>
    </xf>
    <xf numFmtId="0" fontId="72"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87" fillId="2" borderId="6" xfId="0" applyFont="1" applyFill="1" applyBorder="1" applyAlignment="1" applyProtection="1">
      <alignment horizontal="left" vertical="center"/>
    </xf>
    <xf numFmtId="0" fontId="87" fillId="2" borderId="7" xfId="0" applyFont="1" applyFill="1" applyBorder="1" applyAlignment="1" applyProtection="1">
      <alignment horizontal="left" vertical="center"/>
    </xf>
    <xf numFmtId="0" fontId="87" fillId="2" borderId="6" xfId="0" applyFont="1" applyFill="1" applyBorder="1" applyAlignment="1" applyProtection="1">
      <alignment horizontal="left" vertical="center" wrapText="1"/>
    </xf>
    <xf numFmtId="0" fontId="87" fillId="2" borderId="7" xfId="0" applyFont="1" applyFill="1" applyBorder="1" applyAlignment="1" applyProtection="1">
      <alignment horizontal="left" vertical="center" wrapText="1"/>
    </xf>
    <xf numFmtId="0" fontId="87" fillId="2" borderId="9" xfId="0" applyFont="1" applyFill="1" applyBorder="1" applyAlignment="1" applyProtection="1">
      <alignment horizontal="left" vertical="center" wrapText="1"/>
    </xf>
    <xf numFmtId="0" fontId="87" fillId="2" borderId="10"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xf>
    <xf numFmtId="0" fontId="54" fillId="2" borderId="38" xfId="0" applyFont="1" applyFill="1" applyBorder="1" applyAlignment="1" applyProtection="1">
      <alignment horizontal="left" vertical="center"/>
    </xf>
    <xf numFmtId="0" fontId="78" fillId="2" borderId="7" xfId="0" applyFont="1" applyFill="1" applyBorder="1" applyAlignment="1" applyProtection="1">
      <alignment horizontal="left" vertical="center" wrapText="1"/>
    </xf>
    <xf numFmtId="0" fontId="87" fillId="2" borderId="67" xfId="0" applyFont="1" applyFill="1" applyBorder="1" applyAlignment="1" applyProtection="1">
      <alignment horizontal="left" vertical="center" wrapText="1"/>
    </xf>
    <xf numFmtId="0" fontId="87" fillId="2" borderId="112" xfId="0" applyFont="1" applyFill="1" applyBorder="1" applyAlignment="1" applyProtection="1">
      <alignment horizontal="left" vertical="center" wrapText="1"/>
    </xf>
    <xf numFmtId="0" fontId="87" fillId="2" borderId="67" xfId="0" applyFont="1" applyFill="1" applyBorder="1" applyAlignment="1" applyProtection="1">
      <alignment horizontal="center" vertical="center" wrapText="1"/>
    </xf>
    <xf numFmtId="0" fontId="87" fillId="2" borderId="76" xfId="0" applyFont="1" applyFill="1" applyBorder="1" applyAlignment="1" applyProtection="1">
      <alignment horizontal="center" vertical="center" wrapText="1"/>
    </xf>
    <xf numFmtId="0" fontId="87" fillId="2" borderId="79" xfId="0" applyFont="1" applyFill="1" applyBorder="1" applyAlignment="1" applyProtection="1">
      <alignment horizontal="center" vertical="center" wrapText="1"/>
    </xf>
    <xf numFmtId="0" fontId="106" fillId="2" borderId="6" xfId="0" applyFont="1" applyFill="1" applyBorder="1" applyAlignment="1" applyProtection="1">
      <alignment horizontal="left" vertical="center"/>
    </xf>
    <xf numFmtId="0" fontId="106" fillId="2" borderId="9" xfId="0" applyFont="1" applyFill="1" applyBorder="1" applyAlignment="1" applyProtection="1">
      <alignment horizontal="left" vertical="center"/>
    </xf>
    <xf numFmtId="0" fontId="78" fillId="2" borderId="7" xfId="0" applyFont="1" applyFill="1" applyBorder="1" applyAlignment="1" applyProtection="1">
      <alignment horizontal="center" vertical="center" wrapText="1"/>
    </xf>
    <xf numFmtId="0" fontId="78" fillId="3" borderId="12" xfId="0" applyFont="1" applyFill="1" applyBorder="1" applyAlignment="1" applyProtection="1">
      <alignment horizontal="left" vertical="center" wrapText="1"/>
      <protection locked="0"/>
    </xf>
    <xf numFmtId="0" fontId="78" fillId="3" borderId="16" xfId="0" applyFont="1" applyFill="1" applyBorder="1" applyAlignment="1" applyProtection="1">
      <alignment horizontal="left" vertical="center" wrapText="1"/>
      <protection locked="0"/>
    </xf>
    <xf numFmtId="0" fontId="78" fillId="0" borderId="12" xfId="0" applyFont="1" applyBorder="1" applyAlignment="1" applyProtection="1">
      <alignment horizontal="center" vertical="center"/>
      <protection locked="0"/>
    </xf>
    <xf numFmtId="0" fontId="78" fillId="0" borderId="78" xfId="0" applyFont="1" applyBorder="1" applyAlignment="1" applyProtection="1">
      <alignment horizontal="center" vertical="center"/>
      <protection locked="0"/>
    </xf>
    <xf numFmtId="0" fontId="78" fillId="0" borderId="16"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87" fillId="2" borderId="13"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7" fillId="2" borderId="84" xfId="0" applyFont="1" applyFill="1" applyBorder="1" applyAlignment="1" applyProtection="1">
      <alignment horizontal="center" vertical="center"/>
    </xf>
    <xf numFmtId="0" fontId="105" fillId="2" borderId="151" xfId="0" applyFont="1" applyFill="1" applyBorder="1" applyProtection="1">
      <alignment vertical="center"/>
    </xf>
    <xf numFmtId="0" fontId="105" fillId="2" borderId="152" xfId="0" applyFont="1" applyFill="1" applyBorder="1" applyProtection="1">
      <alignment vertical="center"/>
    </xf>
    <xf numFmtId="0" fontId="87" fillId="3" borderId="86" xfId="0" applyFont="1" applyFill="1" applyBorder="1" applyAlignment="1" applyProtection="1">
      <alignment horizontal="left" vertical="center" wrapText="1"/>
      <protection locked="0"/>
    </xf>
    <xf numFmtId="0" fontId="87"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7" fillId="2" borderId="13" xfId="0" applyFont="1" applyFill="1" applyBorder="1" applyAlignment="1" applyProtection="1">
      <alignment horizontal="center" vertical="center"/>
    </xf>
    <xf numFmtId="0" fontId="87" fillId="2" borderId="15" xfId="0" applyFont="1" applyFill="1" applyBorder="1" applyAlignment="1" applyProtection="1">
      <alignment horizontal="center" vertical="center"/>
    </xf>
    <xf numFmtId="0" fontId="87" fillId="2" borderId="14" xfId="0" applyFont="1" applyFill="1" applyBorder="1" applyAlignment="1" applyProtection="1">
      <alignment horizontal="center" vertical="center"/>
    </xf>
    <xf numFmtId="0" fontId="78" fillId="3" borderId="13"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78"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0" fontId="54" fillId="2" borderId="87" xfId="0" applyFont="1" applyFill="1" applyBorder="1" applyAlignment="1" applyProtection="1">
      <alignment horizontal="left" vertical="center" wrapText="1"/>
    </xf>
    <xf numFmtId="10" fontId="7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64"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193" fontId="102"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102"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97" fillId="2" borderId="137" xfId="0" applyFont="1" applyFill="1" applyBorder="1" applyAlignment="1" applyProtection="1">
      <alignment horizontal="center" vertical="center"/>
    </xf>
    <xf numFmtId="0" fontId="97" fillId="2" borderId="138" xfId="0" applyFont="1" applyFill="1" applyBorder="1" applyAlignment="1" applyProtection="1">
      <alignment horizontal="center" vertical="center"/>
    </xf>
    <xf numFmtId="0" fontId="97" fillId="2" borderId="139" xfId="0" applyFont="1" applyFill="1" applyBorder="1" applyAlignment="1" applyProtection="1">
      <alignment horizontal="center" vertical="center"/>
    </xf>
    <xf numFmtId="0" fontId="54" fillId="2" borderId="129"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4" fillId="2" borderId="93" xfId="0" applyFont="1" applyFill="1" applyBorder="1" applyAlignment="1" applyProtection="1">
      <alignment horizontal="left" vertical="center" wrapText="1"/>
    </xf>
    <xf numFmtId="0" fontId="64" fillId="2" borderId="38" xfId="0" applyFont="1" applyFill="1" applyBorder="1" applyAlignment="1" applyProtection="1">
      <alignment horizontal="left" vertical="center" wrapText="1"/>
    </xf>
    <xf numFmtId="0" fontId="64" fillId="2" borderId="94" xfId="0" applyFont="1" applyFill="1" applyBorder="1" applyAlignment="1" applyProtection="1">
      <alignment horizontal="left" vertical="center" wrapText="1"/>
    </xf>
    <xf numFmtId="0" fontId="64" fillId="2" borderId="82"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0" fontId="102" fillId="2" borderId="7" xfId="0"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73" fillId="2" borderId="94"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73" fillId="2" borderId="103"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0" fontId="73" fillId="2" borderId="7" xfId="0" applyNumberFormat="1" applyFont="1" applyFill="1" applyBorder="1" applyAlignment="1" applyProtection="1">
      <alignment horizontal="center" vertical="center"/>
    </xf>
    <xf numFmtId="0" fontId="73" fillId="2" borderId="13" xfId="0"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xf>
    <xf numFmtId="0" fontId="78" fillId="2" borderId="13"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0" fontId="73" fillId="2" borderId="12" xfId="0" applyFont="1" applyFill="1" applyBorder="1" applyAlignment="1" applyProtection="1">
      <alignment horizontal="center" vertical="center" textRotation="255" wrapText="1"/>
    </xf>
    <xf numFmtId="0" fontId="73" fillId="2" borderId="78" xfId="0" applyFont="1" applyFill="1" applyBorder="1" applyAlignment="1" applyProtection="1">
      <alignment horizontal="center" vertical="center" textRotation="255" wrapText="1"/>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78" fillId="2" borderId="15" xfId="0" applyFont="1" applyFill="1" applyBorder="1" applyAlignment="1" applyProtection="1">
      <alignment horizontal="center" vertical="center"/>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86" fillId="0" borderId="6" xfId="0" applyFont="1" applyFill="1" applyBorder="1" applyAlignment="1" applyProtection="1">
      <alignment horizontal="center" vertical="center" wrapText="1"/>
      <protection locked="0"/>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39"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2" borderId="6" xfId="11" applyFont="1" applyFill="1" applyBorder="1" applyAlignment="1" applyProtection="1">
      <alignment horizontal="left" vertical="center" wrapText="1"/>
      <protection locked="0"/>
    </xf>
    <xf numFmtId="0" fontId="17" fillId="2" borderId="68" xfId="11" applyFont="1" applyFill="1" applyBorder="1" applyAlignment="1" applyProtection="1">
      <alignment horizontal="left" vertical="center"/>
      <protection locked="0"/>
    </xf>
    <xf numFmtId="0" fontId="17" fillId="2" borderId="112" xfId="11" applyFont="1" applyFill="1" applyBorder="1" applyAlignment="1" applyProtection="1">
      <alignment horizontal="left" vertical="center"/>
      <protection locked="0"/>
    </xf>
    <xf numFmtId="0" fontId="29" fillId="2" borderId="12" xfId="11" applyFont="1" applyFill="1" applyBorder="1" applyAlignment="1" applyProtection="1">
      <alignment horizontal="left" vertical="center" wrapText="1"/>
      <protection locked="0"/>
    </xf>
    <xf numFmtId="0" fontId="29" fillId="2" borderId="78" xfId="11" applyFont="1" applyFill="1" applyBorder="1" applyAlignment="1" applyProtection="1">
      <alignment horizontal="left" vertical="center" wrapText="1"/>
      <protection locked="0"/>
    </xf>
    <xf numFmtId="0" fontId="29" fillId="2" borderId="16" xfId="11" applyFont="1" applyFill="1" applyBorder="1" applyAlignment="1" applyProtection="1">
      <alignment horizontal="left" vertical="center" wrapText="1"/>
      <protection locked="0"/>
    </xf>
    <xf numFmtId="0" fontId="29" fillId="2" borderId="86" xfId="11" applyFont="1" applyFill="1" applyBorder="1" applyAlignment="1" applyProtection="1">
      <alignment horizontal="left" vertical="center"/>
      <protection locked="0"/>
    </xf>
    <xf numFmtId="0" fontId="29" fillId="2" borderId="14" xfId="11" applyFont="1" applyFill="1" applyBorder="1" applyAlignment="1" applyProtection="1">
      <alignment horizontal="left" vertical="center"/>
      <protection locked="0"/>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0" fontId="29" fillId="2" borderId="75" xfId="11" applyFont="1" applyFill="1" applyBorder="1" applyAlignment="1">
      <alignment horizontal="left" vertical="center"/>
    </xf>
    <xf numFmtId="0" fontId="29" fillId="2" borderId="96" xfId="11" applyFont="1" applyFill="1" applyBorder="1" applyAlignment="1">
      <alignment horizontal="left" vertical="center"/>
    </xf>
    <xf numFmtId="0" fontId="29" fillId="16" borderId="129" xfId="11" applyFont="1" applyFill="1" applyBorder="1" applyAlignment="1" applyProtection="1">
      <alignment vertical="center"/>
      <protection locked="0"/>
    </xf>
    <xf numFmtId="0" fontId="29" fillId="16" borderId="103" xfId="11" applyFont="1" applyFill="1" applyBorder="1" applyAlignment="1" applyProtection="1">
      <alignment vertical="center"/>
      <protection locked="0"/>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0" fontId="17" fillId="2" borderId="137" xfId="11" applyFont="1" applyFill="1" applyBorder="1" applyAlignment="1">
      <alignment horizontal="left" vertical="center"/>
    </xf>
    <xf numFmtId="0" fontId="17" fillId="2" borderId="138" xfId="11" applyFont="1" applyFill="1" applyBorder="1" applyAlignment="1">
      <alignment horizontal="left" vertical="center"/>
    </xf>
    <xf numFmtId="0" fontId="17" fillId="2" borderId="100" xfId="11" applyFont="1" applyFill="1" applyBorder="1" applyAlignment="1">
      <alignment horizontal="left" vertical="center"/>
    </xf>
    <xf numFmtId="0" fontId="77" fillId="2" borderId="13" xfId="0" applyFont="1" applyFill="1" applyBorder="1" applyAlignment="1">
      <alignment horizontal="center" vertical="center"/>
    </xf>
    <xf numFmtId="0" fontId="77" fillId="2" borderId="14" xfId="0" applyFont="1" applyFill="1" applyBorder="1" applyAlignment="1">
      <alignment horizontal="center" vertical="center"/>
    </xf>
    <xf numFmtId="0" fontId="74" fillId="10" borderId="7" xfId="0" applyNumberFormat="1" applyFont="1" applyFill="1" applyBorder="1" applyAlignment="1" applyProtection="1">
      <alignment horizontal="center" vertical="center"/>
    </xf>
    <xf numFmtId="0" fontId="73" fillId="2" borderId="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16" xfId="0" applyFont="1" applyFill="1" applyBorder="1" applyAlignment="1" applyProtection="1">
      <alignment horizontal="center" vertical="center" textRotation="255" wrapText="1"/>
    </xf>
    <xf numFmtId="0" fontId="85" fillId="0" borderId="14" xfId="0"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105" xfId="0" applyFont="1" applyFill="1" applyBorder="1" applyAlignment="1" applyProtection="1">
      <alignment horizontal="center" vertical="center" wrapText="1"/>
    </xf>
    <xf numFmtId="0" fontId="73" fillId="2" borderId="142"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29"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42"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89" xfId="0" applyFont="1" applyFill="1" applyBorder="1" applyAlignment="1" applyProtection="1">
      <alignment horizontal="center" vertical="center" wrapText="1"/>
    </xf>
    <xf numFmtId="0" fontId="73" fillId="2" borderId="96" xfId="0" applyFont="1" applyFill="1" applyBorder="1" applyAlignment="1" applyProtection="1">
      <alignment horizontal="center" vertical="center" wrapText="1"/>
    </xf>
    <xf numFmtId="0" fontId="74" fillId="2" borderId="10" xfId="0" applyNumberFormat="1" applyFont="1" applyFill="1" applyBorder="1" applyAlignment="1" applyProtection="1">
      <alignment horizontal="center" vertical="center"/>
    </xf>
    <xf numFmtId="0" fontId="78" fillId="2" borderId="86"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180" fontId="73" fillId="2" borderId="7" xfId="0" applyNumberFormat="1" applyFont="1" applyFill="1" applyBorder="1" applyAlignment="1" applyProtection="1">
      <alignment horizontal="center" vertical="center"/>
    </xf>
    <xf numFmtId="180" fontId="74" fillId="10" borderId="7" xfId="0" applyNumberFormat="1" applyFont="1" applyFill="1" applyBorder="1" applyAlignment="1" applyProtection="1">
      <alignment horizontal="center" vertical="center"/>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7" applyFont="1" applyFill="1" applyBorder="1" applyAlignment="1" applyProtection="1">
      <alignment horizontal="right" vertical="center" wrapText="1"/>
      <protection locked="0"/>
    </xf>
    <xf numFmtId="0" fontId="25" fillId="2" borderId="14" xfId="7"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7" applyFont="1" applyFill="1" applyBorder="1" applyAlignment="1" applyProtection="1">
      <alignment horizontal="center" vertical="center" wrapText="1"/>
      <protection locked="0"/>
    </xf>
    <xf numFmtId="0" fontId="60" fillId="2" borderId="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4" applyNumberFormat="1" applyFont="1" applyAlignment="1" applyProtection="1">
      <alignment horizontal="left" vertical="center"/>
    </xf>
    <xf numFmtId="0" fontId="17" fillId="0" borderId="0" xfId="14" applyNumberFormat="1" applyFont="1" applyAlignment="1" applyProtection="1">
      <alignment horizontal="left" vertical="center"/>
    </xf>
    <xf numFmtId="0" fontId="26" fillId="6" borderId="28" xfId="14" applyFont="1" applyFill="1" applyBorder="1" applyAlignment="1" applyProtection="1">
      <alignment horizontal="left" vertical="center" wrapText="1"/>
    </xf>
    <xf numFmtId="0" fontId="26" fillId="6" borderId="21" xfId="14" applyFont="1" applyFill="1" applyBorder="1" applyAlignment="1" applyProtection="1">
      <alignment horizontal="left" vertical="center" wrapText="1"/>
    </xf>
    <xf numFmtId="0" fontId="26" fillId="6" borderId="27" xfId="14" applyFont="1" applyFill="1" applyBorder="1" applyAlignment="1" applyProtection="1">
      <alignment horizontal="left" vertical="center" wrapText="1"/>
    </xf>
    <xf numFmtId="0" fontId="19" fillId="6" borderId="28" xfId="14" applyFont="1" applyFill="1" applyBorder="1" applyAlignment="1" applyProtection="1">
      <alignment horizontal="left" vertical="center" wrapText="1"/>
    </xf>
    <xf numFmtId="0" fontId="19" fillId="6" borderId="21" xfId="14" applyFont="1" applyFill="1" applyBorder="1" applyAlignment="1" applyProtection="1">
      <alignment horizontal="left" vertical="center" wrapText="1"/>
    </xf>
    <xf numFmtId="0" fontId="19" fillId="6" borderId="27" xfId="14" applyFont="1" applyFill="1" applyBorder="1" applyAlignment="1" applyProtection="1">
      <alignment horizontal="left" vertical="center" wrapText="1"/>
    </xf>
    <xf numFmtId="0" fontId="4" fillId="0" borderId="0" xfId="14" applyFont="1" applyAlignment="1">
      <alignment horizontal="left" vertical="center"/>
    </xf>
    <xf numFmtId="0" fontId="17" fillId="0" borderId="0" xfId="14" applyFont="1" applyAlignment="1">
      <alignment horizontal="left" vertical="center"/>
    </xf>
    <xf numFmtId="0" fontId="26" fillId="6" borderId="25" xfId="14" applyFont="1" applyFill="1" applyBorder="1" applyAlignment="1" applyProtection="1">
      <alignment horizontal="left" vertical="center" wrapText="1"/>
    </xf>
    <xf numFmtId="0" fontId="26" fillId="6" borderId="26" xfId="14" applyFont="1" applyFill="1" applyBorder="1" applyAlignment="1" applyProtection="1">
      <alignment horizontal="left" vertical="center" wrapText="1"/>
    </xf>
    <xf numFmtId="0" fontId="21" fillId="0" borderId="0" xfId="14" applyFont="1" applyAlignment="1">
      <alignment horizontal="left" vertical="center"/>
    </xf>
    <xf numFmtId="9" fontId="54" fillId="7" borderId="0" xfId="0" applyNumberFormat="1" applyFont="1" applyFill="1" applyAlignment="1" applyProtection="1">
      <alignment vertical="center"/>
      <protection locked="0"/>
    </xf>
  </cellXfs>
  <cellStyles count="20">
    <cellStyle name="Normal" xfId="2"/>
    <cellStyle name="百分比" xfId="1" builtinId="5"/>
    <cellStyle name="百分比 2" xfId="3"/>
    <cellStyle name="常规" xfId="0" builtinId="0"/>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6 2 3" xfId="16"/>
    <cellStyle name="常规 7" xfId="17"/>
    <cellStyle name="常规 8" xfId="18"/>
    <cellStyle name="常规 9" xfId="19"/>
  </cellStyles>
  <dxfs count="259">
    <dxf>
      <font>
        <b/>
        <i val="0"/>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image" Target="../media/image20.png"/></Relationships>
</file>

<file path=xl/drawings/_rels/drawing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_rels/drawing4.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 Id="rId9" Type="http://schemas.openxmlformats.org/officeDocument/2006/relationships/image" Target="../media/image3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24</xdr:col>
      <xdr:colOff>314325</xdr:colOff>
      <xdr:row>10</xdr:row>
      <xdr:rowOff>66675</xdr:rowOff>
    </xdr:to>
    <xdr:pic>
      <xdr:nvPicPr>
        <xdr:cNvPr id="2" name="图片 1"/>
        <xdr:cNvPicPr>
          <a:picLocks noChangeAspect="1"/>
        </xdr:cNvPicPr>
      </xdr:nvPicPr>
      <xdr:blipFill>
        <a:blip xmlns:r="http://schemas.openxmlformats.org/officeDocument/2006/relationships" r:embed="rId1"/>
        <a:stretch>
          <a:fillRect/>
        </a:stretch>
      </xdr:blipFill>
      <xdr:spPr>
        <a:xfrm>
          <a:off x="266700" y="209550"/>
          <a:ext cx="16506825" cy="1571625"/>
        </a:xfrm>
        <a:prstGeom prst="rect">
          <a:avLst/>
        </a:prstGeom>
        <a:noFill/>
        <a:ln w="9525">
          <a:noFill/>
        </a:ln>
      </xdr:spPr>
    </xdr:pic>
    <xdr:clientData/>
  </xdr:twoCellAnchor>
  <xdr:twoCellAnchor editAs="oneCell">
    <xdr:from>
      <xdr:col>0</xdr:col>
      <xdr:colOff>276860</xdr:colOff>
      <xdr:row>17</xdr:row>
      <xdr:rowOff>114300</xdr:rowOff>
    </xdr:from>
    <xdr:to>
      <xdr:col>23</xdr:col>
      <xdr:colOff>505460</xdr:colOff>
      <xdr:row>38</xdr:row>
      <xdr:rowOff>114300</xdr:rowOff>
    </xdr:to>
    <xdr:pic>
      <xdr:nvPicPr>
        <xdr:cNvPr id="3" name="图片 2"/>
        <xdr:cNvPicPr>
          <a:picLocks noChangeAspect="1"/>
        </xdr:cNvPicPr>
      </xdr:nvPicPr>
      <xdr:blipFill>
        <a:blip xmlns:r="http://schemas.openxmlformats.org/officeDocument/2006/relationships" r:embed="rId2"/>
        <a:stretch>
          <a:fillRect/>
        </a:stretch>
      </xdr:blipFill>
      <xdr:spPr>
        <a:xfrm>
          <a:off x="276860" y="3028950"/>
          <a:ext cx="16002000" cy="3600450"/>
        </a:xfrm>
        <a:prstGeom prst="rect">
          <a:avLst/>
        </a:prstGeom>
        <a:noFill/>
        <a:ln w="9525">
          <a:noFill/>
        </a:ln>
      </xdr:spPr>
    </xdr:pic>
    <xdr:clientData/>
  </xdr:twoCellAnchor>
  <xdr:twoCellAnchor editAs="oneCell">
    <xdr:from>
      <xdr:col>0</xdr:col>
      <xdr:colOff>314960</xdr:colOff>
      <xdr:row>10</xdr:row>
      <xdr:rowOff>85725</xdr:rowOff>
    </xdr:from>
    <xdr:to>
      <xdr:col>15</xdr:col>
      <xdr:colOff>514985</xdr:colOff>
      <xdr:row>17</xdr:row>
      <xdr:rowOff>123825</xdr:rowOff>
    </xdr:to>
    <xdr:pic>
      <xdr:nvPicPr>
        <xdr:cNvPr id="4" name="图片 3"/>
        <xdr:cNvPicPr>
          <a:picLocks noChangeAspect="1"/>
        </xdr:cNvPicPr>
      </xdr:nvPicPr>
      <xdr:blipFill>
        <a:blip xmlns:r="http://schemas.openxmlformats.org/officeDocument/2006/relationships" r:embed="rId3"/>
        <a:stretch>
          <a:fillRect/>
        </a:stretch>
      </xdr:blipFill>
      <xdr:spPr>
        <a:xfrm>
          <a:off x="314960" y="1800225"/>
          <a:ext cx="10487025" cy="1238250"/>
        </a:xfrm>
        <a:prstGeom prst="rect">
          <a:avLst/>
        </a:prstGeom>
        <a:noFill/>
        <a:ln w="9525">
          <a:noFill/>
        </a:ln>
      </xdr:spPr>
    </xdr:pic>
    <xdr:clientData/>
  </xdr:twoCellAnchor>
  <xdr:twoCellAnchor editAs="oneCell">
    <xdr:from>
      <xdr:col>0</xdr:col>
      <xdr:colOff>342900</xdr:colOff>
      <xdr:row>39</xdr:row>
      <xdr:rowOff>0</xdr:rowOff>
    </xdr:from>
    <xdr:to>
      <xdr:col>15</xdr:col>
      <xdr:colOff>333375</xdr:colOff>
      <xdr:row>46</xdr:row>
      <xdr:rowOff>85725</xdr:rowOff>
    </xdr:to>
    <xdr:pic>
      <xdr:nvPicPr>
        <xdr:cNvPr id="5" name="图片 4"/>
        <xdr:cNvPicPr>
          <a:picLocks noChangeAspect="1"/>
        </xdr:cNvPicPr>
      </xdr:nvPicPr>
      <xdr:blipFill>
        <a:blip xmlns:r="http://schemas.openxmlformats.org/officeDocument/2006/relationships" r:embed="rId4"/>
        <a:stretch>
          <a:fillRect/>
        </a:stretch>
      </xdr:blipFill>
      <xdr:spPr>
        <a:xfrm>
          <a:off x="342900" y="6686550"/>
          <a:ext cx="10277475" cy="1285875"/>
        </a:xfrm>
        <a:prstGeom prst="rect">
          <a:avLst/>
        </a:prstGeom>
        <a:noFill/>
        <a:ln w="9525">
          <a:noFill/>
        </a:ln>
      </xdr:spPr>
    </xdr:pic>
    <xdr:clientData/>
  </xdr:twoCellAnchor>
  <xdr:twoCellAnchor editAs="oneCell">
    <xdr:from>
      <xdr:col>0</xdr:col>
      <xdr:colOff>305435</xdr:colOff>
      <xdr:row>47</xdr:row>
      <xdr:rowOff>19050</xdr:rowOff>
    </xdr:from>
    <xdr:to>
      <xdr:col>23</xdr:col>
      <xdr:colOff>505460</xdr:colOff>
      <xdr:row>79</xdr:row>
      <xdr:rowOff>85725</xdr:rowOff>
    </xdr:to>
    <xdr:pic>
      <xdr:nvPicPr>
        <xdr:cNvPr id="6" name="图片 5"/>
        <xdr:cNvPicPr>
          <a:picLocks noChangeAspect="1"/>
        </xdr:cNvPicPr>
      </xdr:nvPicPr>
      <xdr:blipFill>
        <a:blip xmlns:r="http://schemas.openxmlformats.org/officeDocument/2006/relationships" r:embed="rId5"/>
        <a:stretch>
          <a:fillRect/>
        </a:stretch>
      </xdr:blipFill>
      <xdr:spPr>
        <a:xfrm>
          <a:off x="305435" y="8077200"/>
          <a:ext cx="15973425" cy="5553075"/>
        </a:xfrm>
        <a:prstGeom prst="rect">
          <a:avLst/>
        </a:prstGeom>
        <a:noFill/>
        <a:ln w="9525">
          <a:noFill/>
        </a:ln>
      </xdr:spPr>
    </xdr:pic>
    <xdr:clientData/>
  </xdr:twoCellAnchor>
  <xdr:twoCellAnchor editAs="oneCell">
    <xdr:from>
      <xdr:col>24</xdr:col>
      <xdr:colOff>574675</xdr:colOff>
      <xdr:row>1</xdr:row>
      <xdr:rowOff>44450</xdr:rowOff>
    </xdr:from>
    <xdr:to>
      <xdr:col>47</xdr:col>
      <xdr:colOff>384175</xdr:colOff>
      <xdr:row>23</xdr:row>
      <xdr:rowOff>15875</xdr:rowOff>
    </xdr:to>
    <xdr:pic>
      <xdr:nvPicPr>
        <xdr:cNvPr id="7" name="图片 6"/>
        <xdr:cNvPicPr>
          <a:picLocks noChangeAspect="1"/>
        </xdr:cNvPicPr>
      </xdr:nvPicPr>
      <xdr:blipFill>
        <a:blip xmlns:r="http://schemas.openxmlformats.org/officeDocument/2006/relationships" r:embed="rId6"/>
        <a:stretch>
          <a:fillRect/>
        </a:stretch>
      </xdr:blipFill>
      <xdr:spPr>
        <a:xfrm>
          <a:off x="17033875" y="215900"/>
          <a:ext cx="15582900" cy="3743325"/>
        </a:xfrm>
        <a:prstGeom prst="rect">
          <a:avLst/>
        </a:prstGeom>
        <a:noFill/>
        <a:ln w="9525">
          <a:noFill/>
        </a:ln>
      </xdr:spPr>
    </xdr:pic>
    <xdr:clientData/>
  </xdr:twoCellAnchor>
  <xdr:twoCellAnchor editAs="oneCell">
    <xdr:from>
      <xdr:col>25</xdr:col>
      <xdr:colOff>114300</xdr:colOff>
      <xdr:row>25</xdr:row>
      <xdr:rowOff>28575</xdr:rowOff>
    </xdr:from>
    <xdr:to>
      <xdr:col>41</xdr:col>
      <xdr:colOff>419100</xdr:colOff>
      <xdr:row>47</xdr:row>
      <xdr:rowOff>0</xdr:rowOff>
    </xdr:to>
    <xdr:pic>
      <xdr:nvPicPr>
        <xdr:cNvPr id="8" name="图片 7"/>
        <xdr:cNvPicPr>
          <a:picLocks noChangeAspect="1"/>
        </xdr:cNvPicPr>
      </xdr:nvPicPr>
      <xdr:blipFill>
        <a:blip xmlns:r="http://schemas.openxmlformats.org/officeDocument/2006/relationships" r:embed="rId7"/>
        <a:stretch>
          <a:fillRect/>
        </a:stretch>
      </xdr:blipFill>
      <xdr:spPr>
        <a:xfrm>
          <a:off x="17259300" y="4314825"/>
          <a:ext cx="11277600" cy="3743325"/>
        </a:xfrm>
        <a:prstGeom prst="rect">
          <a:avLst/>
        </a:prstGeom>
        <a:noFill/>
        <a:ln w="9525">
          <a:noFill/>
        </a:ln>
      </xdr:spPr>
    </xdr:pic>
    <xdr:clientData/>
  </xdr:twoCellAnchor>
  <xdr:twoCellAnchor editAs="oneCell">
    <xdr:from>
      <xdr:col>25</xdr:col>
      <xdr:colOff>161925</xdr:colOff>
      <xdr:row>48</xdr:row>
      <xdr:rowOff>0</xdr:rowOff>
    </xdr:from>
    <xdr:to>
      <xdr:col>41</xdr:col>
      <xdr:colOff>485775</xdr:colOff>
      <xdr:row>69</xdr:row>
      <xdr:rowOff>66675</xdr:rowOff>
    </xdr:to>
    <xdr:pic>
      <xdr:nvPicPr>
        <xdr:cNvPr id="9" name="图片 8"/>
        <xdr:cNvPicPr>
          <a:picLocks noChangeAspect="1"/>
        </xdr:cNvPicPr>
      </xdr:nvPicPr>
      <xdr:blipFill>
        <a:blip xmlns:r="http://schemas.openxmlformats.org/officeDocument/2006/relationships" r:embed="rId8"/>
        <a:stretch>
          <a:fillRect/>
        </a:stretch>
      </xdr:blipFill>
      <xdr:spPr>
        <a:xfrm>
          <a:off x="17306925" y="8229600"/>
          <a:ext cx="11296650" cy="3667125"/>
        </a:xfrm>
        <a:prstGeom prst="rect">
          <a:avLst/>
        </a:prstGeom>
        <a:noFill/>
        <a:ln w="9525">
          <a:noFill/>
        </a:ln>
      </xdr:spPr>
    </xdr:pic>
    <xdr:clientData/>
  </xdr:twoCellAnchor>
  <xdr:twoCellAnchor editAs="oneCell">
    <xdr:from>
      <xdr:col>3</xdr:col>
      <xdr:colOff>0</xdr:colOff>
      <xdr:row>83</xdr:row>
      <xdr:rowOff>0</xdr:rowOff>
    </xdr:from>
    <xdr:to>
      <xdr:col>8</xdr:col>
      <xdr:colOff>361950</xdr:colOff>
      <xdr:row>105</xdr:row>
      <xdr:rowOff>57150</xdr:rowOff>
    </xdr:to>
    <xdr:pic>
      <xdr:nvPicPr>
        <xdr:cNvPr id="10" name="图片 9"/>
        <xdr:cNvPicPr>
          <a:picLocks noChangeAspect="1"/>
        </xdr:cNvPicPr>
      </xdr:nvPicPr>
      <xdr:blipFill>
        <a:blip xmlns:r="http://schemas.openxmlformats.org/officeDocument/2006/relationships" r:embed="rId9"/>
        <a:stretch>
          <a:fillRect/>
        </a:stretch>
      </xdr:blipFill>
      <xdr:spPr>
        <a:xfrm>
          <a:off x="2057400" y="14230350"/>
          <a:ext cx="3790950" cy="382905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13</xdr:row>
      <xdr:rowOff>38100</xdr:rowOff>
    </xdr:from>
    <xdr:to>
      <xdr:col>22</xdr:col>
      <xdr:colOff>0</xdr:colOff>
      <xdr:row>28</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00" y="2390775"/>
          <a:ext cx="16459200" cy="2828925"/>
        </a:xfrm>
        <a:prstGeom prst="rect">
          <a:avLst/>
        </a:prstGeom>
        <a:noFill/>
        <a:ln w="9525">
          <a:noFill/>
        </a:ln>
      </xdr:spPr>
    </xdr:pic>
    <xdr:clientData/>
  </xdr:twoCellAnchor>
  <xdr:twoCellAnchor editAs="oneCell">
    <xdr:from>
      <xdr:col>0</xdr:col>
      <xdr:colOff>285750</xdr:colOff>
      <xdr:row>29</xdr:row>
      <xdr:rowOff>104775</xdr:rowOff>
    </xdr:from>
    <xdr:to>
      <xdr:col>21</xdr:col>
      <xdr:colOff>200025</xdr:colOff>
      <xdr:row>56</xdr:row>
      <xdr:rowOff>152400</xdr:rowOff>
    </xdr:to>
    <xdr:pic>
      <xdr:nvPicPr>
        <xdr:cNvPr id="3" name="图片 2"/>
        <xdr:cNvPicPr>
          <a:picLocks noChangeAspect="1"/>
        </xdr:cNvPicPr>
      </xdr:nvPicPr>
      <xdr:blipFill>
        <a:blip xmlns:r="http://schemas.openxmlformats.org/officeDocument/2006/relationships" r:embed="rId2"/>
        <a:stretch>
          <a:fillRect/>
        </a:stretch>
      </xdr:blipFill>
      <xdr:spPr>
        <a:xfrm>
          <a:off x="285750" y="5353050"/>
          <a:ext cx="15878175" cy="4933950"/>
        </a:xfrm>
        <a:prstGeom prst="rect">
          <a:avLst/>
        </a:prstGeom>
        <a:noFill/>
        <a:ln w="9525">
          <a:noFill/>
        </a:ln>
      </xdr:spPr>
    </xdr:pic>
    <xdr:clientData/>
  </xdr:twoCellAnchor>
  <xdr:twoCellAnchor editAs="oneCell">
    <xdr:from>
      <xdr:col>0</xdr:col>
      <xdr:colOff>267335</xdr:colOff>
      <xdr:row>57</xdr:row>
      <xdr:rowOff>161925</xdr:rowOff>
    </xdr:from>
    <xdr:to>
      <xdr:col>20</xdr:col>
      <xdr:colOff>448310</xdr:colOff>
      <xdr:row>73</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267335" y="10477500"/>
          <a:ext cx="15459075" cy="2828925"/>
        </a:xfrm>
        <a:prstGeom prst="rect">
          <a:avLst/>
        </a:prstGeom>
        <a:noFill/>
        <a:ln w="9525">
          <a:noFill/>
        </a:ln>
      </xdr:spPr>
    </xdr:pic>
    <xdr:clientData/>
  </xdr:twoCellAnchor>
  <xdr:twoCellAnchor editAs="oneCell">
    <xdr:from>
      <xdr:col>0</xdr:col>
      <xdr:colOff>276860</xdr:colOff>
      <xdr:row>74</xdr:row>
      <xdr:rowOff>66675</xdr:rowOff>
    </xdr:from>
    <xdr:to>
      <xdr:col>21</xdr:col>
      <xdr:colOff>305435</xdr:colOff>
      <xdr:row>105</xdr:row>
      <xdr:rowOff>85725</xdr:rowOff>
    </xdr:to>
    <xdr:pic>
      <xdr:nvPicPr>
        <xdr:cNvPr id="5" name="图片 4"/>
        <xdr:cNvPicPr>
          <a:picLocks noChangeAspect="1"/>
        </xdr:cNvPicPr>
      </xdr:nvPicPr>
      <xdr:blipFill>
        <a:blip xmlns:r="http://schemas.openxmlformats.org/officeDocument/2006/relationships" r:embed="rId4"/>
        <a:stretch>
          <a:fillRect/>
        </a:stretch>
      </xdr:blipFill>
      <xdr:spPr>
        <a:xfrm>
          <a:off x="276860" y="13458825"/>
          <a:ext cx="15992475" cy="5629275"/>
        </a:xfrm>
        <a:prstGeom prst="rect">
          <a:avLst/>
        </a:prstGeom>
        <a:noFill/>
        <a:ln w="9525">
          <a:noFill/>
        </a:ln>
      </xdr:spPr>
    </xdr:pic>
    <xdr:clientData/>
  </xdr:twoCellAnchor>
  <xdr:twoCellAnchor editAs="oneCell">
    <xdr:from>
      <xdr:col>0</xdr:col>
      <xdr:colOff>361950</xdr:colOff>
      <xdr:row>106</xdr:row>
      <xdr:rowOff>95250</xdr:rowOff>
    </xdr:from>
    <xdr:to>
      <xdr:col>22</xdr:col>
      <xdr:colOff>123825</xdr:colOff>
      <xdr:row>124</xdr:row>
      <xdr:rowOff>95250</xdr:rowOff>
    </xdr:to>
    <xdr:pic>
      <xdr:nvPicPr>
        <xdr:cNvPr id="6" name="图片 5"/>
        <xdr:cNvPicPr>
          <a:picLocks noChangeAspect="1"/>
        </xdr:cNvPicPr>
      </xdr:nvPicPr>
      <xdr:blipFill>
        <a:blip xmlns:r="http://schemas.openxmlformats.org/officeDocument/2006/relationships" r:embed="rId5"/>
        <a:stretch>
          <a:fillRect/>
        </a:stretch>
      </xdr:blipFill>
      <xdr:spPr>
        <a:xfrm>
          <a:off x="361950" y="19278600"/>
          <a:ext cx="16411575" cy="3257550"/>
        </a:xfrm>
        <a:prstGeom prst="rect">
          <a:avLst/>
        </a:prstGeom>
        <a:noFill/>
        <a:ln w="9525">
          <a:noFill/>
        </a:ln>
      </xdr:spPr>
    </xdr:pic>
    <xdr:clientData/>
  </xdr:twoCellAnchor>
  <xdr:twoCellAnchor editAs="oneCell">
    <xdr:from>
      <xdr:col>0</xdr:col>
      <xdr:colOff>514350</xdr:colOff>
      <xdr:row>124</xdr:row>
      <xdr:rowOff>171450</xdr:rowOff>
    </xdr:from>
    <xdr:to>
      <xdr:col>21</xdr:col>
      <xdr:colOff>542925</xdr:colOff>
      <xdr:row>155</xdr:row>
      <xdr:rowOff>152400</xdr:rowOff>
    </xdr:to>
    <xdr:pic>
      <xdr:nvPicPr>
        <xdr:cNvPr id="7" name="图片 6"/>
        <xdr:cNvPicPr>
          <a:picLocks noChangeAspect="1"/>
        </xdr:cNvPicPr>
      </xdr:nvPicPr>
      <xdr:blipFill>
        <a:blip xmlns:r="http://schemas.openxmlformats.org/officeDocument/2006/relationships" r:embed="rId6"/>
        <a:stretch>
          <a:fillRect/>
        </a:stretch>
      </xdr:blipFill>
      <xdr:spPr>
        <a:xfrm>
          <a:off x="514350" y="22612350"/>
          <a:ext cx="15992475" cy="5591175"/>
        </a:xfrm>
        <a:prstGeom prst="rect">
          <a:avLst/>
        </a:prstGeom>
        <a:noFill/>
        <a:ln w="9525">
          <a:noFill/>
        </a:ln>
      </xdr:spPr>
    </xdr:pic>
    <xdr:clientData/>
  </xdr:twoCellAnchor>
  <xdr:twoCellAnchor editAs="oneCell">
    <xdr:from>
      <xdr:col>8</xdr:col>
      <xdr:colOff>581025</xdr:colOff>
      <xdr:row>1</xdr:row>
      <xdr:rowOff>95250</xdr:rowOff>
    </xdr:from>
    <xdr:to>
      <xdr:col>20</xdr:col>
      <xdr:colOff>514350</xdr:colOff>
      <xdr:row>21</xdr:row>
      <xdr:rowOff>47625</xdr:rowOff>
    </xdr:to>
    <xdr:pic>
      <xdr:nvPicPr>
        <xdr:cNvPr id="8" name="图片 7"/>
        <xdr:cNvPicPr>
          <a:picLocks noChangeAspect="1"/>
        </xdr:cNvPicPr>
      </xdr:nvPicPr>
      <xdr:blipFill>
        <a:blip xmlns:r="http://schemas.openxmlformats.org/officeDocument/2006/relationships" r:embed="rId7"/>
        <a:stretch>
          <a:fillRect/>
        </a:stretch>
      </xdr:blipFill>
      <xdr:spPr>
        <a:xfrm>
          <a:off x="7629525" y="276225"/>
          <a:ext cx="8162925" cy="3571875"/>
        </a:xfrm>
        <a:prstGeom prst="rect">
          <a:avLst/>
        </a:prstGeom>
        <a:noFill/>
        <a:ln w="9525">
          <a:noFill/>
        </a:ln>
      </xdr:spPr>
    </xdr:pic>
    <xdr:clientData/>
  </xdr:twoCellAnchor>
  <xdr:twoCellAnchor editAs="oneCell">
    <xdr:from>
      <xdr:col>22</xdr:col>
      <xdr:colOff>535940</xdr:colOff>
      <xdr:row>3</xdr:row>
      <xdr:rowOff>30480</xdr:rowOff>
    </xdr:from>
    <xdr:to>
      <xdr:col>35</xdr:col>
      <xdr:colOff>669290</xdr:colOff>
      <xdr:row>12</xdr:row>
      <xdr:rowOff>59055</xdr:rowOff>
    </xdr:to>
    <xdr:pic>
      <xdr:nvPicPr>
        <xdr:cNvPr id="9" name="图片 8"/>
        <xdr:cNvPicPr>
          <a:picLocks noChangeAspect="1"/>
        </xdr:cNvPicPr>
      </xdr:nvPicPr>
      <xdr:blipFill>
        <a:blip xmlns:r="http://schemas.openxmlformats.org/officeDocument/2006/relationships" r:embed="rId8"/>
        <a:stretch>
          <a:fillRect/>
        </a:stretch>
      </xdr:blipFill>
      <xdr:spPr>
        <a:xfrm>
          <a:off x="17185640" y="573405"/>
          <a:ext cx="9048750" cy="1657350"/>
        </a:xfrm>
        <a:prstGeom prst="rect">
          <a:avLst/>
        </a:prstGeom>
        <a:noFill/>
        <a:ln w="9525">
          <a:noFill/>
        </a:ln>
      </xdr:spPr>
    </xdr:pic>
    <xdr:clientData/>
  </xdr:twoCellAnchor>
  <xdr:twoCellAnchor editAs="oneCell">
    <xdr:from>
      <xdr:col>23</xdr:col>
      <xdr:colOff>0</xdr:colOff>
      <xdr:row>14</xdr:row>
      <xdr:rowOff>0</xdr:rowOff>
    </xdr:from>
    <xdr:to>
      <xdr:col>36</xdr:col>
      <xdr:colOff>76200</xdr:colOff>
      <xdr:row>23</xdr:row>
      <xdr:rowOff>19050</xdr:rowOff>
    </xdr:to>
    <xdr:pic>
      <xdr:nvPicPr>
        <xdr:cNvPr id="10" name="图片 9"/>
        <xdr:cNvPicPr>
          <a:picLocks noChangeAspect="1"/>
        </xdr:cNvPicPr>
      </xdr:nvPicPr>
      <xdr:blipFill>
        <a:blip xmlns:r="http://schemas.openxmlformats.org/officeDocument/2006/relationships" r:embed="rId9"/>
        <a:stretch>
          <a:fillRect/>
        </a:stretch>
      </xdr:blipFill>
      <xdr:spPr>
        <a:xfrm>
          <a:off x="17335500" y="2533650"/>
          <a:ext cx="8991600" cy="164782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15</xdr:row>
      <xdr:rowOff>123825</xdr:rowOff>
    </xdr:from>
    <xdr:to>
      <xdr:col>22</xdr:col>
      <xdr:colOff>171450</xdr:colOff>
      <xdr:row>23</xdr:row>
      <xdr:rowOff>66675</xdr:rowOff>
    </xdr:to>
    <xdr:pic>
      <xdr:nvPicPr>
        <xdr:cNvPr id="2" name="图片 1"/>
        <xdr:cNvPicPr>
          <a:picLocks noChangeAspect="1"/>
        </xdr:cNvPicPr>
      </xdr:nvPicPr>
      <xdr:blipFill>
        <a:blip xmlns:r="http://schemas.openxmlformats.org/officeDocument/2006/relationships" r:embed="rId1"/>
        <a:stretch>
          <a:fillRect/>
        </a:stretch>
      </xdr:blipFill>
      <xdr:spPr>
        <a:xfrm>
          <a:off x="314325" y="2838450"/>
          <a:ext cx="15516225" cy="1390650"/>
        </a:xfrm>
        <a:prstGeom prst="rect">
          <a:avLst/>
        </a:prstGeom>
        <a:noFill/>
        <a:ln w="9525">
          <a:noFill/>
        </a:ln>
      </xdr:spPr>
    </xdr:pic>
    <xdr:clientData/>
  </xdr:twoCellAnchor>
  <xdr:twoCellAnchor editAs="oneCell">
    <xdr:from>
      <xdr:col>0</xdr:col>
      <xdr:colOff>304800</xdr:colOff>
      <xdr:row>24</xdr:row>
      <xdr:rowOff>114300</xdr:rowOff>
    </xdr:from>
    <xdr:to>
      <xdr:col>23</xdr:col>
      <xdr:colOff>95250</xdr:colOff>
      <xdr:row>61</xdr:row>
      <xdr:rowOff>142875</xdr:rowOff>
    </xdr:to>
    <xdr:pic>
      <xdr:nvPicPr>
        <xdr:cNvPr id="3" name="图片 2"/>
        <xdr:cNvPicPr>
          <a:picLocks noChangeAspect="1"/>
        </xdr:cNvPicPr>
      </xdr:nvPicPr>
      <xdr:blipFill>
        <a:blip xmlns:r="http://schemas.openxmlformats.org/officeDocument/2006/relationships" r:embed="rId2"/>
        <a:stretch>
          <a:fillRect/>
        </a:stretch>
      </xdr:blipFill>
      <xdr:spPr>
        <a:xfrm>
          <a:off x="304800" y="4457700"/>
          <a:ext cx="16135350" cy="6724650"/>
        </a:xfrm>
        <a:prstGeom prst="rect">
          <a:avLst/>
        </a:prstGeom>
        <a:noFill/>
        <a:ln w="9525">
          <a:noFill/>
        </a:ln>
      </xdr:spPr>
    </xdr:pic>
    <xdr:clientData/>
  </xdr:twoCellAnchor>
  <xdr:twoCellAnchor editAs="oneCell">
    <xdr:from>
      <xdr:col>0</xdr:col>
      <xdr:colOff>466725</xdr:colOff>
      <xdr:row>63</xdr:row>
      <xdr:rowOff>95250</xdr:rowOff>
    </xdr:from>
    <xdr:to>
      <xdr:col>23</xdr:col>
      <xdr:colOff>552450</xdr:colOff>
      <xdr:row>79</xdr:row>
      <xdr:rowOff>76200</xdr:rowOff>
    </xdr:to>
    <xdr:pic>
      <xdr:nvPicPr>
        <xdr:cNvPr id="4" name="图片 3"/>
        <xdr:cNvPicPr>
          <a:picLocks noChangeAspect="1"/>
        </xdr:cNvPicPr>
      </xdr:nvPicPr>
      <xdr:blipFill>
        <a:blip xmlns:r="http://schemas.openxmlformats.org/officeDocument/2006/relationships" r:embed="rId3"/>
        <a:stretch>
          <a:fillRect/>
        </a:stretch>
      </xdr:blipFill>
      <xdr:spPr>
        <a:xfrm>
          <a:off x="466725" y="11496675"/>
          <a:ext cx="16430625" cy="2876550"/>
        </a:xfrm>
        <a:prstGeom prst="rect">
          <a:avLst/>
        </a:prstGeom>
        <a:noFill/>
        <a:ln w="9525">
          <a:noFill/>
        </a:ln>
      </xdr:spPr>
    </xdr:pic>
    <xdr:clientData/>
  </xdr:twoCellAnchor>
  <xdr:twoCellAnchor editAs="oneCell">
    <xdr:from>
      <xdr:col>0</xdr:col>
      <xdr:colOff>523875</xdr:colOff>
      <xdr:row>80</xdr:row>
      <xdr:rowOff>133350</xdr:rowOff>
    </xdr:from>
    <xdr:to>
      <xdr:col>23</xdr:col>
      <xdr:colOff>209550</xdr:colOff>
      <xdr:row>91</xdr:row>
      <xdr:rowOff>142875</xdr:rowOff>
    </xdr:to>
    <xdr:pic>
      <xdr:nvPicPr>
        <xdr:cNvPr id="6" name="图片 5"/>
        <xdr:cNvPicPr>
          <a:picLocks noChangeAspect="1"/>
        </xdr:cNvPicPr>
      </xdr:nvPicPr>
      <xdr:blipFill>
        <a:blip xmlns:r="http://schemas.openxmlformats.org/officeDocument/2006/relationships" r:embed="rId4"/>
        <a:stretch>
          <a:fillRect/>
        </a:stretch>
      </xdr:blipFill>
      <xdr:spPr>
        <a:xfrm>
          <a:off x="523875" y="14611350"/>
          <a:ext cx="16030575" cy="2000250"/>
        </a:xfrm>
        <a:prstGeom prst="rect">
          <a:avLst/>
        </a:prstGeom>
        <a:noFill/>
        <a:ln w="9525">
          <a:noFill/>
        </a:ln>
      </xdr:spPr>
    </xdr:pic>
    <xdr:clientData/>
  </xdr:twoCellAnchor>
  <xdr:twoCellAnchor editAs="oneCell">
    <xdr:from>
      <xdr:col>0</xdr:col>
      <xdr:colOff>581025</xdr:colOff>
      <xdr:row>93</xdr:row>
      <xdr:rowOff>28575</xdr:rowOff>
    </xdr:from>
    <xdr:to>
      <xdr:col>23</xdr:col>
      <xdr:colOff>552450</xdr:colOff>
      <xdr:row>128</xdr:row>
      <xdr:rowOff>133350</xdr:rowOff>
    </xdr:to>
    <xdr:pic>
      <xdr:nvPicPr>
        <xdr:cNvPr id="7" name="图片 6"/>
        <xdr:cNvPicPr>
          <a:picLocks noChangeAspect="1"/>
        </xdr:cNvPicPr>
      </xdr:nvPicPr>
      <xdr:blipFill>
        <a:blip xmlns:r="http://schemas.openxmlformats.org/officeDocument/2006/relationships" r:embed="rId5"/>
        <a:stretch>
          <a:fillRect/>
        </a:stretch>
      </xdr:blipFill>
      <xdr:spPr>
        <a:xfrm>
          <a:off x="581025" y="16859250"/>
          <a:ext cx="16316325" cy="6438900"/>
        </a:xfrm>
        <a:prstGeom prst="rect">
          <a:avLst/>
        </a:prstGeom>
        <a:noFill/>
        <a:ln w="9525">
          <a:noFill/>
        </a:ln>
      </xdr:spPr>
    </xdr:pic>
    <xdr:clientData/>
  </xdr:twoCellAnchor>
  <xdr:twoCellAnchor editAs="oneCell">
    <xdr:from>
      <xdr:col>1</xdr:col>
      <xdr:colOff>0</xdr:colOff>
      <xdr:row>131</xdr:row>
      <xdr:rowOff>0</xdr:rowOff>
    </xdr:from>
    <xdr:to>
      <xdr:col>23</xdr:col>
      <xdr:colOff>571500</xdr:colOff>
      <xdr:row>173</xdr:row>
      <xdr:rowOff>76200</xdr:rowOff>
    </xdr:to>
    <xdr:pic>
      <xdr:nvPicPr>
        <xdr:cNvPr id="8" name="图片 7"/>
        <xdr:cNvPicPr>
          <a:picLocks noChangeAspect="1"/>
        </xdr:cNvPicPr>
      </xdr:nvPicPr>
      <xdr:blipFill>
        <a:blip xmlns:r="http://schemas.openxmlformats.org/officeDocument/2006/relationships" r:embed="rId6"/>
        <a:stretch>
          <a:fillRect/>
        </a:stretch>
      </xdr:blipFill>
      <xdr:spPr>
        <a:xfrm>
          <a:off x="685800" y="23707725"/>
          <a:ext cx="16230600" cy="7677150"/>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24</xdr:col>
      <xdr:colOff>628650</xdr:colOff>
      <xdr:row>31</xdr:row>
      <xdr:rowOff>47625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514350"/>
          <a:ext cx="16402050" cy="4848225"/>
        </a:xfrm>
        <a:prstGeom prst="rect">
          <a:avLst/>
        </a:prstGeom>
        <a:noFill/>
        <a:ln w="9525">
          <a:noFill/>
        </a:ln>
      </xdr:spPr>
    </xdr:pic>
    <xdr:clientData/>
  </xdr:twoCellAnchor>
  <xdr:twoCellAnchor editAs="oneCell">
    <xdr:from>
      <xdr:col>1</xdr:col>
      <xdr:colOff>123825</xdr:colOff>
      <xdr:row>32</xdr:row>
      <xdr:rowOff>161925</xdr:rowOff>
    </xdr:from>
    <xdr:to>
      <xdr:col>24</xdr:col>
      <xdr:colOff>361950</xdr:colOff>
      <xdr:row>50</xdr:row>
      <xdr:rowOff>9525</xdr:rowOff>
    </xdr:to>
    <xdr:pic>
      <xdr:nvPicPr>
        <xdr:cNvPr id="3" name="图片 2"/>
        <xdr:cNvPicPr>
          <a:picLocks noChangeAspect="1"/>
        </xdr:cNvPicPr>
      </xdr:nvPicPr>
      <xdr:blipFill>
        <a:blip xmlns:r="http://schemas.openxmlformats.org/officeDocument/2006/relationships" r:embed="rId2"/>
        <a:stretch>
          <a:fillRect/>
        </a:stretch>
      </xdr:blipFill>
      <xdr:spPr>
        <a:xfrm>
          <a:off x="809625" y="5648325"/>
          <a:ext cx="16011525" cy="2933700"/>
        </a:xfrm>
        <a:prstGeom prst="rect">
          <a:avLst/>
        </a:prstGeom>
        <a:noFill/>
        <a:ln w="9525">
          <a:noFill/>
        </a:ln>
      </xdr:spPr>
    </xdr:pic>
    <xdr:clientData/>
  </xdr:twoCellAnchor>
  <xdr:twoCellAnchor editAs="oneCell">
    <xdr:from>
      <xdr:col>1</xdr:col>
      <xdr:colOff>247650</xdr:colOff>
      <xdr:row>50</xdr:row>
      <xdr:rowOff>66675</xdr:rowOff>
    </xdr:from>
    <xdr:to>
      <xdr:col>24</xdr:col>
      <xdr:colOff>495300</xdr:colOff>
      <xdr:row>81</xdr:row>
      <xdr:rowOff>38100</xdr:rowOff>
    </xdr:to>
    <xdr:pic>
      <xdr:nvPicPr>
        <xdr:cNvPr id="4" name="图片 3"/>
        <xdr:cNvPicPr>
          <a:picLocks noChangeAspect="1"/>
        </xdr:cNvPicPr>
      </xdr:nvPicPr>
      <xdr:blipFill>
        <a:blip xmlns:r="http://schemas.openxmlformats.org/officeDocument/2006/relationships" r:embed="rId3"/>
        <a:stretch>
          <a:fillRect/>
        </a:stretch>
      </xdr:blipFill>
      <xdr:spPr>
        <a:xfrm>
          <a:off x="933450" y="8639175"/>
          <a:ext cx="16021050" cy="5286375"/>
        </a:xfrm>
        <a:prstGeom prst="rect">
          <a:avLst/>
        </a:prstGeom>
        <a:noFill/>
        <a:ln w="9525">
          <a:noFill/>
        </a:ln>
      </xdr:spPr>
    </xdr:pic>
    <xdr:clientData/>
  </xdr:twoCellAnchor>
  <xdr:twoCellAnchor editAs="oneCell">
    <xdr:from>
      <xdr:col>1</xdr:col>
      <xdr:colOff>133350</xdr:colOff>
      <xdr:row>81</xdr:row>
      <xdr:rowOff>152400</xdr:rowOff>
    </xdr:from>
    <xdr:to>
      <xdr:col>24</xdr:col>
      <xdr:colOff>657225</xdr:colOff>
      <xdr:row>102</xdr:row>
      <xdr:rowOff>19050</xdr:rowOff>
    </xdr:to>
    <xdr:pic>
      <xdr:nvPicPr>
        <xdr:cNvPr id="5" name="图片 4"/>
        <xdr:cNvPicPr>
          <a:picLocks noChangeAspect="1"/>
        </xdr:cNvPicPr>
      </xdr:nvPicPr>
      <xdr:blipFill>
        <a:blip xmlns:r="http://schemas.openxmlformats.org/officeDocument/2006/relationships" r:embed="rId4"/>
        <a:stretch>
          <a:fillRect/>
        </a:stretch>
      </xdr:blipFill>
      <xdr:spPr>
        <a:xfrm>
          <a:off x="819150" y="14039850"/>
          <a:ext cx="16297275" cy="3467100"/>
        </a:xfrm>
        <a:prstGeom prst="rect">
          <a:avLst/>
        </a:prstGeom>
        <a:noFill/>
        <a:ln w="9525">
          <a:noFill/>
        </a:ln>
      </xdr:spPr>
    </xdr:pic>
    <xdr:clientData/>
  </xdr:twoCellAnchor>
  <xdr:twoCellAnchor editAs="oneCell">
    <xdr:from>
      <xdr:col>1</xdr:col>
      <xdr:colOff>342900</xdr:colOff>
      <xdr:row>105</xdr:row>
      <xdr:rowOff>9525</xdr:rowOff>
    </xdr:from>
    <xdr:to>
      <xdr:col>24</xdr:col>
      <xdr:colOff>485775</xdr:colOff>
      <xdr:row>107</xdr:row>
      <xdr:rowOff>28575</xdr:rowOff>
    </xdr:to>
    <xdr:pic>
      <xdr:nvPicPr>
        <xdr:cNvPr id="6" name="图片 5"/>
        <xdr:cNvPicPr>
          <a:picLocks noChangeAspect="1"/>
        </xdr:cNvPicPr>
      </xdr:nvPicPr>
      <xdr:blipFill>
        <a:blip xmlns:r="http://schemas.openxmlformats.org/officeDocument/2006/relationships" r:embed="rId5"/>
        <a:stretch>
          <a:fillRect/>
        </a:stretch>
      </xdr:blipFill>
      <xdr:spPr>
        <a:xfrm>
          <a:off x="1028700" y="18011775"/>
          <a:ext cx="15916275" cy="361950"/>
        </a:xfrm>
        <a:prstGeom prst="rect">
          <a:avLst/>
        </a:prstGeom>
        <a:noFill/>
        <a:ln w="9525">
          <a:noFill/>
        </a:ln>
      </xdr:spPr>
    </xdr:pic>
    <xdr:clientData/>
  </xdr:twoCellAnchor>
  <xdr:twoCellAnchor editAs="oneCell">
    <xdr:from>
      <xdr:col>1</xdr:col>
      <xdr:colOff>314325</xdr:colOff>
      <xdr:row>109</xdr:row>
      <xdr:rowOff>38100</xdr:rowOff>
    </xdr:from>
    <xdr:to>
      <xdr:col>25</xdr:col>
      <xdr:colOff>152400</xdr:colOff>
      <xdr:row>141</xdr:row>
      <xdr:rowOff>104775</xdr:rowOff>
    </xdr:to>
    <xdr:pic>
      <xdr:nvPicPr>
        <xdr:cNvPr id="7" name="图片 6"/>
        <xdr:cNvPicPr>
          <a:picLocks noChangeAspect="1"/>
        </xdr:cNvPicPr>
      </xdr:nvPicPr>
      <xdr:blipFill>
        <a:blip xmlns:r="http://schemas.openxmlformats.org/officeDocument/2006/relationships" r:embed="rId6"/>
        <a:stretch>
          <a:fillRect/>
        </a:stretch>
      </xdr:blipFill>
      <xdr:spPr>
        <a:xfrm>
          <a:off x="1000125" y="18726150"/>
          <a:ext cx="16297275" cy="5553075"/>
        </a:xfrm>
        <a:prstGeom prst="rect">
          <a:avLst/>
        </a:prstGeom>
        <a:noFill/>
        <a:ln w="9525">
          <a:noFill/>
        </a:ln>
      </xdr:spPr>
    </xdr:pic>
    <xdr:clientData/>
  </xdr:twoCellAnchor>
  <xdr:twoCellAnchor editAs="oneCell">
    <xdr:from>
      <xdr:col>1</xdr:col>
      <xdr:colOff>438150</xdr:colOff>
      <xdr:row>144</xdr:row>
      <xdr:rowOff>0</xdr:rowOff>
    </xdr:from>
    <xdr:to>
      <xdr:col>25</xdr:col>
      <xdr:colOff>190500</xdr:colOff>
      <xdr:row>178</xdr:row>
      <xdr:rowOff>9525</xdr:rowOff>
    </xdr:to>
    <xdr:pic>
      <xdr:nvPicPr>
        <xdr:cNvPr id="8" name="图片 7"/>
        <xdr:cNvPicPr>
          <a:picLocks noChangeAspect="1"/>
        </xdr:cNvPicPr>
      </xdr:nvPicPr>
      <xdr:blipFill>
        <a:blip xmlns:r="http://schemas.openxmlformats.org/officeDocument/2006/relationships" r:embed="rId7"/>
        <a:stretch>
          <a:fillRect/>
        </a:stretch>
      </xdr:blipFill>
      <xdr:spPr>
        <a:xfrm>
          <a:off x="1123950" y="24688800"/>
          <a:ext cx="16211550" cy="5838825"/>
        </a:xfrm>
        <a:prstGeom prst="rect">
          <a:avLst/>
        </a:prstGeom>
        <a:noFill/>
        <a:ln w="9525">
          <a:noFill/>
        </a:ln>
      </xdr:spPr>
    </xdr:pic>
    <xdr:clientData/>
  </xdr:twoCellAnchor>
  <xdr:twoCellAnchor editAs="oneCell">
    <xdr:from>
      <xdr:col>1</xdr:col>
      <xdr:colOff>438150</xdr:colOff>
      <xdr:row>180</xdr:row>
      <xdr:rowOff>0</xdr:rowOff>
    </xdr:from>
    <xdr:to>
      <xdr:col>25</xdr:col>
      <xdr:colOff>276225</xdr:colOff>
      <xdr:row>227</xdr:row>
      <xdr:rowOff>161925</xdr:rowOff>
    </xdr:to>
    <xdr:pic>
      <xdr:nvPicPr>
        <xdr:cNvPr id="9" name="图片 8"/>
        <xdr:cNvPicPr>
          <a:picLocks noChangeAspect="1"/>
        </xdr:cNvPicPr>
      </xdr:nvPicPr>
      <xdr:blipFill>
        <a:blip xmlns:r="http://schemas.openxmlformats.org/officeDocument/2006/relationships" r:embed="rId8"/>
        <a:stretch>
          <a:fillRect/>
        </a:stretch>
      </xdr:blipFill>
      <xdr:spPr>
        <a:xfrm>
          <a:off x="1123950" y="30861000"/>
          <a:ext cx="16297275" cy="8220075"/>
        </a:xfrm>
        <a:prstGeom prst="rect">
          <a:avLst/>
        </a:prstGeom>
        <a:noFill/>
        <a:ln w="9525">
          <a:noFill/>
        </a:ln>
      </xdr:spPr>
    </xdr:pic>
    <xdr:clientData/>
  </xdr:twoCellAnchor>
  <xdr:twoCellAnchor editAs="oneCell">
    <xdr:from>
      <xdr:col>1</xdr:col>
      <xdr:colOff>314325</xdr:colOff>
      <xdr:row>102</xdr:row>
      <xdr:rowOff>19050</xdr:rowOff>
    </xdr:from>
    <xdr:to>
      <xdr:col>24</xdr:col>
      <xdr:colOff>457200</xdr:colOff>
      <xdr:row>104</xdr:row>
      <xdr:rowOff>114300</xdr:rowOff>
    </xdr:to>
    <xdr:pic>
      <xdr:nvPicPr>
        <xdr:cNvPr id="10" name="图片 9"/>
        <xdr:cNvPicPr>
          <a:picLocks noChangeAspect="1"/>
        </xdr:cNvPicPr>
      </xdr:nvPicPr>
      <xdr:blipFill>
        <a:blip xmlns:r="http://schemas.openxmlformats.org/officeDocument/2006/relationships" r:embed="rId9"/>
        <a:stretch>
          <a:fillRect/>
        </a:stretch>
      </xdr:blipFill>
      <xdr:spPr>
        <a:xfrm>
          <a:off x="1000125" y="17506950"/>
          <a:ext cx="15916275" cy="438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1\Desktop\&#27494;&#21733;&#19996;&#21441;&#37329;&#33538;&#24220;&#36135;&#20540;\&#36807;&#31243;\&#19996;&#21441;&#37329;&#33538;&#24220;&#36135;&#20540;-&#29579;&#28165;&#38597;20240103-144558-&#37026;&#36722;20240103-1720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项目情况"/>
      <sheetName val="数据-取费表"/>
      <sheetName val="估价对象房地状况"/>
      <sheetName val="系统读取表"/>
      <sheetName val="结果表"/>
      <sheetName val="车位清单"/>
      <sheetName val="比较法-车位"/>
      <sheetName val="车位案例"/>
      <sheetName val="典型户型修正"/>
      <sheetName val="成本法"/>
      <sheetName val="收益法"/>
      <sheetName val="结果表 (2)"/>
      <sheetName val="成本法 (元)"/>
      <sheetName val="假设开发法"/>
      <sheetName val="仓储清单"/>
      <sheetName val="比较法-仓储"/>
      <sheetName val="仓储案例"/>
      <sheetName val="收益法 (元)"/>
      <sheetName val="收益法-酒店模型"/>
      <sheetName val="收益法（汇总）"/>
      <sheetName val="比较法-住宅"/>
      <sheetName val="比较法-商业"/>
      <sheetName val="比较法-办公"/>
      <sheetName val="比较法-工业"/>
      <sheetName val="土地比较法-住宅、综合"/>
      <sheetName val="土地比较法-工业"/>
      <sheetName val="基准地价（汇总）"/>
      <sheetName val="成本法 (2)"/>
      <sheetName val="基准地价修正"/>
      <sheetName val="全部明细"/>
      <sheetName val="典型户型修正 (2)"/>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51" customWidth="1"/>
    <col min="2" max="2" width="81" style="3452" customWidth="1"/>
    <col min="3" max="16384" width="9" style="3453"/>
  </cols>
  <sheetData>
    <row r="1" spans="1:2" s="3448" customFormat="1">
      <c r="A1" s="3454" t="s">
        <v>0</v>
      </c>
      <c r="B1" s="3455" t="s">
        <v>1</v>
      </c>
    </row>
    <row r="2" spans="1:2" s="3449" customFormat="1">
      <c r="A2" s="3456" t="s">
        <v>2</v>
      </c>
      <c r="B2" s="3457" t="str">
        <f>'预评函-封皮'!B37:I37</f>
        <v>北京市房地产抵押价值预评估</v>
      </c>
    </row>
    <row r="3" spans="1:2" s="3450" customFormat="1">
      <c r="A3" s="3458" t="s">
        <v>3</v>
      </c>
      <c r="B3" s="3459">
        <f>'预评函-封皮'!B40</f>
        <v>0</v>
      </c>
    </row>
    <row r="4" spans="1:2" s="3450" customFormat="1">
      <c r="A4" s="3458" t="s">
        <v>4</v>
      </c>
      <c r="B4" s="3459" t="str">
        <f>'预评函-封皮'!B46</f>
        <v>（注册号：0)、（注册号：0)</v>
      </c>
    </row>
    <row r="5" spans="1:2" s="3448" customFormat="1">
      <c r="A5" s="3460" t="s">
        <v>5</v>
      </c>
      <c r="B5" s="3461" t="str">
        <f>'预评函-封皮'!B49</f>
        <v>康正预评字号</v>
      </c>
    </row>
    <row r="6" spans="1:2" s="3449" customFormat="1">
      <c r="A6" s="3456" t="s">
        <v>6</v>
      </c>
      <c r="B6" s="3457" t="str">
        <f>'预评函-1'!A4</f>
        <v>受贵公司委托，我公司对北京市房地产抵押价值进行了预评估。</v>
      </c>
    </row>
    <row r="7" spans="1:2" s="3450" customFormat="1">
      <c r="A7" s="3458" t="s">
        <v>7</v>
      </c>
      <c r="B7" s="3459" t="str">
        <f>'预评函-1'!A7</f>
        <v>估价对象为北京市房地产，为所有。根据《国有土地使用证》[]，估价对象（分摊）出让国有建设用地使用权面积为0平方米，建筑面积为8450.66平方米。</v>
      </c>
    </row>
    <row r="8" spans="1:2" s="3450" customFormat="1">
      <c r="A8" s="3458" t="s">
        <v>8</v>
      </c>
      <c r="B8" s="3459" t="str">
        <f>'预评函-1'!A8</f>
        <v>估价对象简述。项目推广名，项目类型（用途），估价对象分布，各用途面积明细情况：XX用途建筑面积XX平方米，XX用途建筑面积XX平方米，……。复杂面积清单需设‘附表’列示：抵押物清单详见附表</v>
      </c>
    </row>
    <row r="9" spans="1:2" s="3450" customFormat="1">
      <c r="A9" s="3458" t="s">
        <v>9</v>
      </c>
      <c r="B9" s="3459" t="str">
        <f>'预评函-1'!A10</f>
        <v>估价对象为北京市房地产,属开发建设的，该项目尚在开发建设中。根据《国有土地使用证》[]，估价对象（分摊）出让国有建设用地使用权面积为0平方米，规划建筑面积为8450.66平方米。</v>
      </c>
    </row>
    <row r="10" spans="1:2" s="3450" customFormat="1">
      <c r="A10" s="3458" t="s">
        <v>10</v>
      </c>
      <c r="B10" s="34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50" customFormat="1">
      <c r="A11" s="3458" t="s">
        <v>11</v>
      </c>
      <c r="B11" s="345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50" customFormat="1">
      <c r="A12" s="3458" t="s">
        <v>12</v>
      </c>
      <c r="B12" s="3459" t="str">
        <f>'预评函-1'!A15</f>
        <v>2024年1月20日</v>
      </c>
    </row>
    <row r="13" spans="1:2" s="3450" customFormat="1">
      <c r="A13" s="3458" t="s">
        <v>13</v>
      </c>
      <c r="B13" s="3459" t="str">
        <f>'预评函-1'!A18</f>
        <v>本次估价的“房地产价值”是指在正常市场情况下，在价值时点2024年1月20日，估价对象规划用途为，土地取得方式为出让，出让国有建设用地使用权剩余土地使用年限为，假定未设立法定优先受偿款下的房地产市场价值。</v>
      </c>
    </row>
    <row r="14" spans="1:2" s="3450" customFormat="1">
      <c r="A14" s="3458" t="s">
        <v>14</v>
      </c>
      <c r="B14" s="345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50" customFormat="1">
      <c r="A15" s="3458" t="s">
        <v>15</v>
      </c>
      <c r="B15" s="3459" t="str">
        <f>'预评函-1'!A20</f>
        <v>本次估价的“房地产抵押价值”是指估价对象在价值时点的“房地产价值”扣减估价师于价值时点所知悉的法定优先受偿款后的余额。</v>
      </c>
    </row>
    <row r="16" spans="1:2" s="3450" customFormat="1">
      <c r="A16" s="3458" t="s">
        <v>16</v>
      </c>
      <c r="B16" s="34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50" customFormat="1">
      <c r="A17" s="3458" t="s">
        <v>17</v>
      </c>
      <c r="B17" s="345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48" customFormat="1">
      <c r="A18" s="3460" t="s">
        <v>18</v>
      </c>
      <c r="B18" s="3461" t="str">
        <f>'预评函-1'!A24</f>
        <v>本次评估采用的主估价方法为基准地价系数修正法和成本法。</v>
      </c>
    </row>
    <row r="19" spans="1:2" s="3449" customFormat="1">
      <c r="A19" s="3456" t="s">
        <v>19</v>
      </c>
      <c r="B19" s="345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50" customFormat="1">
      <c r="A20" s="3458" t="s">
        <v>20</v>
      </c>
      <c r="B20" s="3459">
        <f ca="1">'预评函-2'!D5</f>
        <v>1483</v>
      </c>
    </row>
    <row r="21" spans="1:2" s="3450" customFormat="1">
      <c r="A21" s="3458" t="s">
        <v>21</v>
      </c>
      <c r="B21" s="3459">
        <f ca="1">'预评函-2'!D7</f>
        <v>14370</v>
      </c>
    </row>
    <row r="22" spans="1:2" s="3450" customFormat="1">
      <c r="A22" s="3458" t="s">
        <v>22</v>
      </c>
      <c r="B22" s="3459" t="str">
        <f ca="1">'预评函-2'!D6</f>
        <v>壹仟肆佰捌拾叁万元整</v>
      </c>
    </row>
    <row r="23" spans="1:2" s="3450" customFormat="1">
      <c r="A23" s="3458" t="s">
        <v>23</v>
      </c>
      <c r="B23" s="3459" t="str">
        <f>'预评函-2'!B8</f>
        <v>2.估价师知悉的法定优先受偿款</v>
      </c>
    </row>
    <row r="24" spans="1:2" s="3450" customFormat="1">
      <c r="A24" s="3458" t="s">
        <v>24</v>
      </c>
      <c r="B24" s="3459">
        <f>'预评函-2'!D8</f>
        <v>0</v>
      </c>
    </row>
    <row r="25" spans="1:2" s="3450" customFormat="1">
      <c r="A25" s="3458" t="s">
        <v>25</v>
      </c>
      <c r="B25" s="3459" t="str">
        <f>'预评函-2'!D9</f>
        <v>零元整</v>
      </c>
    </row>
    <row r="26" spans="1:2" s="3450" customFormat="1">
      <c r="A26" s="3458" t="s">
        <v>26</v>
      </c>
      <c r="B26" s="3459">
        <f>'预评函-2'!D10</f>
        <v>0</v>
      </c>
    </row>
    <row r="27" spans="1:2" s="3450" customFormat="1">
      <c r="A27" s="3458" t="s">
        <v>27</v>
      </c>
      <c r="B27" s="3459">
        <f>'预评函-2'!D11</f>
        <v>0</v>
      </c>
    </row>
    <row r="28" spans="1:2" s="3450" customFormat="1">
      <c r="A28" s="3458" t="s">
        <v>28</v>
      </c>
      <c r="B28" s="3459">
        <f>'预评函-2'!D12</f>
        <v>0</v>
      </c>
    </row>
    <row r="29" spans="1:2" s="3450" customFormat="1">
      <c r="A29" s="3458" t="s">
        <v>29</v>
      </c>
      <c r="B29" s="3459" t="str">
        <f>'预评函-2'!B13</f>
        <v>3.房地产抵押价值</v>
      </c>
    </row>
    <row r="30" spans="1:2" s="3450" customFormat="1">
      <c r="A30" s="3458" t="s">
        <v>30</v>
      </c>
      <c r="B30" s="3459">
        <f ca="1">'预评函-2'!D13</f>
        <v>1483</v>
      </c>
    </row>
    <row r="31" spans="1:2" s="3450" customFormat="1">
      <c r="A31" s="3458" t="s">
        <v>31</v>
      </c>
      <c r="B31" s="3459">
        <f ca="1">'预评函-2'!D15</f>
        <v>14370</v>
      </c>
    </row>
    <row r="32" spans="1:2" s="3450" customFormat="1">
      <c r="A32" s="3458" t="s">
        <v>32</v>
      </c>
      <c r="B32" s="3459" t="str">
        <f ca="1">'预评函-2'!D14</f>
        <v>壹仟肆佰捌拾叁万元整</v>
      </c>
    </row>
    <row r="33" spans="1:2" s="3450" customFormat="1">
      <c r="A33" s="3458" t="s">
        <v>33</v>
      </c>
      <c r="B33" s="3459" t="str">
        <f>'预评函-2'!B16</f>
        <v>——</v>
      </c>
    </row>
    <row r="34" spans="1:2" s="3450" customFormat="1">
      <c r="A34" s="3458" t="s">
        <v>34</v>
      </c>
      <c r="B34" s="3459" t="str">
        <f>'预评函-2'!D16</f>
        <v>——</v>
      </c>
    </row>
    <row r="35" spans="1:2" s="3450" customFormat="1">
      <c r="A35" s="3458" t="s">
        <v>35</v>
      </c>
      <c r="B35" s="3459" t="str">
        <f>'预评函-2'!D18</f>
        <v>——</v>
      </c>
    </row>
    <row r="36" spans="1:2" s="3450" customFormat="1">
      <c r="A36" s="3458" t="s">
        <v>36</v>
      </c>
      <c r="B36" s="3459" t="e">
        <f>'预评函-2'!D17</f>
        <v>#VALUE!</v>
      </c>
    </row>
    <row r="37" spans="1:2" s="3450" customFormat="1">
      <c r="A37" s="3458" t="s">
        <v>37</v>
      </c>
      <c r="B37" s="3459" t="str">
        <f>'预评函-2'!B19</f>
        <v>——</v>
      </c>
    </row>
    <row r="38" spans="1:2" s="3450" customFormat="1">
      <c r="A38" s="3458" t="s">
        <v>38</v>
      </c>
      <c r="B38" s="3459" t="str">
        <f>'预评函-2'!D19</f>
        <v>——</v>
      </c>
    </row>
    <row r="39" spans="1:2" s="3450" customFormat="1">
      <c r="A39" s="3458" t="s">
        <v>39</v>
      </c>
      <c r="B39" s="3459" t="str">
        <f>'预评函-2'!D21</f>
        <v>——</v>
      </c>
    </row>
    <row r="40" spans="1:2" s="3450" customFormat="1">
      <c r="A40" s="3458" t="s">
        <v>40</v>
      </c>
      <c r="B40" s="3459" t="e">
        <f>'预评函-2'!D20</f>
        <v>#VALUE!</v>
      </c>
    </row>
    <row r="41" spans="1:2" s="3450" customFormat="1">
      <c r="A41" s="3458" t="s">
        <v>41</v>
      </c>
      <c r="B41" s="3459" t="str">
        <f>'预评函-3'!A4</f>
        <v>北京市房地产</v>
      </c>
    </row>
    <row r="42" spans="1:2" s="3450" customFormat="1" ht="31.2">
      <c r="A42" s="3458" t="s">
        <v>42</v>
      </c>
      <c r="B42" s="3459" t="str">
        <f>'预评函-3'!B2</f>
        <v>建筑面积</v>
      </c>
    </row>
    <row r="43" spans="1:2" s="3450" customFormat="1">
      <c r="A43" s="3458" t="s">
        <v>43</v>
      </c>
      <c r="B43" s="3459">
        <f>'预评函-3'!B4</f>
        <v>8450.66</v>
      </c>
    </row>
    <row r="44" spans="1:2" s="3450" customFormat="1" ht="31.2">
      <c r="A44" s="3458" t="s">
        <v>44</v>
      </c>
      <c r="B44" s="3459" t="str">
        <f>'预评函-3'!C2</f>
        <v>(分摊)土地面积</v>
      </c>
    </row>
    <row r="45" spans="1:2" s="3450" customFormat="1">
      <c r="A45" s="3458" t="s">
        <v>45</v>
      </c>
      <c r="B45" s="3459">
        <f>'预评函-3'!C4</f>
        <v>0</v>
      </c>
    </row>
    <row r="46" spans="1:2" s="3450" customFormat="1">
      <c r="A46" s="3458" t="s">
        <v>46</v>
      </c>
      <c r="B46" s="3459" t="str">
        <f>'预评函-3'!D2</f>
        <v>出让国有建设用地使用权价值</v>
      </c>
    </row>
    <row r="47" spans="1:2" s="3450" customFormat="1">
      <c r="A47" s="3458" t="s">
        <v>47</v>
      </c>
      <c r="B47" s="3459">
        <f ca="1">'预评函-3'!D4</f>
        <v>610</v>
      </c>
    </row>
    <row r="48" spans="1:2" s="3450" customFormat="1">
      <c r="A48" s="3458" t="s">
        <v>48</v>
      </c>
      <c r="B48" s="3459">
        <f ca="1">'预评函-3'!E4</f>
        <v>5911</v>
      </c>
    </row>
    <row r="49" spans="1:2" s="3450" customFormat="1">
      <c r="A49" s="3458" t="s">
        <v>49</v>
      </c>
      <c r="B49" s="3459" t="str">
        <f ca="1">'预评函-3'!D5</f>
        <v>陆佰壹拾万元整</v>
      </c>
    </row>
    <row r="50" spans="1:2" s="3450" customFormat="1">
      <c r="A50" s="3458" t="s">
        <v>50</v>
      </c>
      <c r="B50" s="3459" t="str">
        <f>'预评函-3'!F2</f>
        <v>在建建筑物价值</v>
      </c>
    </row>
    <row r="51" spans="1:2" s="3450" customFormat="1">
      <c r="A51" s="3458" t="s">
        <v>51</v>
      </c>
      <c r="B51" s="3459">
        <f ca="1">'预评函-3'!F4</f>
        <v>873</v>
      </c>
    </row>
    <row r="52" spans="1:2" s="3450" customFormat="1">
      <c r="A52" s="3458" t="s">
        <v>52</v>
      </c>
      <c r="B52" s="3459">
        <f ca="1">'预评函-3'!G4</f>
        <v>8459</v>
      </c>
    </row>
    <row r="53" spans="1:2" s="3450" customFormat="1">
      <c r="A53" s="3458" t="s">
        <v>53</v>
      </c>
      <c r="B53" s="3459" t="str">
        <f ca="1">'预评函-3'!F5</f>
        <v>捌佰柒拾叁万元整</v>
      </c>
    </row>
    <row r="54" spans="1:2" s="3450" customFormat="1">
      <c r="A54" s="3458" t="s">
        <v>54</v>
      </c>
      <c r="B54" s="3459" t="str">
        <f>'预评函-3'!A8</f>
        <v>房地产抵押价值</v>
      </c>
    </row>
    <row r="55" spans="1:2" s="3450" customFormat="1">
      <c r="A55" s="3458" t="s">
        <v>55</v>
      </c>
      <c r="B55" s="3459" t="str">
        <f>'预评函-3'!A10</f>
        <v/>
      </c>
    </row>
    <row r="56" spans="1:2" s="3450" customFormat="1">
      <c r="A56" s="3458" t="s">
        <v>56</v>
      </c>
      <c r="B56" s="3459" t="str">
        <f>'预评函-3'!A12</f>
        <v/>
      </c>
    </row>
    <row r="57" spans="1:2" s="3448" customFormat="1">
      <c r="A57" s="3460" t="s">
        <v>57</v>
      </c>
      <c r="B57" s="3461" t="str">
        <f>'预评函-3'!A6</f>
        <v>估价师知悉的法定优先受偿款</v>
      </c>
    </row>
    <row r="58" spans="1:2" s="3449" customFormat="1">
      <c r="A58" s="3456" t="s">
        <v>58</v>
      </c>
      <c r="B58" s="3457" t="str">
        <f>'预评函-4'!A12</f>
        <v>2.本《评估意见函》仅供金融机构进行内部审核使用，不做其他目的之用。</v>
      </c>
    </row>
    <row r="59" spans="1:2" s="3450" customFormat="1">
      <c r="A59" s="3458" t="s">
        <v>59</v>
      </c>
      <c r="B59" s="3459" t="str">
        <f>'预评函-4'!A13</f>
        <v>3.抵押双方在办理抵押登记手续时，应使用本公司出具的正式《房地产评估报告》，特提醒报告使用者注意。</v>
      </c>
    </row>
    <row r="60" spans="1:2" s="3450" customFormat="1">
      <c r="A60" s="3458" t="s">
        <v>60</v>
      </c>
      <c r="B60" s="3459" t="str">
        <f>'预评函-4'!A14</f>
        <v>4.本次评估估价师所知悉的法定优先受偿款情况说明如下：</v>
      </c>
    </row>
    <row r="61" spans="1:2" s="3450" customFormat="1">
      <c r="A61" s="3458" t="s">
        <v>61</v>
      </c>
      <c r="B61" s="345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50" customFormat="1">
      <c r="A62" s="3458" t="s">
        <v>62</v>
      </c>
      <c r="B62" s="3459" t="str">
        <f>'预评函-4'!A16</f>
        <v>（2）根据《工程款支付情况说明》，截至价值时点，估价对象不存在应付未付工程款项。（只要没有施工方盖章的，均“设定”进行表述）</v>
      </c>
    </row>
    <row r="63" spans="1:2" s="3450" customFormat="1">
      <c r="A63" s="3458" t="s">
        <v>63</v>
      </c>
      <c r="B63" s="34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50" customFormat="1">
      <c r="A64" s="3458" t="s">
        <v>64</v>
      </c>
      <c r="B64" s="3459" t="str">
        <f>'预评函-4'!A18</f>
        <v>故，本次评估不存在估价师知悉的法定优先受偿款</v>
      </c>
    </row>
    <row r="65" spans="1:2" s="3450" customFormat="1">
      <c r="A65" s="3458" t="s">
        <v>65</v>
      </c>
      <c r="B65" s="34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50" customFormat="1">
      <c r="A66" s="3458" t="s">
        <v>66</v>
      </c>
      <c r="B66" s="345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50" customFormat="1">
      <c r="A67" s="3458" t="s">
        <v>67</v>
      </c>
      <c r="B67" s="345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50" customFormat="1">
      <c r="A68" s="3458" t="s">
        <v>68</v>
      </c>
      <c r="B68" s="3459" t="str">
        <f>'预评函-4'!A22</f>
        <v>8.其他需特殊说明事项：无（注意调整序号）</v>
      </c>
    </row>
    <row r="69" spans="1:2" s="3448" customFormat="1">
      <c r="A69" s="3460" t="s">
        <v>69</v>
      </c>
      <c r="B69" s="3462">
        <f>'预评函-4'!C31</f>
        <v>42551</v>
      </c>
    </row>
    <row r="70" spans="1:2">
      <c r="A70" s="3463" t="s">
        <v>70</v>
      </c>
      <c r="B70" s="3464">
        <f>'预评函-4'!A4</f>
        <v>0</v>
      </c>
    </row>
    <row r="71" spans="1:2">
      <c r="A71" s="3458" t="s">
        <v>71</v>
      </c>
      <c r="B71" s="3459">
        <f>'预评函-4'!B4</f>
        <v>0</v>
      </c>
    </row>
    <row r="72" spans="1:2">
      <c r="A72" s="3458" t="s">
        <v>72</v>
      </c>
      <c r="B72" s="3465">
        <f>'预评函-4'!A5</f>
        <v>0</v>
      </c>
    </row>
    <row r="73" spans="1:2" s="3448" customFormat="1">
      <c r="A73" s="3460" t="s">
        <v>73</v>
      </c>
      <c r="B73" s="3461">
        <f>'预评函-4'!B5</f>
        <v>0</v>
      </c>
    </row>
    <row r="74" spans="1:2">
      <c r="A74" s="3451" t="s">
        <v>74</v>
      </c>
      <c r="B74" s="3452"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4.4"/>
  <cols>
    <col min="1" max="1" width="3.44140625" style="3445" customWidth="1"/>
    <col min="2" max="9" width="10" style="3445" customWidth="1"/>
    <col min="10" max="16384" width="9" style="3445"/>
  </cols>
  <sheetData>
    <row r="36" spans="1:9">
      <c r="A36" s="3444" t="s">
        <v>75</v>
      </c>
      <c r="B36" s="3444" t="s">
        <v>76</v>
      </c>
    </row>
    <row r="37" spans="1:9" ht="27.75" customHeight="1">
      <c r="A37" s="3444"/>
      <c r="B37" s="3466" t="str">
        <f>项目基本情况!B1</f>
        <v>北京市房地产抵押价值预评估</v>
      </c>
      <c r="C37" s="3466"/>
      <c r="D37" s="3466"/>
      <c r="E37" s="3466"/>
      <c r="F37" s="3466"/>
      <c r="G37" s="3466"/>
      <c r="H37" s="3466"/>
      <c r="I37" s="3466"/>
    </row>
    <row r="38" spans="1:9">
      <c r="A38" s="3446"/>
      <c r="B38" s="3446"/>
    </row>
    <row r="39" spans="1:9">
      <c r="A39" s="3444" t="s">
        <v>75</v>
      </c>
      <c r="B39" s="3444" t="s">
        <v>77</v>
      </c>
    </row>
    <row r="40" spans="1:9">
      <c r="A40" s="3444"/>
      <c r="B40" s="3447">
        <f>项目基本情况!B5</f>
        <v>0</v>
      </c>
    </row>
    <row r="41" spans="1:9">
      <c r="A41" s="3444"/>
      <c r="B41" s="3444"/>
    </row>
    <row r="42" spans="1:9">
      <c r="A42" s="3444" t="s">
        <v>75</v>
      </c>
      <c r="B42" s="3444" t="s">
        <v>78</v>
      </c>
    </row>
    <row r="43" spans="1:9">
      <c r="A43" s="3444"/>
      <c r="B43" s="3447" t="s">
        <v>79</v>
      </c>
    </row>
    <row r="44" spans="1:9">
      <c r="A44" s="3444"/>
      <c r="B44" s="3444"/>
    </row>
    <row r="45" spans="1:9">
      <c r="A45" s="3444" t="s">
        <v>75</v>
      </c>
      <c r="B45" s="3444" t="s">
        <v>80</v>
      </c>
    </row>
    <row r="46" spans="1:9" s="3444" customFormat="1">
      <c r="B46" s="3447" t="str">
        <f>项目基本情况!K4</f>
        <v>（注册号：0)、（注册号：0)</v>
      </c>
    </row>
    <row r="47" spans="1:9">
      <c r="A47" s="3444"/>
      <c r="B47" s="3444" t="str">
        <f>项目基本情况!K5</f>
        <v>（注册号：0)、（注册号：0)</v>
      </c>
    </row>
    <row r="48" spans="1:9">
      <c r="A48" s="3444" t="s">
        <v>75</v>
      </c>
      <c r="B48" s="3444" t="s">
        <v>81</v>
      </c>
    </row>
    <row r="49" spans="2:2">
      <c r="B49" s="3447"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1969" customWidth="1"/>
    <col min="2" max="16384" width="9" style="1969"/>
  </cols>
  <sheetData>
    <row r="1" spans="1:1" ht="22.8">
      <c r="A1" s="3433" t="s">
        <v>82</v>
      </c>
    </row>
    <row r="2" spans="1:1">
      <c r="A2" s="3434"/>
    </row>
    <row r="3" spans="1:1" ht="17.399999999999999">
      <c r="A3" s="3435" t="str">
        <f>项目基本情况!B5&amp;"："</f>
        <v>：</v>
      </c>
    </row>
    <row r="4" spans="1:1" ht="17.399999999999999">
      <c r="A4" s="3436" t="str">
        <f>"受贵公司委托，我公司对"&amp;项目基本情况!S1&amp;"进行了预评估。"</f>
        <v>受贵公司委托，我公司对北京市房地产抵押价值进行了预评估。</v>
      </c>
    </row>
    <row r="5" spans="1:1" ht="17.399999999999999">
      <c r="A5" s="3437" t="s">
        <v>83</v>
      </c>
    </row>
    <row r="6" spans="1:1" ht="17.399999999999999">
      <c r="A6" s="3438" t="s">
        <v>84</v>
      </c>
    </row>
    <row r="7" spans="1:1" ht="52.2">
      <c r="A7" s="34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估价对象为北京市房地产，为所有。根据《国有土地使用证》[]，估价对象（分摊）出让国有建设用地使用权面积为0平方米，建筑面积为8450.66平方米。</v>
      </c>
    </row>
    <row r="8" spans="1:1" ht="54.6">
      <c r="A8" s="3439" t="s">
        <v>85</v>
      </c>
    </row>
    <row r="9" spans="1:1" ht="17.399999999999999">
      <c r="A9" s="3438" t="s">
        <v>86</v>
      </c>
    </row>
    <row r="10" spans="1:1" ht="52.2">
      <c r="A10" s="3436" t="str">
        <f>"估价对象为"&amp;项目基本情况!S2&amp;IF(结果表产权车位!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估价对象为北京市房地产,属开发建设的，该项目尚在开发建设中。根据《国有土地使用证》[]，估价对象（分摊）出让国有建设用地使用权面积为0平方米，规划建筑面积为8450.66平方米。</v>
      </c>
    </row>
    <row r="11" spans="1:1" ht="72">
      <c r="A11" s="3439" t="s">
        <v>87</v>
      </c>
    </row>
    <row r="12" spans="1:1" ht="17.399999999999999">
      <c r="A12" s="3437" t="s">
        <v>88</v>
      </c>
    </row>
    <row r="13" spans="1:1" ht="38.25" customHeight="1">
      <c r="A13" s="344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41" t="s">
        <v>89</v>
      </c>
    </row>
    <row r="15" spans="1:1" ht="17.399999999999999">
      <c r="A15" s="3442" t="str">
        <f>TEXT(项目基本情况!D3,"yyyy年m月d日;;")&amp;IF(项目基本情况!D3=项目基本情况!B3,"（评估专业人员实地查勘之日）","")</f>
        <v>2024年1月20日</v>
      </c>
    </row>
    <row r="16" spans="1:1" ht="17.399999999999999">
      <c r="A16" s="3441" t="s">
        <v>90</v>
      </c>
    </row>
    <row r="17" spans="1:1" ht="69.599999999999994">
      <c r="A17" s="3436" t="s">
        <v>91</v>
      </c>
    </row>
    <row r="18" spans="1:1" ht="69.599999999999994">
      <c r="A18" s="343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20日，估价对象规划用途为，土地取得方式为出让，出让国有建设用地使用权剩余土地使用年限为，假定未设立法定优先受偿款下的房地产市场价值。</v>
      </c>
    </row>
    <row r="19" spans="1:1" ht="157.5" customHeight="1">
      <c r="A19" s="343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产权车位!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产权车位!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4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4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3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41" t="s">
        <v>92</v>
      </c>
    </row>
    <row r="24" spans="1:1" ht="17.399999999999999">
      <c r="A24" s="3408" t="str">
        <f>"本次评估采用的主估价方法为"&amp;结果表产权车位!K4&amp;"和"&amp;结果表产权车位!L4&amp;"。"</f>
        <v>本次评估采用的主估价方法为基准地价系数修正法和成本法。</v>
      </c>
    </row>
    <row r="25" spans="1:1" ht="17.399999999999999">
      <c r="A25" s="3408"/>
    </row>
    <row r="26" spans="1:1" ht="17.399999999999999">
      <c r="A26" s="3443" t="s">
        <v>93</v>
      </c>
    </row>
    <row r="27" spans="1:1">
      <c r="A27" s="2294"/>
    </row>
    <row r="28" spans="1:1">
      <c r="A28" s="2294"/>
    </row>
    <row r="29" spans="1:1">
      <c r="A29" s="2294"/>
    </row>
    <row r="30" spans="1:1">
      <c r="A30" s="2294"/>
    </row>
    <row r="31" spans="1:1">
      <c r="A31" s="2294"/>
    </row>
    <row r="32" spans="1:1">
      <c r="A32" s="2294"/>
    </row>
    <row r="33" spans="1:1">
      <c r="A33" s="2294"/>
    </row>
    <row r="34" spans="1:1">
      <c r="A34" s="2294"/>
    </row>
    <row r="35" spans="1:1">
      <c r="A35" s="2294"/>
    </row>
    <row r="36" spans="1:1">
      <c r="A36" s="2294"/>
    </row>
    <row r="37" spans="1:1">
      <c r="A37" s="2294"/>
    </row>
    <row r="38" spans="1:1">
      <c r="A38" s="2294"/>
    </row>
    <row r="39" spans="1:1">
      <c r="A39" s="2294"/>
    </row>
    <row r="40" spans="1:1">
      <c r="A40" s="2294"/>
    </row>
    <row r="41" spans="1:1">
      <c r="A41" s="2294"/>
    </row>
    <row r="42" spans="1:1">
      <c r="A42" s="2294"/>
    </row>
    <row r="43" spans="1:1">
      <c r="A43" s="2294"/>
    </row>
    <row r="44" spans="1:1">
      <c r="A44" s="2294"/>
    </row>
    <row r="45" spans="1:1">
      <c r="A45" s="2294"/>
    </row>
    <row r="46" spans="1:1">
      <c r="A46" s="2294"/>
    </row>
    <row r="47" spans="1:1">
      <c r="A47" s="2294"/>
    </row>
    <row r="48" spans="1:1">
      <c r="A48" s="2294"/>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412" customWidth="1"/>
    <col min="2" max="2" width="37.21875" style="3412" customWidth="1"/>
    <col min="3" max="3" width="11.33203125" style="3412" customWidth="1"/>
    <col min="4" max="4" width="31.77734375" style="3412" customWidth="1"/>
    <col min="5" max="5" width="0.44140625" style="3412" customWidth="1"/>
    <col min="6" max="7" width="13" style="3412" customWidth="1"/>
    <col min="8" max="16384" width="9" style="3412"/>
  </cols>
  <sheetData>
    <row r="1" spans="1:5" ht="17.399999999999999">
      <c r="A1" s="3413" t="s">
        <v>94</v>
      </c>
      <c r="B1" s="3414"/>
      <c r="C1" s="3414"/>
      <c r="D1" s="3414"/>
      <c r="E1" s="3414"/>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4"/>
      <c r="C2" s="3474"/>
      <c r="D2" s="3474"/>
      <c r="E2" s="3474"/>
    </row>
    <row r="3" spans="1:5" ht="17.399999999999999">
      <c r="A3" s="3475" t="str">
        <f>IF(项目基本情况!B9="房地产市场价值","估价结果一览表（市场价值不需“结果表-1”）","估价结果一览表")</f>
        <v>估价结果一览表</v>
      </c>
      <c r="B3" s="3475"/>
      <c r="C3" s="3475"/>
      <c r="D3" s="3475"/>
      <c r="E3" s="3475"/>
    </row>
    <row r="4" spans="1:5" ht="17.399999999999999">
      <c r="A4" s="3415"/>
      <c r="B4" s="3476" t="s">
        <v>95</v>
      </c>
      <c r="C4" s="3476"/>
      <c r="D4" s="3476"/>
      <c r="E4" s="3415"/>
    </row>
    <row r="5" spans="1:5" ht="15.6">
      <c r="A5" s="3414"/>
      <c r="B5" s="3468" t="s">
        <v>96</v>
      </c>
      <c r="C5" s="3416" t="s">
        <v>97</v>
      </c>
      <c r="D5" s="3417">
        <f ca="1">结果表产权车位!H101</f>
        <v>1483</v>
      </c>
      <c r="E5" s="3414"/>
    </row>
    <row r="6" spans="1:5" ht="15.6">
      <c r="A6" s="3414"/>
      <c r="B6" s="3468"/>
      <c r="C6" s="3416" t="s">
        <v>98</v>
      </c>
      <c r="D6" s="3417" t="str">
        <f ca="1">NUMBERSTRING(INT(D5*10000),2)&amp;"元整"</f>
        <v>壹仟肆佰捌拾叁万元整</v>
      </c>
      <c r="E6" s="3414"/>
    </row>
    <row r="7" spans="1:5" ht="15.6">
      <c r="A7" s="3414"/>
      <c r="B7" s="3469"/>
      <c r="C7" s="3418" t="s">
        <v>99</v>
      </c>
      <c r="D7" s="3419">
        <f ca="1">结果表产权车位!H102</f>
        <v>14370</v>
      </c>
      <c r="E7" s="3414"/>
    </row>
    <row r="8" spans="1:5" ht="15.6">
      <c r="A8" s="3414"/>
      <c r="B8" s="3470" t="str">
        <f>结果表产权车位!E103</f>
        <v>2.估价师知悉的法定优先受偿款</v>
      </c>
      <c r="C8" s="3420" t="s">
        <v>100</v>
      </c>
      <c r="D8" s="3419">
        <f>结果表产权车位!H103</f>
        <v>0</v>
      </c>
      <c r="E8" s="3414"/>
    </row>
    <row r="9" spans="1:5" ht="15.6">
      <c r="A9" s="3414"/>
      <c r="B9" s="3472"/>
      <c r="C9" s="3416" t="s">
        <v>98</v>
      </c>
      <c r="D9" s="3417" t="str">
        <f>NUMBERSTRING(INT(D8*10000),2)&amp;"元整"</f>
        <v>零元整</v>
      </c>
      <c r="E9" s="3414"/>
    </row>
    <row r="10" spans="1:5" ht="15.6">
      <c r="A10" s="3414"/>
      <c r="B10" s="3421" t="s">
        <v>101</v>
      </c>
      <c r="C10" s="3422" t="s">
        <v>102</v>
      </c>
      <c r="D10" s="3423">
        <f>结果表产权车位!H104</f>
        <v>0</v>
      </c>
      <c r="E10" s="3414"/>
    </row>
    <row r="11" spans="1:5" ht="15.6">
      <c r="A11" s="3414"/>
      <c r="B11" s="3421" t="s">
        <v>103</v>
      </c>
      <c r="C11" s="3422" t="s">
        <v>102</v>
      </c>
      <c r="D11" s="3423">
        <f>结果表产权车位!H105</f>
        <v>0</v>
      </c>
      <c r="E11" s="3414"/>
    </row>
    <row r="12" spans="1:5" ht="15.6">
      <c r="A12" s="3414"/>
      <c r="B12" s="3421" t="s">
        <v>104</v>
      </c>
      <c r="C12" s="3422" t="s">
        <v>102</v>
      </c>
      <c r="D12" s="3423">
        <f>结果表产权车位!H106</f>
        <v>0</v>
      </c>
      <c r="E12" s="3414"/>
    </row>
    <row r="13" spans="1:5" ht="15.6">
      <c r="A13" s="3414"/>
      <c r="B13" s="3467" t="str">
        <f>结果表产权车位!E107</f>
        <v>3.房地产抵押价值</v>
      </c>
      <c r="C13" s="3424" t="s">
        <v>97</v>
      </c>
      <c r="D13" s="3425">
        <f ca="1">结果表产权车位!H107</f>
        <v>1483</v>
      </c>
      <c r="E13" s="3414"/>
    </row>
    <row r="14" spans="1:5" ht="15.6">
      <c r="A14" s="3414"/>
      <c r="B14" s="3468"/>
      <c r="C14" s="3416" t="s">
        <v>98</v>
      </c>
      <c r="D14" s="3417" t="str">
        <f ca="1">NUMBERSTRING(INT(D13*10000),2)&amp;"元整"</f>
        <v>壹仟肆佰捌拾叁万元整</v>
      </c>
      <c r="E14" s="3414"/>
    </row>
    <row r="15" spans="1:5" ht="15.6">
      <c r="A15" s="3414"/>
      <c r="B15" s="3469"/>
      <c r="C15" s="3418" t="s">
        <v>99</v>
      </c>
      <c r="D15" s="3426">
        <f ca="1">结果表产权车位!H108</f>
        <v>14370</v>
      </c>
      <c r="E15" s="3414"/>
    </row>
    <row r="16" spans="1:5" ht="15.6">
      <c r="A16" s="3414"/>
      <c r="B16" s="3470" t="str">
        <f>结果表产权车位!E109</f>
        <v>——</v>
      </c>
      <c r="C16" s="3424" t="s">
        <v>97</v>
      </c>
      <c r="D16" s="3427" t="str">
        <f>结果表产权车位!H109</f>
        <v>——</v>
      </c>
      <c r="E16" s="3414"/>
    </row>
    <row r="17" spans="1:5" ht="15.6">
      <c r="A17" s="3414"/>
      <c r="B17" s="3471"/>
      <c r="C17" s="3416" t="s">
        <v>98</v>
      </c>
      <c r="D17" s="3417" t="e">
        <f>NUMBERSTRING(INT(D16*10000),2)&amp;"元整"</f>
        <v>#VALUE!</v>
      </c>
      <c r="E17" s="3414"/>
    </row>
    <row r="18" spans="1:5" ht="15.6">
      <c r="A18" s="3414"/>
      <c r="B18" s="3472"/>
      <c r="C18" s="3418" t="s">
        <v>99</v>
      </c>
      <c r="D18" s="3426" t="str">
        <f>结果表产权车位!H110</f>
        <v>——</v>
      </c>
      <c r="E18" s="3414"/>
    </row>
    <row r="19" spans="1:5" ht="15.6">
      <c r="A19" s="3414"/>
      <c r="B19" s="3467" t="str">
        <f>结果表产权车位!E111</f>
        <v>——</v>
      </c>
      <c r="C19" s="3424" t="s">
        <v>97</v>
      </c>
      <c r="D19" s="3419" t="str">
        <f>结果表产权车位!H111</f>
        <v>——</v>
      </c>
      <c r="E19" s="3414"/>
    </row>
    <row r="20" spans="1:5" ht="15.6">
      <c r="A20" s="3414"/>
      <c r="B20" s="3468"/>
      <c r="C20" s="3416" t="s">
        <v>98</v>
      </c>
      <c r="D20" s="3417" t="e">
        <f>NUMBERSTRING(INT(D19*10000),2)&amp;"元整"</f>
        <v>#VALUE!</v>
      </c>
      <c r="E20" s="3414"/>
    </row>
    <row r="21" spans="1:5" ht="15.6">
      <c r="A21" s="3414"/>
      <c r="B21" s="3473"/>
      <c r="C21" s="3428" t="s">
        <v>99</v>
      </c>
      <c r="D21" s="3429" t="str">
        <f>结果表产权车位!H112</f>
        <v>——</v>
      </c>
      <c r="E21" s="3414"/>
    </row>
    <row r="22" spans="1:5">
      <c r="A22" s="3414"/>
      <c r="B22" s="3430" t="s">
        <v>105</v>
      </c>
      <c r="C22" s="3414"/>
      <c r="D22" s="3414"/>
      <c r="E22" s="3414"/>
    </row>
    <row r="23" spans="1:5">
      <c r="A23" s="3414"/>
      <c r="B23" s="3414"/>
      <c r="C23" s="3414"/>
      <c r="D23" s="3414"/>
      <c r="E23" s="3414"/>
    </row>
    <row r="24" spans="1:5" ht="17.399999999999999">
      <c r="A24" s="3431"/>
      <c r="B24" s="3432" t="s">
        <v>106</v>
      </c>
      <c r="C24" s="3431"/>
      <c r="D24" s="3431"/>
      <c r="E24" s="3431"/>
    </row>
    <row r="25" spans="1:5">
      <c r="A25" s="3431"/>
      <c r="B25" s="3431"/>
      <c r="C25" s="3431"/>
      <c r="D25" s="3431"/>
      <c r="E25" s="3431"/>
    </row>
    <row r="26" spans="1:5">
      <c r="A26" s="3431"/>
      <c r="B26" s="3431"/>
      <c r="C26" s="3431"/>
      <c r="D26" s="3431"/>
      <c r="E26" s="3431"/>
    </row>
    <row r="27" spans="1:5">
      <c r="A27" s="3431"/>
      <c r="B27" s="3431"/>
      <c r="C27" s="3431"/>
      <c r="D27" s="3431"/>
      <c r="E27" s="3431"/>
    </row>
    <row r="28" spans="1:5">
      <c r="A28" s="3431"/>
      <c r="B28" s="3431"/>
      <c r="C28" s="3431"/>
      <c r="D28" s="3431"/>
      <c r="E28" s="3431"/>
    </row>
    <row r="29" spans="1:5">
      <c r="A29" s="3431"/>
      <c r="B29" s="3431"/>
      <c r="C29" s="3431"/>
      <c r="D29" s="3431"/>
      <c r="E29" s="3431"/>
    </row>
    <row r="30" spans="1:5">
      <c r="A30" s="3431"/>
      <c r="B30" s="3431"/>
      <c r="C30" s="3431"/>
      <c r="D30" s="3431"/>
      <c r="E30" s="3431"/>
    </row>
    <row r="31" spans="1:5">
      <c r="A31" s="3431"/>
      <c r="B31" s="3431"/>
      <c r="C31" s="3431"/>
      <c r="D31" s="3431"/>
      <c r="E31" s="3431"/>
    </row>
    <row r="32" spans="1:5">
      <c r="A32" s="3431"/>
      <c r="B32" s="3431"/>
      <c r="C32" s="3431"/>
      <c r="D32" s="3431"/>
      <c r="E32" s="3431"/>
    </row>
    <row r="33" spans="1:5">
      <c r="A33" s="3431"/>
      <c r="B33" s="3431"/>
      <c r="C33" s="3431"/>
      <c r="D33" s="3431"/>
      <c r="E33" s="3431"/>
    </row>
    <row r="34" spans="1:5">
      <c r="A34" s="3431"/>
      <c r="B34" s="3431"/>
      <c r="C34" s="3431"/>
      <c r="D34" s="3431"/>
      <c r="E34" s="3431"/>
    </row>
    <row r="35" spans="1:5">
      <c r="A35" s="3431"/>
      <c r="B35" s="3431"/>
      <c r="C35" s="3431"/>
      <c r="D35" s="3431"/>
      <c r="E35" s="3431"/>
    </row>
    <row r="36" spans="1:5">
      <c r="A36" s="3431"/>
      <c r="B36" s="3431"/>
      <c r="C36" s="3431"/>
      <c r="D36" s="3431"/>
      <c r="E36" s="3431"/>
    </row>
    <row r="37" spans="1:5">
      <c r="A37" s="3431"/>
      <c r="B37" s="3431"/>
      <c r="C37" s="3431"/>
      <c r="D37" s="3431"/>
      <c r="E37" s="3431"/>
    </row>
    <row r="38" spans="1:5">
      <c r="A38" s="3431"/>
      <c r="B38" s="3431"/>
      <c r="C38" s="3431"/>
      <c r="D38" s="3431"/>
      <c r="E38" s="3431"/>
    </row>
    <row r="39" spans="1:5">
      <c r="A39" s="3431"/>
      <c r="B39" s="3431"/>
      <c r="C39" s="3431"/>
      <c r="D39" s="3431"/>
      <c r="E39" s="3431"/>
    </row>
    <row r="40" spans="1:5">
      <c r="A40" s="3431"/>
      <c r="B40" s="3431"/>
      <c r="C40" s="3431"/>
      <c r="D40" s="3431"/>
      <c r="E40" s="3431"/>
    </row>
    <row r="41" spans="1:5">
      <c r="A41" s="3431"/>
      <c r="B41" s="3431"/>
      <c r="C41" s="3431"/>
      <c r="D41" s="3431"/>
      <c r="E41" s="3431"/>
    </row>
    <row r="42" spans="1:5">
      <c r="A42" s="3431"/>
      <c r="B42" s="3431"/>
      <c r="C42" s="3431"/>
      <c r="D42" s="3431"/>
      <c r="E42" s="343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69" customWidth="1"/>
    <col min="2" max="9" width="12.109375" style="1969" customWidth="1"/>
    <col min="10" max="16384" width="9" style="1969"/>
  </cols>
  <sheetData>
    <row r="1" spans="1:9" ht="17.399999999999999">
      <c r="A1" s="3484" t="str">
        <f>IF(项目基本情况!B9="房地产市场价值","估价结果一览表","结果表-2")</f>
        <v>结果表-2</v>
      </c>
      <c r="B1" s="3484"/>
      <c r="C1" s="3484"/>
      <c r="D1" s="3484"/>
      <c r="E1" s="3484"/>
      <c r="F1" s="3484"/>
      <c r="G1" s="3484"/>
      <c r="H1" s="3484"/>
      <c r="I1" s="3484"/>
    </row>
    <row r="2" spans="1:9" ht="30" customHeight="1">
      <c r="A2" s="3485" t="s">
        <v>107</v>
      </c>
      <c r="B2" s="3485" t="s">
        <v>108</v>
      </c>
      <c r="C2" s="3485" t="s">
        <v>109</v>
      </c>
      <c r="D2" s="3485" t="str">
        <f>结果表产权车位!D116</f>
        <v>出让国有建设用地使用权价值</v>
      </c>
      <c r="E2" s="3485"/>
      <c r="F2" s="3485" t="str">
        <f>结果表产权车位!F116</f>
        <v>在建建筑物价值</v>
      </c>
      <c r="G2" s="3485"/>
      <c r="H2" s="3485" t="str">
        <f>IF(项目基本情况!B9="房地产市场价值","房地产市场价值","房地产价值")</f>
        <v>房地产价值</v>
      </c>
      <c r="I2" s="3485"/>
    </row>
    <row r="3" spans="1:9" ht="15.6">
      <c r="A3" s="3480"/>
      <c r="B3" s="3480"/>
      <c r="C3" s="3480"/>
      <c r="D3" s="3409" t="s">
        <v>110</v>
      </c>
      <c r="E3" s="3409" t="s">
        <v>111</v>
      </c>
      <c r="F3" s="3409" t="s">
        <v>110</v>
      </c>
      <c r="G3" s="3409" t="s">
        <v>111</v>
      </c>
      <c r="H3" s="3409" t="s">
        <v>110</v>
      </c>
      <c r="I3" s="3409" t="s">
        <v>111</v>
      </c>
    </row>
    <row r="4" spans="1:9" ht="15">
      <c r="A4" s="3410" t="str">
        <f>项目基本情况!S2</f>
        <v>北京市房地产</v>
      </c>
      <c r="B4" s="3409">
        <f>项目基本情况!C17</f>
        <v>8450.66</v>
      </c>
      <c r="C4" s="3409">
        <f>项目基本情况!C18</f>
        <v>0</v>
      </c>
      <c r="D4" s="3409">
        <f ca="1">结果表产权车位!D118</f>
        <v>610</v>
      </c>
      <c r="E4" s="3409">
        <f ca="1">结果表产权车位!E118</f>
        <v>5911</v>
      </c>
      <c r="F4" s="3409">
        <f ca="1">结果表产权车位!F118</f>
        <v>873</v>
      </c>
      <c r="G4" s="3409">
        <f ca="1">结果表产权车位!G118</f>
        <v>8459</v>
      </c>
      <c r="H4" s="3409">
        <f ca="1">结果表产权车位!H118</f>
        <v>1483</v>
      </c>
      <c r="I4" s="3409">
        <f ca="1">结果表产权车位!I118</f>
        <v>14370</v>
      </c>
    </row>
    <row r="5" spans="1:9" ht="30" customHeight="1">
      <c r="A5" s="3480" t="s">
        <v>112</v>
      </c>
      <c r="B5" s="3480"/>
      <c r="C5" s="3480"/>
      <c r="D5" s="3480" t="str">
        <f ca="1">结果表产权车位!D119</f>
        <v>陆佰壹拾万元整</v>
      </c>
      <c r="E5" s="3480"/>
      <c r="F5" s="3480" t="str">
        <f ca="1">结果表产权车位!F119</f>
        <v>捌佰柒拾叁万元整</v>
      </c>
      <c r="G5" s="3480"/>
      <c r="H5" s="3480" t="str">
        <f ca="1">结果表产权车位!H119</f>
        <v>壹仟肆佰捌拾叁万元整</v>
      </c>
      <c r="I5" s="3480"/>
    </row>
    <row r="6" spans="1:9" ht="15.6">
      <c r="A6" s="3477" t="str">
        <f>结果表产权车位!A120</f>
        <v>估价师知悉的法定优先受偿款</v>
      </c>
      <c r="B6" s="3477"/>
      <c r="C6" s="3477"/>
      <c r="D6" s="3477">
        <f>结果表产权车位!D120</f>
        <v>0</v>
      </c>
      <c r="E6" s="3477"/>
      <c r="F6" s="3477"/>
      <c r="G6" s="3477"/>
      <c r="H6" s="3477"/>
      <c r="I6" s="3477"/>
    </row>
    <row r="7" spans="1:9" ht="15">
      <c r="A7" s="3480" t="s">
        <v>112</v>
      </c>
      <c r="B7" s="3480"/>
      <c r="C7" s="3480"/>
      <c r="D7" s="3481" t="str">
        <f>结果表产权车位!D121</f>
        <v>零元整</v>
      </c>
      <c r="E7" s="3482"/>
      <c r="F7" s="3482"/>
      <c r="G7" s="3482"/>
      <c r="H7" s="3482"/>
      <c r="I7" s="3483"/>
    </row>
    <row r="8" spans="1:9" ht="15.6">
      <c r="A8" s="3477" t="str">
        <f>结果表产权车位!A122</f>
        <v>房地产抵押价值</v>
      </c>
      <c r="B8" s="3477"/>
      <c r="C8" s="3477"/>
      <c r="D8" s="3477">
        <f ca="1">结果表产权车位!D122</f>
        <v>1483</v>
      </c>
      <c r="E8" s="3477"/>
      <c r="F8" s="3477"/>
      <c r="G8" s="3477"/>
      <c r="H8" s="3477"/>
      <c r="I8" s="3477"/>
    </row>
    <row r="9" spans="1:9" ht="15">
      <c r="A9" s="3480" t="s">
        <v>112</v>
      </c>
      <c r="B9" s="3480"/>
      <c r="C9" s="3480"/>
      <c r="D9" s="3480" t="str">
        <f ca="1">结果表产权车位!D123</f>
        <v>壹仟肆佰捌拾叁万元整</v>
      </c>
      <c r="E9" s="3480"/>
      <c r="F9" s="3480"/>
      <c r="G9" s="3480"/>
      <c r="H9" s="3480"/>
      <c r="I9" s="3480"/>
    </row>
    <row r="10" spans="1:9" ht="15.6">
      <c r="A10" s="3477" t="str">
        <f>结果表产权车位!A124</f>
        <v/>
      </c>
      <c r="B10" s="3477"/>
      <c r="C10" s="3477"/>
      <c r="D10" s="3477" t="str">
        <f>结果表产权车位!D124</f>
        <v>——</v>
      </c>
      <c r="E10" s="3477"/>
      <c r="F10" s="3477"/>
      <c r="G10" s="3477"/>
      <c r="H10" s="3477"/>
      <c r="I10" s="3477"/>
    </row>
    <row r="11" spans="1:9" ht="15">
      <c r="A11" s="3480" t="s">
        <v>112</v>
      </c>
      <c r="B11" s="3480"/>
      <c r="C11" s="3480"/>
      <c r="D11" s="3480" t="e">
        <f>结果表产权车位!D125</f>
        <v>#VALUE!</v>
      </c>
      <c r="E11" s="3480"/>
      <c r="F11" s="3480"/>
      <c r="G11" s="3480"/>
      <c r="H11" s="3480"/>
      <c r="I11" s="3480"/>
    </row>
    <row r="12" spans="1:9" ht="15.6">
      <c r="A12" s="3477" t="str">
        <f>结果表产权车位!A126</f>
        <v/>
      </c>
      <c r="B12" s="3477"/>
      <c r="C12" s="3477"/>
      <c r="D12" s="3477" t="str">
        <f>结果表产权车位!D126</f>
        <v>——</v>
      </c>
      <c r="E12" s="3477"/>
      <c r="F12" s="3477"/>
      <c r="G12" s="3477"/>
      <c r="H12" s="3477"/>
      <c r="I12" s="3477"/>
    </row>
    <row r="13" spans="1:9" ht="15">
      <c r="A13" s="3478" t="s">
        <v>112</v>
      </c>
      <c r="B13" s="3478"/>
      <c r="C13" s="3478"/>
      <c r="D13" s="3478" t="e">
        <f>结果表产权车位!D127</f>
        <v>#VALUE!</v>
      </c>
      <c r="E13" s="3478"/>
      <c r="F13" s="3478"/>
      <c r="G13" s="3478"/>
      <c r="H13" s="3478"/>
      <c r="I13" s="3478"/>
    </row>
    <row r="14" spans="1:9">
      <c r="A14" s="3479" t="s">
        <v>113</v>
      </c>
      <c r="B14" s="3479"/>
      <c r="C14" s="3479"/>
      <c r="D14" s="3479"/>
      <c r="E14" s="3479"/>
      <c r="F14" s="3479"/>
      <c r="G14" s="3479"/>
      <c r="H14" s="3479"/>
      <c r="I14" s="3479"/>
    </row>
    <row r="16" spans="1:9" ht="17.399999999999999">
      <c r="A16" s="3411" t="s">
        <v>106</v>
      </c>
      <c r="B16" s="2294"/>
      <c r="C16" s="2294"/>
      <c r="D16" s="2294"/>
      <c r="E16" s="2294"/>
      <c r="F16" s="2294"/>
      <c r="G16" s="2294"/>
      <c r="H16" s="2294"/>
      <c r="I16" s="2294"/>
    </row>
    <row r="17" spans="1:9">
      <c r="A17" s="2294"/>
      <c r="B17" s="2294"/>
      <c r="C17" s="2294"/>
      <c r="D17" s="2294"/>
      <c r="E17" s="2294"/>
      <c r="F17" s="2294"/>
      <c r="G17" s="2294"/>
      <c r="H17" s="2294"/>
      <c r="I17" s="2294"/>
    </row>
    <row r="18" spans="1:9">
      <c r="A18" s="2294"/>
      <c r="B18" s="2294"/>
      <c r="C18" s="2294"/>
      <c r="D18" s="2294"/>
      <c r="E18" s="2294"/>
      <c r="F18" s="2294"/>
      <c r="G18" s="2294"/>
      <c r="H18" s="2294"/>
      <c r="I18" s="2294"/>
    </row>
    <row r="19" spans="1:9">
      <c r="A19" s="2294"/>
      <c r="B19" s="2294"/>
      <c r="C19" s="2294"/>
      <c r="D19" s="2294"/>
      <c r="E19" s="2294"/>
      <c r="F19" s="2294"/>
      <c r="G19" s="2294"/>
      <c r="H19" s="2294"/>
      <c r="I19" s="2294"/>
    </row>
    <row r="20" spans="1:9">
      <c r="A20" s="2294"/>
      <c r="B20" s="2294"/>
      <c r="C20" s="2294"/>
      <c r="D20" s="2294"/>
      <c r="E20" s="2294"/>
      <c r="F20" s="2294"/>
      <c r="G20" s="2294"/>
      <c r="H20" s="2294"/>
      <c r="I20" s="2294"/>
    </row>
    <row r="21" spans="1:9">
      <c r="A21" s="2294"/>
      <c r="B21" s="2294"/>
      <c r="C21" s="2294"/>
      <c r="D21" s="2294"/>
      <c r="E21" s="2294"/>
      <c r="F21" s="2294"/>
      <c r="G21" s="2294"/>
      <c r="H21" s="2294"/>
      <c r="I21" s="2294"/>
    </row>
    <row r="22" spans="1:9">
      <c r="A22" s="2294"/>
      <c r="B22" s="2294"/>
      <c r="C22" s="2294"/>
      <c r="D22" s="2294"/>
      <c r="E22" s="2294"/>
      <c r="F22" s="2294"/>
      <c r="G22" s="2294"/>
      <c r="H22" s="2294"/>
      <c r="I22" s="2294"/>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69" customWidth="1"/>
    <col min="2" max="3" width="22.33203125" style="1969" customWidth="1"/>
    <col min="4" max="4" width="23" style="1969" customWidth="1"/>
    <col min="5" max="16384" width="9" style="1969"/>
  </cols>
  <sheetData>
    <row r="1" spans="1:4" ht="17.399999999999999">
      <c r="A1" s="3492" t="s">
        <v>114</v>
      </c>
      <c r="B1" s="3492"/>
      <c r="C1" s="3492"/>
      <c r="D1" s="3492"/>
    </row>
    <row r="2" spans="1:4" ht="17.399999999999999">
      <c r="A2" s="3493" t="s">
        <v>115</v>
      </c>
      <c r="B2" s="3493"/>
      <c r="C2" s="3493"/>
      <c r="D2" s="3493"/>
    </row>
    <row r="3" spans="1:4" ht="17.399999999999999">
      <c r="A3" s="3398" t="s">
        <v>116</v>
      </c>
      <c r="B3" s="3398" t="s">
        <v>117</v>
      </c>
      <c r="C3" s="3398" t="s">
        <v>118</v>
      </c>
      <c r="D3" s="3398" t="s">
        <v>119</v>
      </c>
    </row>
    <row r="4" spans="1:4" ht="56.25" customHeight="1">
      <c r="A4" s="3399">
        <f>项目基本情况!B4</f>
        <v>0</v>
      </c>
      <c r="B4" s="3400">
        <f>项目基本情况!C4</f>
        <v>0</v>
      </c>
      <c r="C4" s="3401"/>
      <c r="D4" s="3402" t="s">
        <v>120</v>
      </c>
    </row>
    <row r="5" spans="1:4" ht="56.25" customHeight="1">
      <c r="A5" s="3399">
        <f>项目基本情况!D4</f>
        <v>0</v>
      </c>
      <c r="B5" s="3400">
        <f>项目基本情况!E4</f>
        <v>0</v>
      </c>
      <c r="C5" s="3403"/>
      <c r="D5" s="3402" t="s">
        <v>120</v>
      </c>
    </row>
    <row r="6" spans="1:4" ht="17.399999999999999">
      <c r="A6" s="3493" t="s">
        <v>121</v>
      </c>
      <c r="B6" s="3493"/>
      <c r="C6" s="3493"/>
      <c r="D6" s="3493"/>
    </row>
    <row r="7" spans="1:4" ht="17.399999999999999">
      <c r="A7" s="3398" t="s">
        <v>116</v>
      </c>
      <c r="B7" s="3400" t="s">
        <v>122</v>
      </c>
      <c r="C7" s="3398" t="s">
        <v>118</v>
      </c>
      <c r="D7" s="3398" t="s">
        <v>119</v>
      </c>
    </row>
    <row r="8" spans="1:4" ht="56.25" customHeight="1">
      <c r="A8" s="3404" t="s">
        <v>123</v>
      </c>
      <c r="B8" s="3404" t="s">
        <v>124</v>
      </c>
      <c r="C8" s="3401"/>
      <c r="D8" s="3402" t="s">
        <v>120</v>
      </c>
    </row>
    <row r="9" spans="1:4">
      <c r="A9" s="3405"/>
      <c r="B9" s="3405"/>
      <c r="C9" s="3405"/>
      <c r="D9" s="3405"/>
    </row>
    <row r="10" spans="1:4" ht="17.399999999999999">
      <c r="A10" s="3397" t="s">
        <v>125</v>
      </c>
      <c r="B10" s="3405"/>
      <c r="C10" s="3405"/>
      <c r="D10" s="3405"/>
    </row>
    <row r="11" spans="1:4" ht="30" customHeight="1">
      <c r="A11" s="3494" t="s">
        <v>126</v>
      </c>
      <c r="B11" s="3487"/>
      <c r="C11" s="3487"/>
      <c r="D11" s="3487"/>
    </row>
    <row r="12" spans="1:4" ht="15.6">
      <c r="A12" s="34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0"/>
      <c r="C12" s="3490"/>
      <c r="D12" s="3490"/>
    </row>
    <row r="13" spans="1:4" ht="30" customHeight="1">
      <c r="A13" s="34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0"/>
      <c r="C13" s="3490"/>
      <c r="D13" s="3490"/>
    </row>
    <row r="14" spans="1:4" ht="15.75" customHeight="1">
      <c r="A14" s="3487" t="str">
        <f>IF(项目基本情况!B8="抵押","4.本次评估估价师所知悉的法定优先受偿款情况说明如下：","——")</f>
        <v>4.本次评估估价师所知悉的法定优先受偿款情况说明如下：</v>
      </c>
      <c r="B14" s="3490"/>
      <c r="C14" s="3490"/>
      <c r="D14" s="3490"/>
    </row>
    <row r="15" spans="1:4" ht="42" customHeight="1">
      <c r="A15" s="348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7"/>
      <c r="C15" s="3487"/>
      <c r="D15" s="3487"/>
    </row>
    <row r="16" spans="1:4" ht="30" customHeight="1">
      <c r="A16" s="3491" t="s">
        <v>127</v>
      </c>
      <c r="B16" s="3491"/>
      <c r="C16" s="3491"/>
      <c r="D16" s="3491"/>
    </row>
    <row r="17" spans="1:4" ht="144" customHeight="1">
      <c r="A17" s="3491" t="s">
        <v>128</v>
      </c>
      <c r="B17" s="3491"/>
      <c r="C17" s="3491"/>
      <c r="D17" s="3491"/>
    </row>
    <row r="18" spans="1:4" ht="15.75" customHeight="1">
      <c r="A18" s="3487" t="str">
        <f>IF(项目基本情况!B8="抵押",结果表产权车位!K120,"——")</f>
        <v>故，本次评估不存在估价师知悉的法定优先受偿款</v>
      </c>
      <c r="B18" s="3487"/>
      <c r="C18" s="3487"/>
      <c r="D18" s="3487"/>
    </row>
    <row r="19" spans="1:4" ht="46.5" customHeight="1">
      <c r="A19" s="34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7"/>
      <c r="C19" s="3487"/>
      <c r="D19" s="3487"/>
    </row>
    <row r="20" spans="1:4" ht="57.75" customHeight="1">
      <c r="A20" s="3487" t="str">
        <f>IF(结果表产权车位!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7"/>
      <c r="C20" s="3487"/>
      <c r="D20" s="3487"/>
    </row>
    <row r="21" spans="1:4" ht="57.75" customHeight="1">
      <c r="A21" s="3488" t="str">
        <f>IF(结果表产权车位!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8"/>
      <c r="C21" s="3488"/>
      <c r="D21" s="3488"/>
    </row>
    <row r="22" spans="1:4" ht="18.75" customHeight="1">
      <c r="A22" s="3489" t="s">
        <v>129</v>
      </c>
      <c r="B22" s="3489"/>
      <c r="C22" s="3489"/>
      <c r="D22" s="3489"/>
    </row>
    <row r="23" spans="1:4">
      <c r="A23" s="3406"/>
      <c r="B23" s="2294"/>
      <c r="C23" s="2294"/>
      <c r="D23" s="2294"/>
    </row>
    <row r="24" spans="1:4">
      <c r="A24" s="3406"/>
      <c r="B24" s="2294"/>
      <c r="C24" s="2294"/>
      <c r="D24" s="2294"/>
    </row>
    <row r="25" spans="1:4" ht="17.399999999999999">
      <c r="A25" s="3407" t="s">
        <v>130</v>
      </c>
    </row>
    <row r="26" spans="1:4" ht="17.399999999999999">
      <c r="A26" s="3408"/>
    </row>
    <row r="27" spans="1:4" ht="17.399999999999999">
      <c r="A27" s="3408" t="s">
        <v>131</v>
      </c>
    </row>
    <row r="30" spans="1:4" ht="17.399999999999999">
      <c r="D30" s="3407" t="s">
        <v>132</v>
      </c>
    </row>
    <row r="31" spans="1:4" ht="13.5" customHeight="1">
      <c r="C31" s="3486">
        <v>42551</v>
      </c>
      <c r="D31" s="34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393" customWidth="1"/>
    <col min="3" max="10" width="12.44140625" style="3393" customWidth="1"/>
    <col min="11" max="16384" width="9" style="3393"/>
  </cols>
  <sheetData>
    <row r="1" spans="1:10" ht="17.399999999999999">
      <c r="A1" s="3394" t="s">
        <v>133</v>
      </c>
      <c r="B1" s="3395"/>
      <c r="C1" s="3395"/>
      <c r="D1" s="3395"/>
      <c r="E1" s="3395"/>
      <c r="F1" s="3395"/>
      <c r="G1" s="3395"/>
      <c r="H1" s="3395"/>
      <c r="I1" s="3395"/>
      <c r="J1" s="3395"/>
    </row>
    <row r="2" spans="1:10" ht="17.399999999999999">
      <c r="A2" s="3396"/>
      <c r="B2" s="3395"/>
      <c r="C2" s="3395"/>
      <c r="D2" s="3395"/>
      <c r="E2" s="3395"/>
      <c r="F2" s="3395"/>
      <c r="G2" s="3395"/>
      <c r="H2" s="3395"/>
      <c r="I2" s="3395"/>
      <c r="J2" s="3395"/>
    </row>
    <row r="3" spans="1:10">
      <c r="A3" s="3395"/>
      <c r="B3" s="3395"/>
      <c r="C3" s="3395"/>
      <c r="D3" s="3395"/>
      <c r="E3" s="3395"/>
      <c r="F3" s="3395"/>
      <c r="G3" s="3395"/>
      <c r="H3" s="3395"/>
      <c r="I3" s="3395"/>
      <c r="J3" s="3395"/>
    </row>
    <row r="4" spans="1:10">
      <c r="A4" s="3395"/>
      <c r="B4" s="3395"/>
      <c r="C4" s="3395"/>
      <c r="D4" s="3395"/>
      <c r="E4" s="3395"/>
      <c r="F4" s="3395"/>
      <c r="G4" s="3395"/>
      <c r="H4" s="3395"/>
      <c r="I4" s="3395"/>
      <c r="J4" s="3395"/>
    </row>
    <row r="5" spans="1:10">
      <c r="A5" s="3395"/>
      <c r="B5" s="3395"/>
      <c r="C5" s="3395"/>
      <c r="D5" s="3395"/>
      <c r="E5" s="3395"/>
      <c r="F5" s="3395"/>
      <c r="G5" s="3395"/>
      <c r="H5" s="3395"/>
      <c r="I5" s="3395"/>
      <c r="J5" s="3395"/>
    </row>
    <row r="6" spans="1:10">
      <c r="A6" s="3395"/>
      <c r="B6" s="3395"/>
      <c r="C6" s="3395"/>
      <c r="D6" s="3395"/>
      <c r="E6" s="3395"/>
      <c r="F6" s="3395"/>
      <c r="G6" s="3395"/>
      <c r="H6" s="3395"/>
      <c r="I6" s="3395"/>
      <c r="J6" s="3395"/>
    </row>
    <row r="7" spans="1:10">
      <c r="A7" s="3395"/>
      <c r="B7" s="3395"/>
      <c r="C7" s="3395"/>
      <c r="D7" s="3395"/>
      <c r="E7" s="3395"/>
      <c r="F7" s="3395"/>
      <c r="G7" s="3395"/>
      <c r="H7" s="3395"/>
      <c r="I7" s="3395"/>
      <c r="J7" s="3395"/>
    </row>
    <row r="8" spans="1:10">
      <c r="A8" s="3395"/>
      <c r="B8" s="3395"/>
      <c r="C8" s="3395"/>
      <c r="D8" s="3395"/>
      <c r="E8" s="3395"/>
      <c r="F8" s="3395"/>
      <c r="G8" s="3395"/>
      <c r="H8" s="3395"/>
      <c r="I8" s="3395"/>
      <c r="J8" s="3395"/>
    </row>
    <row r="9" spans="1:10">
      <c r="A9" s="3395"/>
      <c r="B9" s="3395"/>
      <c r="C9" s="3395"/>
      <c r="D9" s="3395"/>
      <c r="E9" s="3395"/>
      <c r="F9" s="3395"/>
      <c r="G9" s="3395"/>
      <c r="H9" s="3395"/>
      <c r="I9" s="3395"/>
      <c r="J9" s="3395"/>
    </row>
    <row r="10" spans="1:10">
      <c r="A10" s="3395"/>
      <c r="B10" s="3395"/>
      <c r="C10" s="3395"/>
      <c r="D10" s="3395"/>
      <c r="E10" s="3395"/>
      <c r="F10" s="3395"/>
      <c r="G10" s="3395"/>
      <c r="H10" s="3395"/>
      <c r="I10" s="3395"/>
      <c r="J10" s="3395"/>
    </row>
    <row r="11" spans="1:10">
      <c r="A11" s="3395"/>
      <c r="B11" s="3395"/>
      <c r="C11" s="3395"/>
      <c r="D11" s="3395"/>
      <c r="E11" s="3395"/>
      <c r="F11" s="3395"/>
      <c r="G11" s="3395"/>
      <c r="H11" s="3395"/>
      <c r="I11" s="3395"/>
      <c r="J11" s="3395"/>
    </row>
    <row r="12" spans="1:10">
      <c r="A12" s="3395"/>
      <c r="B12" s="3395"/>
      <c r="C12" s="3395"/>
      <c r="D12" s="3395"/>
      <c r="E12" s="3395"/>
      <c r="F12" s="3395"/>
      <c r="G12" s="3395"/>
      <c r="H12" s="3395"/>
      <c r="I12" s="3395"/>
      <c r="J12" s="3395"/>
    </row>
    <row r="13" spans="1:10">
      <c r="A13" s="3395"/>
      <c r="B13" s="3395"/>
      <c r="C13" s="3395"/>
      <c r="D13" s="3395"/>
      <c r="E13" s="3395"/>
      <c r="F13" s="3395"/>
      <c r="G13" s="3395"/>
      <c r="H13" s="3395"/>
      <c r="I13" s="3395"/>
      <c r="J13" s="3395"/>
    </row>
    <row r="14" spans="1:10">
      <c r="A14" s="3395"/>
      <c r="B14" s="3395"/>
      <c r="C14" s="3395"/>
      <c r="D14" s="3395"/>
      <c r="E14" s="3395"/>
      <c r="F14" s="3395"/>
      <c r="G14" s="3395"/>
      <c r="H14" s="3395"/>
      <c r="I14" s="3395"/>
      <c r="J14" s="3395"/>
    </row>
    <row r="15" spans="1:10">
      <c r="A15" s="3395"/>
      <c r="B15" s="3395"/>
      <c r="C15" s="3395"/>
      <c r="D15" s="3395"/>
      <c r="E15" s="3395"/>
      <c r="F15" s="3395"/>
      <c r="G15" s="3395"/>
      <c r="H15" s="3395"/>
      <c r="I15" s="3395"/>
      <c r="J15" s="3395"/>
    </row>
    <row r="16" spans="1:10">
      <c r="A16" s="3395"/>
      <c r="B16" s="3395"/>
      <c r="C16" s="3395"/>
      <c r="D16" s="3395"/>
      <c r="E16" s="3395"/>
      <c r="F16" s="3395"/>
      <c r="G16" s="3395"/>
      <c r="H16" s="3395"/>
      <c r="I16" s="3395"/>
      <c r="J16" s="3395"/>
    </row>
    <row r="17" spans="1:10">
      <c r="A17" s="3395"/>
      <c r="B17" s="3395"/>
      <c r="C17" s="3395"/>
      <c r="D17" s="3395"/>
      <c r="E17" s="3395"/>
      <c r="F17" s="3395"/>
      <c r="G17" s="3395"/>
      <c r="H17" s="3395"/>
      <c r="I17" s="3395"/>
      <c r="J17" s="3395"/>
    </row>
    <row r="18" spans="1:10">
      <c r="A18" s="3395"/>
      <c r="B18" s="3395"/>
      <c r="C18" s="3395"/>
      <c r="D18" s="3395"/>
      <c r="E18" s="3395"/>
      <c r="F18" s="3395"/>
      <c r="G18" s="3395"/>
      <c r="H18" s="3395"/>
      <c r="I18" s="3395"/>
      <c r="J18" s="3395"/>
    </row>
    <row r="19" spans="1:10">
      <c r="A19" s="3395"/>
      <c r="B19" s="3395"/>
      <c r="C19" s="3395"/>
      <c r="D19" s="3395"/>
      <c r="E19" s="3395"/>
      <c r="F19" s="3395"/>
      <c r="G19" s="3395"/>
      <c r="H19" s="3395"/>
      <c r="I19" s="3395"/>
      <c r="J19" s="3395"/>
    </row>
    <row r="20" spans="1:10">
      <c r="A20" s="3395"/>
      <c r="B20" s="3395"/>
      <c r="C20" s="3395"/>
      <c r="D20" s="3395"/>
      <c r="E20" s="3395"/>
      <c r="F20" s="3395"/>
      <c r="G20" s="3395"/>
      <c r="H20" s="3395"/>
      <c r="I20" s="3395"/>
      <c r="J20" s="3395"/>
    </row>
    <row r="21" spans="1:10">
      <c r="A21" s="3395"/>
      <c r="B21" s="3395"/>
      <c r="C21" s="3395"/>
      <c r="D21" s="3395"/>
      <c r="E21" s="3395"/>
      <c r="F21" s="3395"/>
      <c r="G21" s="3395"/>
      <c r="H21" s="3395"/>
      <c r="I21" s="3395"/>
      <c r="J21" s="3395"/>
    </row>
    <row r="22" spans="1:10">
      <c r="A22" s="3395"/>
      <c r="B22" s="3395"/>
      <c r="C22" s="3395"/>
      <c r="D22" s="3395"/>
      <c r="E22" s="3395"/>
      <c r="F22" s="3395"/>
      <c r="G22" s="3395"/>
      <c r="H22" s="3395"/>
      <c r="I22" s="3395"/>
      <c r="J22" s="3395"/>
    </row>
    <row r="23" spans="1:10">
      <c r="A23" s="3395"/>
      <c r="B23" s="3395"/>
      <c r="C23" s="3395"/>
      <c r="D23" s="3395"/>
      <c r="E23" s="3395"/>
      <c r="F23" s="3395"/>
      <c r="G23" s="3395"/>
      <c r="H23" s="3395"/>
      <c r="I23" s="3395"/>
      <c r="J23" s="3395"/>
    </row>
    <row r="24" spans="1:10">
      <c r="A24" s="3395"/>
      <c r="B24" s="3395"/>
      <c r="C24" s="3395"/>
      <c r="D24" s="3395"/>
      <c r="E24" s="3395"/>
      <c r="F24" s="3395"/>
      <c r="G24" s="3395"/>
      <c r="H24" s="3395"/>
      <c r="I24" s="3395"/>
      <c r="J24" s="3395"/>
    </row>
    <row r="25" spans="1:10">
      <c r="A25" s="3395"/>
      <c r="B25" s="3395"/>
      <c r="C25" s="3395"/>
      <c r="D25" s="3395"/>
      <c r="E25" s="3395"/>
      <c r="F25" s="3395"/>
      <c r="G25" s="3395"/>
      <c r="H25" s="3395"/>
      <c r="I25" s="3395"/>
      <c r="J25" s="3395"/>
    </row>
    <row r="26" spans="1:10">
      <c r="A26" s="3395"/>
      <c r="B26" s="3395"/>
      <c r="C26" s="3395"/>
      <c r="D26" s="3395"/>
      <c r="E26" s="3395"/>
      <c r="F26" s="3395"/>
      <c r="G26" s="3395"/>
      <c r="H26" s="3395"/>
      <c r="I26" s="3395"/>
      <c r="J26" s="3395"/>
    </row>
    <row r="27" spans="1:10">
      <c r="A27" s="3395"/>
      <c r="B27" s="3395"/>
      <c r="C27" s="3395"/>
      <c r="D27" s="3395"/>
      <c r="E27" s="3395"/>
      <c r="F27" s="3395"/>
      <c r="G27" s="3395"/>
      <c r="H27" s="3395"/>
      <c r="I27" s="3395"/>
      <c r="J27" s="3395"/>
    </row>
    <row r="28" spans="1:10">
      <c r="A28" s="3395"/>
      <c r="B28" s="3395"/>
      <c r="C28" s="3395"/>
      <c r="D28" s="3395"/>
      <c r="E28" s="3395"/>
      <c r="F28" s="3395"/>
      <c r="G28" s="3395"/>
      <c r="H28" s="3395"/>
      <c r="I28" s="3395"/>
      <c r="J28" s="3395"/>
    </row>
    <row r="29" spans="1:10">
      <c r="A29" s="3395"/>
      <c r="B29" s="3395"/>
      <c r="C29" s="3395"/>
      <c r="D29" s="3395"/>
      <c r="E29" s="3395"/>
      <c r="F29" s="3395"/>
      <c r="G29" s="3395"/>
      <c r="H29" s="3395"/>
      <c r="I29" s="3395"/>
      <c r="J29" s="3395"/>
    </row>
    <row r="30" spans="1:10">
      <c r="A30" s="3395"/>
      <c r="B30" s="3395"/>
      <c r="C30" s="3395"/>
      <c r="D30" s="3395"/>
      <c r="E30" s="3395"/>
      <c r="F30" s="3395"/>
      <c r="G30" s="3395"/>
      <c r="H30" s="3395"/>
      <c r="I30" s="3395"/>
      <c r="J30" s="3395"/>
    </row>
    <row r="31" spans="1:10">
      <c r="A31" s="3395"/>
      <c r="B31" s="3395"/>
      <c r="C31" s="3395"/>
      <c r="D31" s="3395"/>
      <c r="E31" s="3395"/>
      <c r="F31" s="3395"/>
      <c r="G31" s="3395"/>
      <c r="H31" s="3395"/>
      <c r="I31" s="3395"/>
      <c r="J31" s="3395"/>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76" customWidth="1"/>
    <col min="2" max="16384" width="14.44140625" style="3327"/>
  </cols>
  <sheetData>
    <row r="1" spans="1:7" s="3375" customFormat="1" ht="17.399999999999999">
      <c r="A1" s="3377" t="s">
        <v>134</v>
      </c>
    </row>
    <row r="3" spans="1:7">
      <c r="A3" s="3378" t="s">
        <v>135</v>
      </c>
      <c r="B3" s="3327" t="s">
        <v>136</v>
      </c>
      <c r="G3" s="3379"/>
    </row>
    <row r="4" spans="1:7">
      <c r="G4" s="3379"/>
    </row>
    <row r="5" spans="1:7">
      <c r="A5" s="3380" t="s">
        <v>137</v>
      </c>
      <c r="B5" s="3327" t="s">
        <v>138</v>
      </c>
      <c r="G5" s="3379"/>
    </row>
    <row r="6" spans="1:7">
      <c r="G6" s="3379"/>
    </row>
    <row r="7" spans="1:7">
      <c r="A7" s="3381" t="s">
        <v>139</v>
      </c>
      <c r="B7" s="3327" t="s">
        <v>140</v>
      </c>
      <c r="G7" s="3379"/>
    </row>
    <row r="8" spans="1:7">
      <c r="G8" s="3379"/>
    </row>
    <row r="9" spans="1:7">
      <c r="A9" s="3382" t="s">
        <v>141</v>
      </c>
      <c r="B9" s="3327" t="s">
        <v>142</v>
      </c>
    </row>
    <row r="11" spans="1:7">
      <c r="A11" s="3383" t="s">
        <v>143</v>
      </c>
      <c r="B11" s="3384" t="s">
        <v>144</v>
      </c>
    </row>
    <row r="13" spans="1:7">
      <c r="A13" s="3385" t="s">
        <v>145</v>
      </c>
    </row>
    <row r="15" spans="1:7" ht="14.4">
      <c r="A15" s="3497" t="s">
        <v>146</v>
      </c>
      <c r="B15" s="3502" t="s">
        <v>147</v>
      </c>
      <c r="C15" s="3496"/>
    </row>
    <row r="16" spans="1:7" ht="14.4">
      <c r="A16" s="3498"/>
      <c r="B16" s="3502" t="s">
        <v>148</v>
      </c>
      <c r="C16" s="3496"/>
    </row>
    <row r="17" spans="1:3" ht="14.4">
      <c r="A17" s="3498"/>
      <c r="B17" s="3501" t="s">
        <v>149</v>
      </c>
      <c r="C17" s="3386" t="s">
        <v>146</v>
      </c>
    </row>
    <row r="18" spans="1:3" ht="14.4">
      <c r="A18" s="3498"/>
      <c r="B18" s="3501"/>
      <c r="C18" s="3386" t="s">
        <v>150</v>
      </c>
    </row>
    <row r="19" spans="1:3" ht="14.4">
      <c r="A19" s="3498"/>
      <c r="B19" s="3501"/>
      <c r="C19" s="3386" t="s">
        <v>151</v>
      </c>
    </row>
    <row r="20" spans="1:3" ht="14.4">
      <c r="A20" s="3499"/>
      <c r="B20" s="3495" t="s">
        <v>152</v>
      </c>
      <c r="C20" s="3496"/>
    </row>
    <row r="21" spans="1:3" ht="14.4">
      <c r="A21" s="3387" t="s">
        <v>153</v>
      </c>
      <c r="B21" s="3388"/>
      <c r="C21" s="3389"/>
    </row>
    <row r="22" spans="1:3" ht="14.4">
      <c r="A22" s="3500" t="s">
        <v>154</v>
      </c>
      <c r="B22" s="3495" t="s">
        <v>155</v>
      </c>
      <c r="C22" s="3496"/>
    </row>
    <row r="23" spans="1:3" ht="14.4">
      <c r="A23" s="3500"/>
      <c r="B23" s="3495" t="s">
        <v>156</v>
      </c>
      <c r="C23" s="3496"/>
    </row>
    <row r="24" spans="1:3" ht="14.4">
      <c r="A24" s="3500"/>
      <c r="B24" s="3495" t="s">
        <v>157</v>
      </c>
      <c r="C24" s="3496"/>
    </row>
    <row r="25" spans="1:3" ht="14.4">
      <c r="A25" s="3500"/>
      <c r="B25" s="3501" t="s">
        <v>158</v>
      </c>
      <c r="C25" s="3386" t="s">
        <v>159</v>
      </c>
    </row>
    <row r="26" spans="1:3" ht="14.4">
      <c r="A26" s="3500"/>
      <c r="B26" s="3501"/>
      <c r="C26" s="3386" t="s">
        <v>160</v>
      </c>
    </row>
    <row r="27" spans="1:3" ht="14.4">
      <c r="A27" s="3500"/>
      <c r="B27" s="3501"/>
      <c r="C27" s="3386" t="s">
        <v>161</v>
      </c>
    </row>
    <row r="28" spans="1:3" ht="14.4">
      <c r="A28" s="3500"/>
      <c r="B28" s="3501"/>
      <c r="C28" s="3386" t="s">
        <v>162</v>
      </c>
    </row>
    <row r="29" spans="1:3" ht="14.4">
      <c r="A29" s="3500"/>
      <c r="B29" s="3501"/>
      <c r="C29" s="3386" t="s">
        <v>163</v>
      </c>
    </row>
    <row r="30" spans="1:3" ht="14.4">
      <c r="A30" s="3500"/>
      <c r="B30" s="3501"/>
      <c r="C30" s="3386" t="s">
        <v>164</v>
      </c>
    </row>
    <row r="31" spans="1:3" ht="14.4">
      <c r="A31" s="3500"/>
      <c r="B31" s="3501"/>
      <c r="C31" s="3386" t="s">
        <v>165</v>
      </c>
    </row>
    <row r="32" spans="1:3" ht="14.4">
      <c r="A32" s="3500"/>
      <c r="B32" s="3501"/>
      <c r="C32" s="3386" t="s">
        <v>166</v>
      </c>
    </row>
    <row r="33" spans="1:3" ht="14.4">
      <c r="A33" s="3500"/>
      <c r="B33" s="3501"/>
      <c r="C33" s="3386" t="s">
        <v>167</v>
      </c>
    </row>
    <row r="34" spans="1:3">
      <c r="A34" s="3390" t="s">
        <v>168</v>
      </c>
    </row>
    <row r="37" spans="1:3">
      <c r="A37" s="3390" t="s">
        <v>169</v>
      </c>
    </row>
    <row r="38" spans="1:3" ht="14.4">
      <c r="A38" s="3391" t="s">
        <v>170</v>
      </c>
    </row>
    <row r="39" spans="1:3" ht="14.4">
      <c r="A39" s="3391" t="s">
        <v>171</v>
      </c>
    </row>
    <row r="40" spans="1:3" ht="14.4">
      <c r="A40" s="3391" t="s">
        <v>172</v>
      </c>
    </row>
    <row r="41" spans="1:3" ht="14.4">
      <c r="A41" s="3392" t="s">
        <v>173</v>
      </c>
    </row>
    <row r="42" spans="1:3" ht="14.4">
      <c r="A42" s="3391"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3346" customWidth="1"/>
    <col min="2" max="2" width="38.6640625" style="3346" customWidth="1"/>
    <col min="3" max="3" width="26" style="3346" customWidth="1"/>
    <col min="4" max="4" width="35" style="3346" hidden="1" customWidth="1"/>
    <col min="5" max="5" width="30.109375" style="3346" customWidth="1"/>
    <col min="6" max="6" width="35.44140625" style="3346" customWidth="1"/>
    <col min="7" max="7" width="31" style="3346" customWidth="1"/>
    <col min="8" max="8" width="37.44140625" style="3346" hidden="1" customWidth="1"/>
    <col min="9" max="16384" width="22.6640625" style="3346"/>
  </cols>
  <sheetData>
    <row r="1" spans="1:8" ht="24" customHeight="1">
      <c r="A1" s="3347"/>
      <c r="B1" s="3347"/>
      <c r="C1" s="3347"/>
      <c r="D1" s="3347"/>
      <c r="E1" s="3347"/>
      <c r="F1" s="3347"/>
      <c r="G1" s="3347"/>
      <c r="H1" s="3347"/>
    </row>
    <row r="2" spans="1:8" ht="24" customHeight="1">
      <c r="A2" s="3348" t="s">
        <v>175</v>
      </c>
      <c r="B2" s="3349">
        <f ca="1">TODAY()</f>
        <v>45309</v>
      </c>
      <c r="C2" s="3350" t="s">
        <v>176</v>
      </c>
      <c r="D2" s="3350"/>
      <c r="E2" s="3350"/>
      <c r="F2" s="3347"/>
      <c r="G2" s="3347"/>
      <c r="H2" s="3347"/>
    </row>
    <row r="3" spans="1:8" ht="24" customHeight="1">
      <c r="A3" s="3351" t="s">
        <v>177</v>
      </c>
      <c r="B3" s="3352" t="s">
        <v>178</v>
      </c>
      <c r="C3" s="3352" t="s">
        <v>179</v>
      </c>
      <c r="D3" s="3353" t="s">
        <v>180</v>
      </c>
      <c r="E3" s="3354" t="s">
        <v>181</v>
      </c>
      <c r="F3" s="3355" t="s">
        <v>182</v>
      </c>
      <c r="G3" s="3352" t="s">
        <v>179</v>
      </c>
      <c r="H3" s="3353" t="s">
        <v>183</v>
      </c>
    </row>
    <row r="4" spans="1:8" ht="24" customHeight="1">
      <c r="A4" s="3355" t="s">
        <v>184</v>
      </c>
      <c r="B4" s="3355">
        <f ca="1">IF(C4&lt;B2,"已过期",1119970066)</f>
        <v>1119970066</v>
      </c>
      <c r="C4" s="3356">
        <v>45937</v>
      </c>
      <c r="D4" s="3357" t="str">
        <f ca="1">A4&amp;"（注册号："&amp;B4&amp;"）"</f>
        <v>梁津（注册号：1119970066）</v>
      </c>
      <c r="E4" s="3358" t="s">
        <v>184</v>
      </c>
      <c r="F4" s="3355">
        <f ca="1">IF(G4&lt;B2,"已过期",96010014)</f>
        <v>96010014</v>
      </c>
      <c r="G4" s="3359">
        <v>47118</v>
      </c>
      <c r="H4" s="3360" t="str">
        <f ca="1">E4&amp;"（注册号："&amp;F4&amp;"）"</f>
        <v>梁津（注册号：96010014）</v>
      </c>
    </row>
    <row r="5" spans="1:8" ht="24" customHeight="1">
      <c r="A5" s="3355" t="s">
        <v>185</v>
      </c>
      <c r="B5" s="3355">
        <f ca="1">IF(C5&lt;B2,"已过期",1119970111)</f>
        <v>1119970111</v>
      </c>
      <c r="C5" s="3356">
        <v>45937</v>
      </c>
      <c r="D5" s="3357" t="str">
        <f t="shared" ref="D5:D16" ca="1" si="0">A5&amp;"（注册号："&amp;B5&amp;"）"</f>
        <v>叶凌（注册号：1119970111）</v>
      </c>
      <c r="E5" s="3358" t="s">
        <v>185</v>
      </c>
      <c r="F5" s="3355">
        <f ca="1">IF(G5&lt;B2,"已过期",94010078)</f>
        <v>94010078</v>
      </c>
      <c r="G5" s="3359">
        <v>46387</v>
      </c>
      <c r="H5" s="3360" t="str">
        <f t="shared" ref="H5:H16" ca="1" si="1">E5&amp;"（注册号："&amp;F5&amp;"）"</f>
        <v>叶凌（注册号：94010078）</v>
      </c>
    </row>
    <row r="6" spans="1:8" ht="24" customHeight="1">
      <c r="A6" s="3355" t="s">
        <v>186</v>
      </c>
      <c r="B6" s="3355">
        <f ca="1">IF(C6&lt;B2,"已过期",1120050019)</f>
        <v>1120050019</v>
      </c>
      <c r="C6" s="3356">
        <v>45410</v>
      </c>
      <c r="D6" s="3357" t="str">
        <f t="shared" ca="1" si="0"/>
        <v>王鹏（注册号：1120050019）</v>
      </c>
      <c r="E6" s="3358" t="s">
        <v>186</v>
      </c>
      <c r="F6" s="3355">
        <f ca="1">IF(G6&lt;B2,"已过期",2002110030)</f>
        <v>2002110030</v>
      </c>
      <c r="G6" s="3359">
        <v>46387</v>
      </c>
      <c r="H6" s="3360" t="str">
        <f t="shared" ca="1" si="1"/>
        <v>王鹏（注册号：2002110030）</v>
      </c>
    </row>
    <row r="7" spans="1:8" ht="24" customHeight="1">
      <c r="A7" s="3355" t="s">
        <v>187</v>
      </c>
      <c r="B7" s="3355">
        <f ca="1">IF(C7&lt;B2,"已过期",1120000080)</f>
        <v>1120000080</v>
      </c>
      <c r="C7" s="3356">
        <v>45937</v>
      </c>
      <c r="D7" s="3357" t="str">
        <f t="shared" ca="1" si="0"/>
        <v>欧红伟（注册号：1120000080）</v>
      </c>
      <c r="E7" s="3358" t="s">
        <v>187</v>
      </c>
      <c r="F7" s="3355">
        <f ca="1">IF(G7&lt;B2,"已过期",2000110082)</f>
        <v>2000110082</v>
      </c>
      <c r="G7" s="3359">
        <v>46387</v>
      </c>
      <c r="H7" s="3360" t="str">
        <f t="shared" ca="1" si="1"/>
        <v>欧红伟（注册号：2000110082）</v>
      </c>
    </row>
    <row r="8" spans="1:8" ht="24" customHeight="1">
      <c r="A8" s="3355" t="s">
        <v>188</v>
      </c>
      <c r="B8" s="3355">
        <f ca="1">IF(C8&lt;B2,"已过期",1419970001)</f>
        <v>1419970001</v>
      </c>
      <c r="C8" s="3356">
        <v>45937</v>
      </c>
      <c r="D8" s="3357" t="str">
        <f t="shared" ca="1" si="0"/>
        <v>吴薇（注册号：1419970001）</v>
      </c>
      <c r="E8" s="3358" t="s">
        <v>188</v>
      </c>
      <c r="F8" s="3355">
        <f ca="1">IF(G8&lt;B2,"已过期",2002110125)</f>
        <v>2002110125</v>
      </c>
      <c r="G8" s="3359">
        <v>47118</v>
      </c>
      <c r="H8" s="3360" t="str">
        <f t="shared" ca="1" si="1"/>
        <v>吴薇（注册号：2002110125）</v>
      </c>
    </row>
    <row r="9" spans="1:8" ht="24" customHeight="1">
      <c r="A9" s="3355" t="s">
        <v>189</v>
      </c>
      <c r="B9" s="3355">
        <f ca="1">IF(C9&lt;B2,"已过期",1120060040)</f>
        <v>1120060040</v>
      </c>
      <c r="C9" s="3361">
        <v>45592</v>
      </c>
      <c r="D9" s="3357" t="str">
        <f t="shared" ca="1" si="0"/>
        <v>陈颖（注册号：1120060040）</v>
      </c>
      <c r="E9" s="3358" t="s">
        <v>189</v>
      </c>
      <c r="F9" s="3355">
        <f ca="1">IF(G9&lt;B2,"已过期",2004110096)</f>
        <v>2004110096</v>
      </c>
      <c r="G9" s="3359">
        <v>47118</v>
      </c>
      <c r="H9" s="3360" t="str">
        <f t="shared" ca="1" si="1"/>
        <v>陈颖（注册号：2004110096）</v>
      </c>
    </row>
    <row r="10" spans="1:8" ht="24" customHeight="1">
      <c r="A10" s="3355" t="s">
        <v>190</v>
      </c>
      <c r="B10" s="3355">
        <f ca="1">IF(C10&lt;B2,"已过期",1120100036)</f>
        <v>1120100036</v>
      </c>
      <c r="C10" s="3361">
        <v>45752</v>
      </c>
      <c r="D10" s="3357" t="str">
        <f t="shared" ca="1" si="0"/>
        <v>崔锴（注册号：1120100036）</v>
      </c>
      <c r="E10" s="3358" t="s">
        <v>190</v>
      </c>
      <c r="F10" s="3355">
        <f ca="1">IF(G10&lt;B2,"已过期",2010110070)</f>
        <v>2010110070</v>
      </c>
      <c r="G10" s="3359">
        <v>47907</v>
      </c>
      <c r="H10" s="3360" t="str">
        <f t="shared" ca="1" si="1"/>
        <v>崔锴（注册号：2010110070）</v>
      </c>
    </row>
    <row r="11" spans="1:8" ht="24" customHeight="1">
      <c r="A11" s="3355" t="s">
        <v>191</v>
      </c>
      <c r="B11" s="3355">
        <f ca="1">IF(C11&lt;B2,"已过期",1120070131)</f>
        <v>1120070131</v>
      </c>
      <c r="C11" s="3356">
        <v>45937</v>
      </c>
      <c r="D11" s="3357" t="str">
        <f t="shared" ca="1" si="0"/>
        <v>郑燚（注册号：1120070131）</v>
      </c>
      <c r="E11" s="3358" t="s">
        <v>191</v>
      </c>
      <c r="F11" s="3355">
        <f ca="1">IF(G11&lt;B2,"已过期",2014110011)</f>
        <v>2014110011</v>
      </c>
      <c r="G11" s="3359">
        <v>49302</v>
      </c>
      <c r="H11" s="3360" t="str">
        <f t="shared" ca="1" si="1"/>
        <v>郑燚（注册号：2014110011）</v>
      </c>
    </row>
    <row r="12" spans="1:8" ht="24" customHeight="1">
      <c r="A12" s="3355" t="s">
        <v>192</v>
      </c>
      <c r="B12" s="3355">
        <f ca="1">IF(C12&lt;B2,"已过期",1120040230)</f>
        <v>1120040230</v>
      </c>
      <c r="C12" s="3361">
        <v>45937</v>
      </c>
      <c r="D12" s="3357" t="str">
        <f t="shared" ca="1" si="0"/>
        <v>苏海（注册号：1120040230）</v>
      </c>
      <c r="E12" s="3358" t="s">
        <v>192</v>
      </c>
      <c r="F12" s="3355">
        <f ca="1">IF(G12&lt;B2,"已过期",98030020)</f>
        <v>98030020</v>
      </c>
      <c r="G12" s="3359">
        <v>47118</v>
      </c>
      <c r="H12" s="3360" t="str">
        <f t="shared" ca="1" si="1"/>
        <v>苏海（注册号：98030020）</v>
      </c>
    </row>
    <row r="13" spans="1:8" ht="24" customHeight="1">
      <c r="A13" s="3355" t="s">
        <v>193</v>
      </c>
      <c r="B13" s="3355">
        <f ca="1">IF(C13&lt;B2,"已过期",1120020033)</f>
        <v>1120020033</v>
      </c>
      <c r="C13" s="3356">
        <v>45375</v>
      </c>
      <c r="D13" s="3357" t="str">
        <f t="shared" ca="1" si="0"/>
        <v>刘敬东（注册号：1120020033）</v>
      </c>
      <c r="E13" s="3358" t="s">
        <v>193</v>
      </c>
      <c r="F13" s="3355">
        <f ca="1">IF(G13&lt;B2,"已过期",2000110137)</f>
        <v>2000110137</v>
      </c>
      <c r="G13" s="3359">
        <v>46387</v>
      </c>
      <c r="H13" s="3360" t="str">
        <f t="shared" ca="1" si="1"/>
        <v>刘敬东（注册号：2000110137）</v>
      </c>
    </row>
    <row r="14" spans="1:8" ht="24" customHeight="1">
      <c r="A14" s="3355" t="s">
        <v>194</v>
      </c>
      <c r="B14" s="3355" t="str">
        <f ca="1">IF(C14&lt;B2,"已过期",1119980106)</f>
        <v>已过期</v>
      </c>
      <c r="C14" s="3361">
        <v>44969</v>
      </c>
      <c r="D14" s="3357" t="str">
        <f t="shared" ca="1" si="0"/>
        <v>刘俊财（注册号：已过期）</v>
      </c>
      <c r="E14" s="3358" t="s">
        <v>194</v>
      </c>
      <c r="F14" s="3355">
        <f ca="1">IF(G14&lt;B2,"已过期",96010063)</f>
        <v>96010063</v>
      </c>
      <c r="G14" s="3359">
        <v>47483</v>
      </c>
      <c r="H14" s="3360" t="str">
        <f t="shared" ca="1" si="1"/>
        <v>刘俊财（注册号：96010063）</v>
      </c>
    </row>
    <row r="15" spans="1:8" ht="24" customHeight="1">
      <c r="A15" s="3355" t="s">
        <v>195</v>
      </c>
      <c r="B15" s="3355">
        <v>1120210056</v>
      </c>
      <c r="C15" s="3361">
        <v>45410</v>
      </c>
      <c r="D15" s="3357" t="str">
        <f t="shared" si="0"/>
        <v>宁小鳗（注册号：1120210056）</v>
      </c>
      <c r="E15" s="3358" t="s">
        <v>196</v>
      </c>
      <c r="F15" s="3355">
        <f ca="1">IF(G15&lt;B2,"已过期",2011110090)</f>
        <v>2011110090</v>
      </c>
      <c r="G15" s="3359">
        <v>48302</v>
      </c>
      <c r="H15" s="3360" t="str">
        <f t="shared" ca="1" si="1"/>
        <v>赵雯（注册号：2011110090）</v>
      </c>
    </row>
    <row r="16" spans="1:8" s="3344" customFormat="1" ht="24" customHeight="1">
      <c r="A16" s="3355"/>
      <c r="B16" s="3355"/>
      <c r="C16" s="3355"/>
      <c r="D16" s="3357" t="str">
        <f t="shared" si="0"/>
        <v>（注册号：）</v>
      </c>
      <c r="E16" s="3358"/>
      <c r="F16" s="3355"/>
      <c r="G16" s="3355"/>
      <c r="H16" s="3362" t="str">
        <f t="shared" si="1"/>
        <v>（注册号：）</v>
      </c>
    </row>
    <row r="17" spans="1:8" ht="24" customHeight="1">
      <c r="A17" s="3503" t="s">
        <v>197</v>
      </c>
      <c r="B17" s="3503"/>
      <c r="C17" s="3503"/>
      <c r="D17" s="3503"/>
      <c r="E17" s="3503"/>
      <c r="F17" s="3503"/>
      <c r="G17" s="3503"/>
      <c r="H17" s="3503"/>
    </row>
    <row r="18" spans="1:8" ht="24" customHeight="1">
      <c r="A18" s="3504" t="s">
        <v>198</v>
      </c>
      <c r="B18" s="3504"/>
      <c r="C18" s="3504"/>
      <c r="D18" s="3353"/>
      <c r="E18" s="3505" t="s">
        <v>199</v>
      </c>
      <c r="F18" s="3504"/>
      <c r="G18" s="3504"/>
    </row>
    <row r="19" spans="1:8" s="3345" customFormat="1" ht="24" customHeight="1">
      <c r="A19" s="3363" t="s">
        <v>200</v>
      </c>
      <c r="B19" s="3352" t="s">
        <v>201</v>
      </c>
      <c r="C19" s="3352" t="s">
        <v>179</v>
      </c>
      <c r="D19" s="3353"/>
      <c r="E19" s="3358" t="s">
        <v>200</v>
      </c>
      <c r="F19" s="3352" t="s">
        <v>201</v>
      </c>
      <c r="G19" s="3352" t="s">
        <v>179</v>
      </c>
    </row>
    <row r="20" spans="1:8" s="3345" customFormat="1" ht="24" customHeight="1">
      <c r="A20" s="3364" t="s">
        <v>202</v>
      </c>
      <c r="B20" s="3364" t="s">
        <v>203</v>
      </c>
      <c r="C20" s="3359">
        <v>45898</v>
      </c>
      <c r="D20" s="3365"/>
      <c r="E20" s="3366" t="s">
        <v>204</v>
      </c>
      <c r="F20" s="3367" t="s">
        <v>205</v>
      </c>
      <c r="G20" s="3368">
        <v>44926</v>
      </c>
    </row>
    <row r="21" spans="1:8" s="3345" customFormat="1" ht="24" customHeight="1">
      <c r="A21" s="3364"/>
      <c r="B21" s="3364"/>
      <c r="C21" s="3369"/>
      <c r="D21" s="3370"/>
      <c r="E21" s="3366"/>
      <c r="F21" s="3367"/>
      <c r="G21" s="3368"/>
    </row>
    <row r="22" spans="1:8" ht="24" customHeight="1">
      <c r="C22" s="3371"/>
      <c r="D22" s="3371"/>
      <c r="E22" s="3372"/>
      <c r="F22" s="3373"/>
      <c r="G22" s="3374"/>
    </row>
  </sheetData>
  <sheetProtection password="CEE9" sheet="1" objects="1" scenarios="1"/>
  <mergeCells count="3">
    <mergeCell ref="A17:H17"/>
    <mergeCell ref="A18:C18"/>
    <mergeCell ref="E18:G18"/>
  </mergeCells>
  <phoneticPr fontId="229" type="noConversion"/>
  <conditionalFormatting sqref="C7">
    <cfRule type="cellIs" dxfId="258" priority="38" stopIfTrue="1" operator="lessThan">
      <formula>$B$2</formula>
    </cfRule>
    <cfRule type="expression" dxfId="257" priority="37">
      <formula>AND($C7-TODAY()&lt;30,TODAY()&lt;$C7)</formula>
    </cfRule>
  </conditionalFormatting>
  <conditionalFormatting sqref="C8">
    <cfRule type="expression" dxfId="256" priority="35">
      <formula>AND($C8-TODAY()&lt;30,TODAY()&lt;$C8)</formula>
    </cfRule>
    <cfRule type="cellIs" dxfId="255" priority="36" stopIfTrue="1" operator="lessThan">
      <formula>$B$2</formula>
    </cfRule>
  </conditionalFormatting>
  <conditionalFormatting sqref="C11">
    <cfRule type="expression" dxfId="254" priority="33">
      <formula>AND($C11-TODAY()&lt;30,TODAY()&lt;$C11)</formula>
    </cfRule>
    <cfRule type="cellIs" dxfId="253" priority="34" stopIfTrue="1" operator="lessThan">
      <formula>$B$2</formula>
    </cfRule>
  </conditionalFormatting>
  <conditionalFormatting sqref="G11">
    <cfRule type="cellIs" dxfId="252" priority="30" stopIfTrue="1" operator="lessThan">
      <formula>$B$2</formula>
    </cfRule>
  </conditionalFormatting>
  <conditionalFormatting sqref="B12">
    <cfRule type="cellIs" dxfId="251" priority="24" stopIfTrue="1" operator="equal">
      <formula>"已过期"</formula>
    </cfRule>
  </conditionalFormatting>
  <conditionalFormatting sqref="C12">
    <cfRule type="cellIs" dxfId="250" priority="27" stopIfTrue="1" operator="lessThan">
      <formula>$B$2</formula>
    </cfRule>
    <cfRule type="expression" dxfId="249" priority="25">
      <formula>AND($C12-TODAY()&lt;30,TODAY()&lt;$C12)</formula>
    </cfRule>
    <cfRule type="cellIs" dxfId="248" priority="26" stopIfTrue="1" operator="lessThan">
      <formula>$B$2</formula>
    </cfRule>
  </conditionalFormatting>
  <conditionalFormatting sqref="D12">
    <cfRule type="expression" dxfId="247" priority="47">
      <formula>AND($C12-TODAY()&lt;30,TODAY()&lt;$C12)</formula>
    </cfRule>
    <cfRule type="cellIs" dxfId="246" priority="48" stopIfTrue="1" operator="lessThan">
      <formula>$B$2</formula>
    </cfRule>
  </conditionalFormatting>
  <conditionalFormatting sqref="F12">
    <cfRule type="cellIs" dxfId="245" priority="29" stopIfTrue="1" operator="equal">
      <formula>"已过期"</formula>
    </cfRule>
  </conditionalFormatting>
  <conditionalFormatting sqref="G12">
    <cfRule type="cellIs" dxfId="244" priority="28" stopIfTrue="1" operator="lessThan">
      <formula>$B$2</formula>
    </cfRule>
  </conditionalFormatting>
  <conditionalFormatting sqref="C13:D13">
    <cfRule type="expression" dxfId="243" priority="45">
      <formula>AND($C13-TODAY()&lt;30,TODAY()&lt;$C13)</formula>
    </cfRule>
    <cfRule type="cellIs" dxfId="242" priority="46" stopIfTrue="1" operator="lessThan">
      <formula>$B$2</formula>
    </cfRule>
  </conditionalFormatting>
  <conditionalFormatting sqref="G13">
    <cfRule type="cellIs" dxfId="241" priority="42" stopIfTrue="1" operator="lessThan">
      <formula>$B$2</formula>
    </cfRule>
  </conditionalFormatting>
  <conditionalFormatting sqref="B14">
    <cfRule type="cellIs" dxfId="240" priority="15" stopIfTrue="1" operator="equal">
      <formula>"已过期"</formula>
    </cfRule>
  </conditionalFormatting>
  <conditionalFormatting sqref="C14">
    <cfRule type="expression" dxfId="239" priority="18">
      <formula>AND($C14-TODAY()&lt;30,TODAY()&lt;$C14)</formula>
    </cfRule>
    <cfRule type="cellIs" dxfId="238" priority="19" stopIfTrue="1" operator="lessThan">
      <formula>$B$2</formula>
    </cfRule>
    <cfRule type="expression" dxfId="237" priority="16">
      <formula>AND($C14-TODAY()&lt;30,TODAY()&lt;$C14)</formula>
    </cfRule>
    <cfRule type="cellIs" dxfId="236" priority="17" stopIfTrue="1" operator="lessThan">
      <formula>$B$2</formula>
    </cfRule>
  </conditionalFormatting>
  <conditionalFormatting sqref="D14">
    <cfRule type="expression" dxfId="235" priority="43">
      <formula>AND($C14-TODAY()&lt;30,TODAY()&lt;$C14)</formula>
    </cfRule>
    <cfRule type="cellIs" dxfId="234" priority="44" stopIfTrue="1" operator="lessThan">
      <formula>$B$2</formula>
    </cfRule>
  </conditionalFormatting>
  <conditionalFormatting sqref="G14">
    <cfRule type="cellIs" dxfId="233" priority="14" stopIfTrue="1" operator="lessThan">
      <formula>$B$2</formula>
    </cfRule>
  </conditionalFormatting>
  <conditionalFormatting sqref="B15">
    <cfRule type="cellIs" dxfId="232" priority="4" stopIfTrue="1" operator="equal">
      <formula>"已过期"</formula>
    </cfRule>
  </conditionalFormatting>
  <conditionalFormatting sqref="C15">
    <cfRule type="expression" dxfId="231" priority="7">
      <formula>AND($C15-TODAY()&lt;30,TODAY()&lt;$C15)</formula>
    </cfRule>
    <cfRule type="cellIs" dxfId="230" priority="8" stopIfTrue="1" operator="lessThan">
      <formula>$B$2</formula>
    </cfRule>
    <cfRule type="expression" dxfId="229" priority="5">
      <formula>AND($C15-TODAY()&lt;30,TODAY()&lt;$C15)</formula>
    </cfRule>
    <cfRule type="cellIs" dxfId="228" priority="6" stopIfTrue="1" operator="lessThan">
      <formula>$B$2</formula>
    </cfRule>
  </conditionalFormatting>
  <conditionalFormatting sqref="D15">
    <cfRule type="expression" dxfId="227" priority="12">
      <formula>AND($C15-TODAY()&lt;30,TODAY()&lt;$C15)</formula>
    </cfRule>
    <cfRule type="cellIs" dxfId="226" priority="13" stopIfTrue="1" operator="lessThan">
      <formula>$B$2</formula>
    </cfRule>
    <cfRule type="expression" dxfId="225" priority="10">
      <formula>AND($C15-TODAY()&lt;30,TODAY()&lt;$C15)</formula>
    </cfRule>
    <cfRule type="cellIs" dxfId="224" priority="11" stopIfTrue="1" operator="lessThan">
      <formula>$B$2</formula>
    </cfRule>
  </conditionalFormatting>
  <conditionalFormatting sqref="F15">
    <cfRule type="cellIs" dxfId="223" priority="9" stopIfTrue="1" operator="equal">
      <formula>"已过期"</formula>
    </cfRule>
  </conditionalFormatting>
  <conditionalFormatting sqref="G15">
    <cfRule type="cellIs" dxfId="222" priority="3"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C20:D20">
    <cfRule type="expression" dxfId="219" priority="52">
      <formula>AND($C20-TODAY()&lt;30,TODAY()&lt;$C20)</formula>
    </cfRule>
  </conditionalFormatting>
  <conditionalFormatting sqref="G20">
    <cfRule type="expression" dxfId="218" priority="1" stopIfTrue="1">
      <formula>AND(#REF!-TODAY()&lt;30,TODAY()&lt;#REF!)</formula>
    </cfRule>
    <cfRule type="cellIs" dxfId="217" priority="2" stopIfTrue="1" operator="lessThan">
      <formula>$B$2</formula>
    </cfRule>
  </conditionalFormatting>
  <conditionalFormatting sqref="G21">
    <cfRule type="expression" dxfId="216" priority="20" stopIfTrue="1">
      <formula>AND(#REF!-TODAY()&lt;30,TODAY()&lt;#REF!)</formula>
    </cfRule>
    <cfRule type="cellIs" dxfId="215" priority="21" stopIfTrue="1" operator="lessThan">
      <formula>$B$2</formula>
    </cfRule>
  </conditionalFormatting>
  <conditionalFormatting sqref="C9:C10">
    <cfRule type="expression" dxfId="214" priority="22">
      <formula>AND($C9-TODAY()&lt;30,TODAY()&lt;$C9)</formula>
    </cfRule>
    <cfRule type="cellIs" dxfId="213" priority="23" stopIfTrue="1" operator="lessThan">
      <formula>$B$2</formula>
    </cfRule>
  </conditionalFormatting>
  <conditionalFormatting sqref="B4:B11 F4:F11 B13 F13:F14">
    <cfRule type="cellIs" dxfId="212" priority="41" stopIfTrue="1" operator="equal">
      <formula>"已过期"</formula>
    </cfRule>
  </conditionalFormatting>
  <conditionalFormatting sqref="D16 C4:D5 D7:D12 C13:D13 C12">
    <cfRule type="expression" dxfId="211" priority="53">
      <formula>AND($C4-TODAY()&lt;30,TODAY()&lt;$C4)</formula>
    </cfRule>
  </conditionalFormatting>
  <conditionalFormatting sqref="C20:D20 G4 C4:D5 C13:D13">
    <cfRule type="cellIs" dxfId="210" priority="54" stopIfTrue="1" operator="lessThan">
      <formula>$B$2</formula>
    </cfRule>
  </conditionalFormatting>
  <conditionalFormatting sqref="G5 G7 G9">
    <cfRule type="cellIs" dxfId="209" priority="51" stopIfTrue="1" operator="lessThan">
      <formula>$B$2</formula>
    </cfRule>
  </conditionalFormatting>
  <conditionalFormatting sqref="C6:D6 D14 D16">
    <cfRule type="expression" dxfId="208" priority="49">
      <formula>AND($C6-TODAY()&lt;30,TODAY()&lt;$C6)</formula>
    </cfRule>
  </conditionalFormatting>
  <conditionalFormatting sqref="G6 G8 G10 C6:D6 D7:D12 D14 D16">
    <cfRule type="cellIs" dxfId="207"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34" sqref="I34"/>
    </sheetView>
  </sheetViews>
  <sheetFormatPr defaultColWidth="9" defaultRowHeight="14.4"/>
  <cols>
    <col min="1" max="1" width="13.44140625" style="3326" customWidth="1"/>
    <col min="2" max="2" width="23.21875" style="3327" customWidth="1"/>
    <col min="3" max="3" width="13" style="3328" customWidth="1"/>
    <col min="4" max="4" width="5.77734375" style="3329" customWidth="1"/>
    <col min="5" max="5" width="7.109375" style="3329" customWidth="1"/>
    <col min="6" max="6" width="10.6640625" style="3329" customWidth="1"/>
    <col min="7" max="7" width="7.44140625" style="3329" customWidth="1"/>
    <col min="8" max="8" width="11.88671875" style="3328" customWidth="1"/>
    <col min="9" max="9" width="11.6640625" style="3328" customWidth="1"/>
    <col min="10" max="10" width="9" style="3328" customWidth="1"/>
    <col min="11" max="19" width="9" style="3329" customWidth="1"/>
    <col min="20" max="23" width="9" style="3328" customWidth="1"/>
    <col min="24" max="24" width="21.109375" style="3327" customWidth="1"/>
    <col min="25" max="16384" width="9" style="3327"/>
  </cols>
  <sheetData>
    <row r="1" spans="1:23" s="3325" customFormat="1" ht="43.2">
      <c r="A1" s="3330" t="s">
        <v>206</v>
      </c>
      <c r="B1" s="3331" t="s">
        <v>207</v>
      </c>
      <c r="C1" s="3332" t="s">
        <v>208</v>
      </c>
      <c r="D1" s="3333" t="s">
        <v>209</v>
      </c>
      <c r="E1" s="3334" t="s">
        <v>210</v>
      </c>
      <c r="F1" s="3334" t="s">
        <v>211</v>
      </c>
      <c r="G1" s="3334" t="s">
        <v>212</v>
      </c>
      <c r="H1" s="3334" t="s">
        <v>213</v>
      </c>
      <c r="I1" s="3334" t="s">
        <v>214</v>
      </c>
      <c r="J1" s="3334" t="s">
        <v>215</v>
      </c>
      <c r="K1" s="3334" t="s">
        <v>216</v>
      </c>
      <c r="L1" s="3334" t="s">
        <v>217</v>
      </c>
      <c r="M1" s="3334" t="s">
        <v>218</v>
      </c>
      <c r="N1" s="3334" t="s">
        <v>219</v>
      </c>
      <c r="O1" s="3334" t="s">
        <v>220</v>
      </c>
      <c r="P1" s="3333" t="s">
        <v>221</v>
      </c>
      <c r="Q1" s="3333" t="s">
        <v>222</v>
      </c>
      <c r="R1" s="3334" t="s">
        <v>223</v>
      </c>
      <c r="S1" s="3334" t="s">
        <v>224</v>
      </c>
      <c r="T1" s="3343" t="s">
        <v>225</v>
      </c>
      <c r="U1" s="3334" t="s">
        <v>226</v>
      </c>
      <c r="V1" s="3334" t="s">
        <v>227</v>
      </c>
      <c r="W1" s="3334" t="s">
        <v>228</v>
      </c>
    </row>
    <row r="2" spans="1:23">
      <c r="A2" s="3335" t="s">
        <v>124</v>
      </c>
      <c r="B2" s="3335" t="s">
        <v>229</v>
      </c>
      <c r="C2" s="3336" t="s">
        <v>230</v>
      </c>
      <c r="D2" s="3329" t="s">
        <v>231</v>
      </c>
      <c r="E2" s="3329" t="s">
        <v>232</v>
      </c>
      <c r="F2" s="3329" t="s">
        <v>159</v>
      </c>
      <c r="G2" s="3329">
        <v>20</v>
      </c>
      <c r="H2" s="3329" t="s">
        <v>159</v>
      </c>
      <c r="I2" s="3329" t="s">
        <v>233</v>
      </c>
      <c r="J2" s="3329" t="s">
        <v>234</v>
      </c>
      <c r="K2" s="3329" t="s">
        <v>235</v>
      </c>
      <c r="L2" s="3329" t="s">
        <v>235</v>
      </c>
      <c r="M2" s="3329" t="s">
        <v>235</v>
      </c>
      <c r="N2" s="3329" t="s">
        <v>235</v>
      </c>
      <c r="O2" s="3329" t="s">
        <v>235</v>
      </c>
      <c r="P2" s="3329" t="s">
        <v>235</v>
      </c>
      <c r="Q2" s="3329" t="s">
        <v>235</v>
      </c>
      <c r="R2" s="3329" t="s">
        <v>236</v>
      </c>
      <c r="S2" s="3329" t="s">
        <v>235</v>
      </c>
      <c r="T2" s="3329" t="s">
        <v>237</v>
      </c>
      <c r="U2" s="3329" t="s">
        <v>235</v>
      </c>
      <c r="V2" s="3329" t="s">
        <v>238</v>
      </c>
      <c r="W2" s="3329" t="s">
        <v>235</v>
      </c>
    </row>
    <row r="3" spans="1:23">
      <c r="A3" s="3335" t="s">
        <v>239</v>
      </c>
      <c r="B3" s="3337" t="s">
        <v>240</v>
      </c>
      <c r="C3" s="3338" t="s">
        <v>241</v>
      </c>
      <c r="D3" s="3329" t="s">
        <v>242</v>
      </c>
      <c r="E3" s="3329" t="s">
        <v>124</v>
      </c>
      <c r="F3" s="3329" t="s">
        <v>160</v>
      </c>
      <c r="G3" s="3329">
        <v>40</v>
      </c>
      <c r="H3" s="3329" t="s">
        <v>160</v>
      </c>
      <c r="I3" s="3329" t="s">
        <v>243</v>
      </c>
      <c r="J3" s="3329" t="s">
        <v>244</v>
      </c>
      <c r="K3" s="3329" t="s">
        <v>245</v>
      </c>
      <c r="L3" s="3329" t="s">
        <v>245</v>
      </c>
      <c r="M3" s="3329" t="s">
        <v>245</v>
      </c>
      <c r="N3" s="3329" t="s">
        <v>245</v>
      </c>
      <c r="O3" s="3329" t="s">
        <v>245</v>
      </c>
      <c r="P3" s="3329" t="s">
        <v>245</v>
      </c>
      <c r="Q3" s="3329" t="s">
        <v>245</v>
      </c>
      <c r="R3" s="3329" t="s">
        <v>246</v>
      </c>
      <c r="S3" s="3329" t="s">
        <v>245</v>
      </c>
      <c r="T3" s="3329" t="s">
        <v>247</v>
      </c>
      <c r="U3" s="3329" t="s">
        <v>245</v>
      </c>
      <c r="V3" s="3329" t="s">
        <v>248</v>
      </c>
      <c r="W3" s="3329" t="s">
        <v>245</v>
      </c>
    </row>
    <row r="4" spans="1:23">
      <c r="A4" s="3335" t="s">
        <v>249</v>
      </c>
      <c r="B4" s="3335" t="s">
        <v>250</v>
      </c>
      <c r="C4" s="3336" t="s">
        <v>251</v>
      </c>
      <c r="D4" s="3329" t="s">
        <v>124</v>
      </c>
      <c r="E4" s="3329" t="s">
        <v>252</v>
      </c>
      <c r="F4" s="3329" t="s">
        <v>161</v>
      </c>
      <c r="G4" s="3329">
        <v>50</v>
      </c>
      <c r="H4" s="3329" t="s">
        <v>161</v>
      </c>
      <c r="I4" s="3329" t="s">
        <v>253</v>
      </c>
      <c r="K4" s="3329" t="s">
        <v>254</v>
      </c>
      <c r="L4" s="3329" t="s">
        <v>254</v>
      </c>
      <c r="M4" s="3329" t="s">
        <v>254</v>
      </c>
      <c r="N4" s="3329" t="s">
        <v>254</v>
      </c>
      <c r="O4" s="3329" t="s">
        <v>254</v>
      </c>
      <c r="P4" s="3329" t="s">
        <v>254</v>
      </c>
      <c r="Q4" s="3329" t="s">
        <v>254</v>
      </c>
      <c r="R4" s="3329" t="s">
        <v>255</v>
      </c>
      <c r="S4" s="3329" t="s">
        <v>254</v>
      </c>
      <c r="T4" s="3329" t="s">
        <v>256</v>
      </c>
      <c r="U4" s="3329" t="s">
        <v>254</v>
      </c>
      <c r="W4" s="3329" t="s">
        <v>254</v>
      </c>
    </row>
    <row r="5" spans="1:23">
      <c r="A5" s="3335" t="s">
        <v>257</v>
      </c>
      <c r="B5" s="3335" t="s">
        <v>258</v>
      </c>
      <c r="C5" s="3336" t="s">
        <v>259</v>
      </c>
      <c r="F5" s="3329" t="s">
        <v>162</v>
      </c>
      <c r="G5" s="3329">
        <v>70</v>
      </c>
      <c r="H5" s="3329" t="s">
        <v>260</v>
      </c>
      <c r="I5" s="3329" t="s">
        <v>261</v>
      </c>
      <c r="K5" s="3329" t="s">
        <v>262</v>
      </c>
      <c r="L5" s="3329" t="s">
        <v>262</v>
      </c>
      <c r="M5" s="3329" t="s">
        <v>262</v>
      </c>
      <c r="N5" s="3329" t="s">
        <v>262</v>
      </c>
      <c r="O5" s="3329" t="s">
        <v>262</v>
      </c>
      <c r="P5" s="3329" t="s">
        <v>262</v>
      </c>
      <c r="Q5" s="3329" t="s">
        <v>262</v>
      </c>
      <c r="R5" s="3329" t="s">
        <v>263</v>
      </c>
      <c r="S5" s="3329" t="s">
        <v>262</v>
      </c>
      <c r="T5" s="3329" t="s">
        <v>264</v>
      </c>
      <c r="U5" s="3329" t="s">
        <v>262</v>
      </c>
      <c r="W5" s="3329" t="s">
        <v>262</v>
      </c>
    </row>
    <row r="6" spans="1:23">
      <c r="A6" s="3335" t="s">
        <v>265</v>
      </c>
      <c r="B6" s="3337" t="s">
        <v>266</v>
      </c>
      <c r="C6" s="3339" t="s">
        <v>267</v>
      </c>
      <c r="F6" s="3329" t="s">
        <v>260</v>
      </c>
      <c r="H6" s="3329" t="s">
        <v>164</v>
      </c>
      <c r="I6" s="3329" t="s">
        <v>268</v>
      </c>
      <c r="K6" s="3329" t="s">
        <v>269</v>
      </c>
      <c r="L6" s="3329" t="s">
        <v>269</v>
      </c>
      <c r="M6" s="3329" t="s">
        <v>269</v>
      </c>
      <c r="N6" s="3329" t="s">
        <v>269</v>
      </c>
      <c r="O6" s="3329" t="s">
        <v>269</v>
      </c>
      <c r="P6" s="3329" t="s">
        <v>269</v>
      </c>
      <c r="Q6" s="3329" t="s">
        <v>269</v>
      </c>
      <c r="R6" s="3329" t="s">
        <v>270</v>
      </c>
      <c r="S6" s="3329" t="s">
        <v>269</v>
      </c>
      <c r="T6" s="3329"/>
      <c r="U6" s="3329" t="s">
        <v>269</v>
      </c>
      <c r="W6" s="3329" t="s">
        <v>269</v>
      </c>
    </row>
    <row r="7" spans="1:23">
      <c r="A7" s="3335" t="s">
        <v>271</v>
      </c>
      <c r="B7" s="3337" t="s">
        <v>272</v>
      </c>
      <c r="C7" s="3336" t="s">
        <v>273</v>
      </c>
      <c r="F7" s="3329" t="s">
        <v>274</v>
      </c>
      <c r="H7" s="3329" t="s">
        <v>162</v>
      </c>
      <c r="I7" s="3329" t="s">
        <v>275</v>
      </c>
    </row>
    <row r="8" spans="1:23">
      <c r="A8" s="3335" t="s">
        <v>276</v>
      </c>
      <c r="B8" s="3335" t="s">
        <v>277</v>
      </c>
      <c r="C8" s="3336" t="s">
        <v>278</v>
      </c>
      <c r="F8" s="3329" t="s">
        <v>279</v>
      </c>
      <c r="H8" s="3329" t="s">
        <v>280</v>
      </c>
      <c r="I8" s="3329" t="s">
        <v>281</v>
      </c>
    </row>
    <row r="9" spans="1:23">
      <c r="A9" s="3335" t="s">
        <v>282</v>
      </c>
      <c r="B9" s="3335" t="s">
        <v>283</v>
      </c>
      <c r="C9" s="3336" t="s">
        <v>284</v>
      </c>
      <c r="F9" s="3329" t="s">
        <v>164</v>
      </c>
      <c r="H9" s="3329"/>
      <c r="I9" s="3328" t="s">
        <v>285</v>
      </c>
    </row>
    <row r="10" spans="1:23">
      <c r="A10" s="3335" t="s">
        <v>286</v>
      </c>
      <c r="B10" s="3335" t="s">
        <v>287</v>
      </c>
      <c r="C10" s="3336" t="s">
        <v>288</v>
      </c>
      <c r="F10" s="3329" t="s">
        <v>280</v>
      </c>
      <c r="I10" s="3328" t="s">
        <v>289</v>
      </c>
    </row>
    <row r="11" spans="1:23">
      <c r="A11" s="3335" t="s">
        <v>290</v>
      </c>
      <c r="B11" s="3335" t="s">
        <v>291</v>
      </c>
      <c r="C11" s="3336" t="s">
        <v>292</v>
      </c>
      <c r="F11" s="3329" t="s">
        <v>124</v>
      </c>
      <c r="I11" s="3328" t="s">
        <v>293</v>
      </c>
    </row>
    <row r="12" spans="1:23">
      <c r="A12" s="3335" t="s">
        <v>294</v>
      </c>
      <c r="B12" s="3335" t="s">
        <v>295</v>
      </c>
      <c r="C12" s="3336" t="s">
        <v>296</v>
      </c>
      <c r="I12" s="3328" t="s">
        <v>297</v>
      </c>
    </row>
    <row r="13" spans="1:23">
      <c r="A13" s="3335" t="s">
        <v>298</v>
      </c>
      <c r="B13" s="3335" t="s">
        <v>299</v>
      </c>
      <c r="C13" s="3336" t="s">
        <v>300</v>
      </c>
      <c r="I13" s="3328" t="s">
        <v>301</v>
      </c>
    </row>
    <row r="14" spans="1:23">
      <c r="A14" s="3335" t="s">
        <v>302</v>
      </c>
      <c r="B14" s="3335" t="s">
        <v>303</v>
      </c>
      <c r="C14" s="3329" t="s">
        <v>124</v>
      </c>
      <c r="I14" s="3328" t="s">
        <v>304</v>
      </c>
    </row>
    <row r="15" spans="1:23">
      <c r="A15" s="3335" t="s">
        <v>305</v>
      </c>
      <c r="B15" s="3335" t="s">
        <v>306</v>
      </c>
      <c r="C15" s="3336"/>
      <c r="I15" s="3328" t="s">
        <v>307</v>
      </c>
    </row>
    <row r="16" spans="1:23">
      <c r="A16" s="3335" t="s">
        <v>308</v>
      </c>
      <c r="B16" s="3335" t="s">
        <v>309</v>
      </c>
      <c r="C16" s="3336"/>
    </row>
    <row r="17" spans="1:3">
      <c r="A17" s="3335" t="s">
        <v>310</v>
      </c>
      <c r="B17" s="3335" t="s">
        <v>311</v>
      </c>
      <c r="C17" s="3336"/>
    </row>
    <row r="18" spans="1:3">
      <c r="A18" s="3335" t="s">
        <v>312</v>
      </c>
      <c r="B18" s="3335" t="s">
        <v>313</v>
      </c>
      <c r="C18" s="3336"/>
    </row>
    <row r="19" spans="1:3">
      <c r="A19" s="3335" t="s">
        <v>314</v>
      </c>
      <c r="B19" s="3335" t="s">
        <v>315</v>
      </c>
      <c r="C19" s="3336"/>
    </row>
    <row r="20" spans="1:3">
      <c r="A20" s="3335" t="s">
        <v>316</v>
      </c>
      <c r="B20" s="3335" t="s">
        <v>317</v>
      </c>
      <c r="C20" s="3336"/>
    </row>
    <row r="21" spans="1:3">
      <c r="A21" s="3335" t="s">
        <v>260</v>
      </c>
      <c r="B21" s="3335" t="s">
        <v>318</v>
      </c>
      <c r="C21" s="3336"/>
    </row>
    <row r="22" spans="1:3">
      <c r="A22" s="3335" t="s">
        <v>319</v>
      </c>
      <c r="B22" s="3335" t="s">
        <v>318</v>
      </c>
      <c r="C22" s="3336"/>
    </row>
    <row r="23" spans="1:3">
      <c r="A23" s="3335" t="s">
        <v>320</v>
      </c>
      <c r="B23" s="3335" t="s">
        <v>318</v>
      </c>
      <c r="C23" s="3336"/>
    </row>
    <row r="24" spans="1:3">
      <c r="A24" s="3335" t="s">
        <v>321</v>
      </c>
      <c r="B24" s="3335" t="s">
        <v>318</v>
      </c>
      <c r="C24" s="3336"/>
    </row>
    <row r="25" spans="1:3">
      <c r="A25" s="3335" t="s">
        <v>322</v>
      </c>
      <c r="B25" s="3335" t="s">
        <v>318</v>
      </c>
      <c r="C25" s="3336"/>
    </row>
    <row r="26" spans="1:3">
      <c r="A26" s="3335" t="s">
        <v>323</v>
      </c>
      <c r="B26" s="3335" t="s">
        <v>318</v>
      </c>
      <c r="C26" s="3336"/>
    </row>
    <row r="27" spans="1:3">
      <c r="A27" s="3335" t="s">
        <v>318</v>
      </c>
      <c r="B27" s="3335" t="s">
        <v>318</v>
      </c>
      <c r="C27" s="3336"/>
    </row>
    <row r="28" spans="1:3">
      <c r="A28" s="3335" t="s">
        <v>318</v>
      </c>
      <c r="B28" s="3335" t="s">
        <v>318</v>
      </c>
      <c r="C28" s="3336"/>
    </row>
    <row r="29" spans="1:3">
      <c r="A29" s="3335" t="s">
        <v>318</v>
      </c>
      <c r="B29" s="3335" t="s">
        <v>318</v>
      </c>
      <c r="C29" s="3336"/>
    </row>
    <row r="30" spans="1:3">
      <c r="A30" s="3335" t="s">
        <v>318</v>
      </c>
      <c r="B30" s="3335" t="s">
        <v>318</v>
      </c>
      <c r="C30" s="3336"/>
    </row>
    <row r="31" spans="1:3">
      <c r="A31" s="3335" t="s">
        <v>318</v>
      </c>
      <c r="B31" s="3335" t="s">
        <v>318</v>
      </c>
      <c r="C31" s="3336"/>
    </row>
    <row r="32" spans="1:3">
      <c r="A32" s="3335" t="s">
        <v>318</v>
      </c>
      <c r="B32" s="3335" t="s">
        <v>318</v>
      </c>
      <c r="C32" s="3336"/>
    </row>
    <row r="33" spans="1:3">
      <c r="A33" s="3335" t="s">
        <v>318</v>
      </c>
      <c r="B33" s="3335" t="s">
        <v>318</v>
      </c>
      <c r="C33" s="3336"/>
    </row>
    <row r="34" spans="1:3">
      <c r="A34" s="3335" t="s">
        <v>318</v>
      </c>
      <c r="B34" s="3335" t="s">
        <v>318</v>
      </c>
      <c r="C34" s="3336"/>
    </row>
    <row r="35" spans="1:3">
      <c r="A35" s="3335" t="s">
        <v>318</v>
      </c>
      <c r="B35" s="3335" t="s">
        <v>318</v>
      </c>
      <c r="C35" s="3336"/>
    </row>
    <row r="36" spans="1:3">
      <c r="A36" s="3335" t="s">
        <v>318</v>
      </c>
      <c r="B36" s="3335" t="s">
        <v>318</v>
      </c>
      <c r="C36" s="3336"/>
    </row>
    <row r="37" spans="1:3">
      <c r="A37" s="3335" t="s">
        <v>318</v>
      </c>
      <c r="B37" s="3335" t="s">
        <v>318</v>
      </c>
      <c r="C37" s="3336"/>
    </row>
    <row r="38" spans="1:3">
      <c r="A38" s="3335" t="s">
        <v>318</v>
      </c>
      <c r="B38" s="3335" t="s">
        <v>318</v>
      </c>
      <c r="C38" s="3336"/>
    </row>
    <row r="39" spans="1:3">
      <c r="A39" s="3335" t="s">
        <v>318</v>
      </c>
      <c r="B39" s="3335" t="s">
        <v>318</v>
      </c>
      <c r="C39" s="3336"/>
    </row>
    <row r="40" spans="1:3">
      <c r="A40" s="3335" t="s">
        <v>318</v>
      </c>
      <c r="B40" s="3335" t="s">
        <v>318</v>
      </c>
      <c r="C40" s="3336"/>
    </row>
    <row r="41" spans="1:3">
      <c r="A41" s="3335" t="s">
        <v>318</v>
      </c>
      <c r="B41" s="3335" t="s">
        <v>318</v>
      </c>
      <c r="C41" s="3336"/>
    </row>
    <row r="42" spans="1:3">
      <c r="A42" s="3335" t="s">
        <v>318</v>
      </c>
      <c r="B42" s="3335" t="s">
        <v>318</v>
      </c>
      <c r="C42" s="3336"/>
    </row>
    <row r="43" spans="1:3">
      <c r="A43" s="3335" t="s">
        <v>318</v>
      </c>
      <c r="B43" s="3335" t="s">
        <v>318</v>
      </c>
      <c r="C43" s="3336"/>
    </row>
    <row r="44" spans="1:3">
      <c r="A44" s="3335" t="s">
        <v>318</v>
      </c>
      <c r="B44" s="3335" t="s">
        <v>318</v>
      </c>
      <c r="C44" s="3336"/>
    </row>
    <row r="45" spans="1:3">
      <c r="A45" s="3335" t="s">
        <v>318</v>
      </c>
      <c r="B45" s="3335" t="s">
        <v>318</v>
      </c>
      <c r="C45" s="3336"/>
    </row>
    <row r="46" spans="1:3">
      <c r="A46" s="3335" t="s">
        <v>318</v>
      </c>
      <c r="B46" s="3335" t="s">
        <v>318</v>
      </c>
      <c r="C46" s="3336"/>
    </row>
    <row r="47" spans="1:3">
      <c r="A47" s="3335" t="s">
        <v>318</v>
      </c>
      <c r="B47" s="3335" t="s">
        <v>318</v>
      </c>
      <c r="C47" s="3336"/>
    </row>
    <row r="48" spans="1:3">
      <c r="A48" s="3335" t="s">
        <v>318</v>
      </c>
      <c r="B48" s="3335" t="s">
        <v>318</v>
      </c>
      <c r="C48" s="3336"/>
    </row>
    <row r="49" spans="1:4">
      <c r="A49" s="3335" t="s">
        <v>318</v>
      </c>
      <c r="B49" s="3335" t="s">
        <v>318</v>
      </c>
      <c r="C49" s="3336"/>
    </row>
    <row r="50" spans="1:4">
      <c r="A50" s="3335" t="s">
        <v>318</v>
      </c>
      <c r="B50" s="3335" t="s">
        <v>318</v>
      </c>
      <c r="C50" s="3336"/>
    </row>
    <row r="51" spans="1:4">
      <c r="A51" s="3340" t="s">
        <v>324</v>
      </c>
      <c r="B51" s="33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41" t="s">
        <v>325</v>
      </c>
    </row>
    <row r="52" spans="1:4">
      <c r="A52" s="3340" t="s">
        <v>326</v>
      </c>
      <c r="B52" s="3340" t="s">
        <v>327</v>
      </c>
      <c r="C52" s="3328" t="s">
        <v>328</v>
      </c>
      <c r="D52" s="3328" t="s">
        <v>329</v>
      </c>
    </row>
    <row r="53" spans="1:4">
      <c r="A53" s="3506" t="s">
        <v>330</v>
      </c>
      <c r="B53" s="3341" t="s">
        <v>331</v>
      </c>
      <c r="C53" s="33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3341" t="s">
        <v>332</v>
      </c>
      <c r="C54" s="3328" t="s">
        <v>333</v>
      </c>
    </row>
    <row r="55" spans="1:4">
      <c r="A55" s="3506"/>
      <c r="B55" s="3341" t="s">
        <v>334</v>
      </c>
      <c r="C55" s="3328" t="s">
        <v>335</v>
      </c>
    </row>
    <row r="56" spans="1:4">
      <c r="A56" s="3506"/>
      <c r="B56" s="3341" t="s">
        <v>336</v>
      </c>
      <c r="C56" s="3328" t="s">
        <v>337</v>
      </c>
    </row>
    <row r="57" spans="1:4">
      <c r="A57" s="3506"/>
      <c r="B57" s="3341" t="s">
        <v>338</v>
      </c>
      <c r="C57" s="3328" t="s">
        <v>339</v>
      </c>
    </row>
    <row r="58" spans="1:4">
      <c r="A58" s="3342"/>
      <c r="B58" s="3328"/>
    </row>
    <row r="59" spans="1:4">
      <c r="A59" s="3342"/>
      <c r="B59" s="3328"/>
    </row>
    <row r="60" spans="1:4">
      <c r="A60" s="3342"/>
      <c r="B60" s="3328"/>
    </row>
    <row r="61" spans="1:4">
      <c r="A61" s="3342"/>
      <c r="B61" s="3328"/>
    </row>
    <row r="62" spans="1:4">
      <c r="A62" s="3342"/>
      <c r="B62" s="3328"/>
    </row>
    <row r="63" spans="1:4">
      <c r="A63" s="3342"/>
      <c r="B63" s="3328"/>
    </row>
    <row r="64" spans="1:4">
      <c r="A64" s="3342"/>
      <c r="B64" s="3328"/>
    </row>
    <row r="65" spans="1:2">
      <c r="A65" s="3342"/>
      <c r="B65" s="3328"/>
    </row>
    <row r="66" spans="1:2">
      <c r="A66" s="3342"/>
      <c r="B66" s="3328"/>
    </row>
    <row r="67" spans="1:2">
      <c r="A67" s="3342"/>
      <c r="B67" s="3328"/>
    </row>
    <row r="68" spans="1:2">
      <c r="A68" s="3342"/>
      <c r="B68" s="3328"/>
    </row>
    <row r="69" spans="1:2">
      <c r="A69" s="3342"/>
      <c r="B69" s="3328"/>
    </row>
    <row r="70" spans="1:2">
      <c r="A70" s="3342"/>
      <c r="B70" s="3328"/>
    </row>
    <row r="71" spans="1:2">
      <c r="A71" s="3342"/>
      <c r="B71" s="3328"/>
    </row>
    <row r="72" spans="1:2">
      <c r="A72" s="3342"/>
      <c r="B72" s="3328"/>
    </row>
    <row r="73" spans="1:2">
      <c r="A73" s="3342"/>
      <c r="B73" s="3328"/>
    </row>
    <row r="74" spans="1:2">
      <c r="A74" s="3342"/>
      <c r="B74" s="3328"/>
    </row>
    <row r="75" spans="1:2">
      <c r="A75" s="3342"/>
      <c r="B75" s="3328"/>
    </row>
    <row r="76" spans="1:2">
      <c r="A76" s="3342"/>
      <c r="B76" s="3328"/>
    </row>
    <row r="77" spans="1:2">
      <c r="A77" s="3342"/>
      <c r="B77" s="3328"/>
    </row>
    <row r="78" spans="1:2">
      <c r="A78" s="3342"/>
      <c r="B78" s="3328"/>
    </row>
    <row r="79" spans="1:2">
      <c r="A79" s="3342"/>
      <c r="B79" s="3328"/>
    </row>
    <row r="80" spans="1:2">
      <c r="A80" s="3342"/>
      <c r="B80" s="3328"/>
    </row>
    <row r="81" spans="1:2">
      <c r="A81" s="3342"/>
      <c r="B81" s="3328"/>
    </row>
    <row r="82" spans="1:2">
      <c r="A82" s="3342"/>
      <c r="B82" s="3328"/>
    </row>
    <row r="83" spans="1:2">
      <c r="A83" s="3342"/>
      <c r="B83" s="3328"/>
    </row>
    <row r="84" spans="1:2">
      <c r="A84" s="3342"/>
      <c r="B84" s="3328"/>
    </row>
    <row r="85" spans="1:2">
      <c r="A85" s="3342"/>
      <c r="B85" s="3328"/>
    </row>
    <row r="86" spans="1:2">
      <c r="A86" s="3342"/>
      <c r="B86" s="3328"/>
    </row>
    <row r="87" spans="1:2">
      <c r="A87" s="3342"/>
      <c r="B87" s="3328"/>
    </row>
    <row r="88" spans="1:2">
      <c r="A88" s="3342"/>
      <c r="B88" s="3328"/>
    </row>
    <row r="89" spans="1:2">
      <c r="A89" s="3342"/>
      <c r="B89" s="3328"/>
    </row>
    <row r="90" spans="1:2">
      <c r="A90" s="3342"/>
      <c r="B90" s="3328"/>
    </row>
    <row r="91" spans="1:2">
      <c r="A91" s="3342"/>
      <c r="B91" s="3328"/>
    </row>
    <row r="92" spans="1:2">
      <c r="A92" s="3342"/>
      <c r="B92" s="3328"/>
    </row>
    <row r="93" spans="1:2">
      <c r="A93" s="3342"/>
      <c r="B93" s="3328"/>
    </row>
    <row r="94" spans="1:2">
      <c r="A94" s="3342"/>
      <c r="B94" s="3328"/>
    </row>
    <row r="95" spans="1:2">
      <c r="A95" s="3342"/>
      <c r="B95" s="3328"/>
    </row>
    <row r="96" spans="1:2">
      <c r="A96" s="3342"/>
      <c r="B96" s="3328"/>
    </row>
    <row r="97" spans="1:2">
      <c r="A97" s="3342"/>
      <c r="B97" s="3328"/>
    </row>
    <row r="98" spans="1:2">
      <c r="A98" s="3342"/>
      <c r="B98" s="3328"/>
    </row>
    <row r="99" spans="1:2">
      <c r="A99" s="3342"/>
      <c r="B99" s="3328"/>
    </row>
    <row r="100" spans="1:2">
      <c r="A100" s="3342"/>
      <c r="B100" s="3328"/>
    </row>
    <row r="101" spans="1:2">
      <c r="A101" s="3342"/>
      <c r="B101" s="3328"/>
    </row>
    <row r="102" spans="1:2">
      <c r="A102" s="3342"/>
      <c r="B102" s="3328"/>
    </row>
    <row r="103" spans="1:2">
      <c r="A103" s="3342"/>
      <c r="B103" s="3328"/>
    </row>
    <row r="104" spans="1:2">
      <c r="A104" s="3342"/>
      <c r="B104" s="3328"/>
    </row>
    <row r="105" spans="1:2">
      <c r="A105" s="3342"/>
      <c r="B105" s="3328"/>
    </row>
    <row r="106" spans="1:2">
      <c r="A106" s="3342"/>
      <c r="B106" s="3328"/>
    </row>
    <row r="107" spans="1:2">
      <c r="A107" s="3342"/>
      <c r="B107" s="3328"/>
    </row>
    <row r="108" spans="1:2">
      <c r="A108" s="3342"/>
      <c r="B108" s="3328"/>
    </row>
    <row r="109" spans="1:2">
      <c r="A109" s="3342"/>
      <c r="B109" s="3328"/>
    </row>
    <row r="110" spans="1:2">
      <c r="A110" s="3342"/>
      <c r="B110" s="3328"/>
    </row>
    <row r="111" spans="1:2">
      <c r="A111" s="3342"/>
      <c r="B111" s="3328"/>
    </row>
    <row r="112" spans="1:2">
      <c r="A112" s="3342"/>
      <c r="B112" s="3328"/>
    </row>
    <row r="113" spans="1:2">
      <c r="A113" s="3342"/>
      <c r="B113" s="3328"/>
    </row>
    <row r="114" spans="1:2">
      <c r="A114" s="3342"/>
      <c r="B114" s="3328"/>
    </row>
    <row r="115" spans="1:2">
      <c r="A115" s="3342"/>
      <c r="B115" s="3328"/>
    </row>
    <row r="116" spans="1:2">
      <c r="A116" s="3342"/>
      <c r="B116" s="3328"/>
    </row>
    <row r="117" spans="1:2">
      <c r="A117" s="3342"/>
      <c r="B117" s="3328"/>
    </row>
    <row r="118" spans="1:2">
      <c r="A118" s="3342"/>
      <c r="B118" s="3328"/>
    </row>
    <row r="119" spans="1:2">
      <c r="A119" s="3342"/>
      <c r="B119" s="3328"/>
    </row>
    <row r="120" spans="1:2">
      <c r="A120" s="3342"/>
      <c r="B120" s="3328"/>
    </row>
    <row r="121" spans="1:2">
      <c r="A121" s="3342"/>
      <c r="B121" s="3328"/>
    </row>
    <row r="122" spans="1:2">
      <c r="A122" s="3342"/>
      <c r="B122" s="3328"/>
    </row>
    <row r="123" spans="1:2">
      <c r="A123" s="3342"/>
      <c r="B123" s="3328"/>
    </row>
    <row r="124" spans="1:2">
      <c r="A124" s="3342"/>
      <c r="B124" s="3328"/>
    </row>
    <row r="125" spans="1:2">
      <c r="A125" s="3342"/>
      <c r="B125" s="3328"/>
    </row>
    <row r="126" spans="1:2">
      <c r="A126" s="3342"/>
      <c r="B126" s="3328"/>
    </row>
    <row r="127" spans="1:2">
      <c r="A127" s="3342"/>
      <c r="B127" s="3328"/>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4" sqref="B4"/>
    </sheetView>
  </sheetViews>
  <sheetFormatPr defaultColWidth="15.21875" defaultRowHeight="14.4"/>
  <cols>
    <col min="1" max="7" width="15.21875" style="3275"/>
    <col min="8" max="8" width="5.44140625" style="3275" customWidth="1"/>
    <col min="9" max="13" width="9.44140625" style="3276" customWidth="1"/>
    <col min="14" max="18" width="9.44140625" style="3275" customWidth="1"/>
    <col min="19" max="16384" width="15.21875" style="3275"/>
  </cols>
  <sheetData>
    <row r="1" spans="1:18">
      <c r="A1" s="3277" t="s">
        <v>340</v>
      </c>
      <c r="B1" s="3278"/>
      <c r="C1" s="3278"/>
      <c r="D1" s="3278"/>
      <c r="E1" s="3278"/>
      <c r="F1" s="3279"/>
      <c r="I1" s="3320" t="s">
        <v>341</v>
      </c>
      <c r="J1" s="336"/>
      <c r="K1" s="336"/>
      <c r="L1" s="336"/>
      <c r="M1" s="336"/>
      <c r="N1" s="3321"/>
      <c r="O1" s="3321"/>
      <c r="P1" s="3321"/>
      <c r="Q1" s="3321"/>
      <c r="R1" s="3321"/>
    </row>
    <row r="2" spans="1:18">
      <c r="A2" s="3280"/>
      <c r="B2" s="3281"/>
      <c r="C2" s="3281"/>
      <c r="D2" s="3281"/>
      <c r="E2" s="3281"/>
      <c r="F2" s="3282"/>
      <c r="I2" s="3507" t="s">
        <v>342</v>
      </c>
      <c r="J2" s="3507"/>
      <c r="K2" s="3507"/>
      <c r="L2" s="3507"/>
      <c r="M2" s="3507"/>
      <c r="N2" s="3507"/>
      <c r="O2" s="3507"/>
      <c r="P2" s="3507"/>
      <c r="Q2" s="3507"/>
      <c r="R2" s="3507"/>
    </row>
    <row r="3" spans="1:18">
      <c r="A3" s="484" t="s">
        <v>343</v>
      </c>
      <c r="B3" s="3283">
        <f>项目基本情况!D3</f>
        <v>45311</v>
      </c>
      <c r="C3" s="485"/>
      <c r="D3" s="485"/>
      <c r="E3" s="485"/>
      <c r="F3" s="3282"/>
      <c r="I3" s="3322"/>
      <c r="J3" s="3322" t="s">
        <v>344</v>
      </c>
      <c r="K3" s="3322" t="s">
        <v>345</v>
      </c>
      <c r="L3" s="3322" t="s">
        <v>346</v>
      </c>
      <c r="M3" s="3322" t="s">
        <v>347</v>
      </c>
      <c r="N3" s="3323" t="s">
        <v>348</v>
      </c>
      <c r="O3" s="3323" t="s">
        <v>349</v>
      </c>
      <c r="P3" s="3323" t="s">
        <v>350</v>
      </c>
      <c r="Q3" s="3323" t="s">
        <v>351</v>
      </c>
      <c r="R3" s="3323" t="s">
        <v>352</v>
      </c>
    </row>
    <row r="4" spans="1:18">
      <c r="A4" s="484" t="s">
        <v>353</v>
      </c>
      <c r="B4" s="485" t="s">
        <v>354</v>
      </c>
      <c r="C4" s="485" t="s">
        <v>355</v>
      </c>
      <c r="D4" s="485" t="s">
        <v>356</v>
      </c>
      <c r="E4" s="485" t="s">
        <v>357</v>
      </c>
      <c r="F4" s="3282"/>
      <c r="I4" s="3322" t="s">
        <v>358</v>
      </c>
      <c r="J4" s="3322">
        <v>80</v>
      </c>
      <c r="K4" s="3322">
        <v>70</v>
      </c>
      <c r="L4" s="3322">
        <v>20</v>
      </c>
      <c r="M4" s="3322">
        <v>30</v>
      </c>
      <c r="N4" s="485">
        <v>45</v>
      </c>
      <c r="O4" s="485">
        <v>60</v>
      </c>
      <c r="P4" s="485">
        <v>50</v>
      </c>
      <c r="Q4" s="485">
        <v>20</v>
      </c>
      <c r="R4" s="485">
        <v>375</v>
      </c>
    </row>
    <row r="5" spans="1:18">
      <c r="A5" s="3284">
        <v>40</v>
      </c>
      <c r="B5" s="3283">
        <v>46375</v>
      </c>
      <c r="C5" s="485">
        <f>ROUNDDOWN(MIN((B5-B3)/365,A5),2)</f>
        <v>2.91</v>
      </c>
      <c r="D5" s="3285">
        <f>IF(ISERROR(ROUND(POWER(1+E5,A5-C5)*(POWER(1+E5,C5)-1)/(POWER(1+E5,A5)-1),3)),0,ROUND(POWER(1+E5,A5-C5)*(POWER(1+E5,C5)-1)/(POWER(1+E5,A5)-1),4))</f>
        <v>0.13619999999999999</v>
      </c>
      <c r="E5" s="3286">
        <v>0.04</v>
      </c>
      <c r="F5" s="3282"/>
      <c r="I5" s="3322" t="s">
        <v>359</v>
      </c>
      <c r="J5" s="3322">
        <v>70</v>
      </c>
      <c r="K5" s="3322">
        <v>60</v>
      </c>
      <c r="L5" s="3322">
        <v>15</v>
      </c>
      <c r="M5" s="3322">
        <v>25</v>
      </c>
      <c r="N5" s="485">
        <v>40</v>
      </c>
      <c r="O5" s="485">
        <v>50</v>
      </c>
      <c r="P5" s="485">
        <v>40</v>
      </c>
      <c r="Q5" s="485">
        <v>15</v>
      </c>
      <c r="R5" s="485">
        <v>315</v>
      </c>
    </row>
    <row r="6" spans="1:18">
      <c r="A6" s="3284">
        <v>50</v>
      </c>
      <c r="B6" s="3283">
        <v>50028</v>
      </c>
      <c r="C6" s="485">
        <f>ROUNDDOWN(MIN((B6-B3)/365,A6),2)</f>
        <v>12.92</v>
      </c>
      <c r="D6" s="3285">
        <f>IF(ISERROR(ROUND(POWER(1+E6,A6-C6)*(POWER(1+E6,C6)-1)/(POWER(1+E6,A6)-1),3)),0,ROUND(POWER(1+E6,A6-C6)*(POWER(1+E6,C6)-1)/(POWER(1+E6,A6)-1),4))</f>
        <v>0.46260000000000001</v>
      </c>
      <c r="E6" s="3286">
        <v>0.04</v>
      </c>
      <c r="F6" s="3282"/>
      <c r="I6" s="3322" t="s">
        <v>360</v>
      </c>
      <c r="J6" s="3322">
        <v>60</v>
      </c>
      <c r="K6" s="3322">
        <v>50</v>
      </c>
      <c r="L6" s="3322">
        <v>10</v>
      </c>
      <c r="M6" s="3322">
        <v>20</v>
      </c>
      <c r="N6" s="485">
        <v>35</v>
      </c>
      <c r="O6" s="485">
        <v>40</v>
      </c>
      <c r="P6" s="485">
        <v>30</v>
      </c>
      <c r="Q6" s="485">
        <v>10</v>
      </c>
      <c r="R6" s="485">
        <v>255</v>
      </c>
    </row>
    <row r="7" spans="1:18">
      <c r="A7" s="3284">
        <v>70</v>
      </c>
      <c r="B7" s="3283">
        <v>57333</v>
      </c>
      <c r="C7" s="485">
        <f>ROUNDDOWN(MIN((B7-B3)/365,A7),2)</f>
        <v>32.93</v>
      </c>
      <c r="D7" s="3285">
        <f>IF(ISERROR(ROUND(POWER(1+E7,A7-C7)*(POWER(1+E7,C7)-1)/(POWER(1+E7,A7)-1),3)),0,ROUND(POWER(1+E7,A7-C7)*(POWER(1+E7,C7)-1)/(POWER(1+E7,A7)-1),4))</f>
        <v>0.77490000000000003</v>
      </c>
      <c r="E7" s="3286">
        <v>0.04</v>
      </c>
      <c r="F7" s="3282"/>
    </row>
    <row r="8" spans="1:18">
      <c r="A8" s="3280"/>
      <c r="B8" s="3281"/>
      <c r="C8" s="3281"/>
      <c r="D8" s="3281"/>
      <c r="E8" s="3281"/>
      <c r="F8" s="3282"/>
    </row>
    <row r="9" spans="1:18">
      <c r="A9" s="484" t="s">
        <v>361</v>
      </c>
      <c r="B9" s="485"/>
      <c r="C9" s="485"/>
      <c r="D9" s="485"/>
      <c r="E9" s="485"/>
      <c r="F9" s="527"/>
    </row>
    <row r="10" spans="1:18">
      <c r="A10" s="484" t="s">
        <v>362</v>
      </c>
      <c r="B10" s="485"/>
      <c r="C10" s="485"/>
      <c r="D10" s="485" t="s">
        <v>357</v>
      </c>
      <c r="E10" s="485"/>
      <c r="F10" s="527" t="s">
        <v>356</v>
      </c>
    </row>
    <row r="11" spans="1:18">
      <c r="A11" s="484" t="s">
        <v>363</v>
      </c>
      <c r="B11" s="3287">
        <v>70</v>
      </c>
      <c r="C11" s="485" t="s">
        <v>364</v>
      </c>
      <c r="D11" s="3288">
        <v>4.4999999999999998E-2</v>
      </c>
      <c r="E11" s="485" t="s">
        <v>365</v>
      </c>
      <c r="F11" s="3289">
        <f>ROUND(1-(1/(POWER(1+D11,B11))),4)</f>
        <v>0.95409999999999995</v>
      </c>
    </row>
    <row r="12" spans="1:18">
      <c r="A12" s="484" t="s">
        <v>366</v>
      </c>
      <c r="B12" s="3287">
        <v>40</v>
      </c>
      <c r="C12" s="485" t="s">
        <v>367</v>
      </c>
      <c r="D12" s="3288">
        <v>4.4999999999999998E-2</v>
      </c>
      <c r="E12" s="485" t="s">
        <v>368</v>
      </c>
      <c r="F12" s="3289">
        <f>ROUND(1-(1/(POWER(1+D12,B12))),4)</f>
        <v>0.82809999999999995</v>
      </c>
    </row>
    <row r="13" spans="1:18">
      <c r="A13" s="484" t="s">
        <v>369</v>
      </c>
      <c r="B13" s="485"/>
      <c r="C13" s="485"/>
      <c r="D13" s="3281"/>
      <c r="E13" s="3281"/>
      <c r="F13" s="3282"/>
    </row>
    <row r="14" spans="1:18">
      <c r="A14" s="484" t="s">
        <v>370</v>
      </c>
      <c r="B14" s="3287">
        <v>5000</v>
      </c>
      <c r="C14" s="3290"/>
      <c r="D14" s="3281"/>
      <c r="E14" s="3281"/>
      <c r="F14" s="3282"/>
    </row>
    <row r="15" spans="1:18">
      <c r="A15" s="484" t="s">
        <v>371</v>
      </c>
      <c r="B15" s="485">
        <f>ROUND(B14*F12/F11,2)</f>
        <v>4339.6899999999996</v>
      </c>
      <c r="C15" s="485">
        <f>ROUND(F12/F11,4)</f>
        <v>0.8679</v>
      </c>
      <c r="D15" s="3281"/>
      <c r="E15" s="3281"/>
      <c r="F15" s="3282"/>
    </row>
    <row r="16" spans="1:18">
      <c r="A16" s="484" t="s">
        <v>372</v>
      </c>
      <c r="B16" s="485"/>
      <c r="C16" s="485"/>
      <c r="D16" s="3281"/>
      <c r="E16" s="3281"/>
      <c r="F16" s="3282"/>
    </row>
    <row r="17" spans="1:13">
      <c r="A17" s="484" t="s">
        <v>371</v>
      </c>
      <c r="B17" s="3288">
        <v>4810</v>
      </c>
      <c r="C17" s="3290"/>
      <c r="D17" s="3281"/>
      <c r="E17" s="3281"/>
      <c r="F17" s="3282"/>
    </row>
    <row r="18" spans="1:13">
      <c r="A18" s="3291" t="s">
        <v>370</v>
      </c>
      <c r="B18" s="530">
        <f>ROUND(B17*F11/F12,2)</f>
        <v>5541.87</v>
      </c>
      <c r="C18" s="530">
        <f>ROUND(F11/F12,4)</f>
        <v>1.1521999999999999</v>
      </c>
      <c r="D18" s="3292"/>
      <c r="E18" s="3292"/>
      <c r="F18" s="3293"/>
    </row>
    <row r="20" spans="1:13" s="3274" customFormat="1">
      <c r="A20" s="3294" t="s">
        <v>373</v>
      </c>
      <c r="B20" s="3295"/>
      <c r="C20" s="3295"/>
      <c r="D20" s="3295"/>
      <c r="E20" s="3295"/>
      <c r="F20" s="3295"/>
      <c r="G20" s="3296"/>
      <c r="I20" s="3324" t="s">
        <v>374</v>
      </c>
      <c r="J20" s="3324" t="s">
        <v>375</v>
      </c>
      <c r="K20" s="3324"/>
      <c r="L20" s="3324"/>
      <c r="M20" s="3324"/>
    </row>
    <row r="21" spans="1:13">
      <c r="A21" s="3297"/>
      <c r="B21" s="3298" t="s">
        <v>376</v>
      </c>
      <c r="C21" s="3298" t="s">
        <v>355</v>
      </c>
      <c r="D21" s="3298" t="s">
        <v>377</v>
      </c>
      <c r="E21" s="3298" t="s">
        <v>356</v>
      </c>
      <c r="F21" s="3298" t="s">
        <v>378</v>
      </c>
      <c r="G21" s="3299" t="s">
        <v>379</v>
      </c>
      <c r="I21" s="3276">
        <v>5</v>
      </c>
      <c r="J21" s="3276">
        <v>54.2</v>
      </c>
    </row>
    <row r="22" spans="1:13">
      <c r="A22" s="3297" t="s">
        <v>380</v>
      </c>
      <c r="B22" s="3300">
        <v>70</v>
      </c>
      <c r="C22" s="3300">
        <v>30</v>
      </c>
      <c r="D22" s="3301">
        <v>0.04</v>
      </c>
      <c r="E22" s="3298">
        <f>ROUND(POWER(1+D22,B22-C22)*(POWER(1+D22,C22)-1)/(POWER(1+D22,B22)-1),3)</f>
        <v>0.73899999999999999</v>
      </c>
      <c r="F22" s="3301">
        <v>0.7</v>
      </c>
      <c r="G22" s="3299">
        <f>ROUND(100*(1-(1-E22)*F22),1)</f>
        <v>81.7</v>
      </c>
      <c r="I22" s="3276">
        <v>10</v>
      </c>
      <c r="J22" s="3276">
        <v>65.400000000000006</v>
      </c>
      <c r="K22" s="3276">
        <f>J22-J21</f>
        <v>11.2</v>
      </c>
    </row>
    <row r="23" spans="1:13">
      <c r="A23" s="3297" t="s">
        <v>381</v>
      </c>
      <c r="B23" s="3300">
        <v>70</v>
      </c>
      <c r="C23" s="3300">
        <v>40</v>
      </c>
      <c r="D23" s="3301">
        <v>0.04</v>
      </c>
      <c r="E23" s="3298">
        <f t="shared" ref="E23:E25" si="0">ROUND(POWER(1+D23,B23-C23)*(POWER(1+D23,C23)-1)/(POWER(1+D23,B23)-1),3)</f>
        <v>0.84599999999999997</v>
      </c>
      <c r="F23" s="3301">
        <f>F22</f>
        <v>0.7</v>
      </c>
      <c r="G23" s="3299">
        <f t="shared" ref="G23:G25" si="1">ROUND(100*(1-(1-E23)*F23),1)</f>
        <v>89.2</v>
      </c>
      <c r="I23" s="3276">
        <v>15</v>
      </c>
      <c r="J23" s="3276">
        <v>74.099999999999994</v>
      </c>
      <c r="K23" s="3276">
        <f t="shared" ref="K23:K30" si="2">J23-J22</f>
        <v>8.6999999999999904</v>
      </c>
      <c r="L23" s="3276" t="s">
        <v>382</v>
      </c>
      <c r="M23" s="3276" t="s">
        <v>383</v>
      </c>
    </row>
    <row r="24" spans="1:13">
      <c r="A24" s="3297" t="s">
        <v>384</v>
      </c>
      <c r="B24" s="3300">
        <v>70</v>
      </c>
      <c r="C24" s="3300">
        <v>50</v>
      </c>
      <c r="D24" s="3301">
        <v>0.04</v>
      </c>
      <c r="E24" s="3298">
        <f t="shared" si="0"/>
        <v>0.91800000000000004</v>
      </c>
      <c r="F24" s="3301">
        <f>F23</f>
        <v>0.7</v>
      </c>
      <c r="G24" s="3299">
        <f t="shared" si="1"/>
        <v>94.3</v>
      </c>
      <c r="I24" s="3276">
        <v>20</v>
      </c>
      <c r="J24" s="3276">
        <v>81</v>
      </c>
      <c r="K24" s="3276">
        <f t="shared" si="2"/>
        <v>6.9000000000000101</v>
      </c>
      <c r="L24" s="3276" t="s">
        <v>385</v>
      </c>
      <c r="M24" s="3276">
        <v>10</v>
      </c>
    </row>
    <row r="25" spans="1:13">
      <c r="A25" s="3297" t="s">
        <v>386</v>
      </c>
      <c r="B25" s="3300">
        <v>70</v>
      </c>
      <c r="C25" s="3300">
        <v>60</v>
      </c>
      <c r="D25" s="3301">
        <v>0.04</v>
      </c>
      <c r="E25" s="3298">
        <f t="shared" si="0"/>
        <v>0.96699999999999997</v>
      </c>
      <c r="F25" s="3301">
        <f>F24</f>
        <v>0.7</v>
      </c>
      <c r="G25" s="3299">
        <f t="shared" si="1"/>
        <v>97.7</v>
      </c>
      <c r="I25" s="3276">
        <v>25</v>
      </c>
      <c r="J25" s="3276">
        <v>86.3</v>
      </c>
      <c r="K25" s="3276">
        <f t="shared" si="2"/>
        <v>5.3</v>
      </c>
      <c r="L25" s="3276" t="s">
        <v>387</v>
      </c>
      <c r="M25" s="3276">
        <v>8</v>
      </c>
    </row>
    <row r="26" spans="1:13">
      <c r="A26" s="3302"/>
      <c r="B26" s="3303"/>
      <c r="C26" s="3303"/>
      <c r="D26" s="3303"/>
      <c r="E26" s="3303"/>
      <c r="F26" s="3303"/>
      <c r="G26" s="3304"/>
      <c r="I26" s="3276">
        <v>30</v>
      </c>
      <c r="J26" s="3276">
        <v>90.5</v>
      </c>
      <c r="K26" s="3276">
        <f t="shared" si="2"/>
        <v>4.2</v>
      </c>
      <c r="L26" s="3276" t="s">
        <v>388</v>
      </c>
      <c r="M26" s="3276">
        <v>5</v>
      </c>
    </row>
    <row r="27" spans="1:13">
      <c r="A27" s="3302" t="s">
        <v>389</v>
      </c>
      <c r="B27" s="3303"/>
      <c r="C27" s="3303"/>
      <c r="D27" s="3303"/>
      <c r="E27" s="3303"/>
      <c r="F27" s="3303"/>
      <c r="G27" s="3304"/>
      <c r="I27" s="3276">
        <v>35</v>
      </c>
      <c r="J27" s="3276">
        <v>93.8</v>
      </c>
      <c r="K27" s="3276">
        <f t="shared" si="2"/>
        <v>3.3</v>
      </c>
      <c r="L27" s="3276" t="s">
        <v>390</v>
      </c>
      <c r="M27" s="3276">
        <v>3</v>
      </c>
    </row>
    <row r="28" spans="1:13">
      <c r="A28" s="3302" t="s">
        <v>391</v>
      </c>
      <c r="B28" s="3303"/>
      <c r="C28" s="3303"/>
      <c r="D28" s="3303"/>
      <c r="E28" s="3303"/>
      <c r="F28" s="3303"/>
      <c r="G28" s="3304"/>
      <c r="I28" s="3276">
        <v>40</v>
      </c>
      <c r="J28" s="3276">
        <v>96.4</v>
      </c>
      <c r="K28" s="3276">
        <f t="shared" si="2"/>
        <v>2.6000000000000099</v>
      </c>
      <c r="L28" s="3276" t="s">
        <v>392</v>
      </c>
      <c r="M28" s="3276">
        <v>2</v>
      </c>
    </row>
    <row r="29" spans="1:13">
      <c r="A29" s="3302" t="s">
        <v>393</v>
      </c>
      <c r="B29" s="3303"/>
      <c r="C29" s="3303"/>
      <c r="D29" s="3303"/>
      <c r="E29" s="3303"/>
      <c r="F29" s="3303"/>
      <c r="G29" s="3304"/>
      <c r="I29" s="3276">
        <v>45</v>
      </c>
      <c r="J29" s="3276">
        <v>98.4</v>
      </c>
      <c r="K29" s="3276">
        <f t="shared" si="2"/>
        <v>2</v>
      </c>
    </row>
    <row r="30" spans="1:13">
      <c r="A30" s="3302" t="s">
        <v>394</v>
      </c>
      <c r="B30" s="3303"/>
      <c r="C30" s="3303"/>
      <c r="D30" s="3303"/>
      <c r="E30" s="3303"/>
      <c r="F30" s="3303"/>
      <c r="G30" s="3304"/>
      <c r="I30" s="3276">
        <v>50</v>
      </c>
      <c r="J30" s="3276">
        <v>100</v>
      </c>
      <c r="K30" s="3276">
        <f t="shared" si="2"/>
        <v>1.5999999999999901</v>
      </c>
    </row>
    <row r="31" spans="1:13">
      <c r="A31" s="3302" t="s">
        <v>395</v>
      </c>
      <c r="B31" s="3303"/>
      <c r="C31" s="3303"/>
      <c r="D31" s="3303"/>
      <c r="E31" s="3303"/>
      <c r="F31" s="3303"/>
      <c r="G31" s="3304"/>
      <c r="I31" s="3276" t="s">
        <v>396</v>
      </c>
    </row>
    <row r="32" spans="1:13">
      <c r="A32" s="3302" t="s">
        <v>397</v>
      </c>
      <c r="B32" s="3303"/>
      <c r="C32" s="3303"/>
      <c r="D32" s="3303"/>
      <c r="E32" s="3303"/>
      <c r="F32" s="3303"/>
      <c r="G32" s="3304"/>
    </row>
    <row r="33" spans="1:13">
      <c r="A33" s="3302" t="s">
        <v>398</v>
      </c>
      <c r="B33" s="3303"/>
      <c r="C33" s="3303"/>
      <c r="D33" s="3303"/>
      <c r="E33" s="3303"/>
      <c r="F33" s="3303"/>
      <c r="G33" s="3304"/>
      <c r="I33" s="3276" t="s">
        <v>374</v>
      </c>
      <c r="J33" s="3276" t="s">
        <v>399</v>
      </c>
    </row>
    <row r="34" spans="1:13">
      <c r="A34" s="3302" t="s">
        <v>400</v>
      </c>
      <c r="B34" s="3303"/>
      <c r="C34" s="3303"/>
      <c r="D34" s="3303"/>
      <c r="E34" s="3303"/>
      <c r="F34" s="3303"/>
      <c r="G34" s="3304"/>
      <c r="I34" s="3276">
        <v>5</v>
      </c>
      <c r="J34" s="3276">
        <v>55.1</v>
      </c>
    </row>
    <row r="35" spans="1:13">
      <c r="A35" s="3302" t="s">
        <v>401</v>
      </c>
      <c r="B35" s="3303"/>
      <c r="C35" s="3303"/>
      <c r="D35" s="3303"/>
      <c r="E35" s="3303"/>
      <c r="F35" s="3303"/>
      <c r="G35" s="3304"/>
      <c r="I35" s="3276">
        <v>10</v>
      </c>
      <c r="J35" s="3276">
        <v>67</v>
      </c>
      <c r="K35" s="3276">
        <f>J35-J34</f>
        <v>11.9</v>
      </c>
    </row>
    <row r="36" spans="1:13">
      <c r="A36" s="3302" t="s">
        <v>402</v>
      </c>
      <c r="B36" s="3303"/>
      <c r="C36" s="3303"/>
      <c r="D36" s="3303"/>
      <c r="E36" s="3303"/>
      <c r="F36" s="3303"/>
      <c r="G36" s="3304"/>
      <c r="I36" s="3276">
        <v>15</v>
      </c>
      <c r="J36" s="3276">
        <v>76.3</v>
      </c>
      <c r="K36" s="3276">
        <f t="shared" ref="K36:K41" si="3">J36-J35</f>
        <v>9.3000000000000007</v>
      </c>
      <c r="L36" s="3276" t="s">
        <v>382</v>
      </c>
      <c r="M36" s="3276" t="s">
        <v>383</v>
      </c>
    </row>
    <row r="37" spans="1:13">
      <c r="A37" s="3302" t="s">
        <v>403</v>
      </c>
      <c r="B37" s="3303"/>
      <c r="C37" s="3303"/>
      <c r="D37" s="3303"/>
      <c r="E37" s="3303"/>
      <c r="F37" s="3303"/>
      <c r="G37" s="3304"/>
      <c r="I37" s="3276">
        <v>20</v>
      </c>
      <c r="J37" s="3276">
        <v>83.6</v>
      </c>
      <c r="K37" s="3276">
        <f t="shared" si="3"/>
        <v>7.3</v>
      </c>
      <c r="L37" s="3276" t="s">
        <v>385</v>
      </c>
      <c r="M37" s="3276">
        <v>10</v>
      </c>
    </row>
    <row r="38" spans="1:13">
      <c r="A38" s="3302" t="s">
        <v>404</v>
      </c>
      <c r="B38" s="3303"/>
      <c r="C38" s="3303"/>
      <c r="D38" s="3303"/>
      <c r="E38" s="3303"/>
      <c r="F38" s="3303"/>
      <c r="G38" s="3304"/>
      <c r="I38" s="3276">
        <v>25</v>
      </c>
      <c r="J38" s="3276">
        <v>89.3</v>
      </c>
      <c r="K38" s="3276">
        <f t="shared" si="3"/>
        <v>5.7</v>
      </c>
      <c r="L38" s="3276" t="s">
        <v>387</v>
      </c>
      <c r="M38" s="3276">
        <v>8</v>
      </c>
    </row>
    <row r="39" spans="1:13">
      <c r="A39" s="3302"/>
      <c r="B39" s="3303"/>
      <c r="C39" s="3303"/>
      <c r="D39" s="3303"/>
      <c r="E39" s="3303"/>
      <c r="F39" s="3303"/>
      <c r="G39" s="3304"/>
      <c r="I39" s="3276">
        <v>30</v>
      </c>
      <c r="J39" s="3276">
        <v>93.8</v>
      </c>
      <c r="K39" s="3276">
        <f t="shared" si="3"/>
        <v>4.5</v>
      </c>
      <c r="L39" s="3276" t="s">
        <v>388</v>
      </c>
      <c r="M39" s="3276">
        <v>6</v>
      </c>
    </row>
    <row r="40" spans="1:13">
      <c r="A40" s="3305" t="s">
        <v>405</v>
      </c>
      <c r="B40" s="3306"/>
      <c r="C40" s="3306"/>
      <c r="D40" s="3306"/>
      <c r="E40" s="3306"/>
      <c r="F40" s="3306"/>
      <c r="G40" s="3307"/>
      <c r="I40" s="3276">
        <v>35</v>
      </c>
      <c r="J40" s="3276">
        <v>97.2</v>
      </c>
      <c r="K40" s="3276">
        <f t="shared" si="3"/>
        <v>3.4000000000000101</v>
      </c>
      <c r="L40" s="3276" t="s">
        <v>390</v>
      </c>
      <c r="M40" s="3276">
        <v>3</v>
      </c>
    </row>
    <row r="41" spans="1:13">
      <c r="A41" s="3308" t="s">
        <v>406</v>
      </c>
      <c r="B41" s="3309" t="s">
        <v>407</v>
      </c>
      <c r="C41" s="3310" t="s">
        <v>408</v>
      </c>
      <c r="D41" s="3310" t="s">
        <v>409</v>
      </c>
      <c r="E41" s="3311"/>
      <c r="F41" s="3312"/>
      <c r="G41" s="3313"/>
      <c r="I41" s="3276">
        <v>40</v>
      </c>
      <c r="J41" s="3276">
        <v>100</v>
      </c>
      <c r="K41" s="3276">
        <f t="shared" si="3"/>
        <v>2.8</v>
      </c>
    </row>
    <row r="42" spans="1:13">
      <c r="A42" s="3308" t="s">
        <v>410</v>
      </c>
      <c r="B42" s="3309" t="s">
        <v>411</v>
      </c>
      <c r="C42" s="3310" t="s">
        <v>411</v>
      </c>
      <c r="D42" s="3314" t="s">
        <v>412</v>
      </c>
      <c r="E42" s="3306" t="s">
        <v>413</v>
      </c>
      <c r="F42" s="3306"/>
      <c r="G42" s="3307"/>
    </row>
    <row r="43" spans="1:13">
      <c r="A43" s="3308" t="s">
        <v>414</v>
      </c>
      <c r="B43" s="3309" t="s">
        <v>415</v>
      </c>
      <c r="C43" s="3310" t="s">
        <v>416</v>
      </c>
      <c r="D43" s="3310" t="s">
        <v>417</v>
      </c>
      <c r="E43" s="3311" t="s">
        <v>418</v>
      </c>
      <c r="F43" s="3312"/>
      <c r="G43" s="3313"/>
      <c r="I43" s="3276" t="s">
        <v>374</v>
      </c>
      <c r="J43" s="3276" t="s">
        <v>419</v>
      </c>
    </row>
    <row r="44" spans="1:13">
      <c r="A44" s="3308" t="s">
        <v>420</v>
      </c>
      <c r="B44" s="3309" t="s">
        <v>421</v>
      </c>
      <c r="C44" s="3310" t="s">
        <v>422</v>
      </c>
      <c r="D44" s="3314">
        <v>0.5</v>
      </c>
      <c r="E44" s="3311" t="s">
        <v>423</v>
      </c>
      <c r="F44" s="3312"/>
      <c r="G44" s="3313"/>
      <c r="I44" s="3276">
        <v>30</v>
      </c>
      <c r="J44" s="3276">
        <v>81.7</v>
      </c>
    </row>
    <row r="45" spans="1:13">
      <c r="A45" s="3315" t="s">
        <v>424</v>
      </c>
      <c r="B45" s="3316" t="s">
        <v>411</v>
      </c>
      <c r="C45" s="3317" t="s">
        <v>411</v>
      </c>
      <c r="D45" s="3317" t="s">
        <v>425</v>
      </c>
      <c r="E45" s="3318" t="s">
        <v>426</v>
      </c>
      <c r="F45" s="3318"/>
      <c r="G45" s="3319"/>
      <c r="I45" s="3276">
        <v>40</v>
      </c>
      <c r="J45" s="3276">
        <v>89.2</v>
      </c>
      <c r="K45" s="3276">
        <f>J45-J44</f>
        <v>7.5</v>
      </c>
    </row>
    <row r="46" spans="1:13">
      <c r="I46" s="3276">
        <v>50</v>
      </c>
      <c r="J46" s="3276">
        <v>94.3</v>
      </c>
      <c r="K46" s="3276">
        <f t="shared" ref="K46:K47" si="4">J46-J45</f>
        <v>5.0999999999999899</v>
      </c>
    </row>
    <row r="47" spans="1:13">
      <c r="I47" s="3276">
        <v>60</v>
      </c>
      <c r="J47" s="3276">
        <v>97.7</v>
      </c>
      <c r="K47" s="3276">
        <f t="shared" si="4"/>
        <v>3.4000000000000101</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H31" sqref="H31"/>
    </sheetView>
  </sheetViews>
  <sheetFormatPr defaultColWidth="10" defaultRowHeight="13.2"/>
  <cols>
    <col min="1" max="1" width="16.88671875" style="2740" customWidth="1"/>
    <col min="2" max="2" width="10" style="2740" customWidth="1"/>
    <col min="3" max="3" width="11.44140625" style="2740" customWidth="1"/>
    <col min="4" max="4" width="10" style="2740" customWidth="1"/>
    <col min="5" max="5" width="12.6640625" style="2740" customWidth="1"/>
    <col min="6" max="6" width="10" style="2740" customWidth="1"/>
    <col min="7" max="7" width="10.77734375" style="2740" customWidth="1"/>
    <col min="8" max="8" width="10" style="2740" customWidth="1"/>
    <col min="9" max="9" width="11.109375" style="3046" customWidth="1"/>
    <col min="10" max="10" width="10" style="2937" customWidth="1"/>
    <col min="11" max="11" width="10" style="3143" customWidth="1"/>
    <col min="12" max="13" width="10" style="3144" customWidth="1"/>
    <col min="14" max="14" width="10" style="2937" customWidth="1"/>
    <col min="15" max="15" width="10" style="540" customWidth="1"/>
    <col min="16" max="17" width="10" style="2937"/>
    <col min="18" max="18" width="10" style="2937" customWidth="1"/>
    <col min="19" max="30" width="10" style="2937"/>
    <col min="31" max="16384" width="10" style="2740"/>
  </cols>
  <sheetData>
    <row r="1" spans="1:30">
      <c r="A1" s="3145" t="s">
        <v>427</v>
      </c>
      <c r="B1" s="3521" t="str">
        <f>IF(B10="北京市","北京市",C10)&amp;F10&amp;IF(结果表产权车位!G1="在建","出让国有建设用地使用权及在建建筑物",IF(结果表产权车位!G1="土地","出让国有建设用地使用权",))&amp;B9&amp;"预评估"</f>
        <v>北京市房地产抵押价值预评估</v>
      </c>
      <c r="C1" s="3522"/>
      <c r="D1" s="3522"/>
      <c r="E1" s="3522"/>
      <c r="F1" s="3522"/>
      <c r="G1" s="3522"/>
      <c r="H1" s="3522"/>
      <c r="I1" s="3523"/>
      <c r="J1" s="2690"/>
      <c r="K1" s="3242"/>
      <c r="L1" s="3243"/>
      <c r="M1" s="3243"/>
      <c r="N1" s="3187"/>
      <c r="O1" s="3054"/>
      <c r="P1" s="3187"/>
      <c r="Q1" s="3187"/>
      <c r="R1" s="3187"/>
      <c r="S1" s="2741" t="str">
        <f>IF(B10="北京市","北京市",C10)&amp;F10&amp;IF(结果表产权车位!G1="在建","出让国有建设用地使用权及在建建筑物房地产抵押价值",IF(结果表产权车位!G1="土地","出让国有建设用地使用权抵押价值",B9))</f>
        <v>北京市房地产抵押价值</v>
      </c>
      <c r="T1" s="2740"/>
      <c r="U1" s="2740"/>
      <c r="V1" s="2740"/>
      <c r="W1" s="2740"/>
      <c r="X1" s="2740"/>
      <c r="Y1" s="2740"/>
      <c r="Z1" s="2740"/>
      <c r="AA1" s="2740"/>
      <c r="AB1" s="2740"/>
    </row>
    <row r="2" spans="1:30">
      <c r="A2" s="3146" t="s">
        <v>428</v>
      </c>
      <c r="B2" s="3147"/>
      <c r="C2" s="3148"/>
      <c r="D2" s="3149"/>
      <c r="E2" s="3150"/>
      <c r="F2" s="3150"/>
      <c r="G2" s="3151"/>
      <c r="H2" s="3151"/>
      <c r="I2" s="3151"/>
      <c r="J2" s="2690"/>
      <c r="K2" s="3242"/>
      <c r="L2" s="3243"/>
      <c r="M2" s="3243"/>
      <c r="N2" s="3187"/>
      <c r="O2" s="3054"/>
      <c r="P2" s="3187"/>
      <c r="Q2" s="3187"/>
      <c r="R2" s="3187"/>
      <c r="S2" s="2741" t="str">
        <f>IF(B10="北京市","北京市",C10)&amp;F10&amp;IF(结果表产权车位!G1="在建","出让国有建设用地使用权及在建建筑物房地产",IF(结果表产权车位!G1="土地","出让国有建设用地使用权","房地产"))</f>
        <v>北京市房地产</v>
      </c>
      <c r="T2" s="2740"/>
      <c r="U2" s="2740"/>
      <c r="V2" s="2740"/>
      <c r="W2" s="2740"/>
      <c r="X2" s="2740"/>
      <c r="Y2" s="2740"/>
      <c r="Z2" s="2740"/>
      <c r="AA2" s="2740"/>
      <c r="AB2" s="2740"/>
    </row>
    <row r="3" spans="1:30">
      <c r="A3" s="701" t="s">
        <v>429</v>
      </c>
      <c r="B3" s="3152"/>
      <c r="C3" s="3153" t="s">
        <v>430</v>
      </c>
      <c r="D3" s="3152">
        <v>45311</v>
      </c>
      <c r="E3" s="3151"/>
      <c r="F3" s="3151"/>
      <c r="G3" s="3151"/>
      <c r="H3" s="3151"/>
      <c r="I3" s="3151"/>
      <c r="J3" s="2690"/>
      <c r="K3" s="3242"/>
      <c r="L3" s="3243"/>
      <c r="M3" s="3243"/>
      <c r="N3" s="3187"/>
      <c r="O3" s="3054"/>
      <c r="P3" s="3187"/>
      <c r="Q3" s="3187"/>
      <c r="R3" s="3187"/>
      <c r="S3" s="2741"/>
      <c r="T3" s="2740"/>
      <c r="U3" s="2740"/>
      <c r="V3" s="2740"/>
      <c r="W3" s="2740"/>
      <c r="X3" s="2740"/>
      <c r="Y3" s="2740"/>
      <c r="Z3" s="2740"/>
      <c r="AA3" s="2740"/>
      <c r="AB3" s="2740"/>
    </row>
    <row r="4" spans="1:30">
      <c r="A4" s="723" t="s">
        <v>431</v>
      </c>
      <c r="B4" s="3154"/>
      <c r="C4" s="3155">
        <f>SUMIF(注册房地产估价师,B4,估价师及机构信息!B3:B24)</f>
        <v>0</v>
      </c>
      <c r="D4" s="3154"/>
      <c r="E4" s="3156">
        <f>SUMIF(注册房地产估价师,D4,估价师及机构信息!B3:B24)</f>
        <v>0</v>
      </c>
      <c r="F4" s="3154"/>
      <c r="G4" s="3156">
        <f>SUMIF(注册房地产估价师,F4,估价师及机构信息!B3:B24)</f>
        <v>0</v>
      </c>
      <c r="H4" s="3154"/>
      <c r="I4" s="3156">
        <f>SUMIF(注册房地产估价师,H4,估价师及机构信息!B3:B24)</f>
        <v>0</v>
      </c>
      <c r="J4" s="2724"/>
      <c r="K4" s="3244" t="str">
        <f>CONCATENATE(B4,"（注册号：",C4,")、",D4,"（注册号：",E4,")")</f>
        <v>（注册号：0)、（注册号：0)</v>
      </c>
      <c r="L4" s="3243"/>
      <c r="M4" s="3243"/>
      <c r="N4" s="3187"/>
      <c r="O4" s="3054"/>
      <c r="P4" s="3187"/>
      <c r="Q4" s="3187"/>
      <c r="R4" s="3187"/>
      <c r="S4" s="2741"/>
      <c r="T4" s="2740"/>
      <c r="U4" s="2740"/>
      <c r="V4" s="2740"/>
      <c r="W4" s="2740"/>
      <c r="X4" s="2740"/>
      <c r="Y4" s="2740"/>
      <c r="Z4" s="2740"/>
      <c r="AA4" s="2740"/>
      <c r="AB4" s="2740"/>
    </row>
    <row r="5" spans="1:30">
      <c r="A5" s="3157" t="s">
        <v>432</v>
      </c>
      <c r="B5" s="3158"/>
      <c r="C5" s="3159"/>
      <c r="D5" s="3160"/>
      <c r="E5" s="2845"/>
      <c r="F5" s="2845"/>
      <c r="G5" s="2845"/>
      <c r="H5" s="2845"/>
      <c r="I5" s="2845"/>
      <c r="J5" s="2724"/>
      <c r="K5" s="3244" t="str">
        <f>IF(F4="——","",IF(H4="——",F4&amp;"（注册号："&amp;G4&amp;")",CONCATENATE(F4,"（注册号：",G4,")、",H4,"（注册号：",I4,")")))</f>
        <v>（注册号：0)、（注册号：0)</v>
      </c>
      <c r="L5" s="3243"/>
      <c r="M5" s="3243"/>
      <c r="N5" s="3187"/>
      <c r="O5" s="3054"/>
      <c r="P5" s="3187"/>
      <c r="Q5" s="3187"/>
      <c r="R5" s="3187"/>
      <c r="S5" s="2740"/>
      <c r="T5" s="2740"/>
      <c r="U5" s="2740"/>
      <c r="V5" s="2740"/>
      <c r="W5" s="2740"/>
      <c r="X5" s="2740"/>
      <c r="Y5" s="2740"/>
      <c r="Z5" s="2740"/>
      <c r="AA5" s="2740"/>
      <c r="AB5" s="2740"/>
    </row>
    <row r="6" spans="1:30">
      <c r="A6" s="3161" t="s">
        <v>433</v>
      </c>
      <c r="B6" s="3162"/>
      <c r="C6" s="3163"/>
      <c r="D6" s="3164"/>
      <c r="E6" s="3150"/>
      <c r="F6" s="2845"/>
      <c r="G6" s="2845"/>
      <c r="H6" s="2845"/>
      <c r="I6" s="2845"/>
      <c r="J6" s="2724"/>
      <c r="K6" s="3245" t="str">
        <f>IF(COUNTIF(B6,"*上海银行*"),"上海银行","")</f>
        <v/>
      </c>
      <c r="L6" s="3246"/>
      <c r="M6" s="3246"/>
      <c r="N6" s="2724"/>
      <c r="O6" s="3247"/>
      <c r="P6" s="2724"/>
      <c r="Q6" s="2724"/>
      <c r="R6" s="2724"/>
    </row>
    <row r="7" spans="1:30">
      <c r="A7" s="3161" t="s">
        <v>434</v>
      </c>
      <c r="B7" s="3165"/>
      <c r="C7" s="3163"/>
      <c r="D7" s="3164"/>
      <c r="E7" s="3150"/>
      <c r="F7" s="2845"/>
      <c r="G7" s="2845"/>
      <c r="H7" s="2845"/>
      <c r="I7" s="2845"/>
      <c r="J7" s="2724"/>
      <c r="K7" s="3248"/>
      <c r="L7" s="3246"/>
      <c r="M7" s="3246"/>
      <c r="N7" s="2724"/>
      <c r="O7" s="3247"/>
      <c r="P7" s="2724"/>
      <c r="Q7" s="2724"/>
      <c r="R7" s="2724"/>
    </row>
    <row r="8" spans="1:30">
      <c r="A8" s="3166" t="s">
        <v>435</v>
      </c>
      <c r="B8" s="3167" t="s">
        <v>327</v>
      </c>
      <c r="C8" s="3168"/>
      <c r="D8" s="3536" t="s">
        <v>436</v>
      </c>
      <c r="E8" s="3169" t="s">
        <v>332</v>
      </c>
      <c r="F8" s="3170"/>
      <c r="G8" s="3151"/>
      <c r="H8" s="3151"/>
      <c r="I8" s="3151"/>
      <c r="J8" s="2724"/>
      <c r="K8" s="3249"/>
      <c r="L8" s="3246"/>
      <c r="M8" s="3246"/>
      <c r="N8" s="2724"/>
      <c r="O8" s="3247"/>
      <c r="P8" s="2724"/>
      <c r="Q8" s="2724"/>
      <c r="R8" s="2724"/>
    </row>
    <row r="9" spans="1:30">
      <c r="A9" s="3171" t="s">
        <v>437</v>
      </c>
      <c r="B9" s="3172" t="s">
        <v>332</v>
      </c>
      <c r="C9" s="3173"/>
      <c r="D9" s="3537"/>
      <c r="E9" s="3172"/>
      <c r="F9" s="3174"/>
      <c r="G9" s="3175"/>
      <c r="H9" s="3175"/>
      <c r="I9" s="3175"/>
      <c r="J9" s="2724"/>
      <c r="K9" s="3248"/>
      <c r="L9" s="3246"/>
      <c r="M9" s="3246"/>
      <c r="N9" s="2724"/>
      <c r="O9" s="3247"/>
      <c r="P9" s="2724"/>
      <c r="Q9" s="2724"/>
      <c r="R9" s="2724"/>
    </row>
    <row r="10" spans="1:30">
      <c r="A10" s="3176" t="s">
        <v>438</v>
      </c>
      <c r="B10" s="3177" t="s">
        <v>439</v>
      </c>
      <c r="C10" s="3178"/>
      <c r="D10" s="3160"/>
      <c r="E10" s="3179" t="s">
        <v>440</v>
      </c>
      <c r="F10" s="3180"/>
      <c r="G10" s="3181"/>
      <c r="H10" s="3182"/>
      <c r="I10" s="3250"/>
      <c r="J10" s="2724"/>
      <c r="K10" s="3248"/>
      <c r="L10" s="3246"/>
      <c r="M10" s="3246"/>
      <c r="N10" s="2724"/>
      <c r="O10" s="3247"/>
      <c r="P10" s="2724"/>
      <c r="Q10" s="2724"/>
      <c r="R10" s="2724"/>
    </row>
    <row r="11" spans="1:30">
      <c r="A11" s="3183" t="s">
        <v>441</v>
      </c>
      <c r="B11" s="3184" t="s">
        <v>442</v>
      </c>
      <c r="C11" s="3185"/>
      <c r="D11" s="3186"/>
      <c r="E11" s="3187"/>
      <c r="F11" s="3187"/>
      <c r="G11" s="3187"/>
      <c r="H11" s="3187"/>
      <c r="I11" s="3187"/>
      <c r="J11" s="3251"/>
      <c r="K11" s="3252"/>
      <c r="L11" s="3246"/>
      <c r="M11" s="3246"/>
      <c r="N11" s="2724"/>
      <c r="O11" s="3247"/>
      <c r="P11" s="2724"/>
      <c r="Q11" s="2724"/>
      <c r="R11" s="2724"/>
    </row>
    <row r="12" spans="1:30">
      <c r="A12" s="3188" t="s">
        <v>443</v>
      </c>
      <c r="B12" s="742" t="s">
        <v>444</v>
      </c>
      <c r="C12" s="3189" t="s">
        <v>445</v>
      </c>
      <c r="D12" s="3189" t="s">
        <v>446</v>
      </c>
      <c r="E12" s="3189" t="s">
        <v>447</v>
      </c>
      <c r="F12" s="3189" t="s">
        <v>448</v>
      </c>
      <c r="G12" s="3189" t="s">
        <v>449</v>
      </c>
      <c r="H12" s="3189" t="s">
        <v>450</v>
      </c>
      <c r="I12" s="3253" t="s">
        <v>280</v>
      </c>
      <c r="J12" s="3254"/>
      <c r="K12" s="3246"/>
      <c r="L12" s="3246"/>
      <c r="M12" s="2724"/>
      <c r="N12" s="3247"/>
      <c r="O12" s="2724"/>
      <c r="P12" s="2724"/>
      <c r="Q12" s="2724"/>
      <c r="AD12" s="2740"/>
    </row>
    <row r="13" spans="1:30">
      <c r="A13" s="3190" t="s">
        <v>451</v>
      </c>
      <c r="B13" s="3191" t="s">
        <v>452</v>
      </c>
      <c r="C13" s="3192">
        <v>69546</v>
      </c>
      <c r="D13" s="3192">
        <v>58589</v>
      </c>
      <c r="E13" s="3192"/>
      <c r="F13" s="3192">
        <v>62241</v>
      </c>
      <c r="G13" s="3192">
        <v>62241</v>
      </c>
      <c r="H13" s="3192"/>
      <c r="I13" s="3192"/>
      <c r="J13" s="3254"/>
      <c r="K13" s="3246"/>
      <c r="L13" s="3246"/>
      <c r="M13" s="2724"/>
      <c r="N13" s="3247"/>
      <c r="O13" s="2724"/>
      <c r="P13" s="2724"/>
      <c r="Q13" s="2724"/>
      <c r="AD13" s="2740"/>
    </row>
    <row r="14" spans="1:30">
      <c r="A14" s="728"/>
      <c r="B14" s="3191" t="s">
        <v>453</v>
      </c>
      <c r="C14" s="3193">
        <v>70</v>
      </c>
      <c r="D14" s="3193">
        <v>40</v>
      </c>
      <c r="E14" s="3193"/>
      <c r="F14" s="3193">
        <v>50</v>
      </c>
      <c r="G14" s="3193">
        <v>50</v>
      </c>
      <c r="H14" s="3193"/>
      <c r="I14" s="3193"/>
      <c r="J14" s="3255"/>
      <c r="K14" s="3246"/>
      <c r="L14" s="3246"/>
      <c r="M14" s="2724"/>
      <c r="N14" s="3247"/>
      <c r="O14" s="2724"/>
      <c r="P14" s="2724"/>
      <c r="Q14" s="2724"/>
      <c r="AD14" s="2740"/>
    </row>
    <row r="15" spans="1:30">
      <c r="A15" s="735"/>
      <c r="B15" s="3194" t="s">
        <v>454</v>
      </c>
      <c r="C15" s="3195">
        <f>IF(A13="出让",IF(C13="","",ROUNDDOWN(MIN((C13-$D$3)/365,C14),2)),C14)</f>
        <v>66.39</v>
      </c>
      <c r="D15" s="3195">
        <f>IF(A13="出让",IF(D13="","",ROUNDDOWN(MIN((D13-$D$3)/365,D14),2)),D14)</f>
        <v>36.369999999999997</v>
      </c>
      <c r="E15" s="3195" t="str">
        <f>IF(A13="出让",IF(E13="","",ROUNDDOWN(MIN((E13-$D$3)/365,E14),2)),E14)</f>
        <v/>
      </c>
      <c r="F15" s="3195">
        <f>IF(A13="出让",IF(F13="","",ROUNDDOWN(MIN((F13-$D$3)/365,F14),2)),F14)</f>
        <v>46.38</v>
      </c>
      <c r="G15" s="3195">
        <f>IF(A13="出让",IF(G13="","",ROUNDDOWN(MIN((G13-$D$3)/365,G14),2)),G14)</f>
        <v>46.38</v>
      </c>
      <c r="H15" s="3195" t="str">
        <f>IF(A13="出让",IF(H13="","",ROUNDDOWN(MIN((H13-$D$3)/365,H14),2)),H14)</f>
        <v/>
      </c>
      <c r="I15" s="3195" t="str">
        <f>IF(A13="出让",IF(I13="","",ROUNDDOWN(MIN((I13-$D$3)/365,I14),2)),I14)</f>
        <v/>
      </c>
      <c r="J15" s="3256"/>
      <c r="K15" s="3257"/>
      <c r="L15" s="3257"/>
      <c r="M15" s="2725"/>
      <c r="N15" s="3257"/>
      <c r="O15" s="2725"/>
      <c r="P15" s="2724"/>
      <c r="Q15" s="2724"/>
      <c r="AD15" s="2740"/>
    </row>
    <row r="16" spans="1:30">
      <c r="A16" s="3179" t="s">
        <v>455</v>
      </c>
      <c r="B16" s="3524"/>
      <c r="C16" s="3525"/>
      <c r="D16" s="3526"/>
      <c r="E16" s="3196" t="s">
        <v>456</v>
      </c>
      <c r="F16" s="3527"/>
      <c r="G16" s="3528"/>
      <c r="H16" s="3528"/>
      <c r="I16" s="3529"/>
      <c r="J16" s="2724"/>
      <c r="K16" s="3258"/>
      <c r="L16" s="3257"/>
      <c r="M16" s="3257"/>
      <c r="N16" s="2725"/>
      <c r="O16" s="3257"/>
      <c r="P16" s="2725"/>
      <c r="Q16" s="2724"/>
      <c r="R16" s="2724"/>
    </row>
    <row r="17" spans="1:28">
      <c r="A17" s="712" t="s">
        <v>457</v>
      </c>
      <c r="B17" s="701" t="s">
        <v>458</v>
      </c>
      <c r="C17" s="602">
        <f>'数据-汇总表'!E3</f>
        <v>8450.66</v>
      </c>
      <c r="D17" s="755" t="s">
        <v>459</v>
      </c>
      <c r="E17" s="3530" t="s">
        <v>460</v>
      </c>
      <c r="F17" s="3531"/>
      <c r="G17" s="3531"/>
      <c r="H17" s="3531"/>
      <c r="I17" s="3532"/>
      <c r="J17" s="2724"/>
      <c r="K17" s="3259"/>
      <c r="L17" s="3257"/>
      <c r="M17" s="3257"/>
      <c r="N17" s="2725"/>
      <c r="O17" s="3257"/>
      <c r="P17" s="2725"/>
      <c r="Q17" s="2724"/>
      <c r="R17" s="2724"/>
      <c r="S17" s="2724"/>
      <c r="T17" s="2724"/>
      <c r="U17" s="2724"/>
      <c r="V17" s="2724"/>
    </row>
    <row r="18" spans="1:28" ht="24">
      <c r="A18" s="3197" t="s">
        <v>461</v>
      </c>
      <c r="B18" s="723" t="s">
        <v>462</v>
      </c>
      <c r="C18" s="3198">
        <f>'数据-汇总表'!D3</f>
        <v>0</v>
      </c>
      <c r="D18" s="748" t="s">
        <v>459</v>
      </c>
      <c r="E18" s="3533" t="s">
        <v>463</v>
      </c>
      <c r="F18" s="3534"/>
      <c r="G18" s="3534"/>
      <c r="H18" s="3534"/>
      <c r="I18" s="3535"/>
      <c r="J18" s="2724"/>
      <c r="K18" s="3259"/>
      <c r="L18" s="3257"/>
      <c r="M18" s="3257"/>
      <c r="N18" s="2725"/>
      <c r="O18" s="3257"/>
      <c r="P18" s="2725"/>
      <c r="Q18" s="2724"/>
      <c r="R18" s="2724"/>
      <c r="S18" s="2724"/>
      <c r="T18" s="2724"/>
      <c r="U18" s="2724"/>
      <c r="V18" s="2724"/>
    </row>
    <row r="19" spans="1:28" ht="36">
      <c r="A19" s="765" t="s">
        <v>464</v>
      </c>
      <c r="B19" s="705" t="s">
        <v>465</v>
      </c>
      <c r="C19" s="3199"/>
      <c r="D19" s="3200" t="s">
        <v>466</v>
      </c>
      <c r="E19" s="3201"/>
      <c r="F19" s="3202" t="str">
        <f>IF(AND(C19="是",E19="否"),"是否提供他项权证或相关说明","")</f>
        <v/>
      </c>
      <c r="G19" s="3203"/>
      <c r="H19" s="2845"/>
      <c r="I19" s="2845"/>
      <c r="J19" s="2724"/>
      <c r="K19" s="3248"/>
      <c r="L19" s="3246"/>
      <c r="M19" s="3246"/>
      <c r="N19" s="2725"/>
      <c r="O19" s="3257"/>
      <c r="P19" s="2725"/>
      <c r="Q19" s="2724"/>
      <c r="R19" s="2724"/>
      <c r="S19" s="2724"/>
      <c r="T19" s="2724"/>
      <c r="U19" s="2724"/>
      <c r="V19" s="2724"/>
    </row>
    <row r="20" spans="1:28">
      <c r="A20" s="3204" t="s">
        <v>467</v>
      </c>
      <c r="B20" s="3510" t="s">
        <v>468</v>
      </c>
      <c r="C20" s="3511"/>
      <c r="D20" s="3512" t="s">
        <v>469</v>
      </c>
      <c r="E20" s="3513"/>
      <c r="F20" s="3205" t="s">
        <v>470</v>
      </c>
      <c r="G20" s="2845"/>
      <c r="H20" s="2845"/>
      <c r="I20" s="2845"/>
      <c r="J20" s="2724"/>
      <c r="K20" s="3508" t="s">
        <v>471</v>
      </c>
      <c r="L20" s="8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43"/>
      <c r="N20" s="3260"/>
      <c r="O20" s="3261"/>
      <c r="P20" s="3260"/>
      <c r="Q20" s="3187"/>
      <c r="R20" s="3187"/>
      <c r="S20" s="3187"/>
      <c r="T20" s="3187"/>
      <c r="U20" s="3187"/>
      <c r="V20" s="3187"/>
      <c r="W20" s="2740"/>
      <c r="X20" s="2740"/>
      <c r="Y20" s="2740"/>
      <c r="Z20" s="2740"/>
      <c r="AA20" s="2740"/>
      <c r="AB20" s="2740"/>
    </row>
    <row r="21" spans="1:28" ht="36">
      <c r="A21" s="3204"/>
      <c r="B21" s="3206" t="s">
        <v>472</v>
      </c>
      <c r="C21" s="3207" t="s">
        <v>473</v>
      </c>
      <c r="D21" s="3208" t="s">
        <v>474</v>
      </c>
      <c r="E21" s="3209" t="s">
        <v>473</v>
      </c>
      <c r="F21" s="3210"/>
      <c r="G21" s="2845"/>
      <c r="H21" s="2845"/>
      <c r="I21" s="2845"/>
      <c r="J21" s="2724"/>
      <c r="K21" s="3508"/>
      <c r="L21" s="8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43"/>
      <c r="N21" s="3260"/>
      <c r="O21" s="3261"/>
      <c r="P21" s="3260"/>
      <c r="Q21" s="3187"/>
      <c r="R21" s="3187"/>
      <c r="S21" s="3187"/>
      <c r="T21" s="3187"/>
      <c r="U21" s="3187"/>
      <c r="V21" s="3187"/>
      <c r="W21" s="2740"/>
      <c r="X21" s="2740"/>
      <c r="Y21" s="2740"/>
      <c r="Z21" s="2740"/>
      <c r="AA21" s="2740"/>
      <c r="AB21" s="2740"/>
    </row>
    <row r="22" spans="1:28" ht="36">
      <c r="A22" s="3204"/>
      <c r="B22" s="3211" t="s">
        <v>475</v>
      </c>
      <c r="C22" s="3207" t="s">
        <v>476</v>
      </c>
      <c r="D22" s="3151"/>
      <c r="E22" s="3151"/>
      <c r="F22" s="3151"/>
      <c r="G22" s="2845"/>
      <c r="H22" s="2845"/>
      <c r="I22" s="2845"/>
      <c r="J22" s="2724"/>
      <c r="K22" s="3508"/>
      <c r="L22" s="848" t="str">
        <f>IF(E19="否","",IF(结果表产权车位!D36="同一抵押权人同一抵押物续贷","由于本次评估为同一抵押权人的续贷房地产抵押估价，故未将已抵押担保的债权数额（"&amp;C26&amp;"）作为法定优先受偿款予以扣减。",IF(结果表产权车位!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43"/>
      <c r="N22" s="3260"/>
      <c r="O22" s="3261"/>
      <c r="P22" s="3260"/>
      <c r="Q22" s="3187"/>
      <c r="R22" s="3187"/>
      <c r="S22" s="3187"/>
      <c r="T22" s="3187"/>
      <c r="U22" s="3187"/>
      <c r="V22" s="3187"/>
      <c r="W22" s="2740"/>
      <c r="X22" s="2740"/>
      <c r="Y22" s="2740"/>
      <c r="Z22" s="2740"/>
      <c r="AA22" s="2740"/>
      <c r="AB22" s="2740"/>
    </row>
    <row r="23" spans="1:28">
      <c r="A23" s="3212" t="s">
        <v>477</v>
      </c>
      <c r="B23" s="2715" t="s">
        <v>478</v>
      </c>
      <c r="C23" s="3213"/>
      <c r="D23" s="3214" t="s">
        <v>478</v>
      </c>
      <c r="E23" s="3215"/>
      <c r="F23" s="3151"/>
      <c r="G23" s="2845"/>
      <c r="H23" s="2845"/>
      <c r="I23" s="2845"/>
      <c r="J23" s="2724"/>
      <c r="K23" s="3262"/>
      <c r="L23" s="864"/>
      <c r="M23" s="3246"/>
      <c r="N23" s="2725"/>
      <c r="O23" s="3257"/>
      <c r="P23" s="2725"/>
      <c r="Q23" s="2724"/>
      <c r="R23" s="2724"/>
      <c r="S23" s="2724"/>
      <c r="T23" s="2724"/>
      <c r="U23" s="2724"/>
      <c r="V23" s="2724"/>
    </row>
    <row r="24" spans="1:28">
      <c r="A24" s="3212"/>
      <c r="B24" s="2715" t="s">
        <v>479</v>
      </c>
      <c r="C24" s="3216"/>
      <c r="D24" s="3212" t="s">
        <v>479</v>
      </c>
      <c r="E24" s="3217"/>
      <c r="F24" s="3151"/>
      <c r="G24" s="2845"/>
      <c r="H24" s="2845"/>
      <c r="I24" s="2845"/>
      <c r="J24" s="2724"/>
      <c r="K24" s="3262"/>
      <c r="L24" s="864"/>
      <c r="M24" s="3246"/>
      <c r="N24" s="2725"/>
      <c r="O24" s="3257"/>
      <c r="P24" s="2725"/>
      <c r="Q24" s="2724"/>
      <c r="R24" s="2724"/>
      <c r="S24" s="2724"/>
      <c r="T24" s="2724"/>
      <c r="U24" s="2724"/>
      <c r="V24" s="2724"/>
    </row>
    <row r="25" spans="1:28">
      <c r="A25" s="3212"/>
      <c r="B25" s="2715" t="s">
        <v>480</v>
      </c>
      <c r="C25" s="3216"/>
      <c r="D25" s="3212" t="s">
        <v>480</v>
      </c>
      <c r="E25" s="3217"/>
      <c r="F25" s="3151"/>
      <c r="G25" s="2845"/>
      <c r="H25" s="2845"/>
      <c r="I25" s="2845"/>
      <c r="J25" s="2724"/>
      <c r="K25" s="3248"/>
      <c r="L25" s="3246"/>
      <c r="M25" s="3246"/>
      <c r="N25" s="2725"/>
      <c r="O25" s="3257"/>
      <c r="P25" s="2725"/>
      <c r="Q25" s="2724"/>
      <c r="R25" s="2724"/>
      <c r="S25" s="2724"/>
      <c r="T25" s="2724"/>
      <c r="U25" s="2724"/>
      <c r="V25" s="2724"/>
    </row>
    <row r="26" spans="1:28">
      <c r="A26" s="3218"/>
      <c r="B26" s="3219" t="s">
        <v>481</v>
      </c>
      <c r="C26" s="3220"/>
      <c r="D26" s="3218" t="s">
        <v>481</v>
      </c>
      <c r="E26" s="3221"/>
      <c r="F26" s="3175"/>
      <c r="G26" s="3175"/>
      <c r="H26" s="3175"/>
      <c r="I26" s="3175"/>
      <c r="J26" s="2724"/>
      <c r="K26" s="3248"/>
      <c r="L26" s="3246"/>
      <c r="M26" s="3246"/>
      <c r="N26" s="2725"/>
      <c r="O26" s="3257"/>
      <c r="P26" s="2725"/>
      <c r="Q26" s="2724"/>
      <c r="R26" s="2724"/>
      <c r="S26" s="2724"/>
      <c r="T26" s="2724"/>
      <c r="U26" s="2724"/>
      <c r="V26" s="2724"/>
    </row>
    <row r="27" spans="1:28">
      <c r="A27" s="3517" t="s">
        <v>482</v>
      </c>
      <c r="B27" s="735" t="s">
        <v>483</v>
      </c>
      <c r="C27" s="3222"/>
      <c r="D27" s="3223"/>
      <c r="E27" s="2845"/>
      <c r="F27" s="2845"/>
      <c r="G27" s="2845"/>
      <c r="H27" s="2845"/>
      <c r="I27" s="2845"/>
      <c r="J27" s="2724"/>
      <c r="K27" s="3258"/>
      <c r="L27" s="3257"/>
      <c r="M27" s="3257"/>
      <c r="N27" s="2725"/>
      <c r="O27" s="3257"/>
      <c r="P27" s="2725"/>
      <c r="Q27" s="2724"/>
      <c r="R27" s="2724"/>
      <c r="S27" s="2724"/>
      <c r="T27" s="2724"/>
      <c r="U27" s="2724"/>
      <c r="V27" s="2724"/>
    </row>
    <row r="28" spans="1:28">
      <c r="A28" s="3517"/>
      <c r="B28" s="701" t="s">
        <v>484</v>
      </c>
      <c r="C28" s="3224"/>
      <c r="D28" s="3225"/>
      <c r="E28" s="2845"/>
      <c r="F28" s="2845"/>
      <c r="G28" s="2845"/>
      <c r="H28" s="2845"/>
      <c r="I28" s="2845"/>
      <c r="J28" s="2724"/>
      <c r="K28" s="3248"/>
      <c r="L28" s="3246"/>
      <c r="M28" s="3246"/>
      <c r="N28" s="2724"/>
      <c r="O28" s="3247"/>
      <c r="P28" s="2724"/>
      <c r="Q28" s="2724"/>
      <c r="R28" s="2724"/>
      <c r="S28" s="2724"/>
      <c r="T28" s="2724"/>
      <c r="U28" s="2724"/>
      <c r="V28" s="2724"/>
    </row>
    <row r="29" spans="1:28">
      <c r="A29" s="3517"/>
      <c r="B29" s="701" t="s">
        <v>485</v>
      </c>
      <c r="C29" s="3226"/>
      <c r="D29" s="3227"/>
      <c r="E29" s="2845"/>
      <c r="F29" s="2845"/>
      <c r="G29" s="2845"/>
      <c r="H29" s="2845"/>
      <c r="I29" s="2845"/>
      <c r="J29" s="2724"/>
      <c r="K29" s="3248"/>
      <c r="L29" s="3246"/>
      <c r="M29" s="3246"/>
      <c r="N29" s="2724"/>
      <c r="O29" s="3247"/>
      <c r="P29" s="2724"/>
      <c r="Q29" s="2724"/>
      <c r="R29" s="2724"/>
      <c r="S29" s="2724"/>
      <c r="T29" s="2724"/>
      <c r="U29" s="2724"/>
      <c r="V29" s="2724"/>
    </row>
    <row r="30" spans="1:28">
      <c r="A30" s="3518"/>
      <c r="B30" s="701" t="s">
        <v>486</v>
      </c>
      <c r="C30" s="3514"/>
      <c r="D30" s="3515"/>
      <c r="E30" s="2845"/>
      <c r="F30" s="2845"/>
      <c r="G30" s="2845"/>
      <c r="H30" s="2845"/>
      <c r="I30" s="2845"/>
      <c r="J30" s="2724"/>
      <c r="K30" s="3248"/>
      <c r="L30" s="3246"/>
      <c r="M30" s="3246"/>
      <c r="N30" s="2724"/>
      <c r="O30" s="3247"/>
      <c r="P30" s="2724"/>
      <c r="Q30" s="2724"/>
      <c r="R30" s="2724"/>
      <c r="S30" s="2724"/>
      <c r="T30" s="2724"/>
      <c r="U30" s="2724"/>
      <c r="V30" s="2724"/>
    </row>
    <row r="31" spans="1:28">
      <c r="A31" s="3519" t="s">
        <v>487</v>
      </c>
      <c r="B31" s="3228"/>
      <c r="C31" s="855" t="str">
        <f>IF(B31="现房","成新及维护状况正常否",IF(B31="在建","工程状态是否正常",IF(B31="土地","是否闲置","-")))</f>
        <v>-</v>
      </c>
      <c r="D31" s="1823"/>
      <c r="E31" s="3229"/>
      <c r="F31" s="2845"/>
      <c r="G31" s="2845"/>
      <c r="H31" s="2845"/>
      <c r="I31" s="2845"/>
      <c r="J31" s="2724"/>
      <c r="K31" s="3245"/>
      <c r="L31" s="3246"/>
      <c r="M31" s="3246"/>
      <c r="N31" s="2724"/>
      <c r="O31" s="3247"/>
      <c r="P31" s="2724"/>
      <c r="Q31" s="2724"/>
      <c r="R31" s="2724"/>
      <c r="S31" s="2724"/>
      <c r="T31" s="2724"/>
      <c r="U31" s="2724"/>
      <c r="V31" s="2724"/>
    </row>
    <row r="32" spans="1:28">
      <c r="A32" s="3520"/>
      <c r="B32" s="3228"/>
      <c r="C32" s="855" t="str">
        <f>IF(B32="现房","成新及维护状况是否正常",IF(B32="在建","工程状态是否正常",IF(B32="土地","是否闲置","-")))</f>
        <v>-</v>
      </c>
      <c r="D32" s="1823"/>
      <c r="E32" s="3229"/>
      <c r="F32" s="2845"/>
      <c r="G32" s="2845"/>
      <c r="H32" s="2845"/>
      <c r="I32" s="2845"/>
      <c r="J32" s="2724"/>
      <c r="K32" s="3248"/>
      <c r="L32" s="3246"/>
      <c r="M32" s="3246"/>
      <c r="N32" s="2724"/>
      <c r="O32" s="3247"/>
      <c r="P32" s="2724"/>
      <c r="Q32" s="2724"/>
      <c r="R32" s="2724"/>
      <c r="S32" s="2724"/>
      <c r="T32" s="2724"/>
      <c r="U32" s="2724"/>
      <c r="V32" s="2724"/>
    </row>
    <row r="33" spans="1:30">
      <c r="A33" s="3520"/>
      <c r="B33" s="3230"/>
      <c r="C33" s="1791" t="str">
        <f>IF(B33="现房","成新及维护状况是否正常",IF(B33="在建","工程状态是否正常",IF(B33="土地","是否闲置","-")))</f>
        <v>-</v>
      </c>
      <c r="D33" s="710"/>
      <c r="E33" s="3231"/>
      <c r="F33" s="2845"/>
      <c r="G33" s="2845"/>
      <c r="H33" s="2845"/>
      <c r="I33" s="2845"/>
      <c r="J33" s="2724"/>
      <c r="K33" s="3248"/>
      <c r="L33" s="3246"/>
      <c r="M33" s="3246"/>
      <c r="N33" s="2724"/>
      <c r="O33" s="3247"/>
      <c r="P33" s="2724"/>
      <c r="Q33" s="2724"/>
      <c r="R33" s="2724"/>
      <c r="S33" s="2724"/>
      <c r="T33" s="2724"/>
      <c r="U33" s="2724"/>
      <c r="V33" s="2724"/>
    </row>
    <row r="34" spans="1:30">
      <c r="A34" s="701" t="s">
        <v>488</v>
      </c>
      <c r="B34" s="988"/>
      <c r="C34" s="988"/>
      <c r="D34" s="988"/>
      <c r="E34" s="988"/>
      <c r="F34" s="988"/>
      <c r="G34" s="988"/>
      <c r="H34" s="988"/>
      <c r="I34" s="2845"/>
      <c r="J34" s="2724"/>
      <c r="K34" s="602">
        <f>COUNTIF(B34:H34,"——")</f>
        <v>0</v>
      </c>
      <c r="L34" s="742" t="s">
        <v>489</v>
      </c>
      <c r="M34" s="742" t="s">
        <v>490</v>
      </c>
      <c r="N34" s="742" t="s">
        <v>491</v>
      </c>
      <c r="O34" s="742" t="s">
        <v>492</v>
      </c>
      <c r="P34" s="742" t="s">
        <v>493</v>
      </c>
      <c r="Q34" s="742" t="s">
        <v>494</v>
      </c>
      <c r="R34" s="742" t="s">
        <v>495</v>
      </c>
      <c r="S34" s="3509" t="s">
        <v>496</v>
      </c>
      <c r="T34" s="742" t="str">
        <f>NUMBERSTRING(7-K34,1)&amp;"通"</f>
        <v>七通</v>
      </c>
      <c r="U34" s="2724"/>
      <c r="V34" s="2724"/>
    </row>
    <row r="35" spans="1:30">
      <c r="A35" s="3232"/>
      <c r="B35" s="3516" t="s">
        <v>497</v>
      </c>
      <c r="C35" s="3516"/>
      <c r="D35" s="3516"/>
      <c r="E35" s="3516"/>
      <c r="F35" s="660">
        <f>C10</f>
        <v>0</v>
      </c>
      <c r="G35" s="2845"/>
      <c r="H35" s="2845"/>
      <c r="I35" s="2845"/>
      <c r="J35" s="2724"/>
      <c r="K35" s="742"/>
      <c r="L35" s="742">
        <f>B34</f>
        <v>0</v>
      </c>
      <c r="M35" s="744" t="str">
        <f>B34&amp;"、"&amp;C34</f>
        <v>、</v>
      </c>
      <c r="N35" s="744" t="str">
        <f>B34&amp;"、"&amp;C34&amp;"、"&amp;D34</f>
        <v>、、</v>
      </c>
      <c r="O35" s="744" t="str">
        <f>B34&amp;"、"&amp;C34&amp;"、"&amp;D34&amp;"、"&amp;E34</f>
        <v>、、、</v>
      </c>
      <c r="P35" s="744" t="str">
        <f>B34&amp;"、"&amp;C34&amp;"、"&amp;D34&amp;"、"&amp;E34&amp;"、"&amp;F34</f>
        <v>、、、、</v>
      </c>
      <c r="Q35" s="744" t="str">
        <f>B34&amp;"、"&amp;C34&amp;"、"&amp;D34&amp;"、"&amp;E34&amp;"、"&amp;F34&amp;"、"&amp;G34</f>
        <v>、、、、、</v>
      </c>
      <c r="R35" s="744" t="str">
        <f>B34&amp;"、"&amp;C34&amp;"、"&amp;D34&amp;"、"&amp;E34&amp;"、"&amp;F34&amp;"、"&amp;G34&amp;"、"&amp;H34</f>
        <v>、、、、、、</v>
      </c>
      <c r="S35" s="3509"/>
      <c r="T35" s="744" t="str">
        <f>IF(T34="一通",L35,IF(T34="二通",M35,IF(T34="三通",N35,IF(T34="四通",O35,IF(T34="五通",P35,IF(T34="六通",Q35,R35))))))</f>
        <v>、、、、、、</v>
      </c>
      <c r="U35" s="2724"/>
      <c r="V35" s="2724"/>
    </row>
    <row r="36" spans="1:30">
      <c r="A36" s="3233"/>
      <c r="B36" s="660" t="s">
        <v>446</v>
      </c>
      <c r="C36" s="660" t="s">
        <v>447</v>
      </c>
      <c r="D36" s="660" t="s">
        <v>445</v>
      </c>
      <c r="E36" s="660" t="s">
        <v>450</v>
      </c>
      <c r="F36" s="3234" t="s">
        <v>280</v>
      </c>
      <c r="G36" s="2845"/>
      <c r="H36" s="2845"/>
      <c r="I36" s="2845"/>
      <c r="J36" s="2724"/>
      <c r="K36" s="3248"/>
      <c r="L36" s="3246"/>
      <c r="M36" s="3246"/>
      <c r="N36" s="2724"/>
      <c r="O36" s="3247"/>
      <c r="P36" s="2724"/>
      <c r="Q36" s="2724"/>
      <c r="R36" s="2724"/>
      <c r="S36" s="2724"/>
      <c r="T36" s="2724"/>
      <c r="U36" s="2724"/>
      <c r="V36" s="2724"/>
    </row>
    <row r="37" spans="1:30">
      <c r="A37" s="3235" t="s">
        <v>498</v>
      </c>
      <c r="B37" s="3236" t="s">
        <v>259</v>
      </c>
      <c r="C37" s="3236"/>
      <c r="D37" s="3236" t="s">
        <v>259</v>
      </c>
      <c r="E37" s="3236"/>
      <c r="F37" s="3236"/>
      <c r="G37" s="2845"/>
      <c r="H37" s="2845"/>
      <c r="I37" s="2845"/>
      <c r="J37" s="2724"/>
      <c r="K37" s="3248"/>
      <c r="L37" s="3246"/>
      <c r="M37" s="3246"/>
      <c r="N37" s="2724"/>
      <c r="O37" s="3247"/>
      <c r="P37" s="2724"/>
      <c r="Q37" s="2724"/>
      <c r="R37" s="2724"/>
      <c r="S37" s="2724"/>
      <c r="T37" s="2724"/>
      <c r="U37" s="2724"/>
      <c r="V37" s="2724"/>
    </row>
    <row r="38" spans="1:30">
      <c r="A38" s="3237" t="s">
        <v>499</v>
      </c>
      <c r="B38" s="3238" t="s">
        <v>500</v>
      </c>
      <c r="C38" s="3238"/>
      <c r="D38" s="3238" t="s">
        <v>501</v>
      </c>
      <c r="E38" s="3238"/>
      <c r="F38" s="3238"/>
      <c r="G38" s="3175"/>
      <c r="H38" s="3175"/>
      <c r="I38" s="3175"/>
      <c r="J38" s="2724"/>
      <c r="K38" s="3248"/>
      <c r="L38" s="3246"/>
      <c r="M38" s="3246"/>
      <c r="N38" s="2724"/>
      <c r="O38" s="3247"/>
      <c r="P38" s="2724"/>
      <c r="Q38" s="2724"/>
      <c r="R38" s="2724"/>
      <c r="S38" s="2724"/>
      <c r="T38" s="2724"/>
      <c r="U38" s="2724"/>
      <c r="V38" s="2724"/>
    </row>
    <row r="39" spans="1:30" s="3142" customFormat="1">
      <c r="A39" s="3239" t="s">
        <v>502</v>
      </c>
      <c r="B39" s="3240"/>
      <c r="C39" s="3240"/>
      <c r="D39" s="3240"/>
      <c r="E39" s="3240"/>
      <c r="F39" s="3240"/>
      <c r="G39" s="3240"/>
      <c r="H39" s="3240"/>
      <c r="I39" s="3240"/>
      <c r="J39" s="3263"/>
      <c r="K39" s="3264"/>
      <c r="L39" s="3263"/>
      <c r="M39" s="3263"/>
      <c r="N39" s="3263"/>
      <c r="O39" s="3265"/>
      <c r="P39" s="3263"/>
      <c r="Q39" s="3263"/>
      <c r="R39" s="3263"/>
      <c r="S39" s="3263"/>
      <c r="T39" s="3263"/>
      <c r="U39" s="3263"/>
      <c r="V39" s="3263"/>
      <c r="W39" s="3272"/>
      <c r="X39" s="3272"/>
      <c r="Y39" s="3272"/>
      <c r="Z39" s="3272"/>
      <c r="AA39" s="3272"/>
      <c r="AB39" s="3272"/>
      <c r="AC39" s="3272"/>
      <c r="AD39" s="3272"/>
    </row>
    <row r="40" spans="1:30">
      <c r="A40" s="3187"/>
      <c r="B40" s="3187"/>
      <c r="C40" s="3187"/>
      <c r="D40" s="3187"/>
      <c r="E40" s="3187"/>
      <c r="F40" s="3187"/>
      <c r="G40" s="3187"/>
      <c r="H40" s="3187"/>
      <c r="I40" s="1811"/>
      <c r="J40" s="2725"/>
      <c r="K40" s="3245"/>
      <c r="L40" s="3257"/>
      <c r="M40" s="3257"/>
      <c r="N40" s="2725"/>
      <c r="O40" s="3257"/>
      <c r="P40" s="2724"/>
      <c r="Q40" s="2724"/>
      <c r="R40" s="2724"/>
      <c r="S40" s="2724"/>
      <c r="T40" s="2724"/>
      <c r="U40" s="2724"/>
      <c r="V40" s="2724"/>
    </row>
    <row r="41" spans="1:30">
      <c r="A41" s="3241" t="s">
        <v>503</v>
      </c>
      <c r="B41" s="1692"/>
      <c r="C41" s="1823"/>
      <c r="D41" s="3187"/>
      <c r="E41" s="3187"/>
      <c r="F41" s="3187"/>
      <c r="G41" s="3187"/>
      <c r="H41" s="3187"/>
      <c r="I41" s="3054"/>
      <c r="J41" s="2724"/>
      <c r="K41" s="3248"/>
      <c r="L41" s="3246"/>
      <c r="M41" s="3246"/>
      <c r="N41" s="2724"/>
      <c r="O41" s="3247"/>
      <c r="P41" s="2724"/>
      <c r="Q41" s="2724"/>
      <c r="R41" s="2724"/>
      <c r="S41" s="2724"/>
      <c r="T41" s="2724"/>
      <c r="U41" s="2724"/>
      <c r="V41" s="2724"/>
    </row>
    <row r="42" spans="1:30" ht="25.2">
      <c r="A42" s="742" t="s">
        <v>504</v>
      </c>
      <c r="B42" s="602" t="s">
        <v>505</v>
      </c>
      <c r="C42" s="602" t="s">
        <v>506</v>
      </c>
      <c r="D42" s="602" t="s">
        <v>507</v>
      </c>
      <c r="E42" s="602" t="s">
        <v>508</v>
      </c>
      <c r="F42" s="602" t="s">
        <v>509</v>
      </c>
      <c r="G42" s="602" t="s">
        <v>510</v>
      </c>
      <c r="H42" s="602" t="s">
        <v>511</v>
      </c>
      <c r="I42" s="602" t="s">
        <v>512</v>
      </c>
      <c r="J42" s="3266" t="s">
        <v>513</v>
      </c>
      <c r="K42" s="3267" t="s">
        <v>514</v>
      </c>
      <c r="L42" s="3267" t="s">
        <v>515</v>
      </c>
      <c r="M42" s="3267" t="s">
        <v>516</v>
      </c>
      <c r="N42" s="3268" t="s">
        <v>517</v>
      </c>
      <c r="O42" s="3268" t="s">
        <v>518</v>
      </c>
      <c r="P42" s="3268" t="s">
        <v>519</v>
      </c>
      <c r="Q42" s="3273" t="s">
        <v>520</v>
      </c>
      <c r="R42" s="3273" t="s">
        <v>521</v>
      </c>
      <c r="S42" s="2724"/>
      <c r="T42" s="2724"/>
      <c r="U42" s="2724"/>
      <c r="V42" s="2724"/>
    </row>
    <row r="43" spans="1:30" s="2937" customFormat="1">
      <c r="A43" s="3079"/>
      <c r="B43" s="3075"/>
      <c r="C43" s="3075"/>
      <c r="D43" s="3075"/>
      <c r="E43" s="3075"/>
      <c r="F43" s="3075"/>
      <c r="G43" s="3075"/>
      <c r="H43" s="3075"/>
      <c r="I43" s="3075"/>
      <c r="J43" s="3269"/>
      <c r="K43" s="3270"/>
      <c r="L43" s="3270"/>
      <c r="M43" s="3075"/>
      <c r="N43" s="3075"/>
      <c r="O43" s="3075"/>
      <c r="P43" s="3075"/>
      <c r="Q43" s="3075"/>
      <c r="R43" s="3075"/>
      <c r="S43" s="2724"/>
      <c r="T43" s="2724"/>
      <c r="U43" s="2724"/>
      <c r="V43" s="2724"/>
    </row>
    <row r="44" spans="1:30" s="2937" customFormat="1">
      <c r="A44" s="3079"/>
      <c r="B44" s="3079"/>
      <c r="C44" s="3075"/>
      <c r="D44" s="3075"/>
      <c r="E44" s="3075"/>
      <c r="F44" s="3075"/>
      <c r="G44" s="3075"/>
      <c r="H44" s="3075"/>
      <c r="I44" s="3075"/>
      <c r="J44" s="3269"/>
      <c r="K44" s="3270"/>
      <c r="L44" s="3270"/>
      <c r="M44" s="3075"/>
      <c r="N44" s="3075"/>
      <c r="O44" s="3075"/>
      <c r="P44" s="3075"/>
      <c r="Q44" s="3075"/>
      <c r="R44" s="3075"/>
      <c r="S44" s="2724"/>
      <c r="T44" s="2724"/>
      <c r="U44" s="2724"/>
      <c r="V44" s="2724"/>
    </row>
    <row r="45" spans="1:30" s="2937" customFormat="1">
      <c r="A45" s="3079"/>
      <c r="B45" s="3079"/>
      <c r="C45" s="3075"/>
      <c r="D45" s="3075"/>
      <c r="E45" s="3075"/>
      <c r="F45" s="3075"/>
      <c r="G45" s="3075"/>
      <c r="H45" s="3075"/>
      <c r="I45" s="3075"/>
      <c r="J45" s="3269"/>
      <c r="K45" s="3270"/>
      <c r="L45" s="3270"/>
      <c r="M45" s="3075"/>
      <c r="N45" s="3075"/>
      <c r="O45" s="3075"/>
      <c r="P45" s="3075"/>
      <c r="Q45" s="3075"/>
      <c r="R45" s="3075"/>
      <c r="S45" s="2724"/>
      <c r="T45" s="2724"/>
      <c r="U45" s="2724"/>
      <c r="V45" s="2724"/>
    </row>
    <row r="46" spans="1:30" s="2937" customFormat="1">
      <c r="A46" s="3079"/>
      <c r="B46" s="3079"/>
      <c r="C46" s="3075"/>
      <c r="D46" s="3075"/>
      <c r="E46" s="3075"/>
      <c r="F46" s="3075"/>
      <c r="G46" s="3075"/>
      <c r="H46" s="3075"/>
      <c r="I46" s="3075"/>
      <c r="J46" s="3269"/>
      <c r="K46" s="3270"/>
      <c r="L46" s="3270"/>
      <c r="M46" s="3075"/>
      <c r="N46" s="3075"/>
      <c r="O46" s="3075"/>
      <c r="P46" s="3075"/>
      <c r="Q46" s="3075"/>
      <c r="R46" s="3075"/>
      <c r="S46" s="2724"/>
      <c r="T46" s="2724"/>
      <c r="U46" s="2724"/>
      <c r="V46" s="2724"/>
    </row>
    <row r="47" spans="1:30" s="2937" customFormat="1">
      <c r="A47" s="3079"/>
      <c r="B47" s="3079"/>
      <c r="C47" s="3075"/>
      <c r="D47" s="3075"/>
      <c r="E47" s="3075"/>
      <c r="F47" s="3075"/>
      <c r="G47" s="3075"/>
      <c r="H47" s="3075"/>
      <c r="I47" s="3075"/>
      <c r="J47" s="3269"/>
      <c r="K47" s="3270"/>
      <c r="L47" s="3270"/>
      <c r="M47" s="3075"/>
      <c r="N47" s="3075"/>
      <c r="O47" s="3075"/>
      <c r="P47" s="3075"/>
      <c r="Q47" s="3075"/>
      <c r="R47" s="3075"/>
      <c r="S47" s="2724"/>
      <c r="T47" s="2724"/>
      <c r="U47" s="2724"/>
      <c r="V47" s="2724"/>
    </row>
    <row r="48" spans="1:30" s="2937" customFormat="1">
      <c r="A48" s="3079"/>
      <c r="B48" s="3079"/>
      <c r="C48" s="3075"/>
      <c r="D48" s="3075"/>
      <c r="E48" s="3075"/>
      <c r="F48" s="3075"/>
      <c r="G48" s="3075"/>
      <c r="H48" s="3075"/>
      <c r="I48" s="3075"/>
      <c r="J48" s="3269"/>
      <c r="K48" s="3270"/>
      <c r="L48" s="3270"/>
      <c r="M48" s="3075"/>
      <c r="N48" s="3075"/>
      <c r="O48" s="3075"/>
      <c r="P48" s="3075"/>
      <c r="Q48" s="3075"/>
      <c r="R48" s="3075"/>
      <c r="S48" s="2724"/>
      <c r="T48" s="2724"/>
      <c r="U48" s="2724"/>
      <c r="V48" s="2724"/>
    </row>
    <row r="49" spans="1:22" s="2937" customFormat="1">
      <c r="A49" s="3079"/>
      <c r="B49" s="3079"/>
      <c r="C49" s="3075"/>
      <c r="D49" s="3075"/>
      <c r="E49" s="3075"/>
      <c r="F49" s="3075"/>
      <c r="G49" s="3075"/>
      <c r="H49" s="3075"/>
      <c r="I49" s="3075"/>
      <c r="J49" s="3269"/>
      <c r="K49" s="3270"/>
      <c r="L49" s="3270"/>
      <c r="M49" s="3075"/>
      <c r="N49" s="3075"/>
      <c r="O49" s="3075"/>
      <c r="P49" s="3075"/>
      <c r="Q49" s="3075"/>
      <c r="R49" s="3075"/>
      <c r="S49" s="2724"/>
      <c r="T49" s="2724"/>
      <c r="U49" s="2724"/>
      <c r="V49" s="2724"/>
    </row>
    <row r="50" spans="1:22" s="2937" customFormat="1">
      <c r="A50" s="3079"/>
      <c r="B50" s="3079"/>
      <c r="C50" s="3075"/>
      <c r="D50" s="3075"/>
      <c r="E50" s="3075"/>
      <c r="F50" s="3075"/>
      <c r="G50" s="3075"/>
      <c r="H50" s="3075"/>
      <c r="I50" s="3075"/>
      <c r="J50" s="3269"/>
      <c r="K50" s="3270"/>
      <c r="L50" s="3270"/>
      <c r="M50" s="3075"/>
      <c r="N50" s="3075"/>
      <c r="O50" s="3075"/>
      <c r="P50" s="3075"/>
      <c r="Q50" s="3075"/>
      <c r="R50" s="3075"/>
      <c r="S50" s="2724"/>
      <c r="T50" s="2724"/>
      <c r="U50" s="2724"/>
      <c r="V50" s="2724"/>
    </row>
    <row r="51" spans="1:22" s="2937" customFormat="1">
      <c r="A51" s="3079"/>
      <c r="B51" s="3079"/>
      <c r="C51" s="3075"/>
      <c r="D51" s="3075"/>
      <c r="E51" s="3075"/>
      <c r="F51" s="3075"/>
      <c r="G51" s="3075"/>
      <c r="H51" s="3075"/>
      <c r="I51" s="3075"/>
      <c r="J51" s="3269"/>
      <c r="K51" s="3270"/>
      <c r="L51" s="3270"/>
      <c r="M51" s="3075"/>
      <c r="N51" s="3075"/>
      <c r="O51" s="3075"/>
      <c r="P51" s="3075"/>
      <c r="Q51" s="3075"/>
      <c r="R51" s="3075"/>
    </row>
    <row r="52" spans="1:22" s="2937" customFormat="1">
      <c r="A52" s="3079"/>
      <c r="B52" s="3079"/>
      <c r="C52" s="3079"/>
      <c r="D52" s="3079"/>
      <c r="E52" s="3079"/>
      <c r="F52" s="3075"/>
      <c r="G52" s="3079"/>
      <c r="H52" s="3079"/>
      <c r="I52" s="3079"/>
      <c r="J52" s="3271"/>
      <c r="K52" s="3270"/>
      <c r="L52" s="3270"/>
      <c r="M52" s="3270"/>
      <c r="N52" s="3079"/>
      <c r="O52" s="3079"/>
      <c r="P52" s="3079"/>
      <c r="Q52" s="3079"/>
      <c r="R52" s="3079"/>
    </row>
    <row r="53" spans="1:22" s="2937" customFormat="1">
      <c r="A53" s="3079"/>
      <c r="B53" s="3079"/>
      <c r="C53" s="3079"/>
      <c r="D53" s="3079"/>
      <c r="E53" s="3079"/>
      <c r="F53" s="3075"/>
      <c r="G53" s="3079"/>
      <c r="H53" s="3079"/>
      <c r="I53" s="3079"/>
      <c r="J53" s="3271"/>
      <c r="K53" s="3270"/>
      <c r="L53" s="3270"/>
      <c r="M53" s="3270"/>
      <c r="N53" s="3079"/>
      <c r="O53" s="3079"/>
      <c r="P53" s="3079"/>
      <c r="Q53" s="3079"/>
      <c r="R53" s="3079"/>
    </row>
    <row r="54" spans="1:22" s="2937" customFormat="1">
      <c r="A54" s="3079"/>
      <c r="B54" s="3079"/>
      <c r="C54" s="3079"/>
      <c r="D54" s="3079"/>
      <c r="E54" s="3079"/>
      <c r="F54" s="3075"/>
      <c r="G54" s="3079"/>
      <c r="H54" s="3079"/>
      <c r="I54" s="3079"/>
      <c r="J54" s="3271"/>
      <c r="K54" s="3270"/>
      <c r="L54" s="3270"/>
      <c r="M54" s="3270"/>
      <c r="N54" s="3079"/>
      <c r="O54" s="3079"/>
      <c r="P54" s="3079"/>
      <c r="Q54" s="3079"/>
      <c r="R54" s="3079"/>
    </row>
    <row r="55" spans="1:22" s="2937" customFormat="1">
      <c r="A55" s="3079"/>
      <c r="B55" s="3079"/>
      <c r="C55" s="3079"/>
      <c r="D55" s="3079"/>
      <c r="E55" s="3079"/>
      <c r="F55" s="3075"/>
      <c r="G55" s="3079"/>
      <c r="H55" s="3079"/>
      <c r="I55" s="3079"/>
      <c r="J55" s="3271"/>
      <c r="K55" s="3270"/>
      <c r="L55" s="3270"/>
      <c r="M55" s="3270"/>
      <c r="N55" s="3079"/>
      <c r="O55" s="3079"/>
      <c r="P55" s="3079"/>
      <c r="Q55" s="3079"/>
      <c r="R55" s="3079"/>
    </row>
    <row r="56" spans="1:22" s="2937" customFormat="1">
      <c r="A56" s="3079"/>
      <c r="B56" s="3079"/>
      <c r="C56" s="3079"/>
      <c r="D56" s="3079"/>
      <c r="E56" s="3079"/>
      <c r="F56" s="3075"/>
      <c r="G56" s="3079"/>
      <c r="H56" s="3079"/>
      <c r="I56" s="3079"/>
      <c r="J56" s="3271"/>
      <c r="K56" s="3270"/>
      <c r="L56" s="3270"/>
      <c r="M56" s="3270"/>
      <c r="N56" s="3079"/>
      <c r="O56" s="3079"/>
      <c r="P56" s="3079"/>
      <c r="Q56" s="3079"/>
      <c r="R56" s="3079"/>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M14" sqref="M14"/>
    </sheetView>
  </sheetViews>
  <sheetFormatPr defaultColWidth="8.88671875" defaultRowHeight="13.8"/>
  <cols>
    <col min="1" max="1" width="10.6640625" style="3051" customWidth="1"/>
    <col min="2" max="2" width="11" style="3051" customWidth="1"/>
    <col min="3" max="3" width="10.33203125" style="3051" customWidth="1"/>
    <col min="4" max="4" width="9.109375" style="3051" customWidth="1"/>
    <col min="5" max="6" width="10" style="3049" customWidth="1"/>
    <col min="7" max="8" width="10" style="3051" customWidth="1"/>
    <col min="9" max="9" width="10.6640625" style="3051" customWidth="1"/>
    <col min="10" max="10" width="9.44140625" style="3051" customWidth="1"/>
    <col min="11" max="11" width="11" style="3051" customWidth="1"/>
    <col min="12" max="14" width="9.44140625" style="3051" customWidth="1"/>
    <col min="15" max="15" width="9.88671875" style="3051" customWidth="1"/>
    <col min="16" max="16" width="9.77734375" style="3051" customWidth="1"/>
    <col min="17" max="17" width="9.33203125" style="3051" customWidth="1"/>
    <col min="18" max="18" width="9.21875" style="3051" customWidth="1"/>
    <col min="19" max="19" width="10.88671875" style="3051" customWidth="1"/>
    <col min="20" max="21" width="10.77734375" style="3051" customWidth="1"/>
    <col min="22" max="22" width="10.88671875" style="3051" customWidth="1"/>
    <col min="23" max="27" width="10.77734375" style="3051" customWidth="1"/>
    <col min="28" max="28" width="10.88671875" style="3051" customWidth="1"/>
    <col min="29" max="29" width="11" style="3051" customWidth="1"/>
    <col min="30" max="30" width="10" style="3051" customWidth="1"/>
    <col min="31" max="31" width="9.77734375" style="3051" customWidth="1"/>
    <col min="32" max="46" width="9.44140625" style="3051" customWidth="1"/>
    <col min="47" max="47" width="18.109375" style="3051" customWidth="1"/>
    <col min="48" max="50" width="9.77734375" style="3051" customWidth="1"/>
    <col min="51" max="55" width="10.44140625" style="3051" customWidth="1"/>
    <col min="56" max="56" width="9.44140625" style="3051" customWidth="1"/>
    <col min="57" max="63" width="9.109375" style="3051" customWidth="1"/>
    <col min="64" max="64" width="9.44140625" style="3051" customWidth="1"/>
    <col min="65" max="65" width="9.109375" style="3051" customWidth="1"/>
    <col min="66" max="66" width="9.44140625" style="3051" customWidth="1"/>
    <col min="67" max="69" width="9.109375" style="3051" customWidth="1"/>
    <col min="70" max="70" width="9.44140625" style="3051" customWidth="1"/>
    <col min="71" max="71" width="9" style="3051" customWidth="1"/>
    <col min="72" max="72" width="9.109375" style="3051" customWidth="1"/>
    <col min="73" max="16384" width="8.88671875" style="3051"/>
  </cols>
  <sheetData>
    <row r="1" spans="1:72" ht="21">
      <c r="A1" s="3052" t="s">
        <v>522</v>
      </c>
      <c r="B1" s="3053"/>
      <c r="C1" s="3053"/>
      <c r="D1" s="3053"/>
      <c r="E1" s="3053"/>
      <c r="F1" s="3053"/>
      <c r="G1" s="3053"/>
      <c r="H1" s="3053"/>
      <c r="I1" s="3053"/>
      <c r="J1" s="3053"/>
      <c r="K1" s="3053"/>
      <c r="L1" s="3053"/>
      <c r="M1" s="3053"/>
      <c r="N1" s="3053"/>
      <c r="O1" s="3053"/>
      <c r="P1" s="3053"/>
      <c r="Q1" s="3053"/>
      <c r="R1" s="3053"/>
      <c r="S1" s="3053"/>
      <c r="T1" s="3053"/>
      <c r="U1" s="3053"/>
      <c r="V1" s="3053"/>
      <c r="W1" s="3053"/>
      <c r="X1" s="3053"/>
      <c r="Y1" s="3053"/>
      <c r="Z1" s="3053"/>
      <c r="AA1" s="3053"/>
      <c r="AB1" s="3053"/>
      <c r="AC1" s="3053"/>
      <c r="AD1" s="3053"/>
      <c r="AE1" s="3053"/>
      <c r="AF1" s="3053"/>
      <c r="AG1" s="3053"/>
      <c r="AH1" s="3053"/>
      <c r="AI1" s="3053"/>
      <c r="AJ1" s="3053"/>
      <c r="AK1" s="3053"/>
      <c r="AL1" s="3053"/>
      <c r="AM1" s="3053"/>
      <c r="AN1" s="3053"/>
      <c r="AO1" s="3053"/>
      <c r="AP1" s="3053"/>
      <c r="AQ1" s="3053"/>
      <c r="AR1" s="3053"/>
      <c r="AS1" s="3053"/>
      <c r="AT1" s="3053"/>
      <c r="AU1" s="3053"/>
      <c r="AV1" s="3105" t="s">
        <v>523</v>
      </c>
      <c r="AW1" s="3053"/>
      <c r="AX1" s="3053"/>
      <c r="AY1" s="3053"/>
      <c r="AZ1" s="3053"/>
      <c r="BA1" s="3053"/>
      <c r="BB1" s="3053"/>
      <c r="BC1" s="3053"/>
      <c r="BD1" s="3053"/>
      <c r="BE1" s="3053"/>
      <c r="BF1" s="3053"/>
      <c r="BG1" s="3053"/>
      <c r="BH1" s="3053"/>
      <c r="BI1" s="3053"/>
      <c r="BJ1" s="3053"/>
      <c r="BK1" s="3053"/>
      <c r="BL1" s="3053"/>
      <c r="BM1" s="3053"/>
      <c r="BN1" s="3053"/>
      <c r="BO1" s="3053"/>
      <c r="BP1" s="3053"/>
      <c r="BQ1" s="3053"/>
      <c r="BR1" s="3053"/>
      <c r="BS1" s="3053"/>
      <c r="BT1" s="3053"/>
    </row>
    <row r="2" spans="1:72" s="3046" customFormat="1" ht="24">
      <c r="A2" s="602" t="s">
        <v>462</v>
      </c>
      <c r="B2" s="602" t="s">
        <v>458</v>
      </c>
      <c r="C2" s="602" t="s">
        <v>524</v>
      </c>
      <c r="D2" s="3054"/>
      <c r="E2" s="1771"/>
      <c r="F2" s="1811"/>
      <c r="G2" s="3054"/>
      <c r="H2" s="3054"/>
      <c r="I2" s="3054"/>
      <c r="J2" s="3054"/>
      <c r="K2" s="3054"/>
      <c r="L2" s="3054"/>
      <c r="M2" s="3054"/>
      <c r="N2" s="3054"/>
      <c r="O2" s="3054"/>
      <c r="P2" s="3054"/>
      <c r="Q2" s="3054"/>
      <c r="R2" s="3054"/>
      <c r="S2" s="3054"/>
      <c r="T2" s="3054"/>
      <c r="U2" s="3054"/>
      <c r="V2" s="3054"/>
      <c r="W2" s="3054"/>
      <c r="X2" s="3054"/>
      <c r="Y2" s="3054"/>
      <c r="Z2" s="3054"/>
      <c r="AA2" s="3054"/>
      <c r="AB2" s="3054"/>
      <c r="AC2" s="3054"/>
      <c r="AD2" s="3054"/>
      <c r="AE2" s="3054"/>
      <c r="AF2" s="3054"/>
      <c r="AG2" s="3054"/>
      <c r="AH2" s="3054"/>
      <c r="AI2" s="3054"/>
      <c r="AJ2" s="3054"/>
      <c r="AK2" s="3054"/>
      <c r="AL2" s="3054"/>
      <c r="AM2" s="3054"/>
      <c r="AN2" s="3054"/>
      <c r="AO2" s="3054"/>
      <c r="AP2" s="3054"/>
      <c r="AQ2" s="3054"/>
      <c r="AR2" s="3054"/>
      <c r="AS2" s="3054"/>
      <c r="AT2" s="3054"/>
      <c r="AU2" s="3054"/>
      <c r="AV2" s="3054"/>
      <c r="AW2" s="3054"/>
      <c r="AX2" s="3054"/>
      <c r="AY2" s="3115" t="s">
        <v>525</v>
      </c>
      <c r="AZ2" s="3116" t="s">
        <v>526</v>
      </c>
      <c r="BA2" s="602" t="s">
        <v>527</v>
      </c>
      <c r="BB2" s="3054"/>
      <c r="BC2" s="3054"/>
      <c r="BD2" s="3054"/>
      <c r="BE2" s="3054"/>
      <c r="BF2" s="3054"/>
      <c r="BG2" s="3054"/>
      <c r="BH2" s="3054"/>
      <c r="BI2" s="3054"/>
      <c r="BJ2" s="3054"/>
      <c r="BK2" s="3054"/>
      <c r="BL2" s="3054"/>
      <c r="BM2" s="3054"/>
      <c r="BN2" s="3054"/>
      <c r="BO2" s="3054"/>
      <c r="BP2" s="3054"/>
      <c r="BQ2" s="3054"/>
      <c r="BR2" s="3054"/>
      <c r="BS2" s="3054"/>
      <c r="BT2" s="3054"/>
    </row>
    <row r="3" spans="1:72" s="3046" customFormat="1" ht="13.2">
      <c r="A3" s="3055"/>
      <c r="B3" s="3056">
        <f>IF(C3="否",G5-AT5,G5)</f>
        <v>8450.66</v>
      </c>
      <c r="C3" s="3057" t="s">
        <v>528</v>
      </c>
      <c r="D3" s="3054"/>
      <c r="E3" s="3054"/>
      <c r="F3" s="3054"/>
      <c r="G3" s="3054"/>
      <c r="H3" s="3054"/>
      <c r="I3" s="3054"/>
      <c r="J3" s="3054"/>
      <c r="K3" s="3054"/>
      <c r="L3" s="3054"/>
      <c r="M3" s="3054"/>
      <c r="N3" s="3054"/>
      <c r="O3" s="3054"/>
      <c r="P3" s="3054"/>
      <c r="Q3" s="3054"/>
      <c r="R3" s="3054"/>
      <c r="S3" s="3054"/>
      <c r="T3" s="3054"/>
      <c r="U3" s="3054"/>
      <c r="V3" s="3054"/>
      <c r="W3" s="3054"/>
      <c r="X3" s="3054"/>
      <c r="Y3" s="3054"/>
      <c r="Z3" s="3054"/>
      <c r="AA3" s="3054"/>
      <c r="AB3" s="3054"/>
      <c r="AC3" s="3054"/>
      <c r="AD3" s="3054"/>
      <c r="AE3" s="3054"/>
      <c r="AF3" s="3054"/>
      <c r="AG3" s="3054"/>
      <c r="AH3" s="3054"/>
      <c r="AI3" s="3054"/>
      <c r="AJ3" s="3054"/>
      <c r="AK3" s="3054"/>
      <c r="AL3" s="3054"/>
      <c r="AM3" s="3054"/>
      <c r="AN3" s="3054"/>
      <c r="AO3" s="3054"/>
      <c r="AP3" s="3054"/>
      <c r="AQ3" s="3054"/>
      <c r="AR3" s="3054"/>
      <c r="AS3" s="3054"/>
      <c r="AT3" s="3054"/>
      <c r="AU3" s="3054"/>
      <c r="AV3" s="3054"/>
      <c r="AW3" s="3054"/>
      <c r="AX3" s="3054"/>
      <c r="AY3" s="3117"/>
      <c r="AZ3" s="3075"/>
      <c r="BA3" s="3118"/>
      <c r="BB3" s="3054"/>
      <c r="BC3" s="3054"/>
      <c r="BD3" s="3054"/>
      <c r="BE3" s="3054"/>
      <c r="BF3" s="3054"/>
      <c r="BG3" s="3054"/>
      <c r="BH3" s="3054"/>
      <c r="BI3" s="3054"/>
      <c r="BJ3" s="3054"/>
      <c r="BK3" s="3054"/>
      <c r="BL3" s="3054"/>
      <c r="BM3" s="3054"/>
      <c r="BN3" s="3054"/>
      <c r="BO3" s="3054"/>
      <c r="BP3" s="3054"/>
      <c r="BQ3" s="3054"/>
      <c r="BR3" s="3054"/>
      <c r="BS3" s="3054"/>
      <c r="BT3" s="3054"/>
    </row>
    <row r="4" spans="1:72" s="3047" customFormat="1" ht="13.2">
      <c r="A4" s="3058"/>
      <c r="B4" s="3059"/>
      <c r="C4" s="3060"/>
      <c r="D4" s="3054"/>
      <c r="E4" s="3054"/>
      <c r="F4" s="3054"/>
      <c r="G4" s="3054"/>
      <c r="H4" s="3054"/>
      <c r="I4" s="3054"/>
      <c r="J4" s="3054"/>
      <c r="K4" s="3054"/>
      <c r="L4" s="3054"/>
      <c r="M4" s="3054"/>
      <c r="N4" s="3054"/>
      <c r="O4" s="3054"/>
      <c r="P4" s="3054"/>
      <c r="Q4" s="3054"/>
      <c r="R4" s="3054"/>
      <c r="S4" s="3054"/>
      <c r="T4" s="3054"/>
      <c r="U4" s="3054"/>
      <c r="V4" s="3054"/>
      <c r="W4" s="3054"/>
      <c r="X4" s="3054"/>
      <c r="Y4" s="3054"/>
      <c r="Z4" s="3054"/>
      <c r="AA4" s="3054"/>
      <c r="AB4" s="3054"/>
      <c r="AC4" s="3054"/>
      <c r="AD4" s="3054"/>
      <c r="AE4" s="3054"/>
      <c r="AF4" s="3054"/>
      <c r="AG4" s="3054"/>
      <c r="AH4" s="3054"/>
      <c r="AI4" s="3054"/>
      <c r="AJ4" s="3054"/>
      <c r="AK4" s="3054"/>
      <c r="AL4" s="3054"/>
      <c r="AM4" s="3054"/>
      <c r="AN4" s="3054"/>
      <c r="AO4" s="3054"/>
      <c r="AP4" s="3054"/>
      <c r="AQ4" s="3054"/>
      <c r="AR4" s="3054"/>
      <c r="AS4" s="3054"/>
      <c r="AT4" s="3054"/>
      <c r="AU4" s="3054"/>
      <c r="AV4" s="3054"/>
      <c r="AW4" s="3054"/>
      <c r="AX4" s="3054"/>
      <c r="AY4" s="3054"/>
      <c r="AZ4" s="3054"/>
      <c r="BA4" s="3119"/>
      <c r="BB4" s="3054"/>
      <c r="BC4" s="3054"/>
      <c r="BD4" s="3054"/>
      <c r="BE4" s="3054"/>
      <c r="BF4" s="3054"/>
      <c r="BG4" s="3054"/>
      <c r="BH4" s="3054"/>
      <c r="BI4" s="3054"/>
      <c r="BJ4" s="3054"/>
      <c r="BK4" s="3054"/>
      <c r="BL4" s="3054"/>
      <c r="BM4" s="3054"/>
      <c r="BN4" s="3054"/>
      <c r="BO4" s="3054"/>
      <c r="BP4" s="3054"/>
      <c r="BQ4" s="3054"/>
      <c r="BR4" s="3054"/>
      <c r="BS4" s="3054"/>
      <c r="BT4" s="3054"/>
    </row>
    <row r="5" spans="1:72" s="3046" customFormat="1" ht="13.2">
      <c r="A5" s="855" t="s">
        <v>529</v>
      </c>
      <c r="B5" s="1689"/>
      <c r="C5" s="1689"/>
      <c r="D5" s="1822"/>
      <c r="E5" s="3061" t="s">
        <v>124</v>
      </c>
      <c r="F5" s="3061">
        <f>SUM(F13:F587)</f>
        <v>0</v>
      </c>
      <c r="G5" s="3061">
        <f>SUM(G13:G587)</f>
        <v>8450.66</v>
      </c>
      <c r="H5" s="3061">
        <f t="shared" ref="H5:AT5" si="0">SUM(H13:H656)</f>
        <v>8450.66</v>
      </c>
      <c r="I5" s="3061">
        <f t="shared" si="0"/>
        <v>1032</v>
      </c>
      <c r="J5" s="3061">
        <f t="shared" si="0"/>
        <v>0</v>
      </c>
      <c r="K5" s="3061">
        <f t="shared" si="0"/>
        <v>6410.4</v>
      </c>
      <c r="L5" s="3061">
        <f t="shared" si="0"/>
        <v>0</v>
      </c>
      <c r="M5" s="3061">
        <f t="shared" si="0"/>
        <v>1008.26</v>
      </c>
      <c r="N5" s="3061">
        <f t="shared" si="0"/>
        <v>0</v>
      </c>
      <c r="O5" s="3061">
        <f t="shared" si="0"/>
        <v>0</v>
      </c>
      <c r="P5" s="3061">
        <f t="shared" si="0"/>
        <v>0</v>
      </c>
      <c r="Q5" s="3061">
        <f t="shared" si="0"/>
        <v>0</v>
      </c>
      <c r="R5" s="3061">
        <f t="shared" si="0"/>
        <v>0</v>
      </c>
      <c r="S5" s="3061">
        <f t="shared" si="0"/>
        <v>0</v>
      </c>
      <c r="T5" s="3061">
        <f t="shared" si="0"/>
        <v>0</v>
      </c>
      <c r="U5" s="3061">
        <f t="shared" si="0"/>
        <v>0</v>
      </c>
      <c r="V5" s="3061">
        <f t="shared" si="0"/>
        <v>0</v>
      </c>
      <c r="W5" s="3061">
        <f t="shared" si="0"/>
        <v>0</v>
      </c>
      <c r="X5" s="3061">
        <f t="shared" si="0"/>
        <v>0</v>
      </c>
      <c r="Y5" s="3061">
        <f t="shared" si="0"/>
        <v>0</v>
      </c>
      <c r="Z5" s="3061">
        <f t="shared" si="0"/>
        <v>0</v>
      </c>
      <c r="AA5" s="3061">
        <f t="shared" si="0"/>
        <v>0</v>
      </c>
      <c r="AB5" s="3061">
        <f t="shared" si="0"/>
        <v>0</v>
      </c>
      <c r="AC5" s="3061">
        <f t="shared" si="0"/>
        <v>0</v>
      </c>
      <c r="AD5" s="3061">
        <f t="shared" si="0"/>
        <v>0</v>
      </c>
      <c r="AE5" s="3061">
        <f t="shared" si="0"/>
        <v>0</v>
      </c>
      <c r="AF5" s="3061">
        <f t="shared" si="0"/>
        <v>0</v>
      </c>
      <c r="AG5" s="3061">
        <f t="shared" si="0"/>
        <v>0</v>
      </c>
      <c r="AH5" s="3061">
        <f t="shared" si="0"/>
        <v>0</v>
      </c>
      <c r="AI5" s="3061">
        <f t="shared" si="0"/>
        <v>0</v>
      </c>
      <c r="AJ5" s="3061">
        <f t="shared" si="0"/>
        <v>0</v>
      </c>
      <c r="AK5" s="3061">
        <f t="shared" si="0"/>
        <v>0</v>
      </c>
      <c r="AL5" s="3061">
        <f t="shared" si="0"/>
        <v>0</v>
      </c>
      <c r="AM5" s="3061">
        <f t="shared" si="0"/>
        <v>0</v>
      </c>
      <c r="AN5" s="3061">
        <f t="shared" si="0"/>
        <v>0</v>
      </c>
      <c r="AO5" s="3061">
        <f t="shared" si="0"/>
        <v>0</v>
      </c>
      <c r="AP5" s="3061">
        <f t="shared" si="0"/>
        <v>0</v>
      </c>
      <c r="AQ5" s="3061">
        <f t="shared" si="0"/>
        <v>0</v>
      </c>
      <c r="AR5" s="3061">
        <f t="shared" si="0"/>
        <v>0</v>
      </c>
      <c r="AS5" s="3061">
        <f t="shared" si="0"/>
        <v>0</v>
      </c>
      <c r="AT5" s="3061">
        <f t="shared" si="0"/>
        <v>0</v>
      </c>
      <c r="AU5" s="1688"/>
      <c r="AV5" s="855" t="s">
        <v>529</v>
      </c>
      <c r="AW5" s="1689"/>
      <c r="AX5" s="1689"/>
      <c r="AY5" s="3120" t="s">
        <v>124</v>
      </c>
      <c r="AZ5" s="3121">
        <f t="shared" ref="AZ5:BT5" si="1">SUM(AZ13:AZ656)</f>
        <v>8450.66</v>
      </c>
      <c r="BA5" s="3121">
        <f t="shared" si="1"/>
        <v>8450.66</v>
      </c>
      <c r="BB5" s="3121">
        <f t="shared" si="1"/>
        <v>1032</v>
      </c>
      <c r="BC5" s="3121">
        <f t="shared" si="1"/>
        <v>6410.4</v>
      </c>
      <c r="BD5" s="3121">
        <f t="shared" si="1"/>
        <v>1008.26</v>
      </c>
      <c r="BE5" s="3121">
        <f t="shared" si="1"/>
        <v>0</v>
      </c>
      <c r="BF5" s="3121">
        <f t="shared" si="1"/>
        <v>0</v>
      </c>
      <c r="BG5" s="3121">
        <f t="shared" si="1"/>
        <v>0</v>
      </c>
      <c r="BH5" s="3121">
        <f t="shared" si="1"/>
        <v>0</v>
      </c>
      <c r="BI5" s="3121">
        <f t="shared" si="1"/>
        <v>0</v>
      </c>
      <c r="BJ5" s="3121">
        <f t="shared" si="1"/>
        <v>0</v>
      </c>
      <c r="BK5" s="3121">
        <f t="shared" si="1"/>
        <v>0</v>
      </c>
      <c r="BL5" s="3121">
        <f t="shared" si="1"/>
        <v>0</v>
      </c>
      <c r="BM5" s="3121">
        <f t="shared" si="1"/>
        <v>0</v>
      </c>
      <c r="BN5" s="3121">
        <f t="shared" si="1"/>
        <v>0</v>
      </c>
      <c r="BO5" s="3121">
        <f t="shared" si="1"/>
        <v>0</v>
      </c>
      <c r="BP5" s="3121">
        <f t="shared" si="1"/>
        <v>0</v>
      </c>
      <c r="BQ5" s="3121">
        <f t="shared" si="1"/>
        <v>0</v>
      </c>
      <c r="BR5" s="3121">
        <f t="shared" si="1"/>
        <v>0</v>
      </c>
      <c r="BS5" s="3121">
        <f t="shared" si="1"/>
        <v>0</v>
      </c>
      <c r="BT5" s="3130">
        <f t="shared" si="1"/>
        <v>0</v>
      </c>
    </row>
    <row r="6" spans="1:72" s="3048" customFormat="1" ht="13.2">
      <c r="A6" s="855" t="s">
        <v>530</v>
      </c>
      <c r="B6" s="3062"/>
      <c r="C6" s="3062"/>
      <c r="D6" s="3063"/>
      <c r="E6" s="3061">
        <f>H6+AC6+AT6</f>
        <v>0</v>
      </c>
      <c r="F6" s="3061" t="s">
        <v>124</v>
      </c>
      <c r="G6" s="3061" t="s">
        <v>124</v>
      </c>
      <c r="H6" s="3064">
        <f>SUMIF(I$12:AB$12,"总值",I6:AB6)</f>
        <v>0</v>
      </c>
      <c r="I6" s="3061">
        <f t="shared" ref="I6:AB6" si="2">ROUND($A$3*I5/$B$3,2)</f>
        <v>0</v>
      </c>
      <c r="J6" s="3061">
        <f t="shared" si="2"/>
        <v>0</v>
      </c>
      <c r="K6" s="3061">
        <f t="shared" si="2"/>
        <v>0</v>
      </c>
      <c r="L6" s="3061">
        <f t="shared" si="2"/>
        <v>0</v>
      </c>
      <c r="M6" s="3061">
        <f t="shared" si="2"/>
        <v>0</v>
      </c>
      <c r="N6" s="3061">
        <f t="shared" si="2"/>
        <v>0</v>
      </c>
      <c r="O6" s="3061">
        <f t="shared" si="2"/>
        <v>0</v>
      </c>
      <c r="P6" s="3061">
        <f t="shared" si="2"/>
        <v>0</v>
      </c>
      <c r="Q6" s="3061">
        <f t="shared" si="2"/>
        <v>0</v>
      </c>
      <c r="R6" s="3061">
        <f t="shared" si="2"/>
        <v>0</v>
      </c>
      <c r="S6" s="3061">
        <f t="shared" si="2"/>
        <v>0</v>
      </c>
      <c r="T6" s="3061">
        <f t="shared" si="2"/>
        <v>0</v>
      </c>
      <c r="U6" s="3061">
        <f t="shared" si="2"/>
        <v>0</v>
      </c>
      <c r="V6" s="3061">
        <f t="shared" si="2"/>
        <v>0</v>
      </c>
      <c r="W6" s="3061">
        <f t="shared" si="2"/>
        <v>0</v>
      </c>
      <c r="X6" s="3061">
        <f t="shared" si="2"/>
        <v>0</v>
      </c>
      <c r="Y6" s="3061">
        <f t="shared" si="2"/>
        <v>0</v>
      </c>
      <c r="Z6" s="3061">
        <f t="shared" si="2"/>
        <v>0</v>
      </c>
      <c r="AA6" s="3061">
        <f t="shared" si="2"/>
        <v>0</v>
      </c>
      <c r="AB6" s="3061">
        <f t="shared" si="2"/>
        <v>0</v>
      </c>
      <c r="AC6" s="3064">
        <f>SUMIF(AD$12:AS$12,"总值",AD6:AS6)</f>
        <v>0</v>
      </c>
      <c r="AD6" s="3061">
        <f t="shared" ref="AD6:AS6" si="3">ROUND($A$3*AD5/$B$3,2)</f>
        <v>0</v>
      </c>
      <c r="AE6" s="3061">
        <f t="shared" si="3"/>
        <v>0</v>
      </c>
      <c r="AF6" s="3061">
        <f t="shared" si="3"/>
        <v>0</v>
      </c>
      <c r="AG6" s="3061">
        <f t="shared" si="3"/>
        <v>0</v>
      </c>
      <c r="AH6" s="3061">
        <f t="shared" si="3"/>
        <v>0</v>
      </c>
      <c r="AI6" s="3061">
        <f t="shared" si="3"/>
        <v>0</v>
      </c>
      <c r="AJ6" s="3061">
        <f t="shared" si="3"/>
        <v>0</v>
      </c>
      <c r="AK6" s="3061">
        <f t="shared" si="3"/>
        <v>0</v>
      </c>
      <c r="AL6" s="3061">
        <f t="shared" si="3"/>
        <v>0</v>
      </c>
      <c r="AM6" s="3061">
        <f t="shared" si="3"/>
        <v>0</v>
      </c>
      <c r="AN6" s="3061">
        <f t="shared" si="3"/>
        <v>0</v>
      </c>
      <c r="AO6" s="3061">
        <f t="shared" si="3"/>
        <v>0</v>
      </c>
      <c r="AP6" s="3061">
        <f t="shared" si="3"/>
        <v>0</v>
      </c>
      <c r="AQ6" s="3061">
        <f t="shared" si="3"/>
        <v>0</v>
      </c>
      <c r="AR6" s="3061">
        <f t="shared" si="3"/>
        <v>0</v>
      </c>
      <c r="AS6" s="3061">
        <f t="shared" si="3"/>
        <v>0</v>
      </c>
      <c r="AT6" s="3064">
        <f>IF(C3="是",ROUND($A$3*AT5/$B$3,2),0)</f>
        <v>0</v>
      </c>
      <c r="AU6" s="3106"/>
      <c r="AV6" s="855" t="s">
        <v>530</v>
      </c>
      <c r="AW6" s="3062"/>
      <c r="AX6" s="3062"/>
      <c r="AY6" s="3122">
        <f>IF(AY3&gt;0,AY3,ROUND($A$3*AZ5/$B$3,2))</f>
        <v>0</v>
      </c>
      <c r="AZ6" s="3061" t="s">
        <v>124</v>
      </c>
      <c r="BA6" s="3061">
        <f>ROUND($AY$6*BA5/$AZ$5,2)</f>
        <v>0</v>
      </c>
      <c r="BB6" s="3061">
        <f>ROUND($AY$6*BB5/$AZ$5,2)</f>
        <v>0</v>
      </c>
      <c r="BC6" s="3061">
        <f t="shared" ref="BC6:BH6" si="4">ROUND($AY$6*BC5/$AZ$5,2)</f>
        <v>0</v>
      </c>
      <c r="BD6" s="3061">
        <f t="shared" si="4"/>
        <v>0</v>
      </c>
      <c r="BE6" s="3061">
        <f t="shared" si="4"/>
        <v>0</v>
      </c>
      <c r="BF6" s="3061">
        <f t="shared" si="4"/>
        <v>0</v>
      </c>
      <c r="BG6" s="3061">
        <f t="shared" si="4"/>
        <v>0</v>
      </c>
      <c r="BH6" s="3061">
        <f t="shared" si="4"/>
        <v>0</v>
      </c>
      <c r="BI6" s="3061">
        <f t="shared" ref="BI6:BT6" si="5">ROUND($AY$6*BI5/$AZ$5,2)</f>
        <v>0</v>
      </c>
      <c r="BJ6" s="3061">
        <f t="shared" si="5"/>
        <v>0</v>
      </c>
      <c r="BK6" s="3061">
        <f t="shared" si="5"/>
        <v>0</v>
      </c>
      <c r="BL6" s="3061">
        <f t="shared" si="5"/>
        <v>0</v>
      </c>
      <c r="BM6" s="3061">
        <f t="shared" si="5"/>
        <v>0</v>
      </c>
      <c r="BN6" s="3061">
        <f t="shared" si="5"/>
        <v>0</v>
      </c>
      <c r="BO6" s="3061">
        <f t="shared" si="5"/>
        <v>0</v>
      </c>
      <c r="BP6" s="3061">
        <f t="shared" si="5"/>
        <v>0</v>
      </c>
      <c r="BQ6" s="3061">
        <f t="shared" si="5"/>
        <v>0</v>
      </c>
      <c r="BR6" s="3061">
        <f t="shared" si="5"/>
        <v>0</v>
      </c>
      <c r="BS6" s="3061">
        <f t="shared" si="5"/>
        <v>0</v>
      </c>
      <c r="BT6" s="3131">
        <f t="shared" si="5"/>
        <v>0</v>
      </c>
    </row>
    <row r="7" spans="1:72" s="3046" customFormat="1" ht="25.2">
      <c r="A7" s="3065" t="s">
        <v>531</v>
      </c>
      <c r="B7" s="3065" t="s">
        <v>532</v>
      </c>
      <c r="C7" s="3065" t="s">
        <v>505</v>
      </c>
      <c r="D7" s="3065" t="s">
        <v>533</v>
      </c>
      <c r="E7" s="3065" t="s">
        <v>530</v>
      </c>
      <c r="F7" s="3065" t="s">
        <v>534</v>
      </c>
      <c r="G7" s="1791" t="s">
        <v>535</v>
      </c>
      <c r="H7" s="3066"/>
      <c r="I7" s="3066"/>
      <c r="J7" s="3066"/>
      <c r="K7" s="3066"/>
      <c r="L7" s="3066"/>
      <c r="M7" s="3066"/>
      <c r="N7" s="3066"/>
      <c r="O7" s="3066"/>
      <c r="P7" s="3066"/>
      <c r="Q7" s="3066"/>
      <c r="R7" s="3066"/>
      <c r="S7" s="3066"/>
      <c r="T7" s="3066"/>
      <c r="U7" s="3066"/>
      <c r="V7" s="3066"/>
      <c r="W7" s="3066"/>
      <c r="X7" s="3066"/>
      <c r="Y7" s="3066"/>
      <c r="Z7" s="3066"/>
      <c r="AA7" s="3066"/>
      <c r="AB7" s="3066"/>
      <c r="AC7" s="3066"/>
      <c r="AD7" s="3066"/>
      <c r="AE7" s="3066"/>
      <c r="AF7" s="3066"/>
      <c r="AG7" s="3066"/>
      <c r="AH7" s="3066"/>
      <c r="AI7" s="3066"/>
      <c r="AJ7" s="3066"/>
      <c r="AK7" s="3066"/>
      <c r="AL7" s="3066"/>
      <c r="AM7" s="3066"/>
      <c r="AN7" s="3066"/>
      <c r="AO7" s="3066"/>
      <c r="AP7" s="3066"/>
      <c r="AQ7" s="3066"/>
      <c r="AR7" s="3066"/>
      <c r="AS7" s="3066"/>
      <c r="AT7" s="1822"/>
      <c r="AU7" s="3066" t="s">
        <v>536</v>
      </c>
      <c r="AV7" s="3107" t="s">
        <v>531</v>
      </c>
      <c r="AW7" s="1811" t="s">
        <v>532</v>
      </c>
      <c r="AX7" s="3107" t="s">
        <v>505</v>
      </c>
      <c r="AY7" s="1689" t="s">
        <v>537</v>
      </c>
      <c r="AZ7" s="3098"/>
      <c r="BA7" s="3066"/>
      <c r="BB7" s="3066"/>
      <c r="BC7" s="3066"/>
      <c r="BD7" s="3066"/>
      <c r="BE7" s="3066"/>
      <c r="BF7" s="3066"/>
      <c r="BG7" s="3066"/>
      <c r="BH7" s="3066"/>
      <c r="BI7" s="3066"/>
      <c r="BJ7" s="3066"/>
      <c r="BK7" s="3066"/>
      <c r="BL7" s="3066"/>
      <c r="BM7" s="3066"/>
      <c r="BN7" s="3066"/>
      <c r="BO7" s="3066"/>
      <c r="BP7" s="3066"/>
      <c r="BQ7" s="3066"/>
      <c r="BR7" s="3066"/>
      <c r="BS7" s="3066"/>
      <c r="BT7" s="3132"/>
    </row>
    <row r="8" spans="1:72" s="2743" customFormat="1" ht="24">
      <c r="A8" s="3067"/>
      <c r="B8" s="3067"/>
      <c r="C8" s="3067"/>
      <c r="D8" s="3067"/>
      <c r="E8" s="3067"/>
      <c r="F8" s="3067"/>
      <c r="G8" s="3068" t="s">
        <v>538</v>
      </c>
      <c r="H8" s="3069" t="s">
        <v>539</v>
      </c>
      <c r="I8" s="3087"/>
      <c r="J8" s="601"/>
      <c r="K8" s="601"/>
      <c r="L8" s="601"/>
      <c r="M8" s="601"/>
      <c r="N8" s="601"/>
      <c r="O8" s="601"/>
      <c r="P8" s="601"/>
      <c r="Q8" s="601"/>
      <c r="R8" s="601"/>
      <c r="S8" s="601"/>
      <c r="T8" s="601"/>
      <c r="U8" s="601"/>
      <c r="V8" s="3094"/>
      <c r="W8" s="601"/>
      <c r="X8" s="601"/>
      <c r="Y8" s="601"/>
      <c r="Z8" s="601"/>
      <c r="AA8" s="3094"/>
      <c r="AB8" s="3096"/>
      <c r="AC8" s="1839" t="s">
        <v>540</v>
      </c>
      <c r="AD8" s="3097"/>
      <c r="AE8" s="3098"/>
      <c r="AF8" s="601"/>
      <c r="AG8" s="601"/>
      <c r="AH8" s="601"/>
      <c r="AI8" s="601"/>
      <c r="AJ8" s="601"/>
      <c r="AK8" s="601"/>
      <c r="AL8" s="601"/>
      <c r="AM8" s="601"/>
      <c r="AN8" s="601"/>
      <c r="AO8" s="601"/>
      <c r="AP8" s="601"/>
      <c r="AQ8" s="601"/>
      <c r="AR8" s="601"/>
      <c r="AS8" s="601"/>
      <c r="AT8" s="694" t="s">
        <v>541</v>
      </c>
      <c r="AU8" s="3067" t="s">
        <v>542</v>
      </c>
      <c r="AV8" s="694"/>
      <c r="AW8" s="1771"/>
      <c r="AX8" s="694"/>
      <c r="AY8" s="1811" t="s">
        <v>530</v>
      </c>
      <c r="AZ8" s="600" t="s">
        <v>458</v>
      </c>
      <c r="BA8" s="601"/>
      <c r="BB8" s="601"/>
      <c r="BC8" s="601"/>
      <c r="BD8" s="601"/>
      <c r="BE8" s="601"/>
      <c r="BF8" s="601"/>
      <c r="BG8" s="601"/>
      <c r="BH8" s="601"/>
      <c r="BI8" s="601"/>
      <c r="BJ8" s="601"/>
      <c r="BK8" s="601"/>
      <c r="BL8" s="601"/>
      <c r="BM8" s="601"/>
      <c r="BN8" s="601"/>
      <c r="BO8" s="601"/>
      <c r="BP8" s="601"/>
      <c r="BQ8" s="601"/>
      <c r="BR8" s="601"/>
      <c r="BS8" s="601"/>
      <c r="BT8" s="740"/>
    </row>
    <row r="9" spans="1:72" s="2743" customFormat="1" ht="13.2">
      <c r="A9" s="3067"/>
      <c r="B9" s="3067"/>
      <c r="C9" s="3067"/>
      <c r="D9" s="3067"/>
      <c r="E9" s="3067"/>
      <c r="F9" s="3067"/>
      <c r="G9" s="694"/>
      <c r="H9" s="3070" t="s">
        <v>543</v>
      </c>
      <c r="I9" s="3088" t="s">
        <v>544</v>
      </c>
      <c r="J9" s="1839"/>
      <c r="K9" s="3088" t="s">
        <v>544</v>
      </c>
      <c r="L9" s="1839"/>
      <c r="M9" s="3088" t="s">
        <v>544</v>
      </c>
      <c r="N9" s="1839"/>
      <c r="O9" s="3088"/>
      <c r="P9" s="1839"/>
      <c r="Q9" s="3088"/>
      <c r="R9" s="1839"/>
      <c r="S9" s="3088"/>
      <c r="T9" s="1839"/>
      <c r="U9" s="3088"/>
      <c r="V9" s="1839"/>
      <c r="W9" s="3088"/>
      <c r="X9" s="3095"/>
      <c r="Y9" s="3088"/>
      <c r="Z9" s="1839"/>
      <c r="AA9" s="3088"/>
      <c r="AB9" s="1839"/>
      <c r="AC9" s="3068" t="s">
        <v>543</v>
      </c>
      <c r="AD9" s="855" t="s">
        <v>545</v>
      </c>
      <c r="AE9" s="706"/>
      <c r="AF9" s="855" t="s">
        <v>546</v>
      </c>
      <c r="AG9" s="706"/>
      <c r="AH9" s="855" t="s">
        <v>545</v>
      </c>
      <c r="AI9" s="706"/>
      <c r="AJ9" s="855" t="s">
        <v>546</v>
      </c>
      <c r="AK9" s="706"/>
      <c r="AL9" s="855" t="s">
        <v>545</v>
      </c>
      <c r="AM9" s="706"/>
      <c r="AN9" s="855" t="s">
        <v>546</v>
      </c>
      <c r="AO9" s="706"/>
      <c r="AP9" s="855" t="s">
        <v>545</v>
      </c>
      <c r="AQ9" s="706"/>
      <c r="AR9" s="855" t="s">
        <v>546</v>
      </c>
      <c r="AS9" s="3108"/>
      <c r="AT9" s="3067"/>
      <c r="AU9" s="3067" t="s">
        <v>547</v>
      </c>
      <c r="AV9" s="694"/>
      <c r="AW9" s="1771"/>
      <c r="AX9" s="694"/>
      <c r="AY9" s="3071"/>
      <c r="AZ9" s="3071" t="s">
        <v>538</v>
      </c>
      <c r="BA9" s="3123" t="s">
        <v>548</v>
      </c>
      <c r="BB9" s="3124"/>
      <c r="BC9" s="752"/>
      <c r="BD9" s="752"/>
      <c r="BE9" s="752"/>
      <c r="BF9" s="752"/>
      <c r="BG9" s="752"/>
      <c r="BH9" s="752"/>
      <c r="BI9" s="752"/>
      <c r="BJ9" s="752"/>
      <c r="BK9" s="3129"/>
      <c r="BL9" s="855" t="s">
        <v>549</v>
      </c>
      <c r="BM9" s="601"/>
      <c r="BN9" s="3087"/>
      <c r="BO9" s="601"/>
      <c r="BP9" s="601"/>
      <c r="BQ9" s="601"/>
      <c r="BR9" s="601"/>
      <c r="BS9" s="601"/>
      <c r="BT9" s="740"/>
    </row>
    <row r="10" spans="1:72" s="2743" customFormat="1" ht="13.2">
      <c r="A10" s="3067"/>
      <c r="B10" s="3067"/>
      <c r="C10" s="3067"/>
      <c r="D10" s="3067"/>
      <c r="E10" s="3067"/>
      <c r="F10" s="3067"/>
      <c r="G10" s="694"/>
      <c r="H10" s="3071"/>
      <c r="I10" s="3088" t="s">
        <v>550</v>
      </c>
      <c r="J10" s="1839"/>
      <c r="K10" s="3089" t="s">
        <v>551</v>
      </c>
      <c r="L10" s="1839"/>
      <c r="M10" s="3089" t="s">
        <v>552</v>
      </c>
      <c r="N10" s="1839"/>
      <c r="O10" s="3089"/>
      <c r="P10" s="1839"/>
      <c r="Q10" s="3089"/>
      <c r="R10" s="1839"/>
      <c r="S10" s="3089"/>
      <c r="T10" s="1839"/>
      <c r="U10" s="3089"/>
      <c r="V10" s="1839"/>
      <c r="W10" s="3089"/>
      <c r="X10" s="1839"/>
      <c r="Y10" s="3089"/>
      <c r="Z10" s="1839"/>
      <c r="AA10" s="3089"/>
      <c r="AB10" s="1839"/>
      <c r="AC10" s="694"/>
      <c r="AD10" s="855" t="s">
        <v>553</v>
      </c>
      <c r="AE10" s="3099"/>
      <c r="AF10" s="855" t="s">
        <v>553</v>
      </c>
      <c r="AG10" s="3099"/>
      <c r="AH10" s="855" t="s">
        <v>554</v>
      </c>
      <c r="AI10" s="3099"/>
      <c r="AJ10" s="855" t="s">
        <v>554</v>
      </c>
      <c r="AK10" s="3099"/>
      <c r="AL10" s="855" t="s">
        <v>555</v>
      </c>
      <c r="AM10" s="706"/>
      <c r="AN10" s="855" t="s">
        <v>555</v>
      </c>
      <c r="AO10" s="706"/>
      <c r="AP10" s="855" t="s">
        <v>556</v>
      </c>
      <c r="AQ10" s="706"/>
      <c r="AR10" s="855" t="s">
        <v>556</v>
      </c>
      <c r="AS10" s="706"/>
      <c r="AT10" s="3067"/>
      <c r="AU10" s="3067"/>
      <c r="AV10" s="694"/>
      <c r="AW10" s="1771"/>
      <c r="AX10" s="694"/>
      <c r="AY10" s="3071"/>
      <c r="AZ10" s="3071"/>
      <c r="BA10" s="3072" t="s">
        <v>543</v>
      </c>
      <c r="BB10" s="3125" t="str">
        <f>I9</f>
        <v>地下</v>
      </c>
      <c r="BC10" s="764" t="str">
        <f>K9</f>
        <v>地下</v>
      </c>
      <c r="BD10" s="764" t="str">
        <f>M9</f>
        <v>地下</v>
      </c>
      <c r="BE10" s="764">
        <f>O9</f>
        <v>0</v>
      </c>
      <c r="BF10" s="764">
        <f>Q9</f>
        <v>0</v>
      </c>
      <c r="BG10" s="764">
        <f>S9</f>
        <v>0</v>
      </c>
      <c r="BH10" s="764">
        <f>U9</f>
        <v>0</v>
      </c>
      <c r="BI10" s="764">
        <f>W9</f>
        <v>0</v>
      </c>
      <c r="BJ10" s="764">
        <f>Y9</f>
        <v>0</v>
      </c>
      <c r="BK10" s="764">
        <f>AA9</f>
        <v>0</v>
      </c>
      <c r="BL10" s="760" t="s">
        <v>543</v>
      </c>
      <c r="BM10" s="600" t="str">
        <f>AD9</f>
        <v>地上</v>
      </c>
      <c r="BN10" s="764" t="str">
        <f>AF9</f>
        <v>地下</v>
      </c>
      <c r="BO10" s="600" t="str">
        <f>AH9</f>
        <v>地上</v>
      </c>
      <c r="BP10" s="764" t="str">
        <f>AJ9</f>
        <v>地下</v>
      </c>
      <c r="BQ10" s="600" t="str">
        <f>AL9</f>
        <v>地上</v>
      </c>
      <c r="BR10" s="764" t="str">
        <f>AN9</f>
        <v>地下</v>
      </c>
      <c r="BS10" s="600" t="str">
        <f>AP9</f>
        <v>地上</v>
      </c>
      <c r="BT10" s="3133" t="str">
        <f>AR9</f>
        <v>地下</v>
      </c>
    </row>
    <row r="11" spans="1:72" s="2743" customFormat="1" ht="13.2">
      <c r="A11" s="3067"/>
      <c r="B11" s="3067"/>
      <c r="C11" s="3067"/>
      <c r="D11" s="3067"/>
      <c r="E11" s="3067"/>
      <c r="F11" s="3067"/>
      <c r="G11" s="694"/>
      <c r="H11" s="3072"/>
      <c r="I11" s="3090"/>
      <c r="J11" s="3091"/>
      <c r="K11" s="3090"/>
      <c r="L11" s="3091"/>
      <c r="M11" s="3090"/>
      <c r="N11" s="3091"/>
      <c r="O11" s="3090"/>
      <c r="P11" s="3091"/>
      <c r="Q11" s="3090"/>
      <c r="R11" s="3091"/>
      <c r="S11" s="3090"/>
      <c r="T11" s="3091"/>
      <c r="U11" s="3090"/>
      <c r="V11" s="3091"/>
      <c r="W11" s="3090"/>
      <c r="X11" s="3091"/>
      <c r="Y11" s="3090"/>
      <c r="Z11" s="3091"/>
      <c r="AA11" s="3090"/>
      <c r="AB11" s="3091"/>
      <c r="AC11" s="694"/>
      <c r="AD11" s="3100" t="s">
        <v>557</v>
      </c>
      <c r="AE11" s="658"/>
      <c r="AF11" s="3100" t="s">
        <v>557</v>
      </c>
      <c r="AG11" s="658"/>
      <c r="AH11" s="3100" t="s">
        <v>558</v>
      </c>
      <c r="AI11" s="3104"/>
      <c r="AJ11" s="3100" t="s">
        <v>558</v>
      </c>
      <c r="AK11" s="658"/>
      <c r="AL11" s="600"/>
      <c r="AM11" s="658"/>
      <c r="AN11" s="600"/>
      <c r="AO11" s="658"/>
      <c r="AP11" s="600"/>
      <c r="AQ11" s="658"/>
      <c r="AR11" s="600"/>
      <c r="AS11" s="658"/>
      <c r="AT11" s="1771"/>
      <c r="AU11" s="3067"/>
      <c r="AV11" s="694"/>
      <c r="AW11" s="1771"/>
      <c r="AX11" s="694"/>
      <c r="AY11" s="3071"/>
      <c r="AZ11" s="3071"/>
      <c r="BA11" s="3071"/>
      <c r="BB11" s="3096" t="str">
        <f>I10</f>
        <v>车库</v>
      </c>
      <c r="BC11" s="3096" t="str">
        <f>K10</f>
        <v>仓储</v>
      </c>
      <c r="BD11" s="3096" t="str">
        <f>M10</f>
        <v>商业</v>
      </c>
      <c r="BE11" s="3096">
        <f>O10</f>
        <v>0</v>
      </c>
      <c r="BF11" s="3096">
        <f>Q10</f>
        <v>0</v>
      </c>
      <c r="BG11" s="3096">
        <f>S10</f>
        <v>0</v>
      </c>
      <c r="BH11" s="3096">
        <f>U10</f>
        <v>0</v>
      </c>
      <c r="BI11" s="3096">
        <f>W10</f>
        <v>0</v>
      </c>
      <c r="BJ11" s="3096">
        <f>Y10</f>
        <v>0</v>
      </c>
      <c r="BK11" s="3096">
        <f>AA10</f>
        <v>0</v>
      </c>
      <c r="BL11" s="694"/>
      <c r="BM11" s="600" t="str">
        <f>AD10</f>
        <v>公共配套设施</v>
      </c>
      <c r="BN11" s="600" t="str">
        <f>AF10</f>
        <v>公共配套设施</v>
      </c>
      <c r="BO11" s="599" t="str">
        <f>AH10</f>
        <v>物业管理用房</v>
      </c>
      <c r="BP11" s="599" t="str">
        <f>AJ10</f>
        <v>物业管理用房</v>
      </c>
      <c r="BQ11" s="599" t="str">
        <f>AL10</f>
        <v>设备及其他</v>
      </c>
      <c r="BR11" s="599" t="str">
        <f>AN10</f>
        <v>设备及其他</v>
      </c>
      <c r="BS11" s="760" t="str">
        <f>AP10</f>
        <v>未注明</v>
      </c>
      <c r="BT11" s="3134" t="str">
        <f>AR10</f>
        <v>未注明</v>
      </c>
    </row>
    <row r="12" spans="1:72" s="3046" customFormat="1" ht="13.2">
      <c r="A12" s="3073"/>
      <c r="B12" s="3073"/>
      <c r="C12" s="3073"/>
      <c r="D12" s="3073"/>
      <c r="E12" s="3073"/>
      <c r="F12" s="3073"/>
      <c r="G12" s="1014"/>
      <c r="H12" s="3074"/>
      <c r="I12" s="1822" t="s">
        <v>559</v>
      </c>
      <c r="J12" s="602" t="s">
        <v>560</v>
      </c>
      <c r="K12" s="602" t="s">
        <v>559</v>
      </c>
      <c r="L12" s="602" t="s">
        <v>560</v>
      </c>
      <c r="M12" s="602" t="s">
        <v>559</v>
      </c>
      <c r="N12" s="602" t="s">
        <v>560</v>
      </c>
      <c r="O12" s="602" t="s">
        <v>559</v>
      </c>
      <c r="P12" s="602" t="s">
        <v>560</v>
      </c>
      <c r="Q12" s="602" t="s">
        <v>559</v>
      </c>
      <c r="R12" s="602" t="s">
        <v>560</v>
      </c>
      <c r="S12" s="602" t="s">
        <v>559</v>
      </c>
      <c r="T12" s="602" t="s">
        <v>560</v>
      </c>
      <c r="U12" s="602" t="s">
        <v>559</v>
      </c>
      <c r="V12" s="1688" t="s">
        <v>560</v>
      </c>
      <c r="W12" s="602" t="s">
        <v>559</v>
      </c>
      <c r="X12" s="602" t="s">
        <v>560</v>
      </c>
      <c r="Y12" s="602" t="s">
        <v>559</v>
      </c>
      <c r="Z12" s="602" t="s">
        <v>560</v>
      </c>
      <c r="AA12" s="602" t="s">
        <v>559</v>
      </c>
      <c r="AB12" s="602" t="s">
        <v>560</v>
      </c>
      <c r="AC12" s="3101"/>
      <c r="AD12" s="1822" t="s">
        <v>559</v>
      </c>
      <c r="AE12" s="602" t="s">
        <v>560</v>
      </c>
      <c r="AF12" s="602" t="s">
        <v>559</v>
      </c>
      <c r="AG12" s="602" t="s">
        <v>560</v>
      </c>
      <c r="AH12" s="602" t="s">
        <v>559</v>
      </c>
      <c r="AI12" s="602" t="s">
        <v>560</v>
      </c>
      <c r="AJ12" s="602" t="s">
        <v>559</v>
      </c>
      <c r="AK12" s="602" t="s">
        <v>560</v>
      </c>
      <c r="AL12" s="602" t="s">
        <v>559</v>
      </c>
      <c r="AM12" s="602" t="s">
        <v>560</v>
      </c>
      <c r="AN12" s="602" t="s">
        <v>559</v>
      </c>
      <c r="AO12" s="602" t="s">
        <v>560</v>
      </c>
      <c r="AP12" s="602" t="s">
        <v>559</v>
      </c>
      <c r="AQ12" s="602" t="s">
        <v>560</v>
      </c>
      <c r="AR12" s="1014" t="s">
        <v>559</v>
      </c>
      <c r="AS12" s="3073" t="s">
        <v>560</v>
      </c>
      <c r="AT12" s="3109"/>
      <c r="AU12" s="3073"/>
      <c r="AV12" s="3110"/>
      <c r="AW12" s="1811"/>
      <c r="AX12" s="3110"/>
      <c r="AY12" s="3126"/>
      <c r="AZ12" s="3071"/>
      <c r="BA12" s="3072"/>
      <c r="BB12" s="599">
        <f>I11</f>
        <v>0</v>
      </c>
      <c r="BC12" s="3127">
        <f>K11</f>
        <v>0</v>
      </c>
      <c r="BD12" s="3127">
        <f>M11</f>
        <v>0</v>
      </c>
      <c r="BE12" s="3096">
        <f>O11</f>
        <v>0</v>
      </c>
      <c r="BF12" s="3096">
        <f>Q11</f>
        <v>0</v>
      </c>
      <c r="BG12" s="3096">
        <f>S11</f>
        <v>0</v>
      </c>
      <c r="BH12" s="3096">
        <f>U11</f>
        <v>0</v>
      </c>
      <c r="BI12" s="3096">
        <f>W11</f>
        <v>0</v>
      </c>
      <c r="BJ12" s="3096">
        <f>Y11</f>
        <v>0</v>
      </c>
      <c r="BK12" s="3096">
        <f>AA11</f>
        <v>0</v>
      </c>
      <c r="BL12" s="694"/>
      <c r="BM12" s="600" t="str">
        <f>AD11</f>
        <v>（住宅）</v>
      </c>
      <c r="BN12" s="600" t="str">
        <f>AF11</f>
        <v>（住宅）</v>
      </c>
      <c r="BO12" s="599" t="str">
        <f>AH11</f>
        <v>（住宅、计出让金）</v>
      </c>
      <c r="BP12" s="599" t="str">
        <f>AJ11</f>
        <v>（住宅、计出让金）</v>
      </c>
      <c r="BQ12" s="599">
        <f>AL11</f>
        <v>0</v>
      </c>
      <c r="BR12" s="599">
        <f>AN11</f>
        <v>0</v>
      </c>
      <c r="BS12" s="760">
        <f>AP11</f>
        <v>0</v>
      </c>
      <c r="BT12" s="3134">
        <f>AR11</f>
        <v>0</v>
      </c>
    </row>
    <row r="13" spans="1:72" s="3046" customFormat="1" ht="13.2">
      <c r="A13" s="3075"/>
      <c r="B13" s="3075"/>
      <c r="C13" s="3075"/>
      <c r="D13" s="3076" t="s">
        <v>561</v>
      </c>
      <c r="E13" s="3061">
        <f>IF($C$3="是",ROUND($A$3*G13/$B$3,2),ROUND($A$3*(G13-AT13)/$B$3,2))</f>
        <v>0</v>
      </c>
      <c r="F13" s="3077"/>
      <c r="G13" s="3078">
        <f>H13+AC13+AT13</f>
        <v>8450.66</v>
      </c>
      <c r="H13" s="3064">
        <f>SUMIF(I$12:AB$12,"总值",I13:AB13)</f>
        <v>8450.66</v>
      </c>
      <c r="I13" s="3092">
        <f>最新车位清单!J34</f>
        <v>1032</v>
      </c>
      <c r="J13" s="3092"/>
      <c r="K13" s="3092">
        <f>最新仓储清单!L237</f>
        <v>6410.4</v>
      </c>
      <c r="L13" s="3092"/>
      <c r="M13" s="3092">
        <f>最新商业清单!K2</f>
        <v>1008.26</v>
      </c>
      <c r="N13" s="3092"/>
      <c r="O13" s="3092"/>
      <c r="P13" s="3092"/>
      <c r="Q13" s="3092"/>
      <c r="R13" s="3092"/>
      <c r="S13" s="3092"/>
      <c r="T13" s="3092"/>
      <c r="U13" s="3092"/>
      <c r="V13" s="3092"/>
      <c r="W13" s="3092"/>
      <c r="X13" s="3092"/>
      <c r="Y13" s="3092"/>
      <c r="Z13" s="3092"/>
      <c r="AA13" s="3092"/>
      <c r="AB13" s="3092"/>
      <c r="AC13" s="3061">
        <f>SUMIF(AD$12:AS$12,"总值",AD13:AS13)</f>
        <v>0</v>
      </c>
      <c r="AD13" s="3102"/>
      <c r="AE13" s="3102"/>
      <c r="AF13" s="3102"/>
      <c r="AG13" s="3102"/>
      <c r="AH13" s="3102"/>
      <c r="AI13" s="3102"/>
      <c r="AJ13" s="3102"/>
      <c r="AK13" s="3102"/>
      <c r="AL13" s="3102"/>
      <c r="AM13" s="3102"/>
      <c r="AN13" s="3102"/>
      <c r="AO13" s="3102"/>
      <c r="AP13" s="3102"/>
      <c r="AQ13" s="3102"/>
      <c r="AR13" s="3102"/>
      <c r="AS13" s="3102"/>
      <c r="AT13" s="3111"/>
      <c r="AU13" s="3112"/>
      <c r="AV13" s="602">
        <f t="shared" ref="AV13:AX17" si="6">A13</f>
        <v>0</v>
      </c>
      <c r="AW13" s="602">
        <f t="shared" si="6"/>
        <v>0</v>
      </c>
      <c r="AX13" s="602">
        <f t="shared" si="6"/>
        <v>0</v>
      </c>
      <c r="AY13" s="1822">
        <f>ROUND($AY$6*AZ13/$AZ$5,2)</f>
        <v>0</v>
      </c>
      <c r="AZ13" s="3061">
        <f>BA13+BL13</f>
        <v>8450.66</v>
      </c>
      <c r="BA13" s="3061">
        <f>SUM(BB13:BK13)</f>
        <v>8450.66</v>
      </c>
      <c r="BB13" s="3061">
        <f>IF($D13="是",I13-J13,0)</f>
        <v>1032</v>
      </c>
      <c r="BC13" s="3061">
        <f>IF($D13="是",K13-L13,0)</f>
        <v>6410.4</v>
      </c>
      <c r="BD13" s="3061">
        <f>IF($D13="是",M13-N13,0)</f>
        <v>1008.26</v>
      </c>
      <c r="BE13" s="3061">
        <f>IF($D13="是",O13-P13,0)</f>
        <v>0</v>
      </c>
      <c r="BF13" s="3061">
        <f>IF($D13="是",Q13-R13,0)</f>
        <v>0</v>
      </c>
      <c r="BG13" s="3061">
        <f>IF($D13="是",S13-T13,0)</f>
        <v>0</v>
      </c>
      <c r="BH13" s="3061">
        <f>IF($D13="是",U13-V13,0)</f>
        <v>0</v>
      </c>
      <c r="BI13" s="3061">
        <f>IF($D13="是",W13-X13,0)</f>
        <v>0</v>
      </c>
      <c r="BJ13" s="3061">
        <f>IF($D13="是",Y13-Z13,0)</f>
        <v>0</v>
      </c>
      <c r="BK13" s="3061">
        <f>IF($D13="是",AA13-AB13,0)</f>
        <v>0</v>
      </c>
      <c r="BL13" s="3061">
        <f>SUM(BM13:BT13)</f>
        <v>0</v>
      </c>
      <c r="BM13" s="3061">
        <f>IF($D13="是",AD13-AE13,0)</f>
        <v>0</v>
      </c>
      <c r="BN13" s="3061">
        <f>IF($D13="是",AF13-AG13,0)</f>
        <v>0</v>
      </c>
      <c r="BO13" s="3061">
        <f>IF($D13="是",AH13-AI13,0)</f>
        <v>0</v>
      </c>
      <c r="BP13" s="3061">
        <f>IF($D13="是",AJ13-AK13,0)</f>
        <v>0</v>
      </c>
      <c r="BQ13" s="3061">
        <f>IF($D13="是",AL13-AM13,0)</f>
        <v>0</v>
      </c>
      <c r="BR13" s="3061">
        <f>IF($D13="是",AN13-AO13,0)</f>
        <v>0</v>
      </c>
      <c r="BS13" s="3061">
        <f>IF($D13="是",AP13-AQ13,0)</f>
        <v>0</v>
      </c>
      <c r="BT13" s="3131">
        <f>IF($D13="是",AR13-AS13,0)</f>
        <v>0</v>
      </c>
    </row>
    <row r="14" spans="1:72" s="3046" customFormat="1" ht="13.2">
      <c r="A14" s="3075"/>
      <c r="B14" s="3075"/>
      <c r="C14" s="3079"/>
      <c r="D14" s="3076"/>
      <c r="E14" s="3061">
        <f>IF($C$3="是",ROUND($A$3*G14/$B$3,2),ROUND($A$3*(G14-AT14)/$B$3,2))</f>
        <v>0</v>
      </c>
      <c r="F14" s="3077"/>
      <c r="G14" s="3078">
        <f>H14+AC14+AT14</f>
        <v>0</v>
      </c>
      <c r="H14" s="3064">
        <f>SUMIF(I$12:AB$12,"总值",I14:AB14)</f>
        <v>0</v>
      </c>
      <c r="I14" s="3092"/>
      <c r="J14" s="3092"/>
      <c r="K14" s="3092"/>
      <c r="L14" s="3092"/>
      <c r="M14" s="3092"/>
      <c r="N14" s="3092"/>
      <c r="O14" s="3092"/>
      <c r="P14" s="3092"/>
      <c r="Q14" s="3092"/>
      <c r="R14" s="3092"/>
      <c r="S14" s="3092"/>
      <c r="T14" s="3092"/>
      <c r="U14" s="3092"/>
      <c r="V14" s="3092"/>
      <c r="W14" s="3092"/>
      <c r="X14" s="3092"/>
      <c r="Y14" s="3092"/>
      <c r="Z14" s="3092"/>
      <c r="AA14" s="3092"/>
      <c r="AB14" s="3092"/>
      <c r="AC14" s="3061">
        <f>SUMIF(AD$12:AS$12,"总值",AD14:AS14)</f>
        <v>0</v>
      </c>
      <c r="AD14" s="3102"/>
      <c r="AE14" s="3102"/>
      <c r="AF14" s="3102"/>
      <c r="AG14" s="3102"/>
      <c r="AH14" s="3102"/>
      <c r="AI14" s="3102"/>
      <c r="AJ14" s="3102"/>
      <c r="AK14" s="3102"/>
      <c r="AL14" s="3102"/>
      <c r="AM14" s="3102"/>
      <c r="AN14" s="3102"/>
      <c r="AO14" s="3102"/>
      <c r="AP14" s="3102"/>
      <c r="AQ14" s="3102"/>
      <c r="AR14" s="3102"/>
      <c r="AS14" s="3102"/>
      <c r="AT14" s="3111"/>
      <c r="AU14" s="3112"/>
      <c r="AV14" s="602">
        <f t="shared" si="6"/>
        <v>0</v>
      </c>
      <c r="AW14" s="602">
        <f t="shared" si="6"/>
        <v>0</v>
      </c>
      <c r="AX14" s="602">
        <f t="shared" si="6"/>
        <v>0</v>
      </c>
      <c r="AY14" s="1822">
        <f>ROUND($AY$6*AZ14/$AZ$5,2)</f>
        <v>0</v>
      </c>
      <c r="AZ14" s="3061">
        <f>BA14+BL14</f>
        <v>0</v>
      </c>
      <c r="BA14" s="3061">
        <f>SUM(BB14:BK14)</f>
        <v>0</v>
      </c>
      <c r="BB14" s="3061">
        <f>IF($D14="是",I14-J14,0)</f>
        <v>0</v>
      </c>
      <c r="BC14" s="3061">
        <f>IF($D14="是",K14-L14,0)</f>
        <v>0</v>
      </c>
      <c r="BD14" s="3061">
        <f>IF($D14="是",M14-N14,0)</f>
        <v>0</v>
      </c>
      <c r="BE14" s="3061">
        <f>IF($D14="是",O14-P14,0)</f>
        <v>0</v>
      </c>
      <c r="BF14" s="3061">
        <f>IF($D14="是",Q14-R14,0)</f>
        <v>0</v>
      </c>
      <c r="BG14" s="3061">
        <f>IF($D14="是",S14-T14,0)</f>
        <v>0</v>
      </c>
      <c r="BH14" s="3061">
        <f>IF($D14="是",U14-V14,0)</f>
        <v>0</v>
      </c>
      <c r="BI14" s="3061">
        <f>IF($D14="是",W14-X14,0)</f>
        <v>0</v>
      </c>
      <c r="BJ14" s="3061">
        <f>IF($D14="是",Y14-Z14,0)</f>
        <v>0</v>
      </c>
      <c r="BK14" s="3061">
        <f>IF($D14="是",AA14-AB14,0)</f>
        <v>0</v>
      </c>
      <c r="BL14" s="3061">
        <f>SUM(BM14:BT14)</f>
        <v>0</v>
      </c>
      <c r="BM14" s="3061">
        <f>IF($D14="是",AD14-AE14,0)</f>
        <v>0</v>
      </c>
      <c r="BN14" s="3061">
        <f>IF($D14="是",AF14-AG14,0)</f>
        <v>0</v>
      </c>
      <c r="BO14" s="3061">
        <f>IF($D14="是",AH14-AI14,0)</f>
        <v>0</v>
      </c>
      <c r="BP14" s="3061">
        <f>IF($D14="是",AJ14-AK14,0)</f>
        <v>0</v>
      </c>
      <c r="BQ14" s="3061">
        <f>IF($D14="是",AL14-AM14,0)</f>
        <v>0</v>
      </c>
      <c r="BR14" s="3061">
        <f>IF($D14="是",AN14-AO14,0)</f>
        <v>0</v>
      </c>
      <c r="BS14" s="3061">
        <f>IF($D14="是",AP14-AQ14,0)</f>
        <v>0</v>
      </c>
      <c r="BT14" s="3131">
        <f>IF($D14="是",AR14-AS14,0)</f>
        <v>0</v>
      </c>
    </row>
    <row r="15" spans="1:72" s="3046" customFormat="1" ht="13.2">
      <c r="A15" s="3075"/>
      <c r="B15" s="3075"/>
      <c r="C15" s="3079"/>
      <c r="D15" s="3076"/>
      <c r="E15" s="3061">
        <f>IF($C$3="是",ROUND($A$3*G15/$B$3,2),ROUND($A$3*(G15-AT15)/$B$3,2))</f>
        <v>0</v>
      </c>
      <c r="F15" s="3077"/>
      <c r="G15" s="3078">
        <f>H15+AC15+AT15</f>
        <v>0</v>
      </c>
      <c r="H15" s="3064">
        <f>SUMIF(I$12:AB$12,"总值",I15:AB15)</f>
        <v>0</v>
      </c>
      <c r="I15" s="3092"/>
      <c r="J15" s="3092"/>
      <c r="K15" s="3092"/>
      <c r="L15" s="3092"/>
      <c r="M15" s="3092"/>
      <c r="N15" s="3092"/>
      <c r="O15" s="3092"/>
      <c r="P15" s="3092"/>
      <c r="Q15" s="3092"/>
      <c r="R15" s="3092"/>
      <c r="S15" s="3092"/>
      <c r="T15" s="3092"/>
      <c r="U15" s="3092"/>
      <c r="V15" s="3092"/>
      <c r="W15" s="3092"/>
      <c r="X15" s="3092"/>
      <c r="Y15" s="3092"/>
      <c r="Z15" s="3092"/>
      <c r="AA15" s="3092"/>
      <c r="AB15" s="3092"/>
      <c r="AC15" s="3061">
        <f>SUMIF(AD$12:AS$12,"总值",AD15:AS15)</f>
        <v>0</v>
      </c>
      <c r="AD15" s="3102"/>
      <c r="AE15" s="3102"/>
      <c r="AF15" s="3102"/>
      <c r="AG15" s="3102"/>
      <c r="AH15" s="3102"/>
      <c r="AI15" s="3102"/>
      <c r="AJ15" s="3102"/>
      <c r="AK15" s="3102"/>
      <c r="AL15" s="3102"/>
      <c r="AM15" s="3102"/>
      <c r="AN15" s="3102"/>
      <c r="AO15" s="3102"/>
      <c r="AP15" s="3102"/>
      <c r="AQ15" s="3102"/>
      <c r="AR15" s="3102"/>
      <c r="AS15" s="3102"/>
      <c r="AT15" s="3111"/>
      <c r="AU15" s="3112"/>
      <c r="AV15" s="602">
        <f t="shared" si="6"/>
        <v>0</v>
      </c>
      <c r="AW15" s="602">
        <f t="shared" si="6"/>
        <v>0</v>
      </c>
      <c r="AX15" s="602">
        <f t="shared" si="6"/>
        <v>0</v>
      </c>
      <c r="AY15" s="1822">
        <f>ROUND($AY$6*AZ15/$AZ$5,2)</f>
        <v>0</v>
      </c>
      <c r="AZ15" s="3061">
        <f>BA15+BL15</f>
        <v>0</v>
      </c>
      <c r="BA15" s="3061">
        <f>SUM(BB15:BK15)</f>
        <v>0</v>
      </c>
      <c r="BB15" s="3061">
        <f>IF($D15="是",I15-J15,0)</f>
        <v>0</v>
      </c>
      <c r="BC15" s="3061">
        <f>IF($D15="是",K15-L15,0)</f>
        <v>0</v>
      </c>
      <c r="BD15" s="3061">
        <f>IF($D15="是",M15-N15,0)</f>
        <v>0</v>
      </c>
      <c r="BE15" s="3061">
        <f>IF($D15="是",O15-P15,0)</f>
        <v>0</v>
      </c>
      <c r="BF15" s="3061">
        <f>IF($D15="是",Q15-R15,0)</f>
        <v>0</v>
      </c>
      <c r="BG15" s="3061">
        <f>IF($D15="是",S15-T15,0)</f>
        <v>0</v>
      </c>
      <c r="BH15" s="3061">
        <f>IF($D15="是",U15-V15,0)</f>
        <v>0</v>
      </c>
      <c r="BI15" s="3061">
        <f>IF($D15="是",W15-X15,0)</f>
        <v>0</v>
      </c>
      <c r="BJ15" s="3061">
        <f>IF($D15="是",Y15-Z15,0)</f>
        <v>0</v>
      </c>
      <c r="BK15" s="3061">
        <f>IF($D15="是",AA15-AB15,0)</f>
        <v>0</v>
      </c>
      <c r="BL15" s="3061">
        <f>SUM(BM15:BT15)</f>
        <v>0</v>
      </c>
      <c r="BM15" s="3061">
        <f>IF($D15="是",AD15-AE15,0)</f>
        <v>0</v>
      </c>
      <c r="BN15" s="3061">
        <f>IF($D15="是",AF15-AG15,0)</f>
        <v>0</v>
      </c>
      <c r="BO15" s="3061">
        <f>IF($D15="是",AH15-AI15,0)</f>
        <v>0</v>
      </c>
      <c r="BP15" s="3061">
        <f>IF($D15="是",AJ15-AK15,0)</f>
        <v>0</v>
      </c>
      <c r="BQ15" s="3061">
        <f>IF($D15="是",AL15-AM15,0)</f>
        <v>0</v>
      </c>
      <c r="BR15" s="3061">
        <f>IF($D15="是",AN15-AO15,0)</f>
        <v>0</v>
      </c>
      <c r="BS15" s="3061">
        <f>IF($D15="是",AP15-AQ15,0)</f>
        <v>0</v>
      </c>
      <c r="BT15" s="3131">
        <f>IF($D15="是",AR15-AS15,0)</f>
        <v>0</v>
      </c>
    </row>
    <row r="16" spans="1:72" s="3046" customFormat="1" ht="13.2">
      <c r="A16" s="3075"/>
      <c r="B16" s="3075"/>
      <c r="C16" s="3079"/>
      <c r="D16" s="3076"/>
      <c r="E16" s="3061">
        <f>IF($C$3="是",ROUND($A$3*G16/$B$3,2),ROUND($A$3*(G16-AT16)/$B$3,2))</f>
        <v>0</v>
      </c>
      <c r="F16" s="3077"/>
      <c r="G16" s="3078">
        <f>H16+AC16+AT16</f>
        <v>0</v>
      </c>
      <c r="H16" s="3064">
        <f>SUMIF(I$12:AB$12,"总值",I16:AB16)</f>
        <v>0</v>
      </c>
      <c r="I16" s="3092"/>
      <c r="J16" s="3092"/>
      <c r="K16" s="3092"/>
      <c r="L16" s="3092"/>
      <c r="M16" s="3092"/>
      <c r="N16" s="3092"/>
      <c r="O16" s="3092"/>
      <c r="P16" s="3092"/>
      <c r="Q16" s="3092"/>
      <c r="R16" s="3092"/>
      <c r="S16" s="3092"/>
      <c r="T16" s="3092"/>
      <c r="U16" s="3092"/>
      <c r="V16" s="3092"/>
      <c r="W16" s="3092"/>
      <c r="X16" s="3092"/>
      <c r="Y16" s="3092"/>
      <c r="Z16" s="3092"/>
      <c r="AA16" s="3092"/>
      <c r="AB16" s="3092"/>
      <c r="AC16" s="3061">
        <f>SUMIF(AD$12:AS$12,"总值",AD16:AS16)</f>
        <v>0</v>
      </c>
      <c r="AD16" s="3102"/>
      <c r="AE16" s="3102"/>
      <c r="AF16" s="3102"/>
      <c r="AG16" s="3102"/>
      <c r="AH16" s="3102"/>
      <c r="AI16" s="3102"/>
      <c r="AJ16" s="3102"/>
      <c r="AK16" s="3102"/>
      <c r="AL16" s="3102"/>
      <c r="AM16" s="3102"/>
      <c r="AN16" s="3102"/>
      <c r="AO16" s="3102"/>
      <c r="AP16" s="3102"/>
      <c r="AQ16" s="3102"/>
      <c r="AR16" s="3102"/>
      <c r="AS16" s="3102"/>
      <c r="AT16" s="3111"/>
      <c r="AU16" s="3112"/>
      <c r="AV16" s="602">
        <f t="shared" si="6"/>
        <v>0</v>
      </c>
      <c r="AW16" s="602">
        <f t="shared" si="6"/>
        <v>0</v>
      </c>
      <c r="AX16" s="602">
        <f t="shared" si="6"/>
        <v>0</v>
      </c>
      <c r="AY16" s="1822">
        <f>ROUND($AY$6*AZ16/$AZ$5,2)</f>
        <v>0</v>
      </c>
      <c r="AZ16" s="3061">
        <f>BA16+BL16</f>
        <v>0</v>
      </c>
      <c r="BA16" s="3061">
        <f>SUM(BB16:BK16)</f>
        <v>0</v>
      </c>
      <c r="BB16" s="3061">
        <f>IF($D16="是",I16-J16,0)</f>
        <v>0</v>
      </c>
      <c r="BC16" s="3061">
        <f>IF($D16="是",K16-L16,0)</f>
        <v>0</v>
      </c>
      <c r="BD16" s="3061">
        <f>IF($D16="是",M16-N16,0)</f>
        <v>0</v>
      </c>
      <c r="BE16" s="3061">
        <f>IF($D16="是",O16-P16,0)</f>
        <v>0</v>
      </c>
      <c r="BF16" s="3061">
        <f>IF($D16="是",Q16-R16,0)</f>
        <v>0</v>
      </c>
      <c r="BG16" s="3061">
        <f>IF($D16="是",S16-T16,0)</f>
        <v>0</v>
      </c>
      <c r="BH16" s="3061">
        <f>IF($D16="是",U16-V16,0)</f>
        <v>0</v>
      </c>
      <c r="BI16" s="3061">
        <f>IF($D16="是",W16-X16,0)</f>
        <v>0</v>
      </c>
      <c r="BJ16" s="3061">
        <f>IF($D16="是",Y16-Z16,0)</f>
        <v>0</v>
      </c>
      <c r="BK16" s="3061">
        <f>IF($D16="是",AA16-AB16,0)</f>
        <v>0</v>
      </c>
      <c r="BL16" s="3061">
        <f>SUM(BM16:BT16)</f>
        <v>0</v>
      </c>
      <c r="BM16" s="3061">
        <f>IF($D16="是",AD16-AE16,0)</f>
        <v>0</v>
      </c>
      <c r="BN16" s="3061">
        <f>IF($D16="是",AF16-AG16,0)</f>
        <v>0</v>
      </c>
      <c r="BO16" s="3061">
        <f>IF($D16="是",AH16-AI16,0)</f>
        <v>0</v>
      </c>
      <c r="BP16" s="3061">
        <f>IF($D16="是",AJ16-AK16,0)</f>
        <v>0</v>
      </c>
      <c r="BQ16" s="3061">
        <f>IF($D16="是",AL16-AM16,0)</f>
        <v>0</v>
      </c>
      <c r="BR16" s="3061">
        <f>IF($D16="是",AN16-AO16,0)</f>
        <v>0</v>
      </c>
      <c r="BS16" s="3061">
        <f>IF($D16="是",AP16-AQ16,0)</f>
        <v>0</v>
      </c>
      <c r="BT16" s="3131">
        <f>IF($D16="是",AR16-AS16,0)</f>
        <v>0</v>
      </c>
    </row>
    <row r="17" spans="1:72" s="3046" customFormat="1" ht="13.2">
      <c r="A17" s="3075"/>
      <c r="B17" s="3075"/>
      <c r="C17" s="3079"/>
      <c r="D17" s="3076"/>
      <c r="E17" s="3061">
        <f>IF($C$3="是",ROUND($A$3*G17/$B$3,2),ROUND($A$3*(G17-AT17)/$B$3,2))</f>
        <v>0</v>
      </c>
      <c r="F17" s="3077"/>
      <c r="G17" s="3078">
        <f>H17+AC17+AT17</f>
        <v>0</v>
      </c>
      <c r="H17" s="3064">
        <f>SUMIF(I$12:AB$12,"总值",I17:AB17)</f>
        <v>0</v>
      </c>
      <c r="I17" s="3092"/>
      <c r="J17" s="3092"/>
      <c r="K17" s="3092"/>
      <c r="L17" s="3092"/>
      <c r="M17" s="3092"/>
      <c r="N17" s="3092"/>
      <c r="O17" s="3092"/>
      <c r="P17" s="3092"/>
      <c r="Q17" s="3092"/>
      <c r="R17" s="3092"/>
      <c r="S17" s="3092"/>
      <c r="T17" s="3092"/>
      <c r="U17" s="3092"/>
      <c r="V17" s="3092"/>
      <c r="W17" s="3092"/>
      <c r="X17" s="3092"/>
      <c r="Y17" s="3092"/>
      <c r="Z17" s="3092"/>
      <c r="AA17" s="3092"/>
      <c r="AB17" s="3092"/>
      <c r="AC17" s="3061">
        <f>SUMIF(AD$12:AS$12,"总值",AD17:AS17)</f>
        <v>0</v>
      </c>
      <c r="AD17" s="3102"/>
      <c r="AE17" s="3102"/>
      <c r="AF17" s="3102"/>
      <c r="AG17" s="3102"/>
      <c r="AH17" s="3102"/>
      <c r="AI17" s="3102"/>
      <c r="AJ17" s="3102"/>
      <c r="AK17" s="3102"/>
      <c r="AL17" s="3102"/>
      <c r="AM17" s="3102"/>
      <c r="AN17" s="3102"/>
      <c r="AO17" s="3102"/>
      <c r="AP17" s="3102"/>
      <c r="AQ17" s="3102"/>
      <c r="AR17" s="3102"/>
      <c r="AS17" s="3102"/>
      <c r="AT17" s="3111"/>
      <c r="AU17" s="3112"/>
      <c r="AV17" s="602">
        <f t="shared" si="6"/>
        <v>0</v>
      </c>
      <c r="AW17" s="602">
        <f t="shared" si="6"/>
        <v>0</v>
      </c>
      <c r="AX17" s="602">
        <f t="shared" si="6"/>
        <v>0</v>
      </c>
      <c r="AY17" s="1822">
        <f>ROUND($AY$6*AZ17/$AZ$5,2)</f>
        <v>0</v>
      </c>
      <c r="AZ17" s="3061">
        <f>BA17+BL17</f>
        <v>0</v>
      </c>
      <c r="BA17" s="3061">
        <f>SUM(BB17:BK17)</f>
        <v>0</v>
      </c>
      <c r="BB17" s="3061">
        <f>IF($D17="是",I17-J17,0)</f>
        <v>0</v>
      </c>
      <c r="BC17" s="3061">
        <f>IF($D17="是",K17-L17,0)</f>
        <v>0</v>
      </c>
      <c r="BD17" s="3061">
        <f>IF($D17="是",M17-N17,0)</f>
        <v>0</v>
      </c>
      <c r="BE17" s="3061">
        <f>IF($D17="是",O17-P17,0)</f>
        <v>0</v>
      </c>
      <c r="BF17" s="3061">
        <f>IF($D17="是",Q17-R17,0)</f>
        <v>0</v>
      </c>
      <c r="BG17" s="3061">
        <f>IF($D17="是",S17-T17,0)</f>
        <v>0</v>
      </c>
      <c r="BH17" s="3061">
        <f>IF($D17="是",U17-V17,0)</f>
        <v>0</v>
      </c>
      <c r="BI17" s="3061">
        <f>IF($D17="是",W17-X17,0)</f>
        <v>0</v>
      </c>
      <c r="BJ17" s="3061">
        <f>IF($D17="是",Y17-Z17,0)</f>
        <v>0</v>
      </c>
      <c r="BK17" s="3061">
        <f>IF($D17="是",AA17-AB17,0)</f>
        <v>0</v>
      </c>
      <c r="BL17" s="3061">
        <f>SUM(BM17:BT17)</f>
        <v>0</v>
      </c>
      <c r="BM17" s="3061">
        <f>IF($D17="是",AD17-AE17,0)</f>
        <v>0</v>
      </c>
      <c r="BN17" s="3061">
        <f>IF($D17="是",AF17-AG17,0)</f>
        <v>0</v>
      </c>
      <c r="BO17" s="3061">
        <f>IF($D17="是",AH17-AI17,0)</f>
        <v>0</v>
      </c>
      <c r="BP17" s="3061">
        <f>IF($D17="是",AJ17-AK17,0)</f>
        <v>0</v>
      </c>
      <c r="BQ17" s="3061">
        <f>IF($D17="是",AL17-AM17,0)</f>
        <v>0</v>
      </c>
      <c r="BR17" s="3061">
        <f>IF($D17="是",AN17-AO17,0)</f>
        <v>0</v>
      </c>
      <c r="BS17" s="3061">
        <f>IF($D17="是",AP17-AQ17,0)</f>
        <v>0</v>
      </c>
      <c r="BT17" s="3131">
        <f>IF($D17="是",AR17-AS17,0)</f>
        <v>0</v>
      </c>
    </row>
    <row r="18" spans="1:72">
      <c r="A18" s="3080"/>
      <c r="B18" s="3081"/>
      <c r="C18" s="3081"/>
      <c r="D18" s="3082"/>
      <c r="E18" s="3083">
        <f t="shared" ref="E18:E112" si="7">IF($C$3="是",ROUND($A$3*G18/$B$3,2),ROUND($A$3*(G18-AT18)/$B$3,2))</f>
        <v>0</v>
      </c>
      <c r="F18" s="3084"/>
      <c r="G18" s="3085">
        <f t="shared" ref="G18:G109" si="8">H18+AC18+AT18</f>
        <v>0</v>
      </c>
      <c r="H18" s="3086">
        <f t="shared" ref="H18:H109" si="9">SUMIF(I$12:AB$12,"总值",I18:AB18)</f>
        <v>0</v>
      </c>
      <c r="I18" s="3093"/>
      <c r="J18" s="3093"/>
      <c r="K18" s="3093"/>
      <c r="L18" s="3093"/>
      <c r="M18" s="3093"/>
      <c r="N18" s="3093"/>
      <c r="O18" s="3093"/>
      <c r="P18" s="3093"/>
      <c r="Q18" s="3093"/>
      <c r="R18" s="3093"/>
      <c r="S18" s="3093"/>
      <c r="T18" s="3093"/>
      <c r="U18" s="3093"/>
      <c r="V18" s="3093"/>
      <c r="W18" s="3093"/>
      <c r="X18" s="3093"/>
      <c r="Y18" s="3093"/>
      <c r="Z18" s="3093"/>
      <c r="AA18" s="3093"/>
      <c r="AB18" s="3093"/>
      <c r="AC18" s="3083">
        <f t="shared" ref="AC18:AC109" si="10">SUMIF(AD$12:AS$12,"总值",AD18:AS18)</f>
        <v>0</v>
      </c>
      <c r="AD18" s="3103"/>
      <c r="AE18" s="3103"/>
      <c r="AF18" s="3103"/>
      <c r="AG18" s="3103"/>
      <c r="AH18" s="3103"/>
      <c r="AI18" s="3103"/>
      <c r="AJ18" s="3103"/>
      <c r="AK18" s="3103"/>
      <c r="AL18" s="3103"/>
      <c r="AM18" s="3103"/>
      <c r="AN18" s="3103"/>
      <c r="AO18" s="3103"/>
      <c r="AP18" s="3103"/>
      <c r="AQ18" s="3103"/>
      <c r="AR18" s="3103"/>
      <c r="AS18" s="3103"/>
      <c r="AT18" s="3113"/>
      <c r="AU18" s="3114"/>
      <c r="AV18" s="1580">
        <f t="shared" ref="AV18:AV112" si="11">A18</f>
        <v>0</v>
      </c>
      <c r="AW18" s="1580">
        <f t="shared" ref="AW18:AW112" si="12">B18</f>
        <v>0</v>
      </c>
      <c r="AX18" s="1580">
        <f t="shared" ref="AX18:AX112" si="13">C18</f>
        <v>0</v>
      </c>
      <c r="AY18" s="3128">
        <f t="shared" ref="AY18:AY109" si="14">ROUND($AY$6*AZ18/$AZ$5,2)</f>
        <v>0</v>
      </c>
      <c r="AZ18" s="3083">
        <f t="shared" ref="AZ18:AZ109" si="15">BA18+BL18</f>
        <v>0</v>
      </c>
      <c r="BA18" s="3083">
        <f t="shared" ref="BA18:BA109" si="16">SUM(BB18:BK18)</f>
        <v>0</v>
      </c>
      <c r="BB18" s="3083">
        <f t="shared" ref="BB18:BB109" si="17">IF($D18="是",I18-J18,0)</f>
        <v>0</v>
      </c>
      <c r="BC18" s="3083">
        <f t="shared" ref="BC18:BC109" si="18">IF($D18="是",K18-L18,0)</f>
        <v>0</v>
      </c>
      <c r="BD18" s="3083">
        <f t="shared" ref="BD18:BD109" si="19">IF($D18="是",M18-N18,0)</f>
        <v>0</v>
      </c>
      <c r="BE18" s="3083">
        <f t="shared" ref="BE18:BE109" si="20">IF($D18="是",O18-P18,0)</f>
        <v>0</v>
      </c>
      <c r="BF18" s="3083">
        <f t="shared" ref="BF18:BF109" si="21">IF($D18="是",Q18-R18,0)</f>
        <v>0</v>
      </c>
      <c r="BG18" s="3083">
        <f t="shared" ref="BG18:BG109" si="22">IF($D18="是",S18-T18,0)</f>
        <v>0</v>
      </c>
      <c r="BH18" s="3083">
        <f t="shared" ref="BH18:BH109" si="23">IF($D18="是",U18-V18,0)</f>
        <v>0</v>
      </c>
      <c r="BI18" s="3083">
        <f t="shared" ref="BI18:BI109" si="24">IF($D18="是",W18-X18,0)</f>
        <v>0</v>
      </c>
      <c r="BJ18" s="3083">
        <f t="shared" ref="BJ18:BJ109" si="25">IF($D18="是",Y18-Z18,0)</f>
        <v>0</v>
      </c>
      <c r="BK18" s="3083">
        <f t="shared" ref="BK18:BK109" si="26">IF($D18="是",AA18-AB18,0)</f>
        <v>0</v>
      </c>
      <c r="BL18" s="3083">
        <f t="shared" ref="BL18:BL109" si="27">SUM(BM18:BT18)</f>
        <v>0</v>
      </c>
      <c r="BM18" s="3083">
        <f t="shared" ref="BM18:BM109" si="28">IF($D18="是",AD18-AE18,0)</f>
        <v>0</v>
      </c>
      <c r="BN18" s="3083">
        <f t="shared" ref="BN18:BN109" si="29">IF($D18="是",AF18-AG18,0)</f>
        <v>0</v>
      </c>
      <c r="BO18" s="3083">
        <f t="shared" ref="BO18:BO109" si="30">IF($D18="是",AH18-AI18,0)</f>
        <v>0</v>
      </c>
      <c r="BP18" s="3083">
        <f t="shared" ref="BP18:BP109" si="31">IF($D18="是",AJ18-AK18,0)</f>
        <v>0</v>
      </c>
      <c r="BQ18" s="3083">
        <f t="shared" ref="BQ18:BQ109" si="32">IF($D18="是",AL18-AM18,0)</f>
        <v>0</v>
      </c>
      <c r="BR18" s="3083">
        <f t="shared" ref="BR18:BR109" si="33">IF($D18="是",AN18-AO18,0)</f>
        <v>0</v>
      </c>
      <c r="BS18" s="3083">
        <f t="shared" ref="BS18:BS109" si="34">IF($D18="是",AP18-AQ18,0)</f>
        <v>0</v>
      </c>
      <c r="BT18" s="3135">
        <f t="shared" ref="BT18:BT109" si="35">IF($D18="是",AR18-AS18,0)</f>
        <v>0</v>
      </c>
    </row>
    <row r="19" spans="1:72">
      <c r="A19" s="3080"/>
      <c r="B19" s="3081"/>
      <c r="C19" s="3081"/>
      <c r="D19" s="3082"/>
      <c r="E19" s="3083">
        <f t="shared" si="7"/>
        <v>0</v>
      </c>
      <c r="F19" s="3084"/>
      <c r="G19" s="3085">
        <f t="shared" si="8"/>
        <v>0</v>
      </c>
      <c r="H19" s="3086">
        <f t="shared" si="9"/>
        <v>0</v>
      </c>
      <c r="I19" s="3093"/>
      <c r="J19" s="3093"/>
      <c r="K19" s="3093"/>
      <c r="L19" s="3093"/>
      <c r="M19" s="3093"/>
      <c r="N19" s="3093"/>
      <c r="O19" s="3093"/>
      <c r="P19" s="3093"/>
      <c r="Q19" s="3093"/>
      <c r="R19" s="3093"/>
      <c r="S19" s="3093"/>
      <c r="T19" s="3093"/>
      <c r="U19" s="3093"/>
      <c r="V19" s="3093"/>
      <c r="W19" s="3093"/>
      <c r="X19" s="3093"/>
      <c r="Y19" s="3093"/>
      <c r="Z19" s="3093"/>
      <c r="AA19" s="3093"/>
      <c r="AB19" s="3093"/>
      <c r="AC19" s="3083">
        <f t="shared" si="10"/>
        <v>0</v>
      </c>
      <c r="AD19" s="3103"/>
      <c r="AE19" s="3103"/>
      <c r="AF19" s="3103"/>
      <c r="AG19" s="3103"/>
      <c r="AH19" s="3103"/>
      <c r="AI19" s="3103"/>
      <c r="AJ19" s="3103"/>
      <c r="AK19" s="3103"/>
      <c r="AL19" s="3103"/>
      <c r="AM19" s="3103"/>
      <c r="AN19" s="3103"/>
      <c r="AO19" s="3103"/>
      <c r="AP19" s="3103"/>
      <c r="AQ19" s="3103"/>
      <c r="AR19" s="3103"/>
      <c r="AS19" s="3103"/>
      <c r="AT19" s="3113"/>
      <c r="AU19" s="3114"/>
      <c r="AV19" s="1580">
        <f t="shared" si="11"/>
        <v>0</v>
      </c>
      <c r="AW19" s="1580">
        <f t="shared" si="12"/>
        <v>0</v>
      </c>
      <c r="AX19" s="1580">
        <f t="shared" si="13"/>
        <v>0</v>
      </c>
      <c r="AY19" s="3128">
        <f t="shared" si="14"/>
        <v>0</v>
      </c>
      <c r="AZ19" s="3083">
        <f t="shared" si="15"/>
        <v>0</v>
      </c>
      <c r="BA19" s="3083">
        <f t="shared" si="16"/>
        <v>0</v>
      </c>
      <c r="BB19" s="3083">
        <f t="shared" si="17"/>
        <v>0</v>
      </c>
      <c r="BC19" s="3083">
        <f t="shared" si="18"/>
        <v>0</v>
      </c>
      <c r="BD19" s="3083">
        <f t="shared" si="19"/>
        <v>0</v>
      </c>
      <c r="BE19" s="3083">
        <f t="shared" si="20"/>
        <v>0</v>
      </c>
      <c r="BF19" s="3083">
        <f t="shared" si="21"/>
        <v>0</v>
      </c>
      <c r="BG19" s="3083">
        <f t="shared" si="22"/>
        <v>0</v>
      </c>
      <c r="BH19" s="3083">
        <f t="shared" si="23"/>
        <v>0</v>
      </c>
      <c r="BI19" s="3083">
        <f t="shared" si="24"/>
        <v>0</v>
      </c>
      <c r="BJ19" s="3083">
        <f t="shared" si="25"/>
        <v>0</v>
      </c>
      <c r="BK19" s="3083">
        <f t="shared" si="26"/>
        <v>0</v>
      </c>
      <c r="BL19" s="3083">
        <f t="shared" si="27"/>
        <v>0</v>
      </c>
      <c r="BM19" s="3083">
        <f t="shared" si="28"/>
        <v>0</v>
      </c>
      <c r="BN19" s="3083">
        <f t="shared" si="29"/>
        <v>0</v>
      </c>
      <c r="BO19" s="3083">
        <f t="shared" si="30"/>
        <v>0</v>
      </c>
      <c r="BP19" s="3083">
        <f t="shared" si="31"/>
        <v>0</v>
      </c>
      <c r="BQ19" s="3083">
        <f t="shared" si="32"/>
        <v>0</v>
      </c>
      <c r="BR19" s="3083">
        <f t="shared" si="33"/>
        <v>0</v>
      </c>
      <c r="BS19" s="3083">
        <f t="shared" si="34"/>
        <v>0</v>
      </c>
      <c r="BT19" s="3135">
        <f t="shared" si="35"/>
        <v>0</v>
      </c>
    </row>
    <row r="20" spans="1:72">
      <c r="A20" s="3080"/>
      <c r="B20" s="3081"/>
      <c r="C20" s="3081"/>
      <c r="D20" s="3082"/>
      <c r="E20" s="3083">
        <f t="shared" si="7"/>
        <v>0</v>
      </c>
      <c r="F20" s="3084"/>
      <c r="G20" s="3085">
        <f t="shared" si="8"/>
        <v>0</v>
      </c>
      <c r="H20" s="3086">
        <f t="shared" si="9"/>
        <v>0</v>
      </c>
      <c r="I20" s="3093"/>
      <c r="J20" s="3093"/>
      <c r="K20" s="3093"/>
      <c r="L20" s="3093"/>
      <c r="M20" s="3093"/>
      <c r="N20" s="3093"/>
      <c r="O20" s="3093"/>
      <c r="P20" s="3093"/>
      <c r="Q20" s="3093"/>
      <c r="R20" s="3093"/>
      <c r="S20" s="3093"/>
      <c r="T20" s="3093"/>
      <c r="U20" s="3093"/>
      <c r="V20" s="3093"/>
      <c r="W20" s="3093"/>
      <c r="X20" s="3093"/>
      <c r="Y20" s="3093"/>
      <c r="Z20" s="3093"/>
      <c r="AA20" s="3093"/>
      <c r="AB20" s="3093"/>
      <c r="AC20" s="3083">
        <f t="shared" si="10"/>
        <v>0</v>
      </c>
      <c r="AD20" s="3103"/>
      <c r="AE20" s="3103"/>
      <c r="AF20" s="3103"/>
      <c r="AG20" s="3103"/>
      <c r="AH20" s="3103"/>
      <c r="AI20" s="3103"/>
      <c r="AJ20" s="3103"/>
      <c r="AK20" s="3103"/>
      <c r="AL20" s="3103"/>
      <c r="AM20" s="3103"/>
      <c r="AN20" s="3103"/>
      <c r="AO20" s="3103"/>
      <c r="AP20" s="3103"/>
      <c r="AQ20" s="3103"/>
      <c r="AR20" s="3103"/>
      <c r="AS20" s="3103"/>
      <c r="AT20" s="3113"/>
      <c r="AU20" s="3114"/>
      <c r="AV20" s="1580">
        <f t="shared" si="11"/>
        <v>0</v>
      </c>
      <c r="AW20" s="1580">
        <f t="shared" si="12"/>
        <v>0</v>
      </c>
      <c r="AX20" s="1580">
        <f t="shared" si="13"/>
        <v>0</v>
      </c>
      <c r="AY20" s="3128">
        <f t="shared" si="14"/>
        <v>0</v>
      </c>
      <c r="AZ20" s="3083">
        <f t="shared" si="15"/>
        <v>0</v>
      </c>
      <c r="BA20" s="3083">
        <f t="shared" si="16"/>
        <v>0</v>
      </c>
      <c r="BB20" s="3083">
        <f t="shared" si="17"/>
        <v>0</v>
      </c>
      <c r="BC20" s="3083">
        <f t="shared" si="18"/>
        <v>0</v>
      </c>
      <c r="BD20" s="3083">
        <f t="shared" si="19"/>
        <v>0</v>
      </c>
      <c r="BE20" s="3083">
        <f t="shared" si="20"/>
        <v>0</v>
      </c>
      <c r="BF20" s="3083">
        <f t="shared" si="21"/>
        <v>0</v>
      </c>
      <c r="BG20" s="3083">
        <f t="shared" si="22"/>
        <v>0</v>
      </c>
      <c r="BH20" s="3083">
        <f t="shared" si="23"/>
        <v>0</v>
      </c>
      <c r="BI20" s="3083">
        <f t="shared" si="24"/>
        <v>0</v>
      </c>
      <c r="BJ20" s="3083">
        <f t="shared" si="25"/>
        <v>0</v>
      </c>
      <c r="BK20" s="3083">
        <f t="shared" si="26"/>
        <v>0</v>
      </c>
      <c r="BL20" s="3083">
        <f t="shared" si="27"/>
        <v>0</v>
      </c>
      <c r="BM20" s="3083">
        <f t="shared" si="28"/>
        <v>0</v>
      </c>
      <c r="BN20" s="3083">
        <f t="shared" si="29"/>
        <v>0</v>
      </c>
      <c r="BO20" s="3083">
        <f t="shared" si="30"/>
        <v>0</v>
      </c>
      <c r="BP20" s="3083">
        <f t="shared" si="31"/>
        <v>0</v>
      </c>
      <c r="BQ20" s="3083">
        <f t="shared" si="32"/>
        <v>0</v>
      </c>
      <c r="BR20" s="3083">
        <f t="shared" si="33"/>
        <v>0</v>
      </c>
      <c r="BS20" s="3083">
        <f t="shared" si="34"/>
        <v>0</v>
      </c>
      <c r="BT20" s="3135">
        <f t="shared" si="35"/>
        <v>0</v>
      </c>
    </row>
    <row r="21" spans="1:72">
      <c r="A21" s="3080"/>
      <c r="B21" s="3081"/>
      <c r="C21" s="3081"/>
      <c r="D21" s="3082"/>
      <c r="E21" s="3083">
        <f t="shared" si="7"/>
        <v>0</v>
      </c>
      <c r="F21" s="3084"/>
      <c r="G21" s="3085">
        <f t="shared" si="8"/>
        <v>0</v>
      </c>
      <c r="H21" s="3086">
        <f t="shared" si="9"/>
        <v>0</v>
      </c>
      <c r="I21" s="3093"/>
      <c r="J21" s="3093"/>
      <c r="K21" s="3093"/>
      <c r="L21" s="3093"/>
      <c r="M21" s="3093"/>
      <c r="N21" s="3093"/>
      <c r="O21" s="3093"/>
      <c r="P21" s="3093"/>
      <c r="Q21" s="3093"/>
      <c r="R21" s="3093"/>
      <c r="S21" s="3093"/>
      <c r="T21" s="3093"/>
      <c r="U21" s="3093"/>
      <c r="V21" s="3093"/>
      <c r="W21" s="3093"/>
      <c r="X21" s="3093"/>
      <c r="Y21" s="3093"/>
      <c r="Z21" s="3093"/>
      <c r="AA21" s="3093"/>
      <c r="AB21" s="3093"/>
      <c r="AC21" s="3083">
        <f t="shared" si="10"/>
        <v>0</v>
      </c>
      <c r="AD21" s="3103"/>
      <c r="AE21" s="3103"/>
      <c r="AF21" s="3103"/>
      <c r="AG21" s="3103"/>
      <c r="AH21" s="3103"/>
      <c r="AI21" s="3103"/>
      <c r="AJ21" s="3103"/>
      <c r="AK21" s="3103"/>
      <c r="AL21" s="3103"/>
      <c r="AM21" s="3103"/>
      <c r="AN21" s="3103"/>
      <c r="AO21" s="3103"/>
      <c r="AP21" s="3103"/>
      <c r="AQ21" s="3103"/>
      <c r="AR21" s="3103"/>
      <c r="AS21" s="3103"/>
      <c r="AT21" s="3113"/>
      <c r="AU21" s="3114"/>
      <c r="AV21" s="1580">
        <f t="shared" si="11"/>
        <v>0</v>
      </c>
      <c r="AW21" s="1580">
        <f t="shared" si="12"/>
        <v>0</v>
      </c>
      <c r="AX21" s="1580">
        <f t="shared" si="13"/>
        <v>0</v>
      </c>
      <c r="AY21" s="3128">
        <f t="shared" si="14"/>
        <v>0</v>
      </c>
      <c r="AZ21" s="3083">
        <f t="shared" si="15"/>
        <v>0</v>
      </c>
      <c r="BA21" s="3083">
        <f t="shared" si="16"/>
        <v>0</v>
      </c>
      <c r="BB21" s="3083">
        <f t="shared" si="17"/>
        <v>0</v>
      </c>
      <c r="BC21" s="3083">
        <f t="shared" si="18"/>
        <v>0</v>
      </c>
      <c r="BD21" s="3083">
        <f t="shared" si="19"/>
        <v>0</v>
      </c>
      <c r="BE21" s="3083">
        <f t="shared" si="20"/>
        <v>0</v>
      </c>
      <c r="BF21" s="3083">
        <f t="shared" si="21"/>
        <v>0</v>
      </c>
      <c r="BG21" s="3083">
        <f t="shared" si="22"/>
        <v>0</v>
      </c>
      <c r="BH21" s="3083">
        <f t="shared" si="23"/>
        <v>0</v>
      </c>
      <c r="BI21" s="3083">
        <f t="shared" si="24"/>
        <v>0</v>
      </c>
      <c r="BJ21" s="3083">
        <f t="shared" si="25"/>
        <v>0</v>
      </c>
      <c r="BK21" s="3083">
        <f t="shared" si="26"/>
        <v>0</v>
      </c>
      <c r="BL21" s="3083">
        <f t="shared" si="27"/>
        <v>0</v>
      </c>
      <c r="BM21" s="3083">
        <f t="shared" si="28"/>
        <v>0</v>
      </c>
      <c r="BN21" s="3083">
        <f t="shared" si="29"/>
        <v>0</v>
      </c>
      <c r="BO21" s="3083">
        <f t="shared" si="30"/>
        <v>0</v>
      </c>
      <c r="BP21" s="3083">
        <f t="shared" si="31"/>
        <v>0</v>
      </c>
      <c r="BQ21" s="3083">
        <f t="shared" si="32"/>
        <v>0</v>
      </c>
      <c r="BR21" s="3083">
        <f t="shared" si="33"/>
        <v>0</v>
      </c>
      <c r="BS21" s="3083">
        <f t="shared" si="34"/>
        <v>0</v>
      </c>
      <c r="BT21" s="3135">
        <f t="shared" si="35"/>
        <v>0</v>
      </c>
    </row>
    <row r="22" spans="1:72">
      <c r="A22" s="3080"/>
      <c r="B22" s="3081"/>
      <c r="C22" s="3081"/>
      <c r="D22" s="3082"/>
      <c r="E22" s="3083">
        <f t="shared" si="7"/>
        <v>0</v>
      </c>
      <c r="F22" s="3084"/>
      <c r="G22" s="3085">
        <f t="shared" si="8"/>
        <v>0</v>
      </c>
      <c r="H22" s="3086">
        <f t="shared" si="9"/>
        <v>0</v>
      </c>
      <c r="I22" s="3093"/>
      <c r="J22" s="3093"/>
      <c r="K22" s="3093"/>
      <c r="L22" s="3093"/>
      <c r="M22" s="3093"/>
      <c r="N22" s="3093"/>
      <c r="O22" s="3093"/>
      <c r="P22" s="3093"/>
      <c r="Q22" s="3093"/>
      <c r="R22" s="3093"/>
      <c r="S22" s="3093"/>
      <c r="T22" s="3093"/>
      <c r="U22" s="3093"/>
      <c r="V22" s="3093"/>
      <c r="W22" s="3093"/>
      <c r="X22" s="3093"/>
      <c r="Y22" s="3093"/>
      <c r="Z22" s="3093"/>
      <c r="AA22" s="3093"/>
      <c r="AB22" s="3093"/>
      <c r="AC22" s="3083">
        <f t="shared" si="10"/>
        <v>0</v>
      </c>
      <c r="AD22" s="3103"/>
      <c r="AE22" s="3103"/>
      <c r="AF22" s="3103"/>
      <c r="AG22" s="3103"/>
      <c r="AH22" s="3103"/>
      <c r="AI22" s="3103"/>
      <c r="AJ22" s="3103"/>
      <c r="AK22" s="3103"/>
      <c r="AL22" s="3103"/>
      <c r="AM22" s="3103"/>
      <c r="AN22" s="3103"/>
      <c r="AO22" s="3103"/>
      <c r="AP22" s="3103"/>
      <c r="AQ22" s="3103"/>
      <c r="AR22" s="3103"/>
      <c r="AS22" s="3103"/>
      <c r="AT22" s="3113"/>
      <c r="AU22" s="3114"/>
      <c r="AV22" s="1580">
        <f t="shared" si="11"/>
        <v>0</v>
      </c>
      <c r="AW22" s="1580">
        <f t="shared" si="12"/>
        <v>0</v>
      </c>
      <c r="AX22" s="1580">
        <f t="shared" si="13"/>
        <v>0</v>
      </c>
      <c r="AY22" s="3128">
        <f t="shared" si="14"/>
        <v>0</v>
      </c>
      <c r="AZ22" s="3083">
        <f t="shared" si="15"/>
        <v>0</v>
      </c>
      <c r="BA22" s="3083">
        <f t="shared" si="16"/>
        <v>0</v>
      </c>
      <c r="BB22" s="3083">
        <f t="shared" si="17"/>
        <v>0</v>
      </c>
      <c r="BC22" s="3083">
        <f t="shared" si="18"/>
        <v>0</v>
      </c>
      <c r="BD22" s="3083">
        <f t="shared" si="19"/>
        <v>0</v>
      </c>
      <c r="BE22" s="3083">
        <f t="shared" si="20"/>
        <v>0</v>
      </c>
      <c r="BF22" s="3083">
        <f t="shared" si="21"/>
        <v>0</v>
      </c>
      <c r="BG22" s="3083">
        <f t="shared" si="22"/>
        <v>0</v>
      </c>
      <c r="BH22" s="3083">
        <f t="shared" si="23"/>
        <v>0</v>
      </c>
      <c r="BI22" s="3083">
        <f t="shared" si="24"/>
        <v>0</v>
      </c>
      <c r="BJ22" s="3083">
        <f t="shared" si="25"/>
        <v>0</v>
      </c>
      <c r="BK22" s="3083">
        <f t="shared" si="26"/>
        <v>0</v>
      </c>
      <c r="BL22" s="3083">
        <f t="shared" si="27"/>
        <v>0</v>
      </c>
      <c r="BM22" s="3083">
        <f t="shared" si="28"/>
        <v>0</v>
      </c>
      <c r="BN22" s="3083">
        <f t="shared" si="29"/>
        <v>0</v>
      </c>
      <c r="BO22" s="3083">
        <f t="shared" si="30"/>
        <v>0</v>
      </c>
      <c r="BP22" s="3083">
        <f t="shared" si="31"/>
        <v>0</v>
      </c>
      <c r="BQ22" s="3083">
        <f t="shared" si="32"/>
        <v>0</v>
      </c>
      <c r="BR22" s="3083">
        <f t="shared" si="33"/>
        <v>0</v>
      </c>
      <c r="BS22" s="3083">
        <f t="shared" si="34"/>
        <v>0</v>
      </c>
      <c r="BT22" s="3135">
        <f t="shared" si="35"/>
        <v>0</v>
      </c>
    </row>
    <row r="23" spans="1:72">
      <c r="A23" s="3080"/>
      <c r="B23" s="3081"/>
      <c r="C23" s="3081"/>
      <c r="D23" s="3082"/>
      <c r="E23" s="3083">
        <f t="shared" si="7"/>
        <v>0</v>
      </c>
      <c r="F23" s="3084"/>
      <c r="G23" s="3085">
        <f t="shared" si="8"/>
        <v>0</v>
      </c>
      <c r="H23" s="3086">
        <f t="shared" si="9"/>
        <v>0</v>
      </c>
      <c r="I23" s="3093"/>
      <c r="J23" s="3093"/>
      <c r="K23" s="3093"/>
      <c r="L23" s="3093"/>
      <c r="M23" s="3093"/>
      <c r="N23" s="3093"/>
      <c r="O23" s="3093"/>
      <c r="P23" s="3093"/>
      <c r="Q23" s="3093"/>
      <c r="R23" s="3093"/>
      <c r="S23" s="3093"/>
      <c r="T23" s="3093"/>
      <c r="U23" s="3093"/>
      <c r="V23" s="3093"/>
      <c r="W23" s="3093"/>
      <c r="X23" s="3093"/>
      <c r="Y23" s="3093"/>
      <c r="Z23" s="3093"/>
      <c r="AA23" s="3093"/>
      <c r="AB23" s="3093"/>
      <c r="AC23" s="3083">
        <f t="shared" si="10"/>
        <v>0</v>
      </c>
      <c r="AD23" s="3103"/>
      <c r="AE23" s="3103"/>
      <c r="AF23" s="3103"/>
      <c r="AG23" s="3103"/>
      <c r="AH23" s="3103"/>
      <c r="AI23" s="3103"/>
      <c r="AJ23" s="3103"/>
      <c r="AK23" s="3103"/>
      <c r="AL23" s="3103"/>
      <c r="AM23" s="3103"/>
      <c r="AN23" s="3103"/>
      <c r="AO23" s="3103"/>
      <c r="AP23" s="3103"/>
      <c r="AQ23" s="3103"/>
      <c r="AR23" s="3103"/>
      <c r="AS23" s="3103"/>
      <c r="AT23" s="3113"/>
      <c r="AU23" s="3114"/>
      <c r="AV23" s="1580">
        <f t="shared" si="11"/>
        <v>0</v>
      </c>
      <c r="AW23" s="1580">
        <f t="shared" si="12"/>
        <v>0</v>
      </c>
      <c r="AX23" s="1580">
        <f t="shared" si="13"/>
        <v>0</v>
      </c>
      <c r="AY23" s="3128">
        <f t="shared" si="14"/>
        <v>0</v>
      </c>
      <c r="AZ23" s="3083">
        <f t="shared" si="15"/>
        <v>0</v>
      </c>
      <c r="BA23" s="3083">
        <f t="shared" si="16"/>
        <v>0</v>
      </c>
      <c r="BB23" s="3083">
        <f t="shared" si="17"/>
        <v>0</v>
      </c>
      <c r="BC23" s="3083">
        <f t="shared" si="18"/>
        <v>0</v>
      </c>
      <c r="BD23" s="3083">
        <f t="shared" si="19"/>
        <v>0</v>
      </c>
      <c r="BE23" s="3083">
        <f t="shared" si="20"/>
        <v>0</v>
      </c>
      <c r="BF23" s="3083">
        <f t="shared" si="21"/>
        <v>0</v>
      </c>
      <c r="BG23" s="3083">
        <f t="shared" si="22"/>
        <v>0</v>
      </c>
      <c r="BH23" s="3083">
        <f t="shared" si="23"/>
        <v>0</v>
      </c>
      <c r="BI23" s="3083">
        <f t="shared" si="24"/>
        <v>0</v>
      </c>
      <c r="BJ23" s="3083">
        <f t="shared" si="25"/>
        <v>0</v>
      </c>
      <c r="BK23" s="3083">
        <f t="shared" si="26"/>
        <v>0</v>
      </c>
      <c r="BL23" s="3083">
        <f t="shared" si="27"/>
        <v>0</v>
      </c>
      <c r="BM23" s="3083">
        <f t="shared" si="28"/>
        <v>0</v>
      </c>
      <c r="BN23" s="3083">
        <f t="shared" si="29"/>
        <v>0</v>
      </c>
      <c r="BO23" s="3083">
        <f t="shared" si="30"/>
        <v>0</v>
      </c>
      <c r="BP23" s="3083">
        <f t="shared" si="31"/>
        <v>0</v>
      </c>
      <c r="BQ23" s="3083">
        <f t="shared" si="32"/>
        <v>0</v>
      </c>
      <c r="BR23" s="3083">
        <f t="shared" si="33"/>
        <v>0</v>
      </c>
      <c r="BS23" s="3083">
        <f t="shared" si="34"/>
        <v>0</v>
      </c>
      <c r="BT23" s="3135">
        <f t="shared" si="35"/>
        <v>0</v>
      </c>
    </row>
    <row r="24" spans="1:72">
      <c r="A24" s="3080"/>
      <c r="B24" s="3081"/>
      <c r="C24" s="3081"/>
      <c r="D24" s="3082"/>
      <c r="E24" s="3083">
        <f t="shared" si="7"/>
        <v>0</v>
      </c>
      <c r="F24" s="3084"/>
      <c r="G24" s="3085">
        <f t="shared" si="8"/>
        <v>0</v>
      </c>
      <c r="H24" s="3086">
        <f t="shared" si="9"/>
        <v>0</v>
      </c>
      <c r="I24" s="3093"/>
      <c r="J24" s="3093"/>
      <c r="K24" s="3093"/>
      <c r="L24" s="3093"/>
      <c r="M24" s="3093"/>
      <c r="N24" s="3093"/>
      <c r="O24" s="3093"/>
      <c r="P24" s="3093"/>
      <c r="Q24" s="3093"/>
      <c r="R24" s="3093"/>
      <c r="S24" s="3093"/>
      <c r="T24" s="3093"/>
      <c r="U24" s="3093"/>
      <c r="V24" s="3093"/>
      <c r="W24" s="3093"/>
      <c r="X24" s="3093"/>
      <c r="Y24" s="3093"/>
      <c r="Z24" s="3093"/>
      <c r="AA24" s="3093"/>
      <c r="AB24" s="3093"/>
      <c r="AC24" s="3083">
        <f t="shared" si="10"/>
        <v>0</v>
      </c>
      <c r="AD24" s="3103"/>
      <c r="AE24" s="3103"/>
      <c r="AF24" s="3103"/>
      <c r="AG24" s="3103"/>
      <c r="AH24" s="3103"/>
      <c r="AI24" s="3103"/>
      <c r="AJ24" s="3103"/>
      <c r="AK24" s="3103"/>
      <c r="AL24" s="3103"/>
      <c r="AM24" s="3103"/>
      <c r="AN24" s="3103"/>
      <c r="AO24" s="3103"/>
      <c r="AP24" s="3103"/>
      <c r="AQ24" s="3103"/>
      <c r="AR24" s="3103"/>
      <c r="AS24" s="3103"/>
      <c r="AT24" s="3113"/>
      <c r="AU24" s="3114"/>
      <c r="AV24" s="1580">
        <f t="shared" si="11"/>
        <v>0</v>
      </c>
      <c r="AW24" s="1580">
        <f t="shared" si="12"/>
        <v>0</v>
      </c>
      <c r="AX24" s="1580">
        <f t="shared" si="13"/>
        <v>0</v>
      </c>
      <c r="AY24" s="3128">
        <f t="shared" si="14"/>
        <v>0</v>
      </c>
      <c r="AZ24" s="3083">
        <f t="shared" si="15"/>
        <v>0</v>
      </c>
      <c r="BA24" s="3083">
        <f t="shared" si="16"/>
        <v>0</v>
      </c>
      <c r="BB24" s="3083">
        <f t="shared" si="17"/>
        <v>0</v>
      </c>
      <c r="BC24" s="3083">
        <f t="shared" si="18"/>
        <v>0</v>
      </c>
      <c r="BD24" s="3083">
        <f t="shared" si="19"/>
        <v>0</v>
      </c>
      <c r="BE24" s="3083">
        <f t="shared" si="20"/>
        <v>0</v>
      </c>
      <c r="BF24" s="3083">
        <f t="shared" si="21"/>
        <v>0</v>
      </c>
      <c r="BG24" s="3083">
        <f t="shared" si="22"/>
        <v>0</v>
      </c>
      <c r="BH24" s="3083">
        <f t="shared" si="23"/>
        <v>0</v>
      </c>
      <c r="BI24" s="3083">
        <f t="shared" si="24"/>
        <v>0</v>
      </c>
      <c r="BJ24" s="3083">
        <f t="shared" si="25"/>
        <v>0</v>
      </c>
      <c r="BK24" s="3083">
        <f t="shared" si="26"/>
        <v>0</v>
      </c>
      <c r="BL24" s="3083">
        <f t="shared" si="27"/>
        <v>0</v>
      </c>
      <c r="BM24" s="3083">
        <f t="shared" si="28"/>
        <v>0</v>
      </c>
      <c r="BN24" s="3083">
        <f t="shared" si="29"/>
        <v>0</v>
      </c>
      <c r="BO24" s="3083">
        <f t="shared" si="30"/>
        <v>0</v>
      </c>
      <c r="BP24" s="3083">
        <f t="shared" si="31"/>
        <v>0</v>
      </c>
      <c r="BQ24" s="3083">
        <f t="shared" si="32"/>
        <v>0</v>
      </c>
      <c r="BR24" s="3083">
        <f t="shared" si="33"/>
        <v>0</v>
      </c>
      <c r="BS24" s="3083">
        <f t="shared" si="34"/>
        <v>0</v>
      </c>
      <c r="BT24" s="3135">
        <f t="shared" si="35"/>
        <v>0</v>
      </c>
    </row>
    <row r="25" spans="1:72">
      <c r="A25" s="3080"/>
      <c r="B25" s="3081"/>
      <c r="C25" s="3081"/>
      <c r="D25" s="3082"/>
      <c r="E25" s="3083">
        <f t="shared" si="7"/>
        <v>0</v>
      </c>
      <c r="F25" s="3084"/>
      <c r="G25" s="3085">
        <f t="shared" si="8"/>
        <v>0</v>
      </c>
      <c r="H25" s="3086">
        <f t="shared" si="9"/>
        <v>0</v>
      </c>
      <c r="I25" s="3093"/>
      <c r="J25" s="3093"/>
      <c r="K25" s="3093"/>
      <c r="L25" s="3093"/>
      <c r="M25" s="3093"/>
      <c r="N25" s="3093"/>
      <c r="O25" s="3093"/>
      <c r="P25" s="3093"/>
      <c r="Q25" s="3093"/>
      <c r="R25" s="3093"/>
      <c r="S25" s="3093"/>
      <c r="T25" s="3093"/>
      <c r="U25" s="3093"/>
      <c r="V25" s="3093"/>
      <c r="W25" s="3093"/>
      <c r="X25" s="3093"/>
      <c r="Y25" s="3093"/>
      <c r="Z25" s="3093"/>
      <c r="AA25" s="3093"/>
      <c r="AB25" s="3093"/>
      <c r="AC25" s="3083">
        <f t="shared" si="10"/>
        <v>0</v>
      </c>
      <c r="AD25" s="3103"/>
      <c r="AE25" s="3103"/>
      <c r="AF25" s="3103"/>
      <c r="AG25" s="3103"/>
      <c r="AH25" s="3103"/>
      <c r="AI25" s="3103"/>
      <c r="AJ25" s="3103"/>
      <c r="AK25" s="3103"/>
      <c r="AL25" s="3103"/>
      <c r="AM25" s="3103"/>
      <c r="AN25" s="3103"/>
      <c r="AO25" s="3103"/>
      <c r="AP25" s="3103"/>
      <c r="AQ25" s="3103"/>
      <c r="AR25" s="3103"/>
      <c r="AS25" s="3103"/>
      <c r="AT25" s="3113"/>
      <c r="AU25" s="3114"/>
      <c r="AV25" s="1580">
        <f t="shared" si="11"/>
        <v>0</v>
      </c>
      <c r="AW25" s="1580">
        <f t="shared" si="12"/>
        <v>0</v>
      </c>
      <c r="AX25" s="1580">
        <f t="shared" si="13"/>
        <v>0</v>
      </c>
      <c r="AY25" s="3128">
        <f t="shared" si="14"/>
        <v>0</v>
      </c>
      <c r="AZ25" s="3083">
        <f t="shared" si="15"/>
        <v>0</v>
      </c>
      <c r="BA25" s="3083">
        <f t="shared" si="16"/>
        <v>0</v>
      </c>
      <c r="BB25" s="3083">
        <f t="shared" si="17"/>
        <v>0</v>
      </c>
      <c r="BC25" s="3083">
        <f t="shared" si="18"/>
        <v>0</v>
      </c>
      <c r="BD25" s="3083">
        <f t="shared" si="19"/>
        <v>0</v>
      </c>
      <c r="BE25" s="3083">
        <f t="shared" si="20"/>
        <v>0</v>
      </c>
      <c r="BF25" s="3083">
        <f t="shared" si="21"/>
        <v>0</v>
      </c>
      <c r="BG25" s="3083">
        <f t="shared" si="22"/>
        <v>0</v>
      </c>
      <c r="BH25" s="3083">
        <f t="shared" si="23"/>
        <v>0</v>
      </c>
      <c r="BI25" s="3083">
        <f t="shared" si="24"/>
        <v>0</v>
      </c>
      <c r="BJ25" s="3083">
        <f t="shared" si="25"/>
        <v>0</v>
      </c>
      <c r="BK25" s="3083">
        <f t="shared" si="26"/>
        <v>0</v>
      </c>
      <c r="BL25" s="3083">
        <f t="shared" si="27"/>
        <v>0</v>
      </c>
      <c r="BM25" s="3083">
        <f t="shared" si="28"/>
        <v>0</v>
      </c>
      <c r="BN25" s="3083">
        <f t="shared" si="29"/>
        <v>0</v>
      </c>
      <c r="BO25" s="3083">
        <f t="shared" si="30"/>
        <v>0</v>
      </c>
      <c r="BP25" s="3083">
        <f t="shared" si="31"/>
        <v>0</v>
      </c>
      <c r="BQ25" s="3083">
        <f t="shared" si="32"/>
        <v>0</v>
      </c>
      <c r="BR25" s="3083">
        <f t="shared" si="33"/>
        <v>0</v>
      </c>
      <c r="BS25" s="3083">
        <f t="shared" si="34"/>
        <v>0</v>
      </c>
      <c r="BT25" s="3135">
        <f t="shared" si="35"/>
        <v>0</v>
      </c>
    </row>
    <row r="26" spans="1:72">
      <c r="A26" s="3080"/>
      <c r="B26" s="3081"/>
      <c r="C26" s="3081"/>
      <c r="D26" s="3082"/>
      <c r="E26" s="3083">
        <f t="shared" si="7"/>
        <v>0</v>
      </c>
      <c r="F26" s="3084"/>
      <c r="G26" s="3085">
        <f t="shared" si="8"/>
        <v>0</v>
      </c>
      <c r="H26" s="3086">
        <f t="shared" si="9"/>
        <v>0</v>
      </c>
      <c r="I26" s="3093"/>
      <c r="J26" s="3093"/>
      <c r="K26" s="3093"/>
      <c r="L26" s="3093"/>
      <c r="M26" s="3093"/>
      <c r="N26" s="3093"/>
      <c r="O26" s="3093"/>
      <c r="P26" s="3093"/>
      <c r="Q26" s="3093"/>
      <c r="R26" s="3093"/>
      <c r="S26" s="3093"/>
      <c r="T26" s="3093"/>
      <c r="U26" s="3093"/>
      <c r="V26" s="3093"/>
      <c r="W26" s="3093"/>
      <c r="X26" s="3093"/>
      <c r="Y26" s="3093"/>
      <c r="Z26" s="3093"/>
      <c r="AA26" s="3093"/>
      <c r="AB26" s="3093"/>
      <c r="AC26" s="3083">
        <f t="shared" si="10"/>
        <v>0</v>
      </c>
      <c r="AD26" s="3103"/>
      <c r="AE26" s="3103"/>
      <c r="AF26" s="3103"/>
      <c r="AG26" s="3103"/>
      <c r="AH26" s="3103"/>
      <c r="AI26" s="3103"/>
      <c r="AJ26" s="3103"/>
      <c r="AK26" s="3103"/>
      <c r="AL26" s="3103"/>
      <c r="AM26" s="3103"/>
      <c r="AN26" s="3103"/>
      <c r="AO26" s="3103"/>
      <c r="AP26" s="3103"/>
      <c r="AQ26" s="3103"/>
      <c r="AR26" s="3103"/>
      <c r="AS26" s="3103"/>
      <c r="AT26" s="3113"/>
      <c r="AU26" s="3114"/>
      <c r="AV26" s="1580">
        <f t="shared" si="11"/>
        <v>0</v>
      </c>
      <c r="AW26" s="1580">
        <f t="shared" si="12"/>
        <v>0</v>
      </c>
      <c r="AX26" s="1580">
        <f t="shared" si="13"/>
        <v>0</v>
      </c>
      <c r="AY26" s="3128">
        <f t="shared" si="14"/>
        <v>0</v>
      </c>
      <c r="AZ26" s="3083">
        <f t="shared" si="15"/>
        <v>0</v>
      </c>
      <c r="BA26" s="3083">
        <f t="shared" si="16"/>
        <v>0</v>
      </c>
      <c r="BB26" s="3083">
        <f t="shared" si="17"/>
        <v>0</v>
      </c>
      <c r="BC26" s="3083">
        <f t="shared" si="18"/>
        <v>0</v>
      </c>
      <c r="BD26" s="3083">
        <f t="shared" si="19"/>
        <v>0</v>
      </c>
      <c r="BE26" s="3083">
        <f t="shared" si="20"/>
        <v>0</v>
      </c>
      <c r="BF26" s="3083">
        <f t="shared" si="21"/>
        <v>0</v>
      </c>
      <c r="BG26" s="3083">
        <f t="shared" si="22"/>
        <v>0</v>
      </c>
      <c r="BH26" s="3083">
        <f t="shared" si="23"/>
        <v>0</v>
      </c>
      <c r="BI26" s="3083">
        <f t="shared" si="24"/>
        <v>0</v>
      </c>
      <c r="BJ26" s="3083">
        <f t="shared" si="25"/>
        <v>0</v>
      </c>
      <c r="BK26" s="3083">
        <f t="shared" si="26"/>
        <v>0</v>
      </c>
      <c r="BL26" s="3083">
        <f t="shared" si="27"/>
        <v>0</v>
      </c>
      <c r="BM26" s="3083">
        <f t="shared" si="28"/>
        <v>0</v>
      </c>
      <c r="BN26" s="3083">
        <f t="shared" si="29"/>
        <v>0</v>
      </c>
      <c r="BO26" s="3083">
        <f t="shared" si="30"/>
        <v>0</v>
      </c>
      <c r="BP26" s="3083">
        <f t="shared" si="31"/>
        <v>0</v>
      </c>
      <c r="BQ26" s="3083">
        <f t="shared" si="32"/>
        <v>0</v>
      </c>
      <c r="BR26" s="3083">
        <f t="shared" si="33"/>
        <v>0</v>
      </c>
      <c r="BS26" s="3083">
        <f t="shared" si="34"/>
        <v>0</v>
      </c>
      <c r="BT26" s="3135">
        <f t="shared" si="35"/>
        <v>0</v>
      </c>
    </row>
    <row r="27" spans="1:72">
      <c r="A27" s="3080"/>
      <c r="B27" s="3081"/>
      <c r="C27" s="3081"/>
      <c r="D27" s="3082"/>
      <c r="E27" s="3083">
        <f t="shared" si="7"/>
        <v>0</v>
      </c>
      <c r="F27" s="3084"/>
      <c r="G27" s="3085">
        <f t="shared" si="8"/>
        <v>0</v>
      </c>
      <c r="H27" s="3086">
        <f t="shared" si="9"/>
        <v>0</v>
      </c>
      <c r="I27" s="3093"/>
      <c r="J27" s="3093"/>
      <c r="K27" s="3093"/>
      <c r="L27" s="3093"/>
      <c r="M27" s="3093"/>
      <c r="N27" s="3093"/>
      <c r="O27" s="3093"/>
      <c r="P27" s="3093"/>
      <c r="Q27" s="3093"/>
      <c r="R27" s="3093"/>
      <c r="S27" s="3093"/>
      <c r="T27" s="3093"/>
      <c r="U27" s="3093"/>
      <c r="V27" s="3093"/>
      <c r="W27" s="3093"/>
      <c r="X27" s="3093"/>
      <c r="Y27" s="3093"/>
      <c r="Z27" s="3093"/>
      <c r="AA27" s="3093"/>
      <c r="AB27" s="3093"/>
      <c r="AC27" s="3083">
        <f t="shared" si="10"/>
        <v>0</v>
      </c>
      <c r="AD27" s="3103"/>
      <c r="AE27" s="3103"/>
      <c r="AF27" s="3103"/>
      <c r="AG27" s="3103"/>
      <c r="AH27" s="3103"/>
      <c r="AI27" s="3103"/>
      <c r="AJ27" s="3103"/>
      <c r="AK27" s="3103"/>
      <c r="AL27" s="3103"/>
      <c r="AM27" s="3103"/>
      <c r="AN27" s="3103"/>
      <c r="AO27" s="3103"/>
      <c r="AP27" s="3103"/>
      <c r="AQ27" s="3103"/>
      <c r="AR27" s="3103"/>
      <c r="AS27" s="3103"/>
      <c r="AT27" s="3113"/>
      <c r="AU27" s="3114"/>
      <c r="AV27" s="1580">
        <f t="shared" si="11"/>
        <v>0</v>
      </c>
      <c r="AW27" s="1580">
        <f t="shared" si="12"/>
        <v>0</v>
      </c>
      <c r="AX27" s="1580">
        <f t="shared" si="13"/>
        <v>0</v>
      </c>
      <c r="AY27" s="3128">
        <f t="shared" si="14"/>
        <v>0</v>
      </c>
      <c r="AZ27" s="3083">
        <f t="shared" si="15"/>
        <v>0</v>
      </c>
      <c r="BA27" s="3083">
        <f t="shared" si="16"/>
        <v>0</v>
      </c>
      <c r="BB27" s="3083">
        <f t="shared" si="17"/>
        <v>0</v>
      </c>
      <c r="BC27" s="3083">
        <f t="shared" si="18"/>
        <v>0</v>
      </c>
      <c r="BD27" s="3083">
        <f t="shared" si="19"/>
        <v>0</v>
      </c>
      <c r="BE27" s="3083">
        <f t="shared" si="20"/>
        <v>0</v>
      </c>
      <c r="BF27" s="3083">
        <f t="shared" si="21"/>
        <v>0</v>
      </c>
      <c r="BG27" s="3083">
        <f t="shared" si="22"/>
        <v>0</v>
      </c>
      <c r="BH27" s="3083">
        <f t="shared" si="23"/>
        <v>0</v>
      </c>
      <c r="BI27" s="3083">
        <f t="shared" si="24"/>
        <v>0</v>
      </c>
      <c r="BJ27" s="3083">
        <f t="shared" si="25"/>
        <v>0</v>
      </c>
      <c r="BK27" s="3083">
        <f t="shared" si="26"/>
        <v>0</v>
      </c>
      <c r="BL27" s="3083">
        <f t="shared" si="27"/>
        <v>0</v>
      </c>
      <c r="BM27" s="3083">
        <f t="shared" si="28"/>
        <v>0</v>
      </c>
      <c r="BN27" s="3083">
        <f t="shared" si="29"/>
        <v>0</v>
      </c>
      <c r="BO27" s="3083">
        <f t="shared" si="30"/>
        <v>0</v>
      </c>
      <c r="BP27" s="3083">
        <f t="shared" si="31"/>
        <v>0</v>
      </c>
      <c r="BQ27" s="3083">
        <f t="shared" si="32"/>
        <v>0</v>
      </c>
      <c r="BR27" s="3083">
        <f t="shared" si="33"/>
        <v>0</v>
      </c>
      <c r="BS27" s="3083">
        <f t="shared" si="34"/>
        <v>0</v>
      </c>
      <c r="BT27" s="3135">
        <f t="shared" si="35"/>
        <v>0</v>
      </c>
    </row>
    <row r="28" spans="1:72">
      <c r="A28" s="3080"/>
      <c r="B28" s="3081"/>
      <c r="C28" s="3081"/>
      <c r="D28" s="3082"/>
      <c r="E28" s="3083">
        <f t="shared" si="7"/>
        <v>0</v>
      </c>
      <c r="F28" s="3084"/>
      <c r="G28" s="3085">
        <f t="shared" si="8"/>
        <v>0</v>
      </c>
      <c r="H28" s="3086">
        <f t="shared" si="9"/>
        <v>0</v>
      </c>
      <c r="I28" s="3093"/>
      <c r="J28" s="3093"/>
      <c r="K28" s="3093"/>
      <c r="L28" s="3093"/>
      <c r="M28" s="3093"/>
      <c r="N28" s="3093"/>
      <c r="O28" s="3093"/>
      <c r="P28" s="3093"/>
      <c r="Q28" s="3093"/>
      <c r="R28" s="3093"/>
      <c r="S28" s="3093"/>
      <c r="T28" s="3093"/>
      <c r="U28" s="3093"/>
      <c r="V28" s="3093"/>
      <c r="W28" s="3093"/>
      <c r="X28" s="3093"/>
      <c r="Y28" s="3093"/>
      <c r="Z28" s="3093"/>
      <c r="AA28" s="3093"/>
      <c r="AB28" s="3093"/>
      <c r="AC28" s="3083">
        <f t="shared" si="10"/>
        <v>0</v>
      </c>
      <c r="AD28" s="3103"/>
      <c r="AE28" s="3103"/>
      <c r="AF28" s="3103"/>
      <c r="AG28" s="3103"/>
      <c r="AH28" s="3103"/>
      <c r="AI28" s="3103"/>
      <c r="AJ28" s="3103"/>
      <c r="AK28" s="3103"/>
      <c r="AL28" s="3103"/>
      <c r="AM28" s="3103"/>
      <c r="AN28" s="3103"/>
      <c r="AO28" s="3103"/>
      <c r="AP28" s="3103"/>
      <c r="AQ28" s="3103"/>
      <c r="AR28" s="3103"/>
      <c r="AS28" s="3103"/>
      <c r="AT28" s="3113"/>
      <c r="AU28" s="3114"/>
      <c r="AV28" s="1580">
        <f t="shared" si="11"/>
        <v>0</v>
      </c>
      <c r="AW28" s="1580">
        <f t="shared" si="12"/>
        <v>0</v>
      </c>
      <c r="AX28" s="1580">
        <f t="shared" si="13"/>
        <v>0</v>
      </c>
      <c r="AY28" s="3128">
        <f t="shared" si="14"/>
        <v>0</v>
      </c>
      <c r="AZ28" s="3083">
        <f t="shared" si="15"/>
        <v>0</v>
      </c>
      <c r="BA28" s="3083">
        <f t="shared" si="16"/>
        <v>0</v>
      </c>
      <c r="BB28" s="3083">
        <f t="shared" si="17"/>
        <v>0</v>
      </c>
      <c r="BC28" s="3083">
        <f t="shared" si="18"/>
        <v>0</v>
      </c>
      <c r="BD28" s="3083">
        <f t="shared" si="19"/>
        <v>0</v>
      </c>
      <c r="BE28" s="3083">
        <f t="shared" si="20"/>
        <v>0</v>
      </c>
      <c r="BF28" s="3083">
        <f t="shared" si="21"/>
        <v>0</v>
      </c>
      <c r="BG28" s="3083">
        <f t="shared" si="22"/>
        <v>0</v>
      </c>
      <c r="BH28" s="3083">
        <f t="shared" si="23"/>
        <v>0</v>
      </c>
      <c r="BI28" s="3083">
        <f t="shared" si="24"/>
        <v>0</v>
      </c>
      <c r="BJ28" s="3083">
        <f t="shared" si="25"/>
        <v>0</v>
      </c>
      <c r="BK28" s="3083">
        <f t="shared" si="26"/>
        <v>0</v>
      </c>
      <c r="BL28" s="3083">
        <f t="shared" si="27"/>
        <v>0</v>
      </c>
      <c r="BM28" s="3083">
        <f t="shared" si="28"/>
        <v>0</v>
      </c>
      <c r="BN28" s="3083">
        <f t="shared" si="29"/>
        <v>0</v>
      </c>
      <c r="BO28" s="3083">
        <f t="shared" si="30"/>
        <v>0</v>
      </c>
      <c r="BP28" s="3083">
        <f t="shared" si="31"/>
        <v>0</v>
      </c>
      <c r="BQ28" s="3083">
        <f t="shared" si="32"/>
        <v>0</v>
      </c>
      <c r="BR28" s="3083">
        <f t="shared" si="33"/>
        <v>0</v>
      </c>
      <c r="BS28" s="3083">
        <f t="shared" si="34"/>
        <v>0</v>
      </c>
      <c r="BT28" s="3135">
        <f t="shared" si="35"/>
        <v>0</v>
      </c>
    </row>
    <row r="29" spans="1:72">
      <c r="A29" s="3080"/>
      <c r="B29" s="3081"/>
      <c r="C29" s="3081"/>
      <c r="D29" s="3082"/>
      <c r="E29" s="3083">
        <f t="shared" si="7"/>
        <v>0</v>
      </c>
      <c r="F29" s="3084"/>
      <c r="G29" s="3085">
        <f t="shared" si="8"/>
        <v>0</v>
      </c>
      <c r="H29" s="3086">
        <f t="shared" si="9"/>
        <v>0</v>
      </c>
      <c r="I29" s="3093"/>
      <c r="J29" s="3093"/>
      <c r="K29" s="3093"/>
      <c r="L29" s="3093"/>
      <c r="M29" s="3093"/>
      <c r="N29" s="3093"/>
      <c r="O29" s="3093"/>
      <c r="P29" s="3093"/>
      <c r="Q29" s="3093"/>
      <c r="R29" s="3093"/>
      <c r="S29" s="3093"/>
      <c r="T29" s="3093"/>
      <c r="U29" s="3093"/>
      <c r="V29" s="3093"/>
      <c r="W29" s="3093"/>
      <c r="X29" s="3093"/>
      <c r="Y29" s="3093"/>
      <c r="Z29" s="3093"/>
      <c r="AA29" s="3093"/>
      <c r="AB29" s="3093"/>
      <c r="AC29" s="3083">
        <f t="shared" si="10"/>
        <v>0</v>
      </c>
      <c r="AD29" s="3103"/>
      <c r="AE29" s="3103"/>
      <c r="AF29" s="3103"/>
      <c r="AG29" s="3103"/>
      <c r="AH29" s="3103"/>
      <c r="AI29" s="3103"/>
      <c r="AJ29" s="3103"/>
      <c r="AK29" s="3103"/>
      <c r="AL29" s="3103"/>
      <c r="AM29" s="3103"/>
      <c r="AN29" s="3103"/>
      <c r="AO29" s="3103"/>
      <c r="AP29" s="3103"/>
      <c r="AQ29" s="3103"/>
      <c r="AR29" s="3103"/>
      <c r="AS29" s="3103"/>
      <c r="AT29" s="3113"/>
      <c r="AU29" s="3114"/>
      <c r="AV29" s="1580">
        <f t="shared" si="11"/>
        <v>0</v>
      </c>
      <c r="AW29" s="1580">
        <f t="shared" si="12"/>
        <v>0</v>
      </c>
      <c r="AX29" s="1580">
        <f t="shared" si="13"/>
        <v>0</v>
      </c>
      <c r="AY29" s="3128">
        <f t="shared" si="14"/>
        <v>0</v>
      </c>
      <c r="AZ29" s="3083">
        <f t="shared" si="15"/>
        <v>0</v>
      </c>
      <c r="BA29" s="3083">
        <f t="shared" si="16"/>
        <v>0</v>
      </c>
      <c r="BB29" s="3083">
        <f t="shared" si="17"/>
        <v>0</v>
      </c>
      <c r="BC29" s="3083">
        <f t="shared" si="18"/>
        <v>0</v>
      </c>
      <c r="BD29" s="3083">
        <f t="shared" si="19"/>
        <v>0</v>
      </c>
      <c r="BE29" s="3083">
        <f t="shared" si="20"/>
        <v>0</v>
      </c>
      <c r="BF29" s="3083">
        <f t="shared" si="21"/>
        <v>0</v>
      </c>
      <c r="BG29" s="3083">
        <f t="shared" si="22"/>
        <v>0</v>
      </c>
      <c r="BH29" s="3083">
        <f t="shared" si="23"/>
        <v>0</v>
      </c>
      <c r="BI29" s="3083">
        <f t="shared" si="24"/>
        <v>0</v>
      </c>
      <c r="BJ29" s="3083">
        <f t="shared" si="25"/>
        <v>0</v>
      </c>
      <c r="BK29" s="3083">
        <f t="shared" si="26"/>
        <v>0</v>
      </c>
      <c r="BL29" s="3083">
        <f t="shared" si="27"/>
        <v>0</v>
      </c>
      <c r="BM29" s="3083">
        <f t="shared" si="28"/>
        <v>0</v>
      </c>
      <c r="BN29" s="3083">
        <f t="shared" si="29"/>
        <v>0</v>
      </c>
      <c r="BO29" s="3083">
        <f t="shared" si="30"/>
        <v>0</v>
      </c>
      <c r="BP29" s="3083">
        <f t="shared" si="31"/>
        <v>0</v>
      </c>
      <c r="BQ29" s="3083">
        <f t="shared" si="32"/>
        <v>0</v>
      </c>
      <c r="BR29" s="3083">
        <f t="shared" si="33"/>
        <v>0</v>
      </c>
      <c r="BS29" s="3083">
        <f t="shared" si="34"/>
        <v>0</v>
      </c>
      <c r="BT29" s="3135">
        <f t="shared" si="35"/>
        <v>0</v>
      </c>
    </row>
    <row r="30" spans="1:72">
      <c r="A30" s="3080"/>
      <c r="B30" s="3081"/>
      <c r="C30" s="3081"/>
      <c r="D30" s="3082"/>
      <c r="E30" s="3083">
        <f t="shared" si="7"/>
        <v>0</v>
      </c>
      <c r="F30" s="3084"/>
      <c r="G30" s="3085">
        <f t="shared" si="8"/>
        <v>0</v>
      </c>
      <c r="H30" s="3086">
        <f t="shared" si="9"/>
        <v>0</v>
      </c>
      <c r="I30" s="3093"/>
      <c r="J30" s="3093"/>
      <c r="K30" s="3093"/>
      <c r="L30" s="3093"/>
      <c r="M30" s="3093"/>
      <c r="N30" s="3093"/>
      <c r="O30" s="3093"/>
      <c r="P30" s="3093"/>
      <c r="Q30" s="3093"/>
      <c r="R30" s="3093"/>
      <c r="S30" s="3093"/>
      <c r="T30" s="3093"/>
      <c r="U30" s="3093"/>
      <c r="V30" s="3093"/>
      <c r="W30" s="3093"/>
      <c r="X30" s="3093"/>
      <c r="Y30" s="3093"/>
      <c r="Z30" s="3093"/>
      <c r="AA30" s="3093"/>
      <c r="AB30" s="3093"/>
      <c r="AC30" s="3083">
        <f t="shared" si="10"/>
        <v>0</v>
      </c>
      <c r="AD30" s="3103"/>
      <c r="AE30" s="3103"/>
      <c r="AF30" s="3103"/>
      <c r="AG30" s="3103"/>
      <c r="AH30" s="3103"/>
      <c r="AI30" s="3103"/>
      <c r="AJ30" s="3103"/>
      <c r="AK30" s="3103"/>
      <c r="AL30" s="3103"/>
      <c r="AM30" s="3103"/>
      <c r="AN30" s="3103"/>
      <c r="AO30" s="3103"/>
      <c r="AP30" s="3103"/>
      <c r="AQ30" s="3103"/>
      <c r="AR30" s="3103"/>
      <c r="AS30" s="3103"/>
      <c r="AT30" s="3113"/>
      <c r="AU30" s="3114"/>
      <c r="AV30" s="1580">
        <f t="shared" si="11"/>
        <v>0</v>
      </c>
      <c r="AW30" s="1580">
        <f t="shared" si="12"/>
        <v>0</v>
      </c>
      <c r="AX30" s="1580">
        <f t="shared" si="13"/>
        <v>0</v>
      </c>
      <c r="AY30" s="3128">
        <f t="shared" si="14"/>
        <v>0</v>
      </c>
      <c r="AZ30" s="3083">
        <f t="shared" si="15"/>
        <v>0</v>
      </c>
      <c r="BA30" s="3083">
        <f t="shared" si="16"/>
        <v>0</v>
      </c>
      <c r="BB30" s="3083">
        <f t="shared" si="17"/>
        <v>0</v>
      </c>
      <c r="BC30" s="3083">
        <f t="shared" si="18"/>
        <v>0</v>
      </c>
      <c r="BD30" s="3083">
        <f t="shared" si="19"/>
        <v>0</v>
      </c>
      <c r="BE30" s="3083">
        <f t="shared" si="20"/>
        <v>0</v>
      </c>
      <c r="BF30" s="3083">
        <f t="shared" si="21"/>
        <v>0</v>
      </c>
      <c r="BG30" s="3083">
        <f t="shared" si="22"/>
        <v>0</v>
      </c>
      <c r="BH30" s="3083">
        <f t="shared" si="23"/>
        <v>0</v>
      </c>
      <c r="BI30" s="3083">
        <f t="shared" si="24"/>
        <v>0</v>
      </c>
      <c r="BJ30" s="3083">
        <f t="shared" si="25"/>
        <v>0</v>
      </c>
      <c r="BK30" s="3083">
        <f t="shared" si="26"/>
        <v>0</v>
      </c>
      <c r="BL30" s="3083">
        <f t="shared" si="27"/>
        <v>0</v>
      </c>
      <c r="BM30" s="3083">
        <f t="shared" si="28"/>
        <v>0</v>
      </c>
      <c r="BN30" s="3083">
        <f t="shared" si="29"/>
        <v>0</v>
      </c>
      <c r="BO30" s="3083">
        <f t="shared" si="30"/>
        <v>0</v>
      </c>
      <c r="BP30" s="3083">
        <f t="shared" si="31"/>
        <v>0</v>
      </c>
      <c r="BQ30" s="3083">
        <f t="shared" si="32"/>
        <v>0</v>
      </c>
      <c r="BR30" s="3083">
        <f t="shared" si="33"/>
        <v>0</v>
      </c>
      <c r="BS30" s="3083">
        <f t="shared" si="34"/>
        <v>0</v>
      </c>
      <c r="BT30" s="3135">
        <f t="shared" si="35"/>
        <v>0</v>
      </c>
    </row>
    <row r="31" spans="1:72">
      <c r="A31" s="3080"/>
      <c r="B31" s="3081"/>
      <c r="C31" s="3081"/>
      <c r="D31" s="3082"/>
      <c r="E31" s="3083">
        <f t="shared" si="7"/>
        <v>0</v>
      </c>
      <c r="F31" s="3084"/>
      <c r="G31" s="3085">
        <f t="shared" si="8"/>
        <v>0</v>
      </c>
      <c r="H31" s="3086">
        <f t="shared" si="9"/>
        <v>0</v>
      </c>
      <c r="I31" s="3093"/>
      <c r="J31" s="3093"/>
      <c r="K31" s="3093"/>
      <c r="L31" s="3093"/>
      <c r="M31" s="3093"/>
      <c r="N31" s="3093"/>
      <c r="O31" s="3093"/>
      <c r="P31" s="3093"/>
      <c r="Q31" s="3093"/>
      <c r="R31" s="3093"/>
      <c r="S31" s="3093"/>
      <c r="T31" s="3093"/>
      <c r="U31" s="3093"/>
      <c r="V31" s="3093"/>
      <c r="W31" s="3093"/>
      <c r="X31" s="3093"/>
      <c r="Y31" s="3093"/>
      <c r="Z31" s="3093"/>
      <c r="AA31" s="3093"/>
      <c r="AB31" s="3093"/>
      <c r="AC31" s="3083">
        <f t="shared" si="10"/>
        <v>0</v>
      </c>
      <c r="AD31" s="3103"/>
      <c r="AE31" s="3103"/>
      <c r="AF31" s="3103"/>
      <c r="AG31" s="3103"/>
      <c r="AH31" s="3103"/>
      <c r="AI31" s="3103"/>
      <c r="AJ31" s="3103"/>
      <c r="AK31" s="3103"/>
      <c r="AL31" s="3103"/>
      <c r="AM31" s="3103"/>
      <c r="AN31" s="3103"/>
      <c r="AO31" s="3103"/>
      <c r="AP31" s="3103"/>
      <c r="AQ31" s="3103"/>
      <c r="AR31" s="3103"/>
      <c r="AS31" s="3103"/>
      <c r="AT31" s="3113"/>
      <c r="AU31" s="3114"/>
      <c r="AV31" s="1580">
        <f t="shared" si="11"/>
        <v>0</v>
      </c>
      <c r="AW31" s="1580">
        <f t="shared" si="12"/>
        <v>0</v>
      </c>
      <c r="AX31" s="1580">
        <f t="shared" si="13"/>
        <v>0</v>
      </c>
      <c r="AY31" s="3128">
        <f t="shared" si="14"/>
        <v>0</v>
      </c>
      <c r="AZ31" s="3083">
        <f t="shared" si="15"/>
        <v>0</v>
      </c>
      <c r="BA31" s="3083">
        <f t="shared" si="16"/>
        <v>0</v>
      </c>
      <c r="BB31" s="3083">
        <f t="shared" si="17"/>
        <v>0</v>
      </c>
      <c r="BC31" s="3083">
        <f t="shared" si="18"/>
        <v>0</v>
      </c>
      <c r="BD31" s="3083">
        <f t="shared" si="19"/>
        <v>0</v>
      </c>
      <c r="BE31" s="3083">
        <f t="shared" si="20"/>
        <v>0</v>
      </c>
      <c r="BF31" s="3083">
        <f t="shared" si="21"/>
        <v>0</v>
      </c>
      <c r="BG31" s="3083">
        <f t="shared" si="22"/>
        <v>0</v>
      </c>
      <c r="BH31" s="3083">
        <f t="shared" si="23"/>
        <v>0</v>
      </c>
      <c r="BI31" s="3083">
        <f t="shared" si="24"/>
        <v>0</v>
      </c>
      <c r="BJ31" s="3083">
        <f t="shared" si="25"/>
        <v>0</v>
      </c>
      <c r="BK31" s="3083">
        <f t="shared" si="26"/>
        <v>0</v>
      </c>
      <c r="BL31" s="3083">
        <f t="shared" si="27"/>
        <v>0</v>
      </c>
      <c r="BM31" s="3083">
        <f t="shared" si="28"/>
        <v>0</v>
      </c>
      <c r="BN31" s="3083">
        <f t="shared" si="29"/>
        <v>0</v>
      </c>
      <c r="BO31" s="3083">
        <f t="shared" si="30"/>
        <v>0</v>
      </c>
      <c r="BP31" s="3083">
        <f t="shared" si="31"/>
        <v>0</v>
      </c>
      <c r="BQ31" s="3083">
        <f t="shared" si="32"/>
        <v>0</v>
      </c>
      <c r="BR31" s="3083">
        <f t="shared" si="33"/>
        <v>0</v>
      </c>
      <c r="BS31" s="3083">
        <f t="shared" si="34"/>
        <v>0</v>
      </c>
      <c r="BT31" s="3135">
        <f t="shared" si="35"/>
        <v>0</v>
      </c>
    </row>
    <row r="32" spans="1:72">
      <c r="A32" s="3080"/>
      <c r="B32" s="3081"/>
      <c r="C32" s="3081"/>
      <c r="D32" s="3082"/>
      <c r="E32" s="3083">
        <f t="shared" si="7"/>
        <v>0</v>
      </c>
      <c r="F32" s="3084"/>
      <c r="G32" s="3085">
        <f t="shared" si="8"/>
        <v>0</v>
      </c>
      <c r="H32" s="3086">
        <f t="shared" si="9"/>
        <v>0</v>
      </c>
      <c r="I32" s="3093"/>
      <c r="J32" s="3093"/>
      <c r="K32" s="3093"/>
      <c r="L32" s="3093"/>
      <c r="M32" s="3093"/>
      <c r="N32" s="3093"/>
      <c r="O32" s="3093"/>
      <c r="P32" s="3093"/>
      <c r="Q32" s="3093"/>
      <c r="R32" s="3093"/>
      <c r="S32" s="3093"/>
      <c r="T32" s="3093"/>
      <c r="U32" s="3093"/>
      <c r="V32" s="3093"/>
      <c r="W32" s="3093"/>
      <c r="X32" s="3093"/>
      <c r="Y32" s="3093"/>
      <c r="Z32" s="3093"/>
      <c r="AA32" s="3093"/>
      <c r="AB32" s="3093"/>
      <c r="AC32" s="3083">
        <f t="shared" si="10"/>
        <v>0</v>
      </c>
      <c r="AD32" s="3103"/>
      <c r="AE32" s="3103"/>
      <c r="AF32" s="3103"/>
      <c r="AG32" s="3103"/>
      <c r="AH32" s="3103"/>
      <c r="AI32" s="3103"/>
      <c r="AJ32" s="3103"/>
      <c r="AK32" s="3103"/>
      <c r="AL32" s="3103"/>
      <c r="AM32" s="3103"/>
      <c r="AN32" s="3103"/>
      <c r="AO32" s="3103"/>
      <c r="AP32" s="3103"/>
      <c r="AQ32" s="3103"/>
      <c r="AR32" s="3103"/>
      <c r="AS32" s="3103"/>
      <c r="AT32" s="3113"/>
      <c r="AU32" s="3114"/>
      <c r="AV32" s="1580">
        <f t="shared" si="11"/>
        <v>0</v>
      </c>
      <c r="AW32" s="1580">
        <f t="shared" si="12"/>
        <v>0</v>
      </c>
      <c r="AX32" s="1580">
        <f t="shared" si="13"/>
        <v>0</v>
      </c>
      <c r="AY32" s="3128">
        <f t="shared" si="14"/>
        <v>0</v>
      </c>
      <c r="AZ32" s="3083">
        <f t="shared" si="15"/>
        <v>0</v>
      </c>
      <c r="BA32" s="3083">
        <f t="shared" si="16"/>
        <v>0</v>
      </c>
      <c r="BB32" s="3083">
        <f t="shared" si="17"/>
        <v>0</v>
      </c>
      <c r="BC32" s="3083">
        <f t="shared" si="18"/>
        <v>0</v>
      </c>
      <c r="BD32" s="3083">
        <f t="shared" si="19"/>
        <v>0</v>
      </c>
      <c r="BE32" s="3083">
        <f t="shared" si="20"/>
        <v>0</v>
      </c>
      <c r="BF32" s="3083">
        <f t="shared" si="21"/>
        <v>0</v>
      </c>
      <c r="BG32" s="3083">
        <f t="shared" si="22"/>
        <v>0</v>
      </c>
      <c r="BH32" s="3083">
        <f t="shared" si="23"/>
        <v>0</v>
      </c>
      <c r="BI32" s="3083">
        <f t="shared" si="24"/>
        <v>0</v>
      </c>
      <c r="BJ32" s="3083">
        <f t="shared" si="25"/>
        <v>0</v>
      </c>
      <c r="BK32" s="3083">
        <f t="shared" si="26"/>
        <v>0</v>
      </c>
      <c r="BL32" s="3083">
        <f t="shared" si="27"/>
        <v>0</v>
      </c>
      <c r="BM32" s="3083">
        <f t="shared" si="28"/>
        <v>0</v>
      </c>
      <c r="BN32" s="3083">
        <f t="shared" si="29"/>
        <v>0</v>
      </c>
      <c r="BO32" s="3083">
        <f t="shared" si="30"/>
        <v>0</v>
      </c>
      <c r="BP32" s="3083">
        <f t="shared" si="31"/>
        <v>0</v>
      </c>
      <c r="BQ32" s="3083">
        <f t="shared" si="32"/>
        <v>0</v>
      </c>
      <c r="BR32" s="3083">
        <f t="shared" si="33"/>
        <v>0</v>
      </c>
      <c r="BS32" s="3083">
        <f t="shared" si="34"/>
        <v>0</v>
      </c>
      <c r="BT32" s="3135">
        <f t="shared" si="35"/>
        <v>0</v>
      </c>
    </row>
    <row r="33" spans="1:72">
      <c r="A33" s="3080"/>
      <c r="B33" s="3081"/>
      <c r="C33" s="3081"/>
      <c r="D33" s="3082"/>
      <c r="E33" s="3083">
        <f t="shared" si="7"/>
        <v>0</v>
      </c>
      <c r="F33" s="3084"/>
      <c r="G33" s="3085">
        <f t="shared" si="8"/>
        <v>0</v>
      </c>
      <c r="H33" s="3086">
        <f t="shared" si="9"/>
        <v>0</v>
      </c>
      <c r="I33" s="3093"/>
      <c r="J33" s="3093"/>
      <c r="K33" s="3093"/>
      <c r="L33" s="3093"/>
      <c r="M33" s="3093"/>
      <c r="N33" s="3093"/>
      <c r="O33" s="3093"/>
      <c r="P33" s="3093"/>
      <c r="Q33" s="3093"/>
      <c r="R33" s="3093"/>
      <c r="S33" s="3093"/>
      <c r="T33" s="3093"/>
      <c r="U33" s="3093"/>
      <c r="V33" s="3093"/>
      <c r="W33" s="3093"/>
      <c r="X33" s="3093"/>
      <c r="Y33" s="3093"/>
      <c r="Z33" s="3093"/>
      <c r="AA33" s="3093"/>
      <c r="AB33" s="3093"/>
      <c r="AC33" s="3083">
        <f t="shared" si="10"/>
        <v>0</v>
      </c>
      <c r="AD33" s="3103"/>
      <c r="AE33" s="3103"/>
      <c r="AF33" s="3103"/>
      <c r="AG33" s="3103"/>
      <c r="AH33" s="3103"/>
      <c r="AI33" s="3103"/>
      <c r="AJ33" s="3103"/>
      <c r="AK33" s="3103"/>
      <c r="AL33" s="3103"/>
      <c r="AM33" s="3103"/>
      <c r="AN33" s="3103"/>
      <c r="AO33" s="3103"/>
      <c r="AP33" s="3103"/>
      <c r="AQ33" s="3103"/>
      <c r="AR33" s="3103"/>
      <c r="AS33" s="3103"/>
      <c r="AT33" s="3113"/>
      <c r="AU33" s="3114"/>
      <c r="AV33" s="1580">
        <f t="shared" si="11"/>
        <v>0</v>
      </c>
      <c r="AW33" s="1580">
        <f t="shared" si="12"/>
        <v>0</v>
      </c>
      <c r="AX33" s="1580">
        <f t="shared" si="13"/>
        <v>0</v>
      </c>
      <c r="AY33" s="3128">
        <f t="shared" si="14"/>
        <v>0</v>
      </c>
      <c r="AZ33" s="3083">
        <f t="shared" si="15"/>
        <v>0</v>
      </c>
      <c r="BA33" s="3083">
        <f t="shared" si="16"/>
        <v>0</v>
      </c>
      <c r="BB33" s="3083">
        <f t="shared" si="17"/>
        <v>0</v>
      </c>
      <c r="BC33" s="3083">
        <f t="shared" si="18"/>
        <v>0</v>
      </c>
      <c r="BD33" s="3083">
        <f t="shared" si="19"/>
        <v>0</v>
      </c>
      <c r="BE33" s="3083">
        <f t="shared" si="20"/>
        <v>0</v>
      </c>
      <c r="BF33" s="3083">
        <f t="shared" si="21"/>
        <v>0</v>
      </c>
      <c r="BG33" s="3083">
        <f t="shared" si="22"/>
        <v>0</v>
      </c>
      <c r="BH33" s="3083">
        <f t="shared" si="23"/>
        <v>0</v>
      </c>
      <c r="BI33" s="3083">
        <f t="shared" si="24"/>
        <v>0</v>
      </c>
      <c r="BJ33" s="3083">
        <f t="shared" si="25"/>
        <v>0</v>
      </c>
      <c r="BK33" s="3083">
        <f t="shared" si="26"/>
        <v>0</v>
      </c>
      <c r="BL33" s="3083">
        <f t="shared" si="27"/>
        <v>0</v>
      </c>
      <c r="BM33" s="3083">
        <f t="shared" si="28"/>
        <v>0</v>
      </c>
      <c r="BN33" s="3083">
        <f t="shared" si="29"/>
        <v>0</v>
      </c>
      <c r="BO33" s="3083">
        <f t="shared" si="30"/>
        <v>0</v>
      </c>
      <c r="BP33" s="3083">
        <f t="shared" si="31"/>
        <v>0</v>
      </c>
      <c r="BQ33" s="3083">
        <f t="shared" si="32"/>
        <v>0</v>
      </c>
      <c r="BR33" s="3083">
        <f t="shared" si="33"/>
        <v>0</v>
      </c>
      <c r="BS33" s="3083">
        <f t="shared" si="34"/>
        <v>0</v>
      </c>
      <c r="BT33" s="3135">
        <f t="shared" si="35"/>
        <v>0</v>
      </c>
    </row>
    <row r="34" spans="1:72">
      <c r="A34" s="3080"/>
      <c r="B34" s="3081"/>
      <c r="C34" s="3081"/>
      <c r="D34" s="3082"/>
      <c r="E34" s="3083">
        <f t="shared" si="7"/>
        <v>0</v>
      </c>
      <c r="F34" s="3084"/>
      <c r="G34" s="3085">
        <f t="shared" si="8"/>
        <v>0</v>
      </c>
      <c r="H34" s="3086">
        <f t="shared" si="9"/>
        <v>0</v>
      </c>
      <c r="I34" s="3093"/>
      <c r="J34" s="3093"/>
      <c r="K34" s="3093"/>
      <c r="L34" s="3093"/>
      <c r="M34" s="3093"/>
      <c r="N34" s="3093"/>
      <c r="O34" s="3093"/>
      <c r="P34" s="3093"/>
      <c r="Q34" s="3093"/>
      <c r="R34" s="3093"/>
      <c r="S34" s="3093"/>
      <c r="T34" s="3093"/>
      <c r="U34" s="3093"/>
      <c r="V34" s="3093"/>
      <c r="W34" s="3093"/>
      <c r="X34" s="3093"/>
      <c r="Y34" s="3093"/>
      <c r="Z34" s="3093"/>
      <c r="AA34" s="3093"/>
      <c r="AB34" s="3093"/>
      <c r="AC34" s="3083">
        <f t="shared" si="10"/>
        <v>0</v>
      </c>
      <c r="AD34" s="3103"/>
      <c r="AE34" s="3103"/>
      <c r="AF34" s="3103"/>
      <c r="AG34" s="3103"/>
      <c r="AH34" s="3103"/>
      <c r="AI34" s="3103"/>
      <c r="AJ34" s="3103"/>
      <c r="AK34" s="3103"/>
      <c r="AL34" s="3103"/>
      <c r="AM34" s="3103"/>
      <c r="AN34" s="3103"/>
      <c r="AO34" s="3103"/>
      <c r="AP34" s="3103"/>
      <c r="AQ34" s="3103"/>
      <c r="AR34" s="3103"/>
      <c r="AS34" s="3103"/>
      <c r="AT34" s="3113"/>
      <c r="AU34" s="3114"/>
      <c r="AV34" s="1580">
        <f t="shared" si="11"/>
        <v>0</v>
      </c>
      <c r="AW34" s="1580">
        <f t="shared" si="12"/>
        <v>0</v>
      </c>
      <c r="AX34" s="1580">
        <f t="shared" si="13"/>
        <v>0</v>
      </c>
      <c r="AY34" s="3128">
        <f t="shared" si="14"/>
        <v>0</v>
      </c>
      <c r="AZ34" s="3083">
        <f t="shared" si="15"/>
        <v>0</v>
      </c>
      <c r="BA34" s="3083">
        <f t="shared" si="16"/>
        <v>0</v>
      </c>
      <c r="BB34" s="3083">
        <f t="shared" si="17"/>
        <v>0</v>
      </c>
      <c r="BC34" s="3083">
        <f t="shared" si="18"/>
        <v>0</v>
      </c>
      <c r="BD34" s="3083">
        <f t="shared" si="19"/>
        <v>0</v>
      </c>
      <c r="BE34" s="3083">
        <f t="shared" si="20"/>
        <v>0</v>
      </c>
      <c r="BF34" s="3083">
        <f t="shared" si="21"/>
        <v>0</v>
      </c>
      <c r="BG34" s="3083">
        <f t="shared" si="22"/>
        <v>0</v>
      </c>
      <c r="BH34" s="3083">
        <f t="shared" si="23"/>
        <v>0</v>
      </c>
      <c r="BI34" s="3083">
        <f t="shared" si="24"/>
        <v>0</v>
      </c>
      <c r="BJ34" s="3083">
        <f t="shared" si="25"/>
        <v>0</v>
      </c>
      <c r="BK34" s="3083">
        <f t="shared" si="26"/>
        <v>0</v>
      </c>
      <c r="BL34" s="3083">
        <f t="shared" si="27"/>
        <v>0</v>
      </c>
      <c r="BM34" s="3083">
        <f t="shared" si="28"/>
        <v>0</v>
      </c>
      <c r="BN34" s="3083">
        <f t="shared" si="29"/>
        <v>0</v>
      </c>
      <c r="BO34" s="3083">
        <f t="shared" si="30"/>
        <v>0</v>
      </c>
      <c r="BP34" s="3083">
        <f t="shared" si="31"/>
        <v>0</v>
      </c>
      <c r="BQ34" s="3083">
        <f t="shared" si="32"/>
        <v>0</v>
      </c>
      <c r="BR34" s="3083">
        <f t="shared" si="33"/>
        <v>0</v>
      </c>
      <c r="BS34" s="3083">
        <f t="shared" si="34"/>
        <v>0</v>
      </c>
      <c r="BT34" s="3135">
        <f t="shared" si="35"/>
        <v>0</v>
      </c>
    </row>
    <row r="35" spans="1:72">
      <c r="A35" s="3080"/>
      <c r="B35" s="3081"/>
      <c r="C35" s="3081"/>
      <c r="D35" s="3082"/>
      <c r="E35" s="3083">
        <f t="shared" si="7"/>
        <v>0</v>
      </c>
      <c r="F35" s="3084"/>
      <c r="G35" s="3085">
        <f t="shared" si="8"/>
        <v>0</v>
      </c>
      <c r="H35" s="3086">
        <f t="shared" si="9"/>
        <v>0</v>
      </c>
      <c r="I35" s="3093"/>
      <c r="J35" s="3093"/>
      <c r="K35" s="3093"/>
      <c r="L35" s="3093"/>
      <c r="M35" s="3093"/>
      <c r="N35" s="3093"/>
      <c r="O35" s="3093"/>
      <c r="P35" s="3093"/>
      <c r="Q35" s="3093"/>
      <c r="R35" s="3093"/>
      <c r="S35" s="3093"/>
      <c r="T35" s="3093"/>
      <c r="U35" s="3093"/>
      <c r="V35" s="3093"/>
      <c r="W35" s="3093"/>
      <c r="X35" s="3093"/>
      <c r="Y35" s="3093"/>
      <c r="Z35" s="3093"/>
      <c r="AA35" s="3093"/>
      <c r="AB35" s="3093"/>
      <c r="AC35" s="3083">
        <f t="shared" si="10"/>
        <v>0</v>
      </c>
      <c r="AD35" s="3103"/>
      <c r="AE35" s="3103"/>
      <c r="AF35" s="3103"/>
      <c r="AG35" s="3103"/>
      <c r="AH35" s="3103"/>
      <c r="AI35" s="3103"/>
      <c r="AJ35" s="3103"/>
      <c r="AK35" s="3103"/>
      <c r="AL35" s="3103"/>
      <c r="AM35" s="3103"/>
      <c r="AN35" s="3103"/>
      <c r="AO35" s="3103"/>
      <c r="AP35" s="3103"/>
      <c r="AQ35" s="3103"/>
      <c r="AR35" s="3103"/>
      <c r="AS35" s="3103"/>
      <c r="AT35" s="3113"/>
      <c r="AU35" s="3114"/>
      <c r="AV35" s="1580">
        <f t="shared" si="11"/>
        <v>0</v>
      </c>
      <c r="AW35" s="1580">
        <f t="shared" si="12"/>
        <v>0</v>
      </c>
      <c r="AX35" s="1580">
        <f t="shared" si="13"/>
        <v>0</v>
      </c>
      <c r="AY35" s="3128">
        <f t="shared" si="14"/>
        <v>0</v>
      </c>
      <c r="AZ35" s="3083">
        <f t="shared" si="15"/>
        <v>0</v>
      </c>
      <c r="BA35" s="3083">
        <f t="shared" si="16"/>
        <v>0</v>
      </c>
      <c r="BB35" s="3083">
        <f t="shared" si="17"/>
        <v>0</v>
      </c>
      <c r="BC35" s="3083">
        <f t="shared" si="18"/>
        <v>0</v>
      </c>
      <c r="BD35" s="3083">
        <f t="shared" si="19"/>
        <v>0</v>
      </c>
      <c r="BE35" s="3083">
        <f t="shared" si="20"/>
        <v>0</v>
      </c>
      <c r="BF35" s="3083">
        <f t="shared" si="21"/>
        <v>0</v>
      </c>
      <c r="BG35" s="3083">
        <f t="shared" si="22"/>
        <v>0</v>
      </c>
      <c r="BH35" s="3083">
        <f t="shared" si="23"/>
        <v>0</v>
      </c>
      <c r="BI35" s="3083">
        <f t="shared" si="24"/>
        <v>0</v>
      </c>
      <c r="BJ35" s="3083">
        <f t="shared" si="25"/>
        <v>0</v>
      </c>
      <c r="BK35" s="3083">
        <f t="shared" si="26"/>
        <v>0</v>
      </c>
      <c r="BL35" s="3083">
        <f t="shared" si="27"/>
        <v>0</v>
      </c>
      <c r="BM35" s="3083">
        <f t="shared" si="28"/>
        <v>0</v>
      </c>
      <c r="BN35" s="3083">
        <f t="shared" si="29"/>
        <v>0</v>
      </c>
      <c r="BO35" s="3083">
        <f t="shared" si="30"/>
        <v>0</v>
      </c>
      <c r="BP35" s="3083">
        <f t="shared" si="31"/>
        <v>0</v>
      </c>
      <c r="BQ35" s="3083">
        <f t="shared" si="32"/>
        <v>0</v>
      </c>
      <c r="BR35" s="3083">
        <f t="shared" si="33"/>
        <v>0</v>
      </c>
      <c r="BS35" s="3083">
        <f t="shared" si="34"/>
        <v>0</v>
      </c>
      <c r="BT35" s="3135">
        <f t="shared" si="35"/>
        <v>0</v>
      </c>
    </row>
    <row r="36" spans="1:72">
      <c r="A36" s="3080"/>
      <c r="B36" s="3081"/>
      <c r="C36" s="3081"/>
      <c r="D36" s="3082"/>
      <c r="E36" s="3083">
        <f t="shared" si="7"/>
        <v>0</v>
      </c>
      <c r="F36" s="3084"/>
      <c r="G36" s="3085">
        <f t="shared" si="8"/>
        <v>0</v>
      </c>
      <c r="H36" s="3086">
        <f t="shared" si="9"/>
        <v>0</v>
      </c>
      <c r="I36" s="3093"/>
      <c r="J36" s="3093"/>
      <c r="K36" s="3093"/>
      <c r="L36" s="3093"/>
      <c r="M36" s="3093"/>
      <c r="N36" s="3093"/>
      <c r="O36" s="3093"/>
      <c r="P36" s="3093"/>
      <c r="Q36" s="3093"/>
      <c r="R36" s="3093"/>
      <c r="S36" s="3093"/>
      <c r="T36" s="3093"/>
      <c r="U36" s="3093"/>
      <c r="V36" s="3093"/>
      <c r="W36" s="3093"/>
      <c r="X36" s="3093"/>
      <c r="Y36" s="3093"/>
      <c r="Z36" s="3093"/>
      <c r="AA36" s="3093"/>
      <c r="AB36" s="3093"/>
      <c r="AC36" s="3083">
        <f t="shared" si="10"/>
        <v>0</v>
      </c>
      <c r="AD36" s="3103"/>
      <c r="AE36" s="3103"/>
      <c r="AF36" s="3103"/>
      <c r="AG36" s="3103"/>
      <c r="AH36" s="3103"/>
      <c r="AI36" s="3103"/>
      <c r="AJ36" s="3103"/>
      <c r="AK36" s="3103"/>
      <c r="AL36" s="3103"/>
      <c r="AM36" s="3103"/>
      <c r="AN36" s="3103"/>
      <c r="AO36" s="3103"/>
      <c r="AP36" s="3103"/>
      <c r="AQ36" s="3103"/>
      <c r="AR36" s="3103"/>
      <c r="AS36" s="3103"/>
      <c r="AT36" s="3113"/>
      <c r="AU36" s="3114"/>
      <c r="AV36" s="1580">
        <f t="shared" si="11"/>
        <v>0</v>
      </c>
      <c r="AW36" s="1580">
        <f t="shared" si="12"/>
        <v>0</v>
      </c>
      <c r="AX36" s="1580">
        <f t="shared" si="13"/>
        <v>0</v>
      </c>
      <c r="AY36" s="3128">
        <f t="shared" si="14"/>
        <v>0</v>
      </c>
      <c r="AZ36" s="3083">
        <f t="shared" si="15"/>
        <v>0</v>
      </c>
      <c r="BA36" s="3083">
        <f t="shared" si="16"/>
        <v>0</v>
      </c>
      <c r="BB36" s="3083">
        <f t="shared" si="17"/>
        <v>0</v>
      </c>
      <c r="BC36" s="3083">
        <f t="shared" si="18"/>
        <v>0</v>
      </c>
      <c r="BD36" s="3083">
        <f t="shared" si="19"/>
        <v>0</v>
      </c>
      <c r="BE36" s="3083">
        <f t="shared" si="20"/>
        <v>0</v>
      </c>
      <c r="BF36" s="3083">
        <f t="shared" si="21"/>
        <v>0</v>
      </c>
      <c r="BG36" s="3083">
        <f t="shared" si="22"/>
        <v>0</v>
      </c>
      <c r="BH36" s="3083">
        <f t="shared" si="23"/>
        <v>0</v>
      </c>
      <c r="BI36" s="3083">
        <f t="shared" si="24"/>
        <v>0</v>
      </c>
      <c r="BJ36" s="3083">
        <f t="shared" si="25"/>
        <v>0</v>
      </c>
      <c r="BK36" s="3083">
        <f t="shared" si="26"/>
        <v>0</v>
      </c>
      <c r="BL36" s="3083">
        <f t="shared" si="27"/>
        <v>0</v>
      </c>
      <c r="BM36" s="3083">
        <f t="shared" si="28"/>
        <v>0</v>
      </c>
      <c r="BN36" s="3083">
        <f t="shared" si="29"/>
        <v>0</v>
      </c>
      <c r="BO36" s="3083">
        <f t="shared" si="30"/>
        <v>0</v>
      </c>
      <c r="BP36" s="3083">
        <f t="shared" si="31"/>
        <v>0</v>
      </c>
      <c r="BQ36" s="3083">
        <f t="shared" si="32"/>
        <v>0</v>
      </c>
      <c r="BR36" s="3083">
        <f t="shared" si="33"/>
        <v>0</v>
      </c>
      <c r="BS36" s="3083">
        <f t="shared" si="34"/>
        <v>0</v>
      </c>
      <c r="BT36" s="3135">
        <f t="shared" si="35"/>
        <v>0</v>
      </c>
    </row>
    <row r="37" spans="1:72">
      <c r="A37" s="3080"/>
      <c r="B37" s="3081"/>
      <c r="C37" s="3081"/>
      <c r="D37" s="3082"/>
      <c r="E37" s="3083">
        <f t="shared" si="7"/>
        <v>0</v>
      </c>
      <c r="F37" s="3084"/>
      <c r="G37" s="3085">
        <f t="shared" si="8"/>
        <v>0</v>
      </c>
      <c r="H37" s="3086">
        <f t="shared" si="9"/>
        <v>0</v>
      </c>
      <c r="I37" s="3093"/>
      <c r="J37" s="3093"/>
      <c r="K37" s="3093"/>
      <c r="L37" s="3093"/>
      <c r="M37" s="3093"/>
      <c r="N37" s="3093"/>
      <c r="O37" s="3093"/>
      <c r="P37" s="3093"/>
      <c r="Q37" s="3093"/>
      <c r="R37" s="3093"/>
      <c r="S37" s="3093"/>
      <c r="T37" s="3093"/>
      <c r="U37" s="3093"/>
      <c r="V37" s="3093"/>
      <c r="W37" s="3093"/>
      <c r="X37" s="3093"/>
      <c r="Y37" s="3093"/>
      <c r="Z37" s="3093"/>
      <c r="AA37" s="3093"/>
      <c r="AB37" s="3093"/>
      <c r="AC37" s="3083">
        <f t="shared" si="10"/>
        <v>0</v>
      </c>
      <c r="AD37" s="3103"/>
      <c r="AE37" s="3103"/>
      <c r="AF37" s="3103"/>
      <c r="AG37" s="3103"/>
      <c r="AH37" s="3103"/>
      <c r="AI37" s="3103"/>
      <c r="AJ37" s="3103"/>
      <c r="AK37" s="3103"/>
      <c r="AL37" s="3103"/>
      <c r="AM37" s="3103"/>
      <c r="AN37" s="3103"/>
      <c r="AO37" s="3103"/>
      <c r="AP37" s="3103"/>
      <c r="AQ37" s="3103"/>
      <c r="AR37" s="3103"/>
      <c r="AS37" s="3103"/>
      <c r="AT37" s="3113"/>
      <c r="AU37" s="3114"/>
      <c r="AV37" s="1580">
        <f t="shared" si="11"/>
        <v>0</v>
      </c>
      <c r="AW37" s="1580">
        <f t="shared" si="12"/>
        <v>0</v>
      </c>
      <c r="AX37" s="1580">
        <f t="shared" si="13"/>
        <v>0</v>
      </c>
      <c r="AY37" s="3128">
        <f t="shared" si="14"/>
        <v>0</v>
      </c>
      <c r="AZ37" s="3083">
        <f t="shared" si="15"/>
        <v>0</v>
      </c>
      <c r="BA37" s="3083">
        <f t="shared" si="16"/>
        <v>0</v>
      </c>
      <c r="BB37" s="3083">
        <f t="shared" si="17"/>
        <v>0</v>
      </c>
      <c r="BC37" s="3083">
        <f t="shared" si="18"/>
        <v>0</v>
      </c>
      <c r="BD37" s="3083">
        <f t="shared" si="19"/>
        <v>0</v>
      </c>
      <c r="BE37" s="3083">
        <f t="shared" si="20"/>
        <v>0</v>
      </c>
      <c r="BF37" s="3083">
        <f t="shared" si="21"/>
        <v>0</v>
      </c>
      <c r="BG37" s="3083">
        <f t="shared" si="22"/>
        <v>0</v>
      </c>
      <c r="BH37" s="3083">
        <f t="shared" si="23"/>
        <v>0</v>
      </c>
      <c r="BI37" s="3083">
        <f t="shared" si="24"/>
        <v>0</v>
      </c>
      <c r="BJ37" s="3083">
        <f t="shared" si="25"/>
        <v>0</v>
      </c>
      <c r="BK37" s="3083">
        <f t="shared" si="26"/>
        <v>0</v>
      </c>
      <c r="BL37" s="3083">
        <f t="shared" si="27"/>
        <v>0</v>
      </c>
      <c r="BM37" s="3083">
        <f t="shared" si="28"/>
        <v>0</v>
      </c>
      <c r="BN37" s="3083">
        <f t="shared" si="29"/>
        <v>0</v>
      </c>
      <c r="BO37" s="3083">
        <f t="shared" si="30"/>
        <v>0</v>
      </c>
      <c r="BP37" s="3083">
        <f t="shared" si="31"/>
        <v>0</v>
      </c>
      <c r="BQ37" s="3083">
        <f t="shared" si="32"/>
        <v>0</v>
      </c>
      <c r="BR37" s="3083">
        <f t="shared" si="33"/>
        <v>0</v>
      </c>
      <c r="BS37" s="3083">
        <f t="shared" si="34"/>
        <v>0</v>
      </c>
      <c r="BT37" s="3135">
        <f t="shared" si="35"/>
        <v>0</v>
      </c>
    </row>
    <row r="38" spans="1:72">
      <c r="A38" s="3080"/>
      <c r="B38" s="3081"/>
      <c r="C38" s="3081"/>
      <c r="D38" s="3082"/>
      <c r="E38" s="3083">
        <f t="shared" si="7"/>
        <v>0</v>
      </c>
      <c r="F38" s="3084"/>
      <c r="G38" s="3085">
        <f t="shared" si="8"/>
        <v>0</v>
      </c>
      <c r="H38" s="3086">
        <f t="shared" si="9"/>
        <v>0</v>
      </c>
      <c r="I38" s="3093"/>
      <c r="J38" s="3093"/>
      <c r="K38" s="3093"/>
      <c r="L38" s="3093"/>
      <c r="M38" s="3093"/>
      <c r="N38" s="3093"/>
      <c r="O38" s="3093"/>
      <c r="P38" s="3093"/>
      <c r="Q38" s="3093"/>
      <c r="R38" s="3093"/>
      <c r="S38" s="3093"/>
      <c r="T38" s="3093"/>
      <c r="U38" s="3093"/>
      <c r="V38" s="3093"/>
      <c r="W38" s="3093"/>
      <c r="X38" s="3093"/>
      <c r="Y38" s="3093"/>
      <c r="Z38" s="3093"/>
      <c r="AA38" s="3093"/>
      <c r="AB38" s="3093"/>
      <c r="AC38" s="3083">
        <f t="shared" si="10"/>
        <v>0</v>
      </c>
      <c r="AD38" s="3103"/>
      <c r="AE38" s="3103"/>
      <c r="AF38" s="3103"/>
      <c r="AG38" s="3103"/>
      <c r="AH38" s="3103"/>
      <c r="AI38" s="3103"/>
      <c r="AJ38" s="3103"/>
      <c r="AK38" s="3103"/>
      <c r="AL38" s="3103"/>
      <c r="AM38" s="3103"/>
      <c r="AN38" s="3103"/>
      <c r="AO38" s="3103"/>
      <c r="AP38" s="3103"/>
      <c r="AQ38" s="3103"/>
      <c r="AR38" s="3103"/>
      <c r="AS38" s="3103"/>
      <c r="AT38" s="3113"/>
      <c r="AU38" s="3114"/>
      <c r="AV38" s="1580">
        <f t="shared" si="11"/>
        <v>0</v>
      </c>
      <c r="AW38" s="1580">
        <f t="shared" si="12"/>
        <v>0</v>
      </c>
      <c r="AX38" s="1580">
        <f t="shared" si="13"/>
        <v>0</v>
      </c>
      <c r="AY38" s="3128">
        <f t="shared" si="14"/>
        <v>0</v>
      </c>
      <c r="AZ38" s="3083">
        <f t="shared" si="15"/>
        <v>0</v>
      </c>
      <c r="BA38" s="3083">
        <f t="shared" si="16"/>
        <v>0</v>
      </c>
      <c r="BB38" s="3083">
        <f t="shared" si="17"/>
        <v>0</v>
      </c>
      <c r="BC38" s="3083">
        <f t="shared" si="18"/>
        <v>0</v>
      </c>
      <c r="BD38" s="3083">
        <f t="shared" si="19"/>
        <v>0</v>
      </c>
      <c r="BE38" s="3083">
        <f t="shared" si="20"/>
        <v>0</v>
      </c>
      <c r="BF38" s="3083">
        <f t="shared" si="21"/>
        <v>0</v>
      </c>
      <c r="BG38" s="3083">
        <f t="shared" si="22"/>
        <v>0</v>
      </c>
      <c r="BH38" s="3083">
        <f t="shared" si="23"/>
        <v>0</v>
      </c>
      <c r="BI38" s="3083">
        <f t="shared" si="24"/>
        <v>0</v>
      </c>
      <c r="BJ38" s="3083">
        <f t="shared" si="25"/>
        <v>0</v>
      </c>
      <c r="BK38" s="3083">
        <f t="shared" si="26"/>
        <v>0</v>
      </c>
      <c r="BL38" s="3083">
        <f t="shared" si="27"/>
        <v>0</v>
      </c>
      <c r="BM38" s="3083">
        <f t="shared" si="28"/>
        <v>0</v>
      </c>
      <c r="BN38" s="3083">
        <f t="shared" si="29"/>
        <v>0</v>
      </c>
      <c r="BO38" s="3083">
        <f t="shared" si="30"/>
        <v>0</v>
      </c>
      <c r="BP38" s="3083">
        <f t="shared" si="31"/>
        <v>0</v>
      </c>
      <c r="BQ38" s="3083">
        <f t="shared" si="32"/>
        <v>0</v>
      </c>
      <c r="BR38" s="3083">
        <f t="shared" si="33"/>
        <v>0</v>
      </c>
      <c r="BS38" s="3083">
        <f t="shared" si="34"/>
        <v>0</v>
      </c>
      <c r="BT38" s="3135">
        <f t="shared" si="35"/>
        <v>0</v>
      </c>
    </row>
    <row r="39" spans="1:72">
      <c r="A39" s="3080"/>
      <c r="B39" s="3081"/>
      <c r="C39" s="3081"/>
      <c r="D39" s="3082"/>
      <c r="E39" s="3083">
        <f t="shared" si="7"/>
        <v>0</v>
      </c>
      <c r="F39" s="3084"/>
      <c r="G39" s="3085">
        <f t="shared" si="8"/>
        <v>0</v>
      </c>
      <c r="H39" s="3086">
        <f t="shared" si="9"/>
        <v>0</v>
      </c>
      <c r="I39" s="3093"/>
      <c r="J39" s="3093"/>
      <c r="K39" s="3093"/>
      <c r="L39" s="3093"/>
      <c r="M39" s="3093"/>
      <c r="N39" s="3093"/>
      <c r="O39" s="3093"/>
      <c r="P39" s="3093"/>
      <c r="Q39" s="3093"/>
      <c r="R39" s="3093"/>
      <c r="S39" s="3093"/>
      <c r="T39" s="3093"/>
      <c r="U39" s="3093"/>
      <c r="V39" s="3093"/>
      <c r="W39" s="3093"/>
      <c r="X39" s="3093"/>
      <c r="Y39" s="3093"/>
      <c r="Z39" s="3093"/>
      <c r="AA39" s="3093"/>
      <c r="AB39" s="3093"/>
      <c r="AC39" s="3083">
        <f t="shared" si="10"/>
        <v>0</v>
      </c>
      <c r="AD39" s="3103"/>
      <c r="AE39" s="3103"/>
      <c r="AF39" s="3103"/>
      <c r="AG39" s="3103"/>
      <c r="AH39" s="3103"/>
      <c r="AI39" s="3103"/>
      <c r="AJ39" s="3103"/>
      <c r="AK39" s="3103"/>
      <c r="AL39" s="3103"/>
      <c r="AM39" s="3103"/>
      <c r="AN39" s="3103"/>
      <c r="AO39" s="3103"/>
      <c r="AP39" s="3103"/>
      <c r="AQ39" s="3103"/>
      <c r="AR39" s="3103"/>
      <c r="AS39" s="3103"/>
      <c r="AT39" s="3113"/>
      <c r="AU39" s="3114"/>
      <c r="AV39" s="1580">
        <f t="shared" si="11"/>
        <v>0</v>
      </c>
      <c r="AW39" s="1580">
        <f t="shared" si="12"/>
        <v>0</v>
      </c>
      <c r="AX39" s="1580">
        <f t="shared" si="13"/>
        <v>0</v>
      </c>
      <c r="AY39" s="3128">
        <f t="shared" si="14"/>
        <v>0</v>
      </c>
      <c r="AZ39" s="3083">
        <f t="shared" si="15"/>
        <v>0</v>
      </c>
      <c r="BA39" s="3083">
        <f t="shared" si="16"/>
        <v>0</v>
      </c>
      <c r="BB39" s="3083">
        <f t="shared" si="17"/>
        <v>0</v>
      </c>
      <c r="BC39" s="3083">
        <f t="shared" si="18"/>
        <v>0</v>
      </c>
      <c r="BD39" s="3083">
        <f t="shared" si="19"/>
        <v>0</v>
      </c>
      <c r="BE39" s="3083">
        <f t="shared" si="20"/>
        <v>0</v>
      </c>
      <c r="BF39" s="3083">
        <f t="shared" si="21"/>
        <v>0</v>
      </c>
      <c r="BG39" s="3083">
        <f t="shared" si="22"/>
        <v>0</v>
      </c>
      <c r="BH39" s="3083">
        <f t="shared" si="23"/>
        <v>0</v>
      </c>
      <c r="BI39" s="3083">
        <f t="shared" si="24"/>
        <v>0</v>
      </c>
      <c r="BJ39" s="3083">
        <f t="shared" si="25"/>
        <v>0</v>
      </c>
      <c r="BK39" s="3083">
        <f t="shared" si="26"/>
        <v>0</v>
      </c>
      <c r="BL39" s="3083">
        <f t="shared" si="27"/>
        <v>0</v>
      </c>
      <c r="BM39" s="3083">
        <f t="shared" si="28"/>
        <v>0</v>
      </c>
      <c r="BN39" s="3083">
        <f t="shared" si="29"/>
        <v>0</v>
      </c>
      <c r="BO39" s="3083">
        <f t="shared" si="30"/>
        <v>0</v>
      </c>
      <c r="BP39" s="3083">
        <f t="shared" si="31"/>
        <v>0</v>
      </c>
      <c r="BQ39" s="3083">
        <f t="shared" si="32"/>
        <v>0</v>
      </c>
      <c r="BR39" s="3083">
        <f t="shared" si="33"/>
        <v>0</v>
      </c>
      <c r="BS39" s="3083">
        <f t="shared" si="34"/>
        <v>0</v>
      </c>
      <c r="BT39" s="3135">
        <f t="shared" si="35"/>
        <v>0</v>
      </c>
    </row>
    <row r="40" spans="1:72">
      <c r="A40" s="3080"/>
      <c r="B40" s="3081"/>
      <c r="C40" s="3081"/>
      <c r="D40" s="3082"/>
      <c r="E40" s="3083">
        <f t="shared" si="7"/>
        <v>0</v>
      </c>
      <c r="F40" s="3084"/>
      <c r="G40" s="3085">
        <f t="shared" si="8"/>
        <v>0</v>
      </c>
      <c r="H40" s="3086">
        <f t="shared" si="9"/>
        <v>0</v>
      </c>
      <c r="I40" s="3093"/>
      <c r="J40" s="3093"/>
      <c r="K40" s="3093"/>
      <c r="L40" s="3093"/>
      <c r="M40" s="3093"/>
      <c r="N40" s="3093"/>
      <c r="O40" s="3093"/>
      <c r="P40" s="3093"/>
      <c r="Q40" s="3093"/>
      <c r="R40" s="3093"/>
      <c r="S40" s="3093"/>
      <c r="T40" s="3093"/>
      <c r="U40" s="3093"/>
      <c r="V40" s="3093"/>
      <c r="W40" s="3093"/>
      <c r="X40" s="3093"/>
      <c r="Y40" s="3093"/>
      <c r="Z40" s="3093"/>
      <c r="AA40" s="3093"/>
      <c r="AB40" s="3093"/>
      <c r="AC40" s="3083">
        <f t="shared" si="10"/>
        <v>0</v>
      </c>
      <c r="AD40" s="3103"/>
      <c r="AE40" s="3103"/>
      <c r="AF40" s="3103"/>
      <c r="AG40" s="3103"/>
      <c r="AH40" s="3103"/>
      <c r="AI40" s="3103"/>
      <c r="AJ40" s="3103"/>
      <c r="AK40" s="3103"/>
      <c r="AL40" s="3103"/>
      <c r="AM40" s="3103"/>
      <c r="AN40" s="3103"/>
      <c r="AO40" s="3103"/>
      <c r="AP40" s="3103"/>
      <c r="AQ40" s="3103"/>
      <c r="AR40" s="3103"/>
      <c r="AS40" s="3103"/>
      <c r="AT40" s="3113"/>
      <c r="AU40" s="3114"/>
      <c r="AV40" s="1580">
        <f t="shared" si="11"/>
        <v>0</v>
      </c>
      <c r="AW40" s="1580">
        <f t="shared" si="12"/>
        <v>0</v>
      </c>
      <c r="AX40" s="1580">
        <f t="shared" si="13"/>
        <v>0</v>
      </c>
      <c r="AY40" s="3128">
        <f t="shared" si="14"/>
        <v>0</v>
      </c>
      <c r="AZ40" s="3083">
        <f t="shared" si="15"/>
        <v>0</v>
      </c>
      <c r="BA40" s="3083">
        <f t="shared" si="16"/>
        <v>0</v>
      </c>
      <c r="BB40" s="3083">
        <f t="shared" si="17"/>
        <v>0</v>
      </c>
      <c r="BC40" s="3083">
        <f t="shared" si="18"/>
        <v>0</v>
      </c>
      <c r="BD40" s="3083">
        <f t="shared" si="19"/>
        <v>0</v>
      </c>
      <c r="BE40" s="3083">
        <f t="shared" si="20"/>
        <v>0</v>
      </c>
      <c r="BF40" s="3083">
        <f t="shared" si="21"/>
        <v>0</v>
      </c>
      <c r="BG40" s="3083">
        <f t="shared" si="22"/>
        <v>0</v>
      </c>
      <c r="BH40" s="3083">
        <f t="shared" si="23"/>
        <v>0</v>
      </c>
      <c r="BI40" s="3083">
        <f t="shared" si="24"/>
        <v>0</v>
      </c>
      <c r="BJ40" s="3083">
        <f t="shared" si="25"/>
        <v>0</v>
      </c>
      <c r="BK40" s="3083">
        <f t="shared" si="26"/>
        <v>0</v>
      </c>
      <c r="BL40" s="3083">
        <f t="shared" si="27"/>
        <v>0</v>
      </c>
      <c r="BM40" s="3083">
        <f t="shared" si="28"/>
        <v>0</v>
      </c>
      <c r="BN40" s="3083">
        <f t="shared" si="29"/>
        <v>0</v>
      </c>
      <c r="BO40" s="3083">
        <f t="shared" si="30"/>
        <v>0</v>
      </c>
      <c r="BP40" s="3083">
        <f t="shared" si="31"/>
        <v>0</v>
      </c>
      <c r="BQ40" s="3083">
        <f t="shared" si="32"/>
        <v>0</v>
      </c>
      <c r="BR40" s="3083">
        <f t="shared" si="33"/>
        <v>0</v>
      </c>
      <c r="BS40" s="3083">
        <f t="shared" si="34"/>
        <v>0</v>
      </c>
      <c r="BT40" s="3135">
        <f t="shared" si="35"/>
        <v>0</v>
      </c>
    </row>
    <row r="41" spans="1:72">
      <c r="A41" s="3080"/>
      <c r="B41" s="3081"/>
      <c r="C41" s="3081"/>
      <c r="D41" s="3082"/>
      <c r="E41" s="3083">
        <f t="shared" si="7"/>
        <v>0</v>
      </c>
      <c r="F41" s="3084"/>
      <c r="G41" s="3085">
        <f t="shared" si="8"/>
        <v>0</v>
      </c>
      <c r="H41" s="3086">
        <f t="shared" si="9"/>
        <v>0</v>
      </c>
      <c r="I41" s="3093"/>
      <c r="J41" s="3093"/>
      <c r="K41" s="3093"/>
      <c r="L41" s="3093"/>
      <c r="M41" s="3093"/>
      <c r="N41" s="3093"/>
      <c r="O41" s="3093"/>
      <c r="P41" s="3093"/>
      <c r="Q41" s="3093"/>
      <c r="R41" s="3093"/>
      <c r="S41" s="3093"/>
      <c r="T41" s="3093"/>
      <c r="U41" s="3093"/>
      <c r="V41" s="3093"/>
      <c r="W41" s="3093"/>
      <c r="X41" s="3093"/>
      <c r="Y41" s="3093"/>
      <c r="Z41" s="3093"/>
      <c r="AA41" s="3093"/>
      <c r="AB41" s="3093"/>
      <c r="AC41" s="3083">
        <f t="shared" si="10"/>
        <v>0</v>
      </c>
      <c r="AD41" s="3103"/>
      <c r="AE41" s="3103"/>
      <c r="AF41" s="3103"/>
      <c r="AG41" s="3103"/>
      <c r="AH41" s="3103"/>
      <c r="AI41" s="3103"/>
      <c r="AJ41" s="3103"/>
      <c r="AK41" s="3103"/>
      <c r="AL41" s="3103"/>
      <c r="AM41" s="3103"/>
      <c r="AN41" s="3103"/>
      <c r="AO41" s="3103"/>
      <c r="AP41" s="3103"/>
      <c r="AQ41" s="3103"/>
      <c r="AR41" s="3103"/>
      <c r="AS41" s="3103"/>
      <c r="AT41" s="3113"/>
      <c r="AU41" s="3114"/>
      <c r="AV41" s="1580">
        <f t="shared" si="11"/>
        <v>0</v>
      </c>
      <c r="AW41" s="1580">
        <f t="shared" si="12"/>
        <v>0</v>
      </c>
      <c r="AX41" s="1580">
        <f t="shared" si="13"/>
        <v>0</v>
      </c>
      <c r="AY41" s="3128">
        <f t="shared" si="14"/>
        <v>0</v>
      </c>
      <c r="AZ41" s="3083">
        <f t="shared" si="15"/>
        <v>0</v>
      </c>
      <c r="BA41" s="3083">
        <f t="shared" si="16"/>
        <v>0</v>
      </c>
      <c r="BB41" s="3083">
        <f t="shared" si="17"/>
        <v>0</v>
      </c>
      <c r="BC41" s="3083">
        <f t="shared" si="18"/>
        <v>0</v>
      </c>
      <c r="BD41" s="3083">
        <f t="shared" si="19"/>
        <v>0</v>
      </c>
      <c r="BE41" s="3083">
        <f t="shared" si="20"/>
        <v>0</v>
      </c>
      <c r="BF41" s="3083">
        <f t="shared" si="21"/>
        <v>0</v>
      </c>
      <c r="BG41" s="3083">
        <f t="shared" si="22"/>
        <v>0</v>
      </c>
      <c r="BH41" s="3083">
        <f t="shared" si="23"/>
        <v>0</v>
      </c>
      <c r="BI41" s="3083">
        <f t="shared" si="24"/>
        <v>0</v>
      </c>
      <c r="BJ41" s="3083">
        <f t="shared" si="25"/>
        <v>0</v>
      </c>
      <c r="BK41" s="3083">
        <f t="shared" si="26"/>
        <v>0</v>
      </c>
      <c r="BL41" s="3083">
        <f t="shared" si="27"/>
        <v>0</v>
      </c>
      <c r="BM41" s="3083">
        <f t="shared" si="28"/>
        <v>0</v>
      </c>
      <c r="BN41" s="3083">
        <f t="shared" si="29"/>
        <v>0</v>
      </c>
      <c r="BO41" s="3083">
        <f t="shared" si="30"/>
        <v>0</v>
      </c>
      <c r="BP41" s="3083">
        <f t="shared" si="31"/>
        <v>0</v>
      </c>
      <c r="BQ41" s="3083">
        <f t="shared" si="32"/>
        <v>0</v>
      </c>
      <c r="BR41" s="3083">
        <f t="shared" si="33"/>
        <v>0</v>
      </c>
      <c r="BS41" s="3083">
        <f t="shared" si="34"/>
        <v>0</v>
      </c>
      <c r="BT41" s="3135">
        <f t="shared" si="35"/>
        <v>0</v>
      </c>
    </row>
    <row r="42" spans="1:72">
      <c r="A42" s="3080"/>
      <c r="B42" s="3081"/>
      <c r="C42" s="3081"/>
      <c r="D42" s="3082"/>
      <c r="E42" s="3083">
        <f t="shared" si="7"/>
        <v>0</v>
      </c>
      <c r="F42" s="3084"/>
      <c r="G42" s="3085">
        <f t="shared" si="8"/>
        <v>0</v>
      </c>
      <c r="H42" s="3086">
        <f t="shared" si="9"/>
        <v>0</v>
      </c>
      <c r="I42" s="3093"/>
      <c r="J42" s="3093"/>
      <c r="K42" s="3093"/>
      <c r="L42" s="3093"/>
      <c r="M42" s="3093"/>
      <c r="N42" s="3093"/>
      <c r="O42" s="3093"/>
      <c r="P42" s="3093"/>
      <c r="Q42" s="3093"/>
      <c r="R42" s="3093"/>
      <c r="S42" s="3093"/>
      <c r="T42" s="3093"/>
      <c r="U42" s="3093"/>
      <c r="V42" s="3093"/>
      <c r="W42" s="3093"/>
      <c r="X42" s="3093"/>
      <c r="Y42" s="3093"/>
      <c r="Z42" s="3093"/>
      <c r="AA42" s="3093"/>
      <c r="AB42" s="3093"/>
      <c r="AC42" s="3083">
        <f t="shared" si="10"/>
        <v>0</v>
      </c>
      <c r="AD42" s="3103"/>
      <c r="AE42" s="3103"/>
      <c r="AF42" s="3103"/>
      <c r="AG42" s="3103"/>
      <c r="AH42" s="3103"/>
      <c r="AI42" s="3103"/>
      <c r="AJ42" s="3103"/>
      <c r="AK42" s="3103"/>
      <c r="AL42" s="3103"/>
      <c r="AM42" s="3103"/>
      <c r="AN42" s="3103"/>
      <c r="AO42" s="3103"/>
      <c r="AP42" s="3103"/>
      <c r="AQ42" s="3103"/>
      <c r="AR42" s="3103"/>
      <c r="AS42" s="3103"/>
      <c r="AT42" s="3113"/>
      <c r="AU42" s="3114"/>
      <c r="AV42" s="1580">
        <f t="shared" si="11"/>
        <v>0</v>
      </c>
      <c r="AW42" s="1580">
        <f t="shared" si="12"/>
        <v>0</v>
      </c>
      <c r="AX42" s="1580">
        <f t="shared" si="13"/>
        <v>0</v>
      </c>
      <c r="AY42" s="3128">
        <f t="shared" si="14"/>
        <v>0</v>
      </c>
      <c r="AZ42" s="3083">
        <f t="shared" si="15"/>
        <v>0</v>
      </c>
      <c r="BA42" s="3083">
        <f t="shared" si="16"/>
        <v>0</v>
      </c>
      <c r="BB42" s="3083">
        <f t="shared" si="17"/>
        <v>0</v>
      </c>
      <c r="BC42" s="3083">
        <f t="shared" si="18"/>
        <v>0</v>
      </c>
      <c r="BD42" s="3083">
        <f t="shared" si="19"/>
        <v>0</v>
      </c>
      <c r="BE42" s="3083">
        <f t="shared" si="20"/>
        <v>0</v>
      </c>
      <c r="BF42" s="3083">
        <f t="shared" si="21"/>
        <v>0</v>
      </c>
      <c r="BG42" s="3083">
        <f t="shared" si="22"/>
        <v>0</v>
      </c>
      <c r="BH42" s="3083">
        <f t="shared" si="23"/>
        <v>0</v>
      </c>
      <c r="BI42" s="3083">
        <f t="shared" si="24"/>
        <v>0</v>
      </c>
      <c r="BJ42" s="3083">
        <f t="shared" si="25"/>
        <v>0</v>
      </c>
      <c r="BK42" s="3083">
        <f t="shared" si="26"/>
        <v>0</v>
      </c>
      <c r="BL42" s="3083">
        <f t="shared" si="27"/>
        <v>0</v>
      </c>
      <c r="BM42" s="3083">
        <f t="shared" si="28"/>
        <v>0</v>
      </c>
      <c r="BN42" s="3083">
        <f t="shared" si="29"/>
        <v>0</v>
      </c>
      <c r="BO42" s="3083">
        <f t="shared" si="30"/>
        <v>0</v>
      </c>
      <c r="BP42" s="3083">
        <f t="shared" si="31"/>
        <v>0</v>
      </c>
      <c r="BQ42" s="3083">
        <f t="shared" si="32"/>
        <v>0</v>
      </c>
      <c r="BR42" s="3083">
        <f t="shared" si="33"/>
        <v>0</v>
      </c>
      <c r="BS42" s="3083">
        <f t="shared" si="34"/>
        <v>0</v>
      </c>
      <c r="BT42" s="3135">
        <f t="shared" si="35"/>
        <v>0</v>
      </c>
    </row>
    <row r="43" spans="1:72">
      <c r="A43" s="3080"/>
      <c r="B43" s="3081"/>
      <c r="C43" s="3081"/>
      <c r="D43" s="3082"/>
      <c r="E43" s="3083">
        <f t="shared" si="7"/>
        <v>0</v>
      </c>
      <c r="F43" s="3084"/>
      <c r="G43" s="3085">
        <f t="shared" si="8"/>
        <v>0</v>
      </c>
      <c r="H43" s="3086">
        <f t="shared" si="9"/>
        <v>0</v>
      </c>
      <c r="I43" s="3093"/>
      <c r="J43" s="3093"/>
      <c r="K43" s="3093"/>
      <c r="L43" s="3093"/>
      <c r="M43" s="3093"/>
      <c r="N43" s="3093"/>
      <c r="O43" s="3093"/>
      <c r="P43" s="3093"/>
      <c r="Q43" s="3093"/>
      <c r="R43" s="3093"/>
      <c r="S43" s="3093"/>
      <c r="T43" s="3093"/>
      <c r="U43" s="3093"/>
      <c r="V43" s="3093"/>
      <c r="W43" s="3093"/>
      <c r="X43" s="3093"/>
      <c r="Y43" s="3093"/>
      <c r="Z43" s="3093"/>
      <c r="AA43" s="3093"/>
      <c r="AB43" s="3093"/>
      <c r="AC43" s="3083">
        <f t="shared" si="10"/>
        <v>0</v>
      </c>
      <c r="AD43" s="3103"/>
      <c r="AE43" s="3103"/>
      <c r="AF43" s="3103"/>
      <c r="AG43" s="3103"/>
      <c r="AH43" s="3103"/>
      <c r="AI43" s="3103"/>
      <c r="AJ43" s="3103"/>
      <c r="AK43" s="3103"/>
      <c r="AL43" s="3103"/>
      <c r="AM43" s="3103"/>
      <c r="AN43" s="3103"/>
      <c r="AO43" s="3103"/>
      <c r="AP43" s="3103"/>
      <c r="AQ43" s="3103"/>
      <c r="AR43" s="3103"/>
      <c r="AS43" s="3103"/>
      <c r="AT43" s="3113"/>
      <c r="AU43" s="3114"/>
      <c r="AV43" s="1580">
        <f t="shared" si="11"/>
        <v>0</v>
      </c>
      <c r="AW43" s="1580">
        <f t="shared" si="12"/>
        <v>0</v>
      </c>
      <c r="AX43" s="1580">
        <f t="shared" si="13"/>
        <v>0</v>
      </c>
      <c r="AY43" s="3128">
        <f t="shared" si="14"/>
        <v>0</v>
      </c>
      <c r="AZ43" s="3083">
        <f t="shared" si="15"/>
        <v>0</v>
      </c>
      <c r="BA43" s="3083">
        <f t="shared" si="16"/>
        <v>0</v>
      </c>
      <c r="BB43" s="3083">
        <f t="shared" si="17"/>
        <v>0</v>
      </c>
      <c r="BC43" s="3083">
        <f t="shared" si="18"/>
        <v>0</v>
      </c>
      <c r="BD43" s="3083">
        <f t="shared" si="19"/>
        <v>0</v>
      </c>
      <c r="BE43" s="3083">
        <f t="shared" si="20"/>
        <v>0</v>
      </c>
      <c r="BF43" s="3083">
        <f t="shared" si="21"/>
        <v>0</v>
      </c>
      <c r="BG43" s="3083">
        <f t="shared" si="22"/>
        <v>0</v>
      </c>
      <c r="BH43" s="3083">
        <f t="shared" si="23"/>
        <v>0</v>
      </c>
      <c r="BI43" s="3083">
        <f t="shared" si="24"/>
        <v>0</v>
      </c>
      <c r="BJ43" s="3083">
        <f t="shared" si="25"/>
        <v>0</v>
      </c>
      <c r="BK43" s="3083">
        <f t="shared" si="26"/>
        <v>0</v>
      </c>
      <c r="BL43" s="3083">
        <f t="shared" si="27"/>
        <v>0</v>
      </c>
      <c r="BM43" s="3083">
        <f t="shared" si="28"/>
        <v>0</v>
      </c>
      <c r="BN43" s="3083">
        <f t="shared" si="29"/>
        <v>0</v>
      </c>
      <c r="BO43" s="3083">
        <f t="shared" si="30"/>
        <v>0</v>
      </c>
      <c r="BP43" s="3083">
        <f t="shared" si="31"/>
        <v>0</v>
      </c>
      <c r="BQ43" s="3083">
        <f t="shared" si="32"/>
        <v>0</v>
      </c>
      <c r="BR43" s="3083">
        <f t="shared" si="33"/>
        <v>0</v>
      </c>
      <c r="BS43" s="3083">
        <f t="shared" si="34"/>
        <v>0</v>
      </c>
      <c r="BT43" s="3135">
        <f t="shared" si="35"/>
        <v>0</v>
      </c>
    </row>
    <row r="44" spans="1:72">
      <c r="A44" s="3080"/>
      <c r="B44" s="3081"/>
      <c r="C44" s="3081"/>
      <c r="D44" s="3082"/>
      <c r="E44" s="3083">
        <f t="shared" si="7"/>
        <v>0</v>
      </c>
      <c r="F44" s="3084"/>
      <c r="G44" s="3085">
        <f t="shared" si="8"/>
        <v>0</v>
      </c>
      <c r="H44" s="3086">
        <f t="shared" si="9"/>
        <v>0</v>
      </c>
      <c r="I44" s="3093"/>
      <c r="J44" s="3093"/>
      <c r="K44" s="3093"/>
      <c r="L44" s="3093"/>
      <c r="M44" s="3093"/>
      <c r="N44" s="3093"/>
      <c r="O44" s="3093"/>
      <c r="P44" s="3093"/>
      <c r="Q44" s="3093"/>
      <c r="R44" s="3093"/>
      <c r="S44" s="3093"/>
      <c r="T44" s="3093"/>
      <c r="U44" s="3093"/>
      <c r="V44" s="3093"/>
      <c r="W44" s="3093"/>
      <c r="X44" s="3093"/>
      <c r="Y44" s="3093"/>
      <c r="Z44" s="3093"/>
      <c r="AA44" s="3093"/>
      <c r="AB44" s="3093"/>
      <c r="AC44" s="3083">
        <f t="shared" si="10"/>
        <v>0</v>
      </c>
      <c r="AD44" s="3103"/>
      <c r="AE44" s="3103"/>
      <c r="AF44" s="3103"/>
      <c r="AG44" s="3103"/>
      <c r="AH44" s="3103"/>
      <c r="AI44" s="3103"/>
      <c r="AJ44" s="3103"/>
      <c r="AK44" s="3103"/>
      <c r="AL44" s="3103"/>
      <c r="AM44" s="3103"/>
      <c r="AN44" s="3103"/>
      <c r="AO44" s="3103"/>
      <c r="AP44" s="3103"/>
      <c r="AQ44" s="3103"/>
      <c r="AR44" s="3103"/>
      <c r="AS44" s="3103"/>
      <c r="AT44" s="3113"/>
      <c r="AU44" s="3114"/>
      <c r="AV44" s="1580">
        <f t="shared" si="11"/>
        <v>0</v>
      </c>
      <c r="AW44" s="1580">
        <f t="shared" si="12"/>
        <v>0</v>
      </c>
      <c r="AX44" s="1580">
        <f t="shared" si="13"/>
        <v>0</v>
      </c>
      <c r="AY44" s="3128">
        <f t="shared" si="14"/>
        <v>0</v>
      </c>
      <c r="AZ44" s="3083">
        <f t="shared" si="15"/>
        <v>0</v>
      </c>
      <c r="BA44" s="3083">
        <f t="shared" si="16"/>
        <v>0</v>
      </c>
      <c r="BB44" s="3083">
        <f t="shared" si="17"/>
        <v>0</v>
      </c>
      <c r="BC44" s="3083">
        <f t="shared" si="18"/>
        <v>0</v>
      </c>
      <c r="BD44" s="3083">
        <f t="shared" si="19"/>
        <v>0</v>
      </c>
      <c r="BE44" s="3083">
        <f t="shared" si="20"/>
        <v>0</v>
      </c>
      <c r="BF44" s="3083">
        <f t="shared" si="21"/>
        <v>0</v>
      </c>
      <c r="BG44" s="3083">
        <f t="shared" si="22"/>
        <v>0</v>
      </c>
      <c r="BH44" s="3083">
        <f t="shared" si="23"/>
        <v>0</v>
      </c>
      <c r="BI44" s="3083">
        <f t="shared" si="24"/>
        <v>0</v>
      </c>
      <c r="BJ44" s="3083">
        <f t="shared" si="25"/>
        <v>0</v>
      </c>
      <c r="BK44" s="3083">
        <f t="shared" si="26"/>
        <v>0</v>
      </c>
      <c r="BL44" s="3083">
        <f t="shared" si="27"/>
        <v>0</v>
      </c>
      <c r="BM44" s="3083">
        <f t="shared" si="28"/>
        <v>0</v>
      </c>
      <c r="BN44" s="3083">
        <f t="shared" si="29"/>
        <v>0</v>
      </c>
      <c r="BO44" s="3083">
        <f t="shared" si="30"/>
        <v>0</v>
      </c>
      <c r="BP44" s="3083">
        <f t="shared" si="31"/>
        <v>0</v>
      </c>
      <c r="BQ44" s="3083">
        <f t="shared" si="32"/>
        <v>0</v>
      </c>
      <c r="BR44" s="3083">
        <f t="shared" si="33"/>
        <v>0</v>
      </c>
      <c r="BS44" s="3083">
        <f t="shared" si="34"/>
        <v>0</v>
      </c>
      <c r="BT44" s="3135">
        <f t="shared" si="35"/>
        <v>0</v>
      </c>
    </row>
    <row r="45" spans="1:72">
      <c r="A45" s="3080"/>
      <c r="B45" s="3081"/>
      <c r="C45" s="3081"/>
      <c r="D45" s="3082"/>
      <c r="E45" s="3083">
        <f t="shared" si="7"/>
        <v>0</v>
      </c>
      <c r="F45" s="3084"/>
      <c r="G45" s="3085">
        <f t="shared" si="8"/>
        <v>0</v>
      </c>
      <c r="H45" s="3086">
        <f t="shared" si="9"/>
        <v>0</v>
      </c>
      <c r="I45" s="3093"/>
      <c r="J45" s="3093"/>
      <c r="K45" s="3093"/>
      <c r="L45" s="3093"/>
      <c r="M45" s="3093"/>
      <c r="N45" s="3093"/>
      <c r="O45" s="3093"/>
      <c r="P45" s="3093"/>
      <c r="Q45" s="3093"/>
      <c r="R45" s="3093"/>
      <c r="S45" s="3093"/>
      <c r="T45" s="3093"/>
      <c r="U45" s="3093"/>
      <c r="V45" s="3093"/>
      <c r="W45" s="3093"/>
      <c r="X45" s="3093"/>
      <c r="Y45" s="3093"/>
      <c r="Z45" s="3093"/>
      <c r="AA45" s="3093"/>
      <c r="AB45" s="3093"/>
      <c r="AC45" s="3083">
        <f t="shared" si="10"/>
        <v>0</v>
      </c>
      <c r="AD45" s="3103"/>
      <c r="AE45" s="3103"/>
      <c r="AF45" s="3103"/>
      <c r="AG45" s="3103"/>
      <c r="AH45" s="3103"/>
      <c r="AI45" s="3103"/>
      <c r="AJ45" s="3103"/>
      <c r="AK45" s="3103"/>
      <c r="AL45" s="3103"/>
      <c r="AM45" s="3103"/>
      <c r="AN45" s="3103"/>
      <c r="AO45" s="3103"/>
      <c r="AP45" s="3103"/>
      <c r="AQ45" s="3103"/>
      <c r="AR45" s="3103"/>
      <c r="AS45" s="3103"/>
      <c r="AT45" s="3113"/>
      <c r="AU45" s="3114"/>
      <c r="AV45" s="1580">
        <f t="shared" si="11"/>
        <v>0</v>
      </c>
      <c r="AW45" s="1580">
        <f t="shared" si="12"/>
        <v>0</v>
      </c>
      <c r="AX45" s="1580">
        <f t="shared" si="13"/>
        <v>0</v>
      </c>
      <c r="AY45" s="3128">
        <f t="shared" si="14"/>
        <v>0</v>
      </c>
      <c r="AZ45" s="3083">
        <f t="shared" si="15"/>
        <v>0</v>
      </c>
      <c r="BA45" s="3083">
        <f t="shared" si="16"/>
        <v>0</v>
      </c>
      <c r="BB45" s="3083">
        <f t="shared" si="17"/>
        <v>0</v>
      </c>
      <c r="BC45" s="3083">
        <f t="shared" si="18"/>
        <v>0</v>
      </c>
      <c r="BD45" s="3083">
        <f t="shared" si="19"/>
        <v>0</v>
      </c>
      <c r="BE45" s="3083">
        <f t="shared" si="20"/>
        <v>0</v>
      </c>
      <c r="BF45" s="3083">
        <f t="shared" si="21"/>
        <v>0</v>
      </c>
      <c r="BG45" s="3083">
        <f t="shared" si="22"/>
        <v>0</v>
      </c>
      <c r="BH45" s="3083">
        <f t="shared" si="23"/>
        <v>0</v>
      </c>
      <c r="BI45" s="3083">
        <f t="shared" si="24"/>
        <v>0</v>
      </c>
      <c r="BJ45" s="3083">
        <f t="shared" si="25"/>
        <v>0</v>
      </c>
      <c r="BK45" s="3083">
        <f t="shared" si="26"/>
        <v>0</v>
      </c>
      <c r="BL45" s="3083">
        <f t="shared" si="27"/>
        <v>0</v>
      </c>
      <c r="BM45" s="3083">
        <f t="shared" si="28"/>
        <v>0</v>
      </c>
      <c r="BN45" s="3083">
        <f t="shared" si="29"/>
        <v>0</v>
      </c>
      <c r="BO45" s="3083">
        <f t="shared" si="30"/>
        <v>0</v>
      </c>
      <c r="BP45" s="3083">
        <f t="shared" si="31"/>
        <v>0</v>
      </c>
      <c r="BQ45" s="3083">
        <f t="shared" si="32"/>
        <v>0</v>
      </c>
      <c r="BR45" s="3083">
        <f t="shared" si="33"/>
        <v>0</v>
      </c>
      <c r="BS45" s="3083">
        <f t="shared" si="34"/>
        <v>0</v>
      </c>
      <c r="BT45" s="3135">
        <f t="shared" si="35"/>
        <v>0</v>
      </c>
    </row>
    <row r="46" spans="1:72">
      <c r="A46" s="3080"/>
      <c r="B46" s="3081"/>
      <c r="C46" s="3081"/>
      <c r="D46" s="3082"/>
      <c r="E46" s="3083">
        <f t="shared" si="7"/>
        <v>0</v>
      </c>
      <c r="F46" s="3084"/>
      <c r="G46" s="3085">
        <f t="shared" si="8"/>
        <v>0</v>
      </c>
      <c r="H46" s="3086">
        <f t="shared" si="9"/>
        <v>0</v>
      </c>
      <c r="I46" s="3093"/>
      <c r="J46" s="3093"/>
      <c r="K46" s="3093"/>
      <c r="L46" s="3093"/>
      <c r="M46" s="3093"/>
      <c r="N46" s="3093"/>
      <c r="O46" s="3093"/>
      <c r="P46" s="3093"/>
      <c r="Q46" s="3093"/>
      <c r="R46" s="3093"/>
      <c r="S46" s="3093"/>
      <c r="T46" s="3093"/>
      <c r="U46" s="3093"/>
      <c r="V46" s="3093"/>
      <c r="W46" s="3093"/>
      <c r="X46" s="3093"/>
      <c r="Y46" s="3093"/>
      <c r="Z46" s="3093"/>
      <c r="AA46" s="3093"/>
      <c r="AB46" s="3093"/>
      <c r="AC46" s="3083">
        <f t="shared" si="10"/>
        <v>0</v>
      </c>
      <c r="AD46" s="3103"/>
      <c r="AE46" s="3103"/>
      <c r="AF46" s="3103"/>
      <c r="AG46" s="3103"/>
      <c r="AH46" s="3103"/>
      <c r="AI46" s="3103"/>
      <c r="AJ46" s="3103"/>
      <c r="AK46" s="3103"/>
      <c r="AL46" s="3103"/>
      <c r="AM46" s="3103"/>
      <c r="AN46" s="3103"/>
      <c r="AO46" s="3103"/>
      <c r="AP46" s="3103"/>
      <c r="AQ46" s="3103"/>
      <c r="AR46" s="3103"/>
      <c r="AS46" s="3103"/>
      <c r="AT46" s="3113"/>
      <c r="AU46" s="3114"/>
      <c r="AV46" s="1580">
        <f t="shared" si="11"/>
        <v>0</v>
      </c>
      <c r="AW46" s="1580">
        <f t="shared" si="12"/>
        <v>0</v>
      </c>
      <c r="AX46" s="1580">
        <f t="shared" si="13"/>
        <v>0</v>
      </c>
      <c r="AY46" s="3128">
        <f t="shared" si="14"/>
        <v>0</v>
      </c>
      <c r="AZ46" s="3083">
        <f t="shared" si="15"/>
        <v>0</v>
      </c>
      <c r="BA46" s="3083">
        <f t="shared" si="16"/>
        <v>0</v>
      </c>
      <c r="BB46" s="3083">
        <f t="shared" si="17"/>
        <v>0</v>
      </c>
      <c r="BC46" s="3083">
        <f t="shared" si="18"/>
        <v>0</v>
      </c>
      <c r="BD46" s="3083">
        <f t="shared" si="19"/>
        <v>0</v>
      </c>
      <c r="BE46" s="3083">
        <f t="shared" si="20"/>
        <v>0</v>
      </c>
      <c r="BF46" s="3083">
        <f t="shared" si="21"/>
        <v>0</v>
      </c>
      <c r="BG46" s="3083">
        <f t="shared" si="22"/>
        <v>0</v>
      </c>
      <c r="BH46" s="3083">
        <f t="shared" si="23"/>
        <v>0</v>
      </c>
      <c r="BI46" s="3083">
        <f t="shared" si="24"/>
        <v>0</v>
      </c>
      <c r="BJ46" s="3083">
        <f t="shared" si="25"/>
        <v>0</v>
      </c>
      <c r="BK46" s="3083">
        <f t="shared" si="26"/>
        <v>0</v>
      </c>
      <c r="BL46" s="3083">
        <f t="shared" si="27"/>
        <v>0</v>
      </c>
      <c r="BM46" s="3083">
        <f t="shared" si="28"/>
        <v>0</v>
      </c>
      <c r="BN46" s="3083">
        <f t="shared" si="29"/>
        <v>0</v>
      </c>
      <c r="BO46" s="3083">
        <f t="shared" si="30"/>
        <v>0</v>
      </c>
      <c r="BP46" s="3083">
        <f t="shared" si="31"/>
        <v>0</v>
      </c>
      <c r="BQ46" s="3083">
        <f t="shared" si="32"/>
        <v>0</v>
      </c>
      <c r="BR46" s="3083">
        <f t="shared" si="33"/>
        <v>0</v>
      </c>
      <c r="BS46" s="3083">
        <f t="shared" si="34"/>
        <v>0</v>
      </c>
      <c r="BT46" s="3135">
        <f t="shared" si="35"/>
        <v>0</v>
      </c>
    </row>
    <row r="47" spans="1:72">
      <c r="A47" s="3080"/>
      <c r="B47" s="3081"/>
      <c r="C47" s="3081"/>
      <c r="D47" s="3082"/>
      <c r="E47" s="3083">
        <f t="shared" si="7"/>
        <v>0</v>
      </c>
      <c r="F47" s="3084"/>
      <c r="G47" s="3085">
        <f t="shared" si="8"/>
        <v>0</v>
      </c>
      <c r="H47" s="3086">
        <f t="shared" si="9"/>
        <v>0</v>
      </c>
      <c r="I47" s="3093"/>
      <c r="J47" s="3093"/>
      <c r="K47" s="3093"/>
      <c r="L47" s="3093"/>
      <c r="M47" s="3093"/>
      <c r="N47" s="3093"/>
      <c r="O47" s="3093"/>
      <c r="P47" s="3093"/>
      <c r="Q47" s="3093"/>
      <c r="R47" s="3093"/>
      <c r="S47" s="3093"/>
      <c r="T47" s="3093"/>
      <c r="U47" s="3093"/>
      <c r="V47" s="3093"/>
      <c r="W47" s="3093"/>
      <c r="X47" s="3093"/>
      <c r="Y47" s="3093"/>
      <c r="Z47" s="3093"/>
      <c r="AA47" s="3093"/>
      <c r="AB47" s="3093"/>
      <c r="AC47" s="3083">
        <f t="shared" si="10"/>
        <v>0</v>
      </c>
      <c r="AD47" s="3103"/>
      <c r="AE47" s="3103"/>
      <c r="AF47" s="3103"/>
      <c r="AG47" s="3103"/>
      <c r="AH47" s="3103"/>
      <c r="AI47" s="3103"/>
      <c r="AJ47" s="3103"/>
      <c r="AK47" s="3103"/>
      <c r="AL47" s="3103"/>
      <c r="AM47" s="3103"/>
      <c r="AN47" s="3103"/>
      <c r="AO47" s="3103"/>
      <c r="AP47" s="3103"/>
      <c r="AQ47" s="3103"/>
      <c r="AR47" s="3103"/>
      <c r="AS47" s="3103"/>
      <c r="AT47" s="3113"/>
      <c r="AU47" s="3114"/>
      <c r="AV47" s="1580">
        <f t="shared" si="11"/>
        <v>0</v>
      </c>
      <c r="AW47" s="1580">
        <f t="shared" si="12"/>
        <v>0</v>
      </c>
      <c r="AX47" s="1580">
        <f t="shared" si="13"/>
        <v>0</v>
      </c>
      <c r="AY47" s="3128">
        <f t="shared" si="14"/>
        <v>0</v>
      </c>
      <c r="AZ47" s="3083">
        <f t="shared" si="15"/>
        <v>0</v>
      </c>
      <c r="BA47" s="3083">
        <f t="shared" si="16"/>
        <v>0</v>
      </c>
      <c r="BB47" s="3083">
        <f t="shared" si="17"/>
        <v>0</v>
      </c>
      <c r="BC47" s="3083">
        <f t="shared" si="18"/>
        <v>0</v>
      </c>
      <c r="BD47" s="3083">
        <f t="shared" si="19"/>
        <v>0</v>
      </c>
      <c r="BE47" s="3083">
        <f t="shared" si="20"/>
        <v>0</v>
      </c>
      <c r="BF47" s="3083">
        <f t="shared" si="21"/>
        <v>0</v>
      </c>
      <c r="BG47" s="3083">
        <f t="shared" si="22"/>
        <v>0</v>
      </c>
      <c r="BH47" s="3083">
        <f t="shared" si="23"/>
        <v>0</v>
      </c>
      <c r="BI47" s="3083">
        <f t="shared" si="24"/>
        <v>0</v>
      </c>
      <c r="BJ47" s="3083">
        <f t="shared" si="25"/>
        <v>0</v>
      </c>
      <c r="BK47" s="3083">
        <f t="shared" si="26"/>
        <v>0</v>
      </c>
      <c r="BL47" s="3083">
        <f t="shared" si="27"/>
        <v>0</v>
      </c>
      <c r="BM47" s="3083">
        <f t="shared" si="28"/>
        <v>0</v>
      </c>
      <c r="BN47" s="3083">
        <f t="shared" si="29"/>
        <v>0</v>
      </c>
      <c r="BO47" s="3083">
        <f t="shared" si="30"/>
        <v>0</v>
      </c>
      <c r="BP47" s="3083">
        <f t="shared" si="31"/>
        <v>0</v>
      </c>
      <c r="BQ47" s="3083">
        <f t="shared" si="32"/>
        <v>0</v>
      </c>
      <c r="BR47" s="3083">
        <f t="shared" si="33"/>
        <v>0</v>
      </c>
      <c r="BS47" s="3083">
        <f t="shared" si="34"/>
        <v>0</v>
      </c>
      <c r="BT47" s="3135">
        <f t="shared" si="35"/>
        <v>0</v>
      </c>
    </row>
    <row r="48" spans="1:72">
      <c r="A48" s="3080"/>
      <c r="B48" s="3081"/>
      <c r="C48" s="3081"/>
      <c r="D48" s="3082"/>
      <c r="E48" s="3083">
        <f t="shared" si="7"/>
        <v>0</v>
      </c>
      <c r="F48" s="3084"/>
      <c r="G48" s="3085">
        <f t="shared" si="8"/>
        <v>0</v>
      </c>
      <c r="H48" s="3086">
        <f t="shared" si="9"/>
        <v>0</v>
      </c>
      <c r="I48" s="3093"/>
      <c r="J48" s="3093"/>
      <c r="K48" s="3093"/>
      <c r="L48" s="3093"/>
      <c r="M48" s="3093"/>
      <c r="N48" s="3093"/>
      <c r="O48" s="3093"/>
      <c r="P48" s="3093"/>
      <c r="Q48" s="3093"/>
      <c r="R48" s="3093"/>
      <c r="S48" s="3093"/>
      <c r="T48" s="3093"/>
      <c r="U48" s="3093"/>
      <c r="V48" s="3093"/>
      <c r="W48" s="3093"/>
      <c r="X48" s="3093"/>
      <c r="Y48" s="3093"/>
      <c r="Z48" s="3093"/>
      <c r="AA48" s="3093"/>
      <c r="AB48" s="3093"/>
      <c r="AC48" s="3083">
        <f t="shared" si="10"/>
        <v>0</v>
      </c>
      <c r="AD48" s="3103"/>
      <c r="AE48" s="3103"/>
      <c r="AF48" s="3103"/>
      <c r="AG48" s="3103"/>
      <c r="AH48" s="3103"/>
      <c r="AI48" s="3103"/>
      <c r="AJ48" s="3103"/>
      <c r="AK48" s="3103"/>
      <c r="AL48" s="3103"/>
      <c r="AM48" s="3103"/>
      <c r="AN48" s="3103"/>
      <c r="AO48" s="3103"/>
      <c r="AP48" s="3103"/>
      <c r="AQ48" s="3103"/>
      <c r="AR48" s="3103"/>
      <c r="AS48" s="3103"/>
      <c r="AT48" s="3113"/>
      <c r="AU48" s="3114"/>
      <c r="AV48" s="1580">
        <f t="shared" si="11"/>
        <v>0</v>
      </c>
      <c r="AW48" s="1580">
        <f t="shared" si="12"/>
        <v>0</v>
      </c>
      <c r="AX48" s="1580">
        <f t="shared" si="13"/>
        <v>0</v>
      </c>
      <c r="AY48" s="3128">
        <f t="shared" si="14"/>
        <v>0</v>
      </c>
      <c r="AZ48" s="3083">
        <f t="shared" si="15"/>
        <v>0</v>
      </c>
      <c r="BA48" s="3083">
        <f t="shared" si="16"/>
        <v>0</v>
      </c>
      <c r="BB48" s="3083">
        <f t="shared" si="17"/>
        <v>0</v>
      </c>
      <c r="BC48" s="3083">
        <f t="shared" si="18"/>
        <v>0</v>
      </c>
      <c r="BD48" s="3083">
        <f t="shared" si="19"/>
        <v>0</v>
      </c>
      <c r="BE48" s="3083">
        <f t="shared" si="20"/>
        <v>0</v>
      </c>
      <c r="BF48" s="3083">
        <f t="shared" si="21"/>
        <v>0</v>
      </c>
      <c r="BG48" s="3083">
        <f t="shared" si="22"/>
        <v>0</v>
      </c>
      <c r="BH48" s="3083">
        <f t="shared" si="23"/>
        <v>0</v>
      </c>
      <c r="BI48" s="3083">
        <f t="shared" si="24"/>
        <v>0</v>
      </c>
      <c r="BJ48" s="3083">
        <f t="shared" si="25"/>
        <v>0</v>
      </c>
      <c r="BK48" s="3083">
        <f t="shared" si="26"/>
        <v>0</v>
      </c>
      <c r="BL48" s="3083">
        <f t="shared" si="27"/>
        <v>0</v>
      </c>
      <c r="BM48" s="3083">
        <f t="shared" si="28"/>
        <v>0</v>
      </c>
      <c r="BN48" s="3083">
        <f t="shared" si="29"/>
        <v>0</v>
      </c>
      <c r="BO48" s="3083">
        <f t="shared" si="30"/>
        <v>0</v>
      </c>
      <c r="BP48" s="3083">
        <f t="shared" si="31"/>
        <v>0</v>
      </c>
      <c r="BQ48" s="3083">
        <f t="shared" si="32"/>
        <v>0</v>
      </c>
      <c r="BR48" s="3083">
        <f t="shared" si="33"/>
        <v>0</v>
      </c>
      <c r="BS48" s="3083">
        <f t="shared" si="34"/>
        <v>0</v>
      </c>
      <c r="BT48" s="3135">
        <f t="shared" si="35"/>
        <v>0</v>
      </c>
    </row>
    <row r="49" spans="1:72">
      <c r="A49" s="3080"/>
      <c r="B49" s="3081"/>
      <c r="C49" s="3081"/>
      <c r="D49" s="3082"/>
      <c r="E49" s="3083">
        <f t="shared" si="7"/>
        <v>0</v>
      </c>
      <c r="F49" s="3084"/>
      <c r="G49" s="3085">
        <f t="shared" si="8"/>
        <v>0</v>
      </c>
      <c r="H49" s="3086">
        <f t="shared" si="9"/>
        <v>0</v>
      </c>
      <c r="I49" s="3093"/>
      <c r="J49" s="3093"/>
      <c r="K49" s="3093"/>
      <c r="L49" s="3093"/>
      <c r="M49" s="3093"/>
      <c r="N49" s="3093"/>
      <c r="O49" s="3093"/>
      <c r="P49" s="3093"/>
      <c r="Q49" s="3093"/>
      <c r="R49" s="3093"/>
      <c r="S49" s="3093"/>
      <c r="T49" s="3093"/>
      <c r="U49" s="3093"/>
      <c r="V49" s="3093"/>
      <c r="W49" s="3093"/>
      <c r="X49" s="3093"/>
      <c r="Y49" s="3093"/>
      <c r="Z49" s="3093"/>
      <c r="AA49" s="3093"/>
      <c r="AB49" s="3093"/>
      <c r="AC49" s="3083">
        <f t="shared" si="10"/>
        <v>0</v>
      </c>
      <c r="AD49" s="3103"/>
      <c r="AE49" s="3103"/>
      <c r="AF49" s="3103"/>
      <c r="AG49" s="3103"/>
      <c r="AH49" s="3103"/>
      <c r="AI49" s="3103"/>
      <c r="AJ49" s="3103"/>
      <c r="AK49" s="3103"/>
      <c r="AL49" s="3103"/>
      <c r="AM49" s="3103"/>
      <c r="AN49" s="3103"/>
      <c r="AO49" s="3103"/>
      <c r="AP49" s="3103"/>
      <c r="AQ49" s="3103"/>
      <c r="AR49" s="3103"/>
      <c r="AS49" s="3103"/>
      <c r="AT49" s="3113"/>
      <c r="AU49" s="3114"/>
      <c r="AV49" s="1580">
        <f t="shared" si="11"/>
        <v>0</v>
      </c>
      <c r="AW49" s="1580">
        <f t="shared" si="12"/>
        <v>0</v>
      </c>
      <c r="AX49" s="1580">
        <f t="shared" si="13"/>
        <v>0</v>
      </c>
      <c r="AY49" s="3128">
        <f t="shared" si="14"/>
        <v>0</v>
      </c>
      <c r="AZ49" s="3083">
        <f t="shared" si="15"/>
        <v>0</v>
      </c>
      <c r="BA49" s="3083">
        <f t="shared" si="16"/>
        <v>0</v>
      </c>
      <c r="BB49" s="3083">
        <f t="shared" si="17"/>
        <v>0</v>
      </c>
      <c r="BC49" s="3083">
        <f t="shared" si="18"/>
        <v>0</v>
      </c>
      <c r="BD49" s="3083">
        <f t="shared" si="19"/>
        <v>0</v>
      </c>
      <c r="BE49" s="3083">
        <f t="shared" si="20"/>
        <v>0</v>
      </c>
      <c r="BF49" s="3083">
        <f t="shared" si="21"/>
        <v>0</v>
      </c>
      <c r="BG49" s="3083">
        <f t="shared" si="22"/>
        <v>0</v>
      </c>
      <c r="BH49" s="3083">
        <f t="shared" si="23"/>
        <v>0</v>
      </c>
      <c r="BI49" s="3083">
        <f t="shared" si="24"/>
        <v>0</v>
      </c>
      <c r="BJ49" s="3083">
        <f t="shared" si="25"/>
        <v>0</v>
      </c>
      <c r="BK49" s="3083">
        <f t="shared" si="26"/>
        <v>0</v>
      </c>
      <c r="BL49" s="3083">
        <f t="shared" si="27"/>
        <v>0</v>
      </c>
      <c r="BM49" s="3083">
        <f t="shared" si="28"/>
        <v>0</v>
      </c>
      <c r="BN49" s="3083">
        <f t="shared" si="29"/>
        <v>0</v>
      </c>
      <c r="BO49" s="3083">
        <f t="shared" si="30"/>
        <v>0</v>
      </c>
      <c r="BP49" s="3083">
        <f t="shared" si="31"/>
        <v>0</v>
      </c>
      <c r="BQ49" s="3083">
        <f t="shared" si="32"/>
        <v>0</v>
      </c>
      <c r="BR49" s="3083">
        <f t="shared" si="33"/>
        <v>0</v>
      </c>
      <c r="BS49" s="3083">
        <f t="shared" si="34"/>
        <v>0</v>
      </c>
      <c r="BT49" s="3135">
        <f t="shared" si="35"/>
        <v>0</v>
      </c>
    </row>
    <row r="50" spans="1:72">
      <c r="A50" s="3080"/>
      <c r="B50" s="3081"/>
      <c r="C50" s="3081"/>
      <c r="D50" s="3082"/>
      <c r="E50" s="3083">
        <f t="shared" si="7"/>
        <v>0</v>
      </c>
      <c r="F50" s="3084"/>
      <c r="G50" s="3085">
        <f t="shared" si="8"/>
        <v>0</v>
      </c>
      <c r="H50" s="3086">
        <f t="shared" si="9"/>
        <v>0</v>
      </c>
      <c r="I50" s="3093"/>
      <c r="J50" s="3093"/>
      <c r="K50" s="3093"/>
      <c r="L50" s="3093"/>
      <c r="M50" s="3093"/>
      <c r="N50" s="3093"/>
      <c r="O50" s="3093"/>
      <c r="P50" s="3093"/>
      <c r="Q50" s="3093"/>
      <c r="R50" s="3093"/>
      <c r="S50" s="3093"/>
      <c r="T50" s="3093"/>
      <c r="U50" s="3093"/>
      <c r="V50" s="3093"/>
      <c r="W50" s="3093"/>
      <c r="X50" s="3093"/>
      <c r="Y50" s="3093"/>
      <c r="Z50" s="3093"/>
      <c r="AA50" s="3093"/>
      <c r="AB50" s="3093"/>
      <c r="AC50" s="3083">
        <f t="shared" si="10"/>
        <v>0</v>
      </c>
      <c r="AD50" s="3103"/>
      <c r="AE50" s="3103"/>
      <c r="AF50" s="3103"/>
      <c r="AG50" s="3103"/>
      <c r="AH50" s="3103"/>
      <c r="AI50" s="3103"/>
      <c r="AJ50" s="3103"/>
      <c r="AK50" s="3103"/>
      <c r="AL50" s="3103"/>
      <c r="AM50" s="3103"/>
      <c r="AN50" s="3103"/>
      <c r="AO50" s="3103"/>
      <c r="AP50" s="3103"/>
      <c r="AQ50" s="3103"/>
      <c r="AR50" s="3103"/>
      <c r="AS50" s="3103"/>
      <c r="AT50" s="3113"/>
      <c r="AU50" s="3114"/>
      <c r="AV50" s="1580">
        <f t="shared" si="11"/>
        <v>0</v>
      </c>
      <c r="AW50" s="1580">
        <f t="shared" si="12"/>
        <v>0</v>
      </c>
      <c r="AX50" s="1580">
        <f t="shared" si="13"/>
        <v>0</v>
      </c>
      <c r="AY50" s="3128">
        <f t="shared" si="14"/>
        <v>0</v>
      </c>
      <c r="AZ50" s="3083">
        <f t="shared" si="15"/>
        <v>0</v>
      </c>
      <c r="BA50" s="3083">
        <f t="shared" si="16"/>
        <v>0</v>
      </c>
      <c r="BB50" s="3083">
        <f t="shared" si="17"/>
        <v>0</v>
      </c>
      <c r="BC50" s="3083">
        <f t="shared" si="18"/>
        <v>0</v>
      </c>
      <c r="BD50" s="3083">
        <f t="shared" si="19"/>
        <v>0</v>
      </c>
      <c r="BE50" s="3083">
        <f t="shared" si="20"/>
        <v>0</v>
      </c>
      <c r="BF50" s="3083">
        <f t="shared" si="21"/>
        <v>0</v>
      </c>
      <c r="BG50" s="3083">
        <f t="shared" si="22"/>
        <v>0</v>
      </c>
      <c r="BH50" s="3083">
        <f t="shared" si="23"/>
        <v>0</v>
      </c>
      <c r="BI50" s="3083">
        <f t="shared" si="24"/>
        <v>0</v>
      </c>
      <c r="BJ50" s="3083">
        <f t="shared" si="25"/>
        <v>0</v>
      </c>
      <c r="BK50" s="3083">
        <f t="shared" si="26"/>
        <v>0</v>
      </c>
      <c r="BL50" s="3083">
        <f t="shared" si="27"/>
        <v>0</v>
      </c>
      <c r="BM50" s="3083">
        <f t="shared" si="28"/>
        <v>0</v>
      </c>
      <c r="BN50" s="3083">
        <f t="shared" si="29"/>
        <v>0</v>
      </c>
      <c r="BO50" s="3083">
        <f t="shared" si="30"/>
        <v>0</v>
      </c>
      <c r="BP50" s="3083">
        <f t="shared" si="31"/>
        <v>0</v>
      </c>
      <c r="BQ50" s="3083">
        <f t="shared" si="32"/>
        <v>0</v>
      </c>
      <c r="BR50" s="3083">
        <f t="shared" si="33"/>
        <v>0</v>
      </c>
      <c r="BS50" s="3083">
        <f t="shared" si="34"/>
        <v>0</v>
      </c>
      <c r="BT50" s="3135">
        <f t="shared" si="35"/>
        <v>0</v>
      </c>
    </row>
    <row r="51" spans="1:72">
      <c r="A51" s="3080"/>
      <c r="B51" s="3081"/>
      <c r="C51" s="3081"/>
      <c r="D51" s="3082"/>
      <c r="E51" s="3083">
        <f t="shared" si="7"/>
        <v>0</v>
      </c>
      <c r="F51" s="3084"/>
      <c r="G51" s="3085">
        <f t="shared" si="8"/>
        <v>0</v>
      </c>
      <c r="H51" s="3086">
        <f t="shared" si="9"/>
        <v>0</v>
      </c>
      <c r="I51" s="3093"/>
      <c r="J51" s="3093"/>
      <c r="K51" s="3093"/>
      <c r="L51" s="3093"/>
      <c r="M51" s="3093"/>
      <c r="N51" s="3093"/>
      <c r="O51" s="3093"/>
      <c r="P51" s="3093"/>
      <c r="Q51" s="3093"/>
      <c r="R51" s="3093"/>
      <c r="S51" s="3093"/>
      <c r="T51" s="3093"/>
      <c r="U51" s="3093"/>
      <c r="V51" s="3093"/>
      <c r="W51" s="3093"/>
      <c r="X51" s="3093"/>
      <c r="Y51" s="3093"/>
      <c r="Z51" s="3093"/>
      <c r="AA51" s="3093"/>
      <c r="AB51" s="3093"/>
      <c r="AC51" s="3083">
        <f t="shared" si="10"/>
        <v>0</v>
      </c>
      <c r="AD51" s="3103"/>
      <c r="AE51" s="3103"/>
      <c r="AF51" s="3103"/>
      <c r="AG51" s="3103"/>
      <c r="AH51" s="3103"/>
      <c r="AI51" s="3103"/>
      <c r="AJ51" s="3103"/>
      <c r="AK51" s="3103"/>
      <c r="AL51" s="3103"/>
      <c r="AM51" s="3103"/>
      <c r="AN51" s="3103"/>
      <c r="AO51" s="3103"/>
      <c r="AP51" s="3103"/>
      <c r="AQ51" s="3103"/>
      <c r="AR51" s="3103"/>
      <c r="AS51" s="3103"/>
      <c r="AT51" s="3113"/>
      <c r="AU51" s="3114"/>
      <c r="AV51" s="1580">
        <f t="shared" si="11"/>
        <v>0</v>
      </c>
      <c r="AW51" s="1580">
        <f t="shared" si="12"/>
        <v>0</v>
      </c>
      <c r="AX51" s="1580">
        <f t="shared" si="13"/>
        <v>0</v>
      </c>
      <c r="AY51" s="3128">
        <f t="shared" si="14"/>
        <v>0</v>
      </c>
      <c r="AZ51" s="3083">
        <f t="shared" si="15"/>
        <v>0</v>
      </c>
      <c r="BA51" s="3083">
        <f t="shared" si="16"/>
        <v>0</v>
      </c>
      <c r="BB51" s="3083">
        <f t="shared" si="17"/>
        <v>0</v>
      </c>
      <c r="BC51" s="3083">
        <f t="shared" si="18"/>
        <v>0</v>
      </c>
      <c r="BD51" s="3083">
        <f t="shared" si="19"/>
        <v>0</v>
      </c>
      <c r="BE51" s="3083">
        <f t="shared" si="20"/>
        <v>0</v>
      </c>
      <c r="BF51" s="3083">
        <f t="shared" si="21"/>
        <v>0</v>
      </c>
      <c r="BG51" s="3083">
        <f t="shared" si="22"/>
        <v>0</v>
      </c>
      <c r="BH51" s="3083">
        <f t="shared" si="23"/>
        <v>0</v>
      </c>
      <c r="BI51" s="3083">
        <f t="shared" si="24"/>
        <v>0</v>
      </c>
      <c r="BJ51" s="3083">
        <f t="shared" si="25"/>
        <v>0</v>
      </c>
      <c r="BK51" s="3083">
        <f t="shared" si="26"/>
        <v>0</v>
      </c>
      <c r="BL51" s="3083">
        <f t="shared" si="27"/>
        <v>0</v>
      </c>
      <c r="BM51" s="3083">
        <f t="shared" si="28"/>
        <v>0</v>
      </c>
      <c r="BN51" s="3083">
        <f t="shared" si="29"/>
        <v>0</v>
      </c>
      <c r="BO51" s="3083">
        <f t="shared" si="30"/>
        <v>0</v>
      </c>
      <c r="BP51" s="3083">
        <f t="shared" si="31"/>
        <v>0</v>
      </c>
      <c r="BQ51" s="3083">
        <f t="shared" si="32"/>
        <v>0</v>
      </c>
      <c r="BR51" s="3083">
        <f t="shared" si="33"/>
        <v>0</v>
      </c>
      <c r="BS51" s="3083">
        <f t="shared" si="34"/>
        <v>0</v>
      </c>
      <c r="BT51" s="3135">
        <f t="shared" si="35"/>
        <v>0</v>
      </c>
    </row>
    <row r="52" spans="1:72">
      <c r="A52" s="3080"/>
      <c r="B52" s="3081"/>
      <c r="C52" s="3081"/>
      <c r="D52" s="3082"/>
      <c r="E52" s="3083">
        <f t="shared" si="7"/>
        <v>0</v>
      </c>
      <c r="F52" s="3084"/>
      <c r="G52" s="3085">
        <f t="shared" si="8"/>
        <v>0</v>
      </c>
      <c r="H52" s="3086">
        <f t="shared" si="9"/>
        <v>0</v>
      </c>
      <c r="I52" s="3093"/>
      <c r="J52" s="3093"/>
      <c r="K52" s="3093"/>
      <c r="L52" s="3093"/>
      <c r="M52" s="3093"/>
      <c r="N52" s="3093"/>
      <c r="O52" s="3093"/>
      <c r="P52" s="3093"/>
      <c r="Q52" s="3093"/>
      <c r="R52" s="3093"/>
      <c r="S52" s="3093"/>
      <c r="T52" s="3093"/>
      <c r="U52" s="3093"/>
      <c r="V52" s="3093"/>
      <c r="W52" s="3093"/>
      <c r="X52" s="3093"/>
      <c r="Y52" s="3093"/>
      <c r="Z52" s="3093"/>
      <c r="AA52" s="3093"/>
      <c r="AB52" s="3093"/>
      <c r="AC52" s="3083">
        <f t="shared" si="10"/>
        <v>0</v>
      </c>
      <c r="AD52" s="3103"/>
      <c r="AE52" s="3103"/>
      <c r="AF52" s="3103"/>
      <c r="AG52" s="3103"/>
      <c r="AH52" s="3103"/>
      <c r="AI52" s="3103"/>
      <c r="AJ52" s="3103"/>
      <c r="AK52" s="3103"/>
      <c r="AL52" s="3103"/>
      <c r="AM52" s="3103"/>
      <c r="AN52" s="3103"/>
      <c r="AO52" s="3103"/>
      <c r="AP52" s="3103"/>
      <c r="AQ52" s="3103"/>
      <c r="AR52" s="3103"/>
      <c r="AS52" s="3103"/>
      <c r="AT52" s="3113"/>
      <c r="AU52" s="3114"/>
      <c r="AV52" s="1580">
        <f t="shared" si="11"/>
        <v>0</v>
      </c>
      <c r="AW52" s="1580">
        <f t="shared" si="12"/>
        <v>0</v>
      </c>
      <c r="AX52" s="1580">
        <f t="shared" si="13"/>
        <v>0</v>
      </c>
      <c r="AY52" s="3128">
        <f t="shared" si="14"/>
        <v>0</v>
      </c>
      <c r="AZ52" s="3083">
        <f t="shared" si="15"/>
        <v>0</v>
      </c>
      <c r="BA52" s="3083">
        <f t="shared" si="16"/>
        <v>0</v>
      </c>
      <c r="BB52" s="3083">
        <f t="shared" si="17"/>
        <v>0</v>
      </c>
      <c r="BC52" s="3083">
        <f t="shared" si="18"/>
        <v>0</v>
      </c>
      <c r="BD52" s="3083">
        <f t="shared" si="19"/>
        <v>0</v>
      </c>
      <c r="BE52" s="3083">
        <f t="shared" si="20"/>
        <v>0</v>
      </c>
      <c r="BF52" s="3083">
        <f t="shared" si="21"/>
        <v>0</v>
      </c>
      <c r="BG52" s="3083">
        <f t="shared" si="22"/>
        <v>0</v>
      </c>
      <c r="BH52" s="3083">
        <f t="shared" si="23"/>
        <v>0</v>
      </c>
      <c r="BI52" s="3083">
        <f t="shared" si="24"/>
        <v>0</v>
      </c>
      <c r="BJ52" s="3083">
        <f t="shared" si="25"/>
        <v>0</v>
      </c>
      <c r="BK52" s="3083">
        <f t="shared" si="26"/>
        <v>0</v>
      </c>
      <c r="BL52" s="3083">
        <f t="shared" si="27"/>
        <v>0</v>
      </c>
      <c r="BM52" s="3083">
        <f t="shared" si="28"/>
        <v>0</v>
      </c>
      <c r="BN52" s="3083">
        <f t="shared" si="29"/>
        <v>0</v>
      </c>
      <c r="BO52" s="3083">
        <f t="shared" si="30"/>
        <v>0</v>
      </c>
      <c r="BP52" s="3083">
        <f t="shared" si="31"/>
        <v>0</v>
      </c>
      <c r="BQ52" s="3083">
        <f t="shared" si="32"/>
        <v>0</v>
      </c>
      <c r="BR52" s="3083">
        <f t="shared" si="33"/>
        <v>0</v>
      </c>
      <c r="BS52" s="3083">
        <f t="shared" si="34"/>
        <v>0</v>
      </c>
      <c r="BT52" s="3135">
        <f t="shared" si="35"/>
        <v>0</v>
      </c>
    </row>
    <row r="53" spans="1:72">
      <c r="A53" s="3080"/>
      <c r="B53" s="3081"/>
      <c r="C53" s="3081"/>
      <c r="D53" s="3082"/>
      <c r="E53" s="3083">
        <f t="shared" si="7"/>
        <v>0</v>
      </c>
      <c r="F53" s="3084"/>
      <c r="G53" s="3085">
        <f t="shared" si="8"/>
        <v>0</v>
      </c>
      <c r="H53" s="3086">
        <f t="shared" si="9"/>
        <v>0</v>
      </c>
      <c r="I53" s="3093"/>
      <c r="J53" s="3093"/>
      <c r="K53" s="3093"/>
      <c r="L53" s="3093"/>
      <c r="M53" s="3093"/>
      <c r="N53" s="3093"/>
      <c r="O53" s="3093"/>
      <c r="P53" s="3093"/>
      <c r="Q53" s="3093"/>
      <c r="R53" s="3093"/>
      <c r="S53" s="3093"/>
      <c r="T53" s="3093"/>
      <c r="U53" s="3093"/>
      <c r="V53" s="3093"/>
      <c r="W53" s="3093"/>
      <c r="X53" s="3093"/>
      <c r="Y53" s="3093"/>
      <c r="Z53" s="3093"/>
      <c r="AA53" s="3093"/>
      <c r="AB53" s="3093"/>
      <c r="AC53" s="3083">
        <f t="shared" si="10"/>
        <v>0</v>
      </c>
      <c r="AD53" s="3103"/>
      <c r="AE53" s="3103"/>
      <c r="AF53" s="3103"/>
      <c r="AG53" s="3103"/>
      <c r="AH53" s="3103"/>
      <c r="AI53" s="3103"/>
      <c r="AJ53" s="3103"/>
      <c r="AK53" s="3103"/>
      <c r="AL53" s="3103"/>
      <c r="AM53" s="3103"/>
      <c r="AN53" s="3103"/>
      <c r="AO53" s="3103"/>
      <c r="AP53" s="3103"/>
      <c r="AQ53" s="3103"/>
      <c r="AR53" s="3103"/>
      <c r="AS53" s="3103"/>
      <c r="AT53" s="3113"/>
      <c r="AU53" s="3114"/>
      <c r="AV53" s="1580">
        <f t="shared" si="11"/>
        <v>0</v>
      </c>
      <c r="AW53" s="1580">
        <f t="shared" si="12"/>
        <v>0</v>
      </c>
      <c r="AX53" s="1580">
        <f t="shared" si="13"/>
        <v>0</v>
      </c>
      <c r="AY53" s="3128">
        <f t="shared" si="14"/>
        <v>0</v>
      </c>
      <c r="AZ53" s="3083">
        <f t="shared" si="15"/>
        <v>0</v>
      </c>
      <c r="BA53" s="3083">
        <f t="shared" si="16"/>
        <v>0</v>
      </c>
      <c r="BB53" s="3083">
        <f t="shared" si="17"/>
        <v>0</v>
      </c>
      <c r="BC53" s="3083">
        <f t="shared" si="18"/>
        <v>0</v>
      </c>
      <c r="BD53" s="3083">
        <f t="shared" si="19"/>
        <v>0</v>
      </c>
      <c r="BE53" s="3083">
        <f t="shared" si="20"/>
        <v>0</v>
      </c>
      <c r="BF53" s="3083">
        <f t="shared" si="21"/>
        <v>0</v>
      </c>
      <c r="BG53" s="3083">
        <f t="shared" si="22"/>
        <v>0</v>
      </c>
      <c r="BH53" s="3083">
        <f t="shared" si="23"/>
        <v>0</v>
      </c>
      <c r="BI53" s="3083">
        <f t="shared" si="24"/>
        <v>0</v>
      </c>
      <c r="BJ53" s="3083">
        <f t="shared" si="25"/>
        <v>0</v>
      </c>
      <c r="BK53" s="3083">
        <f t="shared" si="26"/>
        <v>0</v>
      </c>
      <c r="BL53" s="3083">
        <f t="shared" si="27"/>
        <v>0</v>
      </c>
      <c r="BM53" s="3083">
        <f t="shared" si="28"/>
        <v>0</v>
      </c>
      <c r="BN53" s="3083">
        <f t="shared" si="29"/>
        <v>0</v>
      </c>
      <c r="BO53" s="3083">
        <f t="shared" si="30"/>
        <v>0</v>
      </c>
      <c r="BP53" s="3083">
        <f t="shared" si="31"/>
        <v>0</v>
      </c>
      <c r="BQ53" s="3083">
        <f t="shared" si="32"/>
        <v>0</v>
      </c>
      <c r="BR53" s="3083">
        <f t="shared" si="33"/>
        <v>0</v>
      </c>
      <c r="BS53" s="3083">
        <f t="shared" si="34"/>
        <v>0</v>
      </c>
      <c r="BT53" s="3135">
        <f t="shared" si="35"/>
        <v>0</v>
      </c>
    </row>
    <row r="54" spans="1:72">
      <c r="A54" s="3080"/>
      <c r="B54" s="3081"/>
      <c r="C54" s="3081"/>
      <c r="D54" s="3082"/>
      <c r="E54" s="3083">
        <f t="shared" si="7"/>
        <v>0</v>
      </c>
      <c r="F54" s="3084"/>
      <c r="G54" s="3085">
        <f t="shared" si="8"/>
        <v>0</v>
      </c>
      <c r="H54" s="3086">
        <f t="shared" si="9"/>
        <v>0</v>
      </c>
      <c r="I54" s="3093"/>
      <c r="J54" s="3093"/>
      <c r="K54" s="3093"/>
      <c r="L54" s="3093"/>
      <c r="M54" s="3093"/>
      <c r="N54" s="3093"/>
      <c r="O54" s="3093"/>
      <c r="P54" s="3093"/>
      <c r="Q54" s="3093"/>
      <c r="R54" s="3093"/>
      <c r="S54" s="3093"/>
      <c r="T54" s="3093"/>
      <c r="U54" s="3093"/>
      <c r="V54" s="3093"/>
      <c r="W54" s="3093"/>
      <c r="X54" s="3093"/>
      <c r="Y54" s="3093"/>
      <c r="Z54" s="3093"/>
      <c r="AA54" s="3093"/>
      <c r="AB54" s="3093"/>
      <c r="AC54" s="3083">
        <f t="shared" si="10"/>
        <v>0</v>
      </c>
      <c r="AD54" s="3103"/>
      <c r="AE54" s="3103"/>
      <c r="AF54" s="3103"/>
      <c r="AG54" s="3103"/>
      <c r="AH54" s="3103"/>
      <c r="AI54" s="3103"/>
      <c r="AJ54" s="3103"/>
      <c r="AK54" s="3103"/>
      <c r="AL54" s="3103"/>
      <c r="AM54" s="3103"/>
      <c r="AN54" s="3103"/>
      <c r="AO54" s="3103"/>
      <c r="AP54" s="3103"/>
      <c r="AQ54" s="3103"/>
      <c r="AR54" s="3103"/>
      <c r="AS54" s="3103"/>
      <c r="AT54" s="3113"/>
      <c r="AU54" s="3114"/>
      <c r="AV54" s="1580">
        <f t="shared" si="11"/>
        <v>0</v>
      </c>
      <c r="AW54" s="1580">
        <f t="shared" si="12"/>
        <v>0</v>
      </c>
      <c r="AX54" s="1580">
        <f t="shared" si="13"/>
        <v>0</v>
      </c>
      <c r="AY54" s="3128">
        <f t="shared" si="14"/>
        <v>0</v>
      </c>
      <c r="AZ54" s="3083">
        <f t="shared" si="15"/>
        <v>0</v>
      </c>
      <c r="BA54" s="3083">
        <f t="shared" si="16"/>
        <v>0</v>
      </c>
      <c r="BB54" s="3083">
        <f t="shared" si="17"/>
        <v>0</v>
      </c>
      <c r="BC54" s="3083">
        <f t="shared" si="18"/>
        <v>0</v>
      </c>
      <c r="BD54" s="3083">
        <f t="shared" si="19"/>
        <v>0</v>
      </c>
      <c r="BE54" s="3083">
        <f t="shared" si="20"/>
        <v>0</v>
      </c>
      <c r="BF54" s="3083">
        <f t="shared" si="21"/>
        <v>0</v>
      </c>
      <c r="BG54" s="3083">
        <f t="shared" si="22"/>
        <v>0</v>
      </c>
      <c r="BH54" s="3083">
        <f t="shared" si="23"/>
        <v>0</v>
      </c>
      <c r="BI54" s="3083">
        <f t="shared" si="24"/>
        <v>0</v>
      </c>
      <c r="BJ54" s="3083">
        <f t="shared" si="25"/>
        <v>0</v>
      </c>
      <c r="BK54" s="3083">
        <f t="shared" si="26"/>
        <v>0</v>
      </c>
      <c r="BL54" s="3083">
        <f t="shared" si="27"/>
        <v>0</v>
      </c>
      <c r="BM54" s="3083">
        <f t="shared" si="28"/>
        <v>0</v>
      </c>
      <c r="BN54" s="3083">
        <f t="shared" si="29"/>
        <v>0</v>
      </c>
      <c r="BO54" s="3083">
        <f t="shared" si="30"/>
        <v>0</v>
      </c>
      <c r="BP54" s="3083">
        <f t="shared" si="31"/>
        <v>0</v>
      </c>
      <c r="BQ54" s="3083">
        <f t="shared" si="32"/>
        <v>0</v>
      </c>
      <c r="BR54" s="3083">
        <f t="shared" si="33"/>
        <v>0</v>
      </c>
      <c r="BS54" s="3083">
        <f t="shared" si="34"/>
        <v>0</v>
      </c>
      <c r="BT54" s="3135">
        <f t="shared" si="35"/>
        <v>0</v>
      </c>
    </row>
    <row r="55" spans="1:72">
      <c r="A55" s="3080"/>
      <c r="B55" s="3081"/>
      <c r="C55" s="3081"/>
      <c r="D55" s="3082"/>
      <c r="E55" s="3083">
        <f t="shared" si="7"/>
        <v>0</v>
      </c>
      <c r="F55" s="3084"/>
      <c r="G55" s="3085">
        <f t="shared" si="8"/>
        <v>0</v>
      </c>
      <c r="H55" s="3086">
        <f t="shared" si="9"/>
        <v>0</v>
      </c>
      <c r="I55" s="3093"/>
      <c r="J55" s="3093"/>
      <c r="K55" s="3093"/>
      <c r="L55" s="3093"/>
      <c r="M55" s="3093"/>
      <c r="N55" s="3093"/>
      <c r="O55" s="3093"/>
      <c r="P55" s="3093"/>
      <c r="Q55" s="3093"/>
      <c r="R55" s="3093"/>
      <c r="S55" s="3093"/>
      <c r="T55" s="3093"/>
      <c r="U55" s="3093"/>
      <c r="V55" s="3093"/>
      <c r="W55" s="3093"/>
      <c r="X55" s="3093"/>
      <c r="Y55" s="3093"/>
      <c r="Z55" s="3093"/>
      <c r="AA55" s="3093"/>
      <c r="AB55" s="3093"/>
      <c r="AC55" s="3083">
        <f t="shared" si="10"/>
        <v>0</v>
      </c>
      <c r="AD55" s="3103"/>
      <c r="AE55" s="3103"/>
      <c r="AF55" s="3103"/>
      <c r="AG55" s="3103"/>
      <c r="AH55" s="3103"/>
      <c r="AI55" s="3103"/>
      <c r="AJ55" s="3103"/>
      <c r="AK55" s="3103"/>
      <c r="AL55" s="3103"/>
      <c r="AM55" s="3103"/>
      <c r="AN55" s="3103"/>
      <c r="AO55" s="3103"/>
      <c r="AP55" s="3103"/>
      <c r="AQ55" s="3103"/>
      <c r="AR55" s="3103"/>
      <c r="AS55" s="3103"/>
      <c r="AT55" s="3113"/>
      <c r="AU55" s="3114"/>
      <c r="AV55" s="1580">
        <f t="shared" si="11"/>
        <v>0</v>
      </c>
      <c r="AW55" s="1580">
        <f t="shared" si="12"/>
        <v>0</v>
      </c>
      <c r="AX55" s="1580">
        <f t="shared" si="13"/>
        <v>0</v>
      </c>
      <c r="AY55" s="3128">
        <f t="shared" si="14"/>
        <v>0</v>
      </c>
      <c r="AZ55" s="3083">
        <f t="shared" si="15"/>
        <v>0</v>
      </c>
      <c r="BA55" s="3083">
        <f t="shared" si="16"/>
        <v>0</v>
      </c>
      <c r="BB55" s="3083">
        <f t="shared" si="17"/>
        <v>0</v>
      </c>
      <c r="BC55" s="3083">
        <f t="shared" si="18"/>
        <v>0</v>
      </c>
      <c r="BD55" s="3083">
        <f t="shared" si="19"/>
        <v>0</v>
      </c>
      <c r="BE55" s="3083">
        <f t="shared" si="20"/>
        <v>0</v>
      </c>
      <c r="BF55" s="3083">
        <f t="shared" si="21"/>
        <v>0</v>
      </c>
      <c r="BG55" s="3083">
        <f t="shared" si="22"/>
        <v>0</v>
      </c>
      <c r="BH55" s="3083">
        <f t="shared" si="23"/>
        <v>0</v>
      </c>
      <c r="BI55" s="3083">
        <f t="shared" si="24"/>
        <v>0</v>
      </c>
      <c r="BJ55" s="3083">
        <f t="shared" si="25"/>
        <v>0</v>
      </c>
      <c r="BK55" s="3083">
        <f t="shared" si="26"/>
        <v>0</v>
      </c>
      <c r="BL55" s="3083">
        <f t="shared" si="27"/>
        <v>0</v>
      </c>
      <c r="BM55" s="3083">
        <f t="shared" si="28"/>
        <v>0</v>
      </c>
      <c r="BN55" s="3083">
        <f t="shared" si="29"/>
        <v>0</v>
      </c>
      <c r="BO55" s="3083">
        <f t="shared" si="30"/>
        <v>0</v>
      </c>
      <c r="BP55" s="3083">
        <f t="shared" si="31"/>
        <v>0</v>
      </c>
      <c r="BQ55" s="3083">
        <f t="shared" si="32"/>
        <v>0</v>
      </c>
      <c r="BR55" s="3083">
        <f t="shared" si="33"/>
        <v>0</v>
      </c>
      <c r="BS55" s="3083">
        <f t="shared" si="34"/>
        <v>0</v>
      </c>
      <c r="BT55" s="3135">
        <f t="shared" si="35"/>
        <v>0</v>
      </c>
    </row>
    <row r="56" spans="1:72">
      <c r="A56" s="3080"/>
      <c r="B56" s="3081"/>
      <c r="C56" s="3081"/>
      <c r="D56" s="3082"/>
      <c r="E56" s="3083">
        <f t="shared" si="7"/>
        <v>0</v>
      </c>
      <c r="F56" s="3084"/>
      <c r="G56" s="3085">
        <f t="shared" si="8"/>
        <v>0</v>
      </c>
      <c r="H56" s="3086">
        <f t="shared" si="9"/>
        <v>0</v>
      </c>
      <c r="I56" s="3093"/>
      <c r="J56" s="3093"/>
      <c r="K56" s="3093"/>
      <c r="L56" s="3093"/>
      <c r="M56" s="3093"/>
      <c r="N56" s="3093"/>
      <c r="O56" s="3093"/>
      <c r="P56" s="3093"/>
      <c r="Q56" s="3093"/>
      <c r="R56" s="3093"/>
      <c r="S56" s="3093"/>
      <c r="T56" s="3093"/>
      <c r="U56" s="3093"/>
      <c r="V56" s="3093"/>
      <c r="W56" s="3093"/>
      <c r="X56" s="3093"/>
      <c r="Y56" s="3093"/>
      <c r="Z56" s="3093"/>
      <c r="AA56" s="3093"/>
      <c r="AB56" s="3093"/>
      <c r="AC56" s="3083">
        <f t="shared" si="10"/>
        <v>0</v>
      </c>
      <c r="AD56" s="3103"/>
      <c r="AE56" s="3103"/>
      <c r="AF56" s="3103"/>
      <c r="AG56" s="3103"/>
      <c r="AH56" s="3103"/>
      <c r="AI56" s="3103"/>
      <c r="AJ56" s="3103"/>
      <c r="AK56" s="3103"/>
      <c r="AL56" s="3103"/>
      <c r="AM56" s="3103"/>
      <c r="AN56" s="3103"/>
      <c r="AO56" s="3103"/>
      <c r="AP56" s="3103"/>
      <c r="AQ56" s="3103"/>
      <c r="AR56" s="3103"/>
      <c r="AS56" s="3103"/>
      <c r="AT56" s="3113"/>
      <c r="AU56" s="3114"/>
      <c r="AV56" s="1580">
        <f t="shared" si="11"/>
        <v>0</v>
      </c>
      <c r="AW56" s="1580">
        <f t="shared" si="12"/>
        <v>0</v>
      </c>
      <c r="AX56" s="1580">
        <f t="shared" si="13"/>
        <v>0</v>
      </c>
      <c r="AY56" s="3128">
        <f t="shared" si="14"/>
        <v>0</v>
      </c>
      <c r="AZ56" s="3083">
        <f t="shared" si="15"/>
        <v>0</v>
      </c>
      <c r="BA56" s="3083">
        <f t="shared" si="16"/>
        <v>0</v>
      </c>
      <c r="BB56" s="3083">
        <f t="shared" si="17"/>
        <v>0</v>
      </c>
      <c r="BC56" s="3083">
        <f t="shared" si="18"/>
        <v>0</v>
      </c>
      <c r="BD56" s="3083">
        <f t="shared" si="19"/>
        <v>0</v>
      </c>
      <c r="BE56" s="3083">
        <f t="shared" si="20"/>
        <v>0</v>
      </c>
      <c r="BF56" s="3083">
        <f t="shared" si="21"/>
        <v>0</v>
      </c>
      <c r="BG56" s="3083">
        <f t="shared" si="22"/>
        <v>0</v>
      </c>
      <c r="BH56" s="3083">
        <f t="shared" si="23"/>
        <v>0</v>
      </c>
      <c r="BI56" s="3083">
        <f t="shared" si="24"/>
        <v>0</v>
      </c>
      <c r="BJ56" s="3083">
        <f t="shared" si="25"/>
        <v>0</v>
      </c>
      <c r="BK56" s="3083">
        <f t="shared" si="26"/>
        <v>0</v>
      </c>
      <c r="BL56" s="3083">
        <f t="shared" si="27"/>
        <v>0</v>
      </c>
      <c r="BM56" s="3083">
        <f t="shared" si="28"/>
        <v>0</v>
      </c>
      <c r="BN56" s="3083">
        <f t="shared" si="29"/>
        <v>0</v>
      </c>
      <c r="BO56" s="3083">
        <f t="shared" si="30"/>
        <v>0</v>
      </c>
      <c r="BP56" s="3083">
        <f t="shared" si="31"/>
        <v>0</v>
      </c>
      <c r="BQ56" s="3083">
        <f t="shared" si="32"/>
        <v>0</v>
      </c>
      <c r="BR56" s="3083">
        <f t="shared" si="33"/>
        <v>0</v>
      </c>
      <c r="BS56" s="3083">
        <f t="shared" si="34"/>
        <v>0</v>
      </c>
      <c r="BT56" s="3135">
        <f t="shared" si="35"/>
        <v>0</v>
      </c>
    </row>
    <row r="57" spans="1:72">
      <c r="A57" s="3080"/>
      <c r="B57" s="3081"/>
      <c r="C57" s="3081"/>
      <c r="D57" s="3082"/>
      <c r="E57" s="3083">
        <f t="shared" si="7"/>
        <v>0</v>
      </c>
      <c r="F57" s="3084"/>
      <c r="G57" s="3085">
        <f t="shared" si="8"/>
        <v>0</v>
      </c>
      <c r="H57" s="3086">
        <f t="shared" si="9"/>
        <v>0</v>
      </c>
      <c r="I57" s="3093"/>
      <c r="J57" s="3093"/>
      <c r="K57" s="3093"/>
      <c r="L57" s="3093"/>
      <c r="M57" s="3093"/>
      <c r="N57" s="3093"/>
      <c r="O57" s="3093"/>
      <c r="P57" s="3093"/>
      <c r="Q57" s="3093"/>
      <c r="R57" s="3093"/>
      <c r="S57" s="3093"/>
      <c r="T57" s="3093"/>
      <c r="U57" s="3093"/>
      <c r="V57" s="3093"/>
      <c r="W57" s="3093"/>
      <c r="X57" s="3093"/>
      <c r="Y57" s="3093"/>
      <c r="Z57" s="3093"/>
      <c r="AA57" s="3093"/>
      <c r="AB57" s="3093"/>
      <c r="AC57" s="3083">
        <f t="shared" si="10"/>
        <v>0</v>
      </c>
      <c r="AD57" s="3103"/>
      <c r="AE57" s="3103"/>
      <c r="AF57" s="3103"/>
      <c r="AG57" s="3103"/>
      <c r="AH57" s="3103"/>
      <c r="AI57" s="3103"/>
      <c r="AJ57" s="3103"/>
      <c r="AK57" s="3103"/>
      <c r="AL57" s="3103"/>
      <c r="AM57" s="3103"/>
      <c r="AN57" s="3103"/>
      <c r="AO57" s="3103"/>
      <c r="AP57" s="3103"/>
      <c r="AQ57" s="3103"/>
      <c r="AR57" s="3103"/>
      <c r="AS57" s="3103"/>
      <c r="AT57" s="3113"/>
      <c r="AU57" s="3114"/>
      <c r="AV57" s="1580">
        <f t="shared" si="11"/>
        <v>0</v>
      </c>
      <c r="AW57" s="1580">
        <f t="shared" si="12"/>
        <v>0</v>
      </c>
      <c r="AX57" s="1580">
        <f t="shared" si="13"/>
        <v>0</v>
      </c>
      <c r="AY57" s="3128">
        <f t="shared" si="14"/>
        <v>0</v>
      </c>
      <c r="AZ57" s="3083">
        <f t="shared" si="15"/>
        <v>0</v>
      </c>
      <c r="BA57" s="3083">
        <f t="shared" si="16"/>
        <v>0</v>
      </c>
      <c r="BB57" s="3083">
        <f t="shared" si="17"/>
        <v>0</v>
      </c>
      <c r="BC57" s="3083">
        <f t="shared" si="18"/>
        <v>0</v>
      </c>
      <c r="BD57" s="3083">
        <f t="shared" si="19"/>
        <v>0</v>
      </c>
      <c r="BE57" s="3083">
        <f t="shared" si="20"/>
        <v>0</v>
      </c>
      <c r="BF57" s="3083">
        <f t="shared" si="21"/>
        <v>0</v>
      </c>
      <c r="BG57" s="3083">
        <f t="shared" si="22"/>
        <v>0</v>
      </c>
      <c r="BH57" s="3083">
        <f t="shared" si="23"/>
        <v>0</v>
      </c>
      <c r="BI57" s="3083">
        <f t="shared" si="24"/>
        <v>0</v>
      </c>
      <c r="BJ57" s="3083">
        <f t="shared" si="25"/>
        <v>0</v>
      </c>
      <c r="BK57" s="3083">
        <f t="shared" si="26"/>
        <v>0</v>
      </c>
      <c r="BL57" s="3083">
        <f t="shared" si="27"/>
        <v>0</v>
      </c>
      <c r="BM57" s="3083">
        <f t="shared" si="28"/>
        <v>0</v>
      </c>
      <c r="BN57" s="3083">
        <f t="shared" si="29"/>
        <v>0</v>
      </c>
      <c r="BO57" s="3083">
        <f t="shared" si="30"/>
        <v>0</v>
      </c>
      <c r="BP57" s="3083">
        <f t="shared" si="31"/>
        <v>0</v>
      </c>
      <c r="BQ57" s="3083">
        <f t="shared" si="32"/>
        <v>0</v>
      </c>
      <c r="BR57" s="3083">
        <f t="shared" si="33"/>
        <v>0</v>
      </c>
      <c r="BS57" s="3083">
        <f t="shared" si="34"/>
        <v>0</v>
      </c>
      <c r="BT57" s="3135">
        <f t="shared" si="35"/>
        <v>0</v>
      </c>
    </row>
    <row r="58" spans="1:72">
      <c r="A58" s="3080"/>
      <c r="B58" s="3081"/>
      <c r="C58" s="3081"/>
      <c r="D58" s="3082"/>
      <c r="E58" s="3083">
        <f t="shared" si="7"/>
        <v>0</v>
      </c>
      <c r="F58" s="3084"/>
      <c r="G58" s="3085">
        <f t="shared" si="8"/>
        <v>0</v>
      </c>
      <c r="H58" s="3086">
        <f t="shared" si="9"/>
        <v>0</v>
      </c>
      <c r="I58" s="3093"/>
      <c r="J58" s="3093"/>
      <c r="K58" s="3093"/>
      <c r="L58" s="3093"/>
      <c r="M58" s="3093"/>
      <c r="N58" s="3093"/>
      <c r="O58" s="3093"/>
      <c r="P58" s="3093"/>
      <c r="Q58" s="3093"/>
      <c r="R58" s="3093"/>
      <c r="S58" s="3093"/>
      <c r="T58" s="3093"/>
      <c r="U58" s="3093"/>
      <c r="V58" s="3093"/>
      <c r="W58" s="3093"/>
      <c r="X58" s="3093"/>
      <c r="Y58" s="3093"/>
      <c r="Z58" s="3093"/>
      <c r="AA58" s="3093"/>
      <c r="AB58" s="3093"/>
      <c r="AC58" s="3083">
        <f t="shared" si="10"/>
        <v>0</v>
      </c>
      <c r="AD58" s="3103"/>
      <c r="AE58" s="3103"/>
      <c r="AF58" s="3103"/>
      <c r="AG58" s="3103"/>
      <c r="AH58" s="3103"/>
      <c r="AI58" s="3103"/>
      <c r="AJ58" s="3103"/>
      <c r="AK58" s="3103"/>
      <c r="AL58" s="3103"/>
      <c r="AM58" s="3103"/>
      <c r="AN58" s="3103"/>
      <c r="AO58" s="3103"/>
      <c r="AP58" s="3103"/>
      <c r="AQ58" s="3103"/>
      <c r="AR58" s="3103"/>
      <c r="AS58" s="3103"/>
      <c r="AT58" s="3113"/>
      <c r="AU58" s="3114"/>
      <c r="AV58" s="1580">
        <f t="shared" si="11"/>
        <v>0</v>
      </c>
      <c r="AW58" s="1580">
        <f t="shared" si="12"/>
        <v>0</v>
      </c>
      <c r="AX58" s="1580">
        <f t="shared" si="13"/>
        <v>0</v>
      </c>
      <c r="AY58" s="3128">
        <f t="shared" si="14"/>
        <v>0</v>
      </c>
      <c r="AZ58" s="3083">
        <f t="shared" si="15"/>
        <v>0</v>
      </c>
      <c r="BA58" s="3083">
        <f t="shared" si="16"/>
        <v>0</v>
      </c>
      <c r="BB58" s="3083">
        <f t="shared" si="17"/>
        <v>0</v>
      </c>
      <c r="BC58" s="3083">
        <f t="shared" si="18"/>
        <v>0</v>
      </c>
      <c r="BD58" s="3083">
        <f t="shared" si="19"/>
        <v>0</v>
      </c>
      <c r="BE58" s="3083">
        <f t="shared" si="20"/>
        <v>0</v>
      </c>
      <c r="BF58" s="3083">
        <f t="shared" si="21"/>
        <v>0</v>
      </c>
      <c r="BG58" s="3083">
        <f t="shared" si="22"/>
        <v>0</v>
      </c>
      <c r="BH58" s="3083">
        <f t="shared" si="23"/>
        <v>0</v>
      </c>
      <c r="BI58" s="3083">
        <f t="shared" si="24"/>
        <v>0</v>
      </c>
      <c r="BJ58" s="3083">
        <f t="shared" si="25"/>
        <v>0</v>
      </c>
      <c r="BK58" s="3083">
        <f t="shared" si="26"/>
        <v>0</v>
      </c>
      <c r="BL58" s="3083">
        <f t="shared" si="27"/>
        <v>0</v>
      </c>
      <c r="BM58" s="3083">
        <f t="shared" si="28"/>
        <v>0</v>
      </c>
      <c r="BN58" s="3083">
        <f t="shared" si="29"/>
        <v>0</v>
      </c>
      <c r="BO58" s="3083">
        <f t="shared" si="30"/>
        <v>0</v>
      </c>
      <c r="BP58" s="3083">
        <f t="shared" si="31"/>
        <v>0</v>
      </c>
      <c r="BQ58" s="3083">
        <f t="shared" si="32"/>
        <v>0</v>
      </c>
      <c r="BR58" s="3083">
        <f t="shared" si="33"/>
        <v>0</v>
      </c>
      <c r="BS58" s="3083">
        <f t="shared" si="34"/>
        <v>0</v>
      </c>
      <c r="BT58" s="3135">
        <f t="shared" si="35"/>
        <v>0</v>
      </c>
    </row>
    <row r="59" spans="1:72">
      <c r="A59" s="3080"/>
      <c r="B59" s="3081"/>
      <c r="C59" s="3081"/>
      <c r="D59" s="3082"/>
      <c r="E59" s="3083">
        <f t="shared" si="7"/>
        <v>0</v>
      </c>
      <c r="F59" s="3084"/>
      <c r="G59" s="3085">
        <f t="shared" si="8"/>
        <v>0</v>
      </c>
      <c r="H59" s="3086">
        <f t="shared" si="9"/>
        <v>0</v>
      </c>
      <c r="I59" s="3093"/>
      <c r="J59" s="3093"/>
      <c r="K59" s="3093"/>
      <c r="L59" s="3093"/>
      <c r="M59" s="3093"/>
      <c r="N59" s="3093"/>
      <c r="O59" s="3093"/>
      <c r="P59" s="3093"/>
      <c r="Q59" s="3093"/>
      <c r="R59" s="3093"/>
      <c r="S59" s="3093"/>
      <c r="T59" s="3093"/>
      <c r="U59" s="3093"/>
      <c r="V59" s="3093"/>
      <c r="W59" s="3093"/>
      <c r="X59" s="3093"/>
      <c r="Y59" s="3093"/>
      <c r="Z59" s="3093"/>
      <c r="AA59" s="3093"/>
      <c r="AB59" s="3093"/>
      <c r="AC59" s="3083">
        <f t="shared" si="10"/>
        <v>0</v>
      </c>
      <c r="AD59" s="3103"/>
      <c r="AE59" s="3103"/>
      <c r="AF59" s="3103"/>
      <c r="AG59" s="3103"/>
      <c r="AH59" s="3103"/>
      <c r="AI59" s="3103"/>
      <c r="AJ59" s="3103"/>
      <c r="AK59" s="3103"/>
      <c r="AL59" s="3103"/>
      <c r="AM59" s="3103"/>
      <c r="AN59" s="3103"/>
      <c r="AO59" s="3103"/>
      <c r="AP59" s="3103"/>
      <c r="AQ59" s="3103"/>
      <c r="AR59" s="3103"/>
      <c r="AS59" s="3103"/>
      <c r="AT59" s="3113"/>
      <c r="AU59" s="3114"/>
      <c r="AV59" s="1580">
        <f t="shared" si="11"/>
        <v>0</v>
      </c>
      <c r="AW59" s="1580">
        <f t="shared" si="12"/>
        <v>0</v>
      </c>
      <c r="AX59" s="1580">
        <f t="shared" si="13"/>
        <v>0</v>
      </c>
      <c r="AY59" s="3128">
        <f t="shared" si="14"/>
        <v>0</v>
      </c>
      <c r="AZ59" s="3083">
        <f t="shared" si="15"/>
        <v>0</v>
      </c>
      <c r="BA59" s="3083">
        <f t="shared" si="16"/>
        <v>0</v>
      </c>
      <c r="BB59" s="3083">
        <f t="shared" si="17"/>
        <v>0</v>
      </c>
      <c r="BC59" s="3083">
        <f t="shared" si="18"/>
        <v>0</v>
      </c>
      <c r="BD59" s="3083">
        <f t="shared" si="19"/>
        <v>0</v>
      </c>
      <c r="BE59" s="3083">
        <f t="shared" si="20"/>
        <v>0</v>
      </c>
      <c r="BF59" s="3083">
        <f t="shared" si="21"/>
        <v>0</v>
      </c>
      <c r="BG59" s="3083">
        <f t="shared" si="22"/>
        <v>0</v>
      </c>
      <c r="BH59" s="3083">
        <f t="shared" si="23"/>
        <v>0</v>
      </c>
      <c r="BI59" s="3083">
        <f t="shared" si="24"/>
        <v>0</v>
      </c>
      <c r="BJ59" s="3083">
        <f t="shared" si="25"/>
        <v>0</v>
      </c>
      <c r="BK59" s="3083">
        <f t="shared" si="26"/>
        <v>0</v>
      </c>
      <c r="BL59" s="3083">
        <f t="shared" si="27"/>
        <v>0</v>
      </c>
      <c r="BM59" s="3083">
        <f t="shared" si="28"/>
        <v>0</v>
      </c>
      <c r="BN59" s="3083">
        <f t="shared" si="29"/>
        <v>0</v>
      </c>
      <c r="BO59" s="3083">
        <f t="shared" si="30"/>
        <v>0</v>
      </c>
      <c r="BP59" s="3083">
        <f t="shared" si="31"/>
        <v>0</v>
      </c>
      <c r="BQ59" s="3083">
        <f t="shared" si="32"/>
        <v>0</v>
      </c>
      <c r="BR59" s="3083">
        <f t="shared" si="33"/>
        <v>0</v>
      </c>
      <c r="BS59" s="3083">
        <f t="shared" si="34"/>
        <v>0</v>
      </c>
      <c r="BT59" s="3135">
        <f t="shared" si="35"/>
        <v>0</v>
      </c>
    </row>
    <row r="60" spans="1:72">
      <c r="A60" s="3080"/>
      <c r="B60" s="3081"/>
      <c r="C60" s="3081"/>
      <c r="D60" s="3082"/>
      <c r="E60" s="3083">
        <f t="shared" si="7"/>
        <v>0</v>
      </c>
      <c r="F60" s="3084"/>
      <c r="G60" s="3085">
        <f t="shared" si="8"/>
        <v>0</v>
      </c>
      <c r="H60" s="3086">
        <f t="shared" si="9"/>
        <v>0</v>
      </c>
      <c r="I60" s="3093"/>
      <c r="J60" s="3093"/>
      <c r="K60" s="3093"/>
      <c r="L60" s="3093"/>
      <c r="M60" s="3093"/>
      <c r="N60" s="3093"/>
      <c r="O60" s="3093"/>
      <c r="P60" s="3093"/>
      <c r="Q60" s="3093"/>
      <c r="R60" s="3093"/>
      <c r="S60" s="3093"/>
      <c r="T60" s="3093"/>
      <c r="U60" s="3093"/>
      <c r="V60" s="3093"/>
      <c r="W60" s="3093"/>
      <c r="X60" s="3093"/>
      <c r="Y60" s="3093"/>
      <c r="Z60" s="3093"/>
      <c r="AA60" s="3093"/>
      <c r="AB60" s="3093"/>
      <c r="AC60" s="3083">
        <f t="shared" si="10"/>
        <v>0</v>
      </c>
      <c r="AD60" s="3103"/>
      <c r="AE60" s="3103"/>
      <c r="AF60" s="3103"/>
      <c r="AG60" s="3103"/>
      <c r="AH60" s="3103"/>
      <c r="AI60" s="3103"/>
      <c r="AJ60" s="3103"/>
      <c r="AK60" s="3103"/>
      <c r="AL60" s="3103"/>
      <c r="AM60" s="3103"/>
      <c r="AN60" s="3103"/>
      <c r="AO60" s="3103"/>
      <c r="AP60" s="3103"/>
      <c r="AQ60" s="3103"/>
      <c r="AR60" s="3103"/>
      <c r="AS60" s="3103"/>
      <c r="AT60" s="3113"/>
      <c r="AU60" s="3114"/>
      <c r="AV60" s="1580">
        <f t="shared" si="11"/>
        <v>0</v>
      </c>
      <c r="AW60" s="1580">
        <f t="shared" si="12"/>
        <v>0</v>
      </c>
      <c r="AX60" s="1580">
        <f t="shared" si="13"/>
        <v>0</v>
      </c>
      <c r="AY60" s="3128">
        <f t="shared" si="14"/>
        <v>0</v>
      </c>
      <c r="AZ60" s="3083">
        <f t="shared" si="15"/>
        <v>0</v>
      </c>
      <c r="BA60" s="3083">
        <f t="shared" si="16"/>
        <v>0</v>
      </c>
      <c r="BB60" s="3083">
        <f t="shared" si="17"/>
        <v>0</v>
      </c>
      <c r="BC60" s="3083">
        <f t="shared" si="18"/>
        <v>0</v>
      </c>
      <c r="BD60" s="3083">
        <f t="shared" si="19"/>
        <v>0</v>
      </c>
      <c r="BE60" s="3083">
        <f t="shared" si="20"/>
        <v>0</v>
      </c>
      <c r="BF60" s="3083">
        <f t="shared" si="21"/>
        <v>0</v>
      </c>
      <c r="BG60" s="3083">
        <f t="shared" si="22"/>
        <v>0</v>
      </c>
      <c r="BH60" s="3083">
        <f t="shared" si="23"/>
        <v>0</v>
      </c>
      <c r="BI60" s="3083">
        <f t="shared" si="24"/>
        <v>0</v>
      </c>
      <c r="BJ60" s="3083">
        <f t="shared" si="25"/>
        <v>0</v>
      </c>
      <c r="BK60" s="3083">
        <f t="shared" si="26"/>
        <v>0</v>
      </c>
      <c r="BL60" s="3083">
        <f t="shared" si="27"/>
        <v>0</v>
      </c>
      <c r="BM60" s="3083">
        <f t="shared" si="28"/>
        <v>0</v>
      </c>
      <c r="BN60" s="3083">
        <f t="shared" si="29"/>
        <v>0</v>
      </c>
      <c r="BO60" s="3083">
        <f t="shared" si="30"/>
        <v>0</v>
      </c>
      <c r="BP60" s="3083">
        <f t="shared" si="31"/>
        <v>0</v>
      </c>
      <c r="BQ60" s="3083">
        <f t="shared" si="32"/>
        <v>0</v>
      </c>
      <c r="BR60" s="3083">
        <f t="shared" si="33"/>
        <v>0</v>
      </c>
      <c r="BS60" s="3083">
        <f t="shared" si="34"/>
        <v>0</v>
      </c>
      <c r="BT60" s="3135">
        <f t="shared" si="35"/>
        <v>0</v>
      </c>
    </row>
    <row r="61" spans="1:72">
      <c r="A61" s="3080"/>
      <c r="B61" s="3081"/>
      <c r="C61" s="3081"/>
      <c r="D61" s="3082"/>
      <c r="E61" s="3083">
        <f t="shared" si="7"/>
        <v>0</v>
      </c>
      <c r="F61" s="3084"/>
      <c r="G61" s="3085">
        <f t="shared" si="8"/>
        <v>0</v>
      </c>
      <c r="H61" s="3086">
        <f t="shared" si="9"/>
        <v>0</v>
      </c>
      <c r="I61" s="3093"/>
      <c r="J61" s="3093"/>
      <c r="K61" s="3093"/>
      <c r="L61" s="3093"/>
      <c r="M61" s="3093"/>
      <c r="N61" s="3093"/>
      <c r="O61" s="3093"/>
      <c r="P61" s="3093"/>
      <c r="Q61" s="3093"/>
      <c r="R61" s="3093"/>
      <c r="S61" s="3093"/>
      <c r="T61" s="3093"/>
      <c r="U61" s="3093"/>
      <c r="V61" s="3093"/>
      <c r="W61" s="3093"/>
      <c r="X61" s="3093"/>
      <c r="Y61" s="3093"/>
      <c r="Z61" s="3093"/>
      <c r="AA61" s="3093"/>
      <c r="AB61" s="3093"/>
      <c r="AC61" s="3083">
        <f t="shared" si="10"/>
        <v>0</v>
      </c>
      <c r="AD61" s="3103"/>
      <c r="AE61" s="3103"/>
      <c r="AF61" s="3103"/>
      <c r="AG61" s="3103"/>
      <c r="AH61" s="3103"/>
      <c r="AI61" s="3103"/>
      <c r="AJ61" s="3103"/>
      <c r="AK61" s="3103"/>
      <c r="AL61" s="3103"/>
      <c r="AM61" s="3103"/>
      <c r="AN61" s="3103"/>
      <c r="AO61" s="3103"/>
      <c r="AP61" s="3103"/>
      <c r="AQ61" s="3103"/>
      <c r="AR61" s="3103"/>
      <c r="AS61" s="3103"/>
      <c r="AT61" s="3113"/>
      <c r="AU61" s="3114"/>
      <c r="AV61" s="1580">
        <f t="shared" si="11"/>
        <v>0</v>
      </c>
      <c r="AW61" s="1580">
        <f t="shared" si="12"/>
        <v>0</v>
      </c>
      <c r="AX61" s="1580">
        <f t="shared" si="13"/>
        <v>0</v>
      </c>
      <c r="AY61" s="3128">
        <f t="shared" si="14"/>
        <v>0</v>
      </c>
      <c r="AZ61" s="3083">
        <f t="shared" si="15"/>
        <v>0</v>
      </c>
      <c r="BA61" s="3083">
        <f t="shared" si="16"/>
        <v>0</v>
      </c>
      <c r="BB61" s="3083">
        <f t="shared" si="17"/>
        <v>0</v>
      </c>
      <c r="BC61" s="3083">
        <f t="shared" si="18"/>
        <v>0</v>
      </c>
      <c r="BD61" s="3083">
        <f t="shared" si="19"/>
        <v>0</v>
      </c>
      <c r="BE61" s="3083">
        <f t="shared" si="20"/>
        <v>0</v>
      </c>
      <c r="BF61" s="3083">
        <f t="shared" si="21"/>
        <v>0</v>
      </c>
      <c r="BG61" s="3083">
        <f t="shared" si="22"/>
        <v>0</v>
      </c>
      <c r="BH61" s="3083">
        <f t="shared" si="23"/>
        <v>0</v>
      </c>
      <c r="BI61" s="3083">
        <f t="shared" si="24"/>
        <v>0</v>
      </c>
      <c r="BJ61" s="3083">
        <f t="shared" si="25"/>
        <v>0</v>
      </c>
      <c r="BK61" s="3083">
        <f t="shared" si="26"/>
        <v>0</v>
      </c>
      <c r="BL61" s="3083">
        <f t="shared" si="27"/>
        <v>0</v>
      </c>
      <c r="BM61" s="3083">
        <f t="shared" si="28"/>
        <v>0</v>
      </c>
      <c r="BN61" s="3083">
        <f t="shared" si="29"/>
        <v>0</v>
      </c>
      <c r="BO61" s="3083">
        <f t="shared" si="30"/>
        <v>0</v>
      </c>
      <c r="BP61" s="3083">
        <f t="shared" si="31"/>
        <v>0</v>
      </c>
      <c r="BQ61" s="3083">
        <f t="shared" si="32"/>
        <v>0</v>
      </c>
      <c r="BR61" s="3083">
        <f t="shared" si="33"/>
        <v>0</v>
      </c>
      <c r="BS61" s="3083">
        <f t="shared" si="34"/>
        <v>0</v>
      </c>
      <c r="BT61" s="3135">
        <f t="shared" si="35"/>
        <v>0</v>
      </c>
    </row>
    <row r="62" spans="1:72">
      <c r="A62" s="3080"/>
      <c r="B62" s="3081"/>
      <c r="C62" s="3081"/>
      <c r="D62" s="3082"/>
      <c r="E62" s="3083">
        <f t="shared" si="7"/>
        <v>0</v>
      </c>
      <c r="F62" s="3084"/>
      <c r="G62" s="3085">
        <f t="shared" si="8"/>
        <v>0</v>
      </c>
      <c r="H62" s="3086">
        <f t="shared" si="9"/>
        <v>0</v>
      </c>
      <c r="I62" s="3093"/>
      <c r="J62" s="3093"/>
      <c r="K62" s="3093"/>
      <c r="L62" s="3093"/>
      <c r="M62" s="3093"/>
      <c r="N62" s="3093"/>
      <c r="O62" s="3093"/>
      <c r="P62" s="3093"/>
      <c r="Q62" s="3093"/>
      <c r="R62" s="3093"/>
      <c r="S62" s="3093"/>
      <c r="T62" s="3093"/>
      <c r="U62" s="3093"/>
      <c r="V62" s="3093"/>
      <c r="W62" s="3093"/>
      <c r="X62" s="3093"/>
      <c r="Y62" s="3093"/>
      <c r="Z62" s="3093"/>
      <c r="AA62" s="3093"/>
      <c r="AB62" s="3093"/>
      <c r="AC62" s="3083">
        <f t="shared" si="10"/>
        <v>0</v>
      </c>
      <c r="AD62" s="3103"/>
      <c r="AE62" s="3103"/>
      <c r="AF62" s="3103"/>
      <c r="AG62" s="3103"/>
      <c r="AH62" s="3103"/>
      <c r="AI62" s="3103"/>
      <c r="AJ62" s="3103"/>
      <c r="AK62" s="3103"/>
      <c r="AL62" s="3103"/>
      <c r="AM62" s="3103"/>
      <c r="AN62" s="3103"/>
      <c r="AO62" s="3103"/>
      <c r="AP62" s="3103"/>
      <c r="AQ62" s="3103"/>
      <c r="AR62" s="3103"/>
      <c r="AS62" s="3103"/>
      <c r="AT62" s="3113"/>
      <c r="AU62" s="3114"/>
      <c r="AV62" s="1580">
        <f t="shared" si="11"/>
        <v>0</v>
      </c>
      <c r="AW62" s="1580">
        <f t="shared" si="12"/>
        <v>0</v>
      </c>
      <c r="AX62" s="1580">
        <f t="shared" si="13"/>
        <v>0</v>
      </c>
      <c r="AY62" s="3128">
        <f t="shared" si="14"/>
        <v>0</v>
      </c>
      <c r="AZ62" s="3083">
        <f t="shared" si="15"/>
        <v>0</v>
      </c>
      <c r="BA62" s="3083">
        <f t="shared" si="16"/>
        <v>0</v>
      </c>
      <c r="BB62" s="3083">
        <f t="shared" si="17"/>
        <v>0</v>
      </c>
      <c r="BC62" s="3083">
        <f t="shared" si="18"/>
        <v>0</v>
      </c>
      <c r="BD62" s="3083">
        <f t="shared" si="19"/>
        <v>0</v>
      </c>
      <c r="BE62" s="3083">
        <f t="shared" si="20"/>
        <v>0</v>
      </c>
      <c r="BF62" s="3083">
        <f t="shared" si="21"/>
        <v>0</v>
      </c>
      <c r="BG62" s="3083">
        <f t="shared" si="22"/>
        <v>0</v>
      </c>
      <c r="BH62" s="3083">
        <f t="shared" si="23"/>
        <v>0</v>
      </c>
      <c r="BI62" s="3083">
        <f t="shared" si="24"/>
        <v>0</v>
      </c>
      <c r="BJ62" s="3083">
        <f t="shared" si="25"/>
        <v>0</v>
      </c>
      <c r="BK62" s="3083">
        <f t="shared" si="26"/>
        <v>0</v>
      </c>
      <c r="BL62" s="3083">
        <f t="shared" si="27"/>
        <v>0</v>
      </c>
      <c r="BM62" s="3083">
        <f t="shared" si="28"/>
        <v>0</v>
      </c>
      <c r="BN62" s="3083">
        <f t="shared" si="29"/>
        <v>0</v>
      </c>
      <c r="BO62" s="3083">
        <f t="shared" si="30"/>
        <v>0</v>
      </c>
      <c r="BP62" s="3083">
        <f t="shared" si="31"/>
        <v>0</v>
      </c>
      <c r="BQ62" s="3083">
        <f t="shared" si="32"/>
        <v>0</v>
      </c>
      <c r="BR62" s="3083">
        <f t="shared" si="33"/>
        <v>0</v>
      </c>
      <c r="BS62" s="3083">
        <f t="shared" si="34"/>
        <v>0</v>
      </c>
      <c r="BT62" s="3135">
        <f t="shared" si="35"/>
        <v>0</v>
      </c>
    </row>
    <row r="63" spans="1:72">
      <c r="A63" s="3080"/>
      <c r="B63" s="3081"/>
      <c r="C63" s="3081"/>
      <c r="D63" s="3082"/>
      <c r="E63" s="3083">
        <f t="shared" si="7"/>
        <v>0</v>
      </c>
      <c r="F63" s="3084"/>
      <c r="G63" s="3085">
        <f t="shared" si="8"/>
        <v>0</v>
      </c>
      <c r="H63" s="3086">
        <f t="shared" si="9"/>
        <v>0</v>
      </c>
      <c r="I63" s="3093"/>
      <c r="J63" s="3093"/>
      <c r="K63" s="3093"/>
      <c r="L63" s="3093"/>
      <c r="M63" s="3093"/>
      <c r="N63" s="3093"/>
      <c r="O63" s="3093"/>
      <c r="P63" s="3093"/>
      <c r="Q63" s="3093"/>
      <c r="R63" s="3093"/>
      <c r="S63" s="3093"/>
      <c r="T63" s="3093"/>
      <c r="U63" s="3093"/>
      <c r="V63" s="3093"/>
      <c r="W63" s="3093"/>
      <c r="X63" s="3093"/>
      <c r="Y63" s="3093"/>
      <c r="Z63" s="3093"/>
      <c r="AA63" s="3093"/>
      <c r="AB63" s="3093"/>
      <c r="AC63" s="3083">
        <f t="shared" si="10"/>
        <v>0</v>
      </c>
      <c r="AD63" s="3103"/>
      <c r="AE63" s="3103"/>
      <c r="AF63" s="3103"/>
      <c r="AG63" s="3103"/>
      <c r="AH63" s="3103"/>
      <c r="AI63" s="3103"/>
      <c r="AJ63" s="3103"/>
      <c r="AK63" s="3103"/>
      <c r="AL63" s="3103"/>
      <c r="AM63" s="3103"/>
      <c r="AN63" s="3103"/>
      <c r="AO63" s="3103"/>
      <c r="AP63" s="3103"/>
      <c r="AQ63" s="3103"/>
      <c r="AR63" s="3103"/>
      <c r="AS63" s="3103"/>
      <c r="AT63" s="3113"/>
      <c r="AU63" s="3114"/>
      <c r="AV63" s="1580">
        <f t="shared" si="11"/>
        <v>0</v>
      </c>
      <c r="AW63" s="1580">
        <f t="shared" si="12"/>
        <v>0</v>
      </c>
      <c r="AX63" s="1580">
        <f t="shared" si="13"/>
        <v>0</v>
      </c>
      <c r="AY63" s="3128">
        <f t="shared" si="14"/>
        <v>0</v>
      </c>
      <c r="AZ63" s="3083">
        <f t="shared" si="15"/>
        <v>0</v>
      </c>
      <c r="BA63" s="3083">
        <f t="shared" si="16"/>
        <v>0</v>
      </c>
      <c r="BB63" s="3083">
        <f t="shared" si="17"/>
        <v>0</v>
      </c>
      <c r="BC63" s="3083">
        <f t="shared" si="18"/>
        <v>0</v>
      </c>
      <c r="BD63" s="3083">
        <f t="shared" si="19"/>
        <v>0</v>
      </c>
      <c r="BE63" s="3083">
        <f t="shared" si="20"/>
        <v>0</v>
      </c>
      <c r="BF63" s="3083">
        <f t="shared" si="21"/>
        <v>0</v>
      </c>
      <c r="BG63" s="3083">
        <f t="shared" si="22"/>
        <v>0</v>
      </c>
      <c r="BH63" s="3083">
        <f t="shared" si="23"/>
        <v>0</v>
      </c>
      <c r="BI63" s="3083">
        <f t="shared" si="24"/>
        <v>0</v>
      </c>
      <c r="BJ63" s="3083">
        <f t="shared" si="25"/>
        <v>0</v>
      </c>
      <c r="BK63" s="3083">
        <f t="shared" si="26"/>
        <v>0</v>
      </c>
      <c r="BL63" s="3083">
        <f t="shared" si="27"/>
        <v>0</v>
      </c>
      <c r="BM63" s="3083">
        <f t="shared" si="28"/>
        <v>0</v>
      </c>
      <c r="BN63" s="3083">
        <f t="shared" si="29"/>
        <v>0</v>
      </c>
      <c r="BO63" s="3083">
        <f t="shared" si="30"/>
        <v>0</v>
      </c>
      <c r="BP63" s="3083">
        <f t="shared" si="31"/>
        <v>0</v>
      </c>
      <c r="BQ63" s="3083">
        <f t="shared" si="32"/>
        <v>0</v>
      </c>
      <c r="BR63" s="3083">
        <f t="shared" si="33"/>
        <v>0</v>
      </c>
      <c r="BS63" s="3083">
        <f t="shared" si="34"/>
        <v>0</v>
      </c>
      <c r="BT63" s="3135">
        <f t="shared" si="35"/>
        <v>0</v>
      </c>
    </row>
    <row r="64" spans="1:72">
      <c r="A64" s="3080"/>
      <c r="B64" s="3081"/>
      <c r="C64" s="3081"/>
      <c r="D64" s="3082"/>
      <c r="E64" s="3083">
        <f t="shared" si="7"/>
        <v>0</v>
      </c>
      <c r="F64" s="3084"/>
      <c r="G64" s="3085">
        <f t="shared" si="8"/>
        <v>0</v>
      </c>
      <c r="H64" s="3086">
        <f t="shared" si="9"/>
        <v>0</v>
      </c>
      <c r="I64" s="3093"/>
      <c r="J64" s="3093"/>
      <c r="K64" s="3093"/>
      <c r="L64" s="3093"/>
      <c r="M64" s="3093"/>
      <c r="N64" s="3093"/>
      <c r="O64" s="3093"/>
      <c r="P64" s="3093"/>
      <c r="Q64" s="3093"/>
      <c r="R64" s="3093"/>
      <c r="S64" s="3093"/>
      <c r="T64" s="3093"/>
      <c r="U64" s="3093"/>
      <c r="V64" s="3093"/>
      <c r="W64" s="3093"/>
      <c r="X64" s="3093"/>
      <c r="Y64" s="3093"/>
      <c r="Z64" s="3093"/>
      <c r="AA64" s="3093"/>
      <c r="AB64" s="3093"/>
      <c r="AC64" s="3083">
        <f t="shared" si="10"/>
        <v>0</v>
      </c>
      <c r="AD64" s="3103"/>
      <c r="AE64" s="3103"/>
      <c r="AF64" s="3103"/>
      <c r="AG64" s="3103"/>
      <c r="AH64" s="3103"/>
      <c r="AI64" s="3103"/>
      <c r="AJ64" s="3103"/>
      <c r="AK64" s="3103"/>
      <c r="AL64" s="3103"/>
      <c r="AM64" s="3103"/>
      <c r="AN64" s="3103"/>
      <c r="AO64" s="3103"/>
      <c r="AP64" s="3103"/>
      <c r="AQ64" s="3103"/>
      <c r="AR64" s="3103"/>
      <c r="AS64" s="3103"/>
      <c r="AT64" s="3113"/>
      <c r="AU64" s="3114"/>
      <c r="AV64" s="1580">
        <f t="shared" si="11"/>
        <v>0</v>
      </c>
      <c r="AW64" s="1580">
        <f t="shared" si="12"/>
        <v>0</v>
      </c>
      <c r="AX64" s="1580">
        <f t="shared" si="13"/>
        <v>0</v>
      </c>
      <c r="AY64" s="3128">
        <f t="shared" si="14"/>
        <v>0</v>
      </c>
      <c r="AZ64" s="3083">
        <f t="shared" si="15"/>
        <v>0</v>
      </c>
      <c r="BA64" s="3083">
        <f t="shared" si="16"/>
        <v>0</v>
      </c>
      <c r="BB64" s="3083">
        <f t="shared" si="17"/>
        <v>0</v>
      </c>
      <c r="BC64" s="3083">
        <f t="shared" si="18"/>
        <v>0</v>
      </c>
      <c r="BD64" s="3083">
        <f t="shared" si="19"/>
        <v>0</v>
      </c>
      <c r="BE64" s="3083">
        <f t="shared" si="20"/>
        <v>0</v>
      </c>
      <c r="BF64" s="3083">
        <f t="shared" si="21"/>
        <v>0</v>
      </c>
      <c r="BG64" s="3083">
        <f t="shared" si="22"/>
        <v>0</v>
      </c>
      <c r="BH64" s="3083">
        <f t="shared" si="23"/>
        <v>0</v>
      </c>
      <c r="BI64" s="3083">
        <f t="shared" si="24"/>
        <v>0</v>
      </c>
      <c r="BJ64" s="3083">
        <f t="shared" si="25"/>
        <v>0</v>
      </c>
      <c r="BK64" s="3083">
        <f t="shared" si="26"/>
        <v>0</v>
      </c>
      <c r="BL64" s="3083">
        <f t="shared" si="27"/>
        <v>0</v>
      </c>
      <c r="BM64" s="3083">
        <f t="shared" si="28"/>
        <v>0</v>
      </c>
      <c r="BN64" s="3083">
        <f t="shared" si="29"/>
        <v>0</v>
      </c>
      <c r="BO64" s="3083">
        <f t="shared" si="30"/>
        <v>0</v>
      </c>
      <c r="BP64" s="3083">
        <f t="shared" si="31"/>
        <v>0</v>
      </c>
      <c r="BQ64" s="3083">
        <f t="shared" si="32"/>
        <v>0</v>
      </c>
      <c r="BR64" s="3083">
        <f t="shared" si="33"/>
        <v>0</v>
      </c>
      <c r="BS64" s="3083">
        <f t="shared" si="34"/>
        <v>0</v>
      </c>
      <c r="BT64" s="3135">
        <f t="shared" si="35"/>
        <v>0</v>
      </c>
    </row>
    <row r="65" spans="1:72">
      <c r="A65" s="3080"/>
      <c r="B65" s="3081"/>
      <c r="C65" s="3081"/>
      <c r="D65" s="3082"/>
      <c r="E65" s="3083">
        <f t="shared" si="7"/>
        <v>0</v>
      </c>
      <c r="F65" s="3084"/>
      <c r="G65" s="3085">
        <f t="shared" si="8"/>
        <v>0</v>
      </c>
      <c r="H65" s="3086">
        <f t="shared" si="9"/>
        <v>0</v>
      </c>
      <c r="I65" s="3093"/>
      <c r="J65" s="3093"/>
      <c r="K65" s="3093"/>
      <c r="L65" s="3093"/>
      <c r="M65" s="3093"/>
      <c r="N65" s="3093"/>
      <c r="O65" s="3093"/>
      <c r="P65" s="3093"/>
      <c r="Q65" s="3093"/>
      <c r="R65" s="3093"/>
      <c r="S65" s="3093"/>
      <c r="T65" s="3093"/>
      <c r="U65" s="3093"/>
      <c r="V65" s="3093"/>
      <c r="W65" s="3093"/>
      <c r="X65" s="3093"/>
      <c r="Y65" s="3093"/>
      <c r="Z65" s="3093"/>
      <c r="AA65" s="3093"/>
      <c r="AB65" s="3093"/>
      <c r="AC65" s="3083">
        <f t="shared" si="10"/>
        <v>0</v>
      </c>
      <c r="AD65" s="3103"/>
      <c r="AE65" s="3103"/>
      <c r="AF65" s="3103"/>
      <c r="AG65" s="3103"/>
      <c r="AH65" s="3103"/>
      <c r="AI65" s="3103"/>
      <c r="AJ65" s="3103"/>
      <c r="AK65" s="3103"/>
      <c r="AL65" s="3103"/>
      <c r="AM65" s="3103"/>
      <c r="AN65" s="3103"/>
      <c r="AO65" s="3103"/>
      <c r="AP65" s="3103"/>
      <c r="AQ65" s="3103"/>
      <c r="AR65" s="3103"/>
      <c r="AS65" s="3103"/>
      <c r="AT65" s="3113"/>
      <c r="AU65" s="3114"/>
      <c r="AV65" s="1580">
        <f t="shared" si="11"/>
        <v>0</v>
      </c>
      <c r="AW65" s="1580">
        <f t="shared" si="12"/>
        <v>0</v>
      </c>
      <c r="AX65" s="1580">
        <f t="shared" si="13"/>
        <v>0</v>
      </c>
      <c r="AY65" s="3128">
        <f t="shared" si="14"/>
        <v>0</v>
      </c>
      <c r="AZ65" s="3083">
        <f t="shared" si="15"/>
        <v>0</v>
      </c>
      <c r="BA65" s="3083">
        <f t="shared" si="16"/>
        <v>0</v>
      </c>
      <c r="BB65" s="3083">
        <f t="shared" si="17"/>
        <v>0</v>
      </c>
      <c r="BC65" s="3083">
        <f t="shared" si="18"/>
        <v>0</v>
      </c>
      <c r="BD65" s="3083">
        <f t="shared" si="19"/>
        <v>0</v>
      </c>
      <c r="BE65" s="3083">
        <f t="shared" si="20"/>
        <v>0</v>
      </c>
      <c r="BF65" s="3083">
        <f t="shared" si="21"/>
        <v>0</v>
      </c>
      <c r="BG65" s="3083">
        <f t="shared" si="22"/>
        <v>0</v>
      </c>
      <c r="BH65" s="3083">
        <f t="shared" si="23"/>
        <v>0</v>
      </c>
      <c r="BI65" s="3083">
        <f t="shared" si="24"/>
        <v>0</v>
      </c>
      <c r="BJ65" s="3083">
        <f t="shared" si="25"/>
        <v>0</v>
      </c>
      <c r="BK65" s="3083">
        <f t="shared" si="26"/>
        <v>0</v>
      </c>
      <c r="BL65" s="3083">
        <f t="shared" si="27"/>
        <v>0</v>
      </c>
      <c r="BM65" s="3083">
        <f t="shared" si="28"/>
        <v>0</v>
      </c>
      <c r="BN65" s="3083">
        <f t="shared" si="29"/>
        <v>0</v>
      </c>
      <c r="BO65" s="3083">
        <f t="shared" si="30"/>
        <v>0</v>
      </c>
      <c r="BP65" s="3083">
        <f t="shared" si="31"/>
        <v>0</v>
      </c>
      <c r="BQ65" s="3083">
        <f t="shared" si="32"/>
        <v>0</v>
      </c>
      <c r="BR65" s="3083">
        <f t="shared" si="33"/>
        <v>0</v>
      </c>
      <c r="BS65" s="3083">
        <f t="shared" si="34"/>
        <v>0</v>
      </c>
      <c r="BT65" s="3135">
        <f t="shared" si="35"/>
        <v>0</v>
      </c>
    </row>
    <row r="66" spans="1:72">
      <c r="A66" s="3080"/>
      <c r="B66" s="3081"/>
      <c r="C66" s="3081"/>
      <c r="D66" s="3082"/>
      <c r="E66" s="3083">
        <f t="shared" si="7"/>
        <v>0</v>
      </c>
      <c r="F66" s="3084"/>
      <c r="G66" s="3085">
        <f t="shared" si="8"/>
        <v>0</v>
      </c>
      <c r="H66" s="3086">
        <f t="shared" si="9"/>
        <v>0</v>
      </c>
      <c r="I66" s="3093"/>
      <c r="J66" s="3093"/>
      <c r="K66" s="3093"/>
      <c r="L66" s="3093"/>
      <c r="M66" s="3093"/>
      <c r="N66" s="3093"/>
      <c r="O66" s="3093"/>
      <c r="P66" s="3093"/>
      <c r="Q66" s="3093"/>
      <c r="R66" s="3093"/>
      <c r="S66" s="3093"/>
      <c r="T66" s="3093"/>
      <c r="U66" s="3093"/>
      <c r="V66" s="3093"/>
      <c r="W66" s="3093"/>
      <c r="X66" s="3093"/>
      <c r="Y66" s="3093"/>
      <c r="Z66" s="3093"/>
      <c r="AA66" s="3093"/>
      <c r="AB66" s="3093"/>
      <c r="AC66" s="3083">
        <f t="shared" si="10"/>
        <v>0</v>
      </c>
      <c r="AD66" s="3103"/>
      <c r="AE66" s="3103"/>
      <c r="AF66" s="3103"/>
      <c r="AG66" s="3103"/>
      <c r="AH66" s="3103"/>
      <c r="AI66" s="3103"/>
      <c r="AJ66" s="3103"/>
      <c r="AK66" s="3103"/>
      <c r="AL66" s="3103"/>
      <c r="AM66" s="3103"/>
      <c r="AN66" s="3103"/>
      <c r="AO66" s="3103"/>
      <c r="AP66" s="3103"/>
      <c r="AQ66" s="3103"/>
      <c r="AR66" s="3103"/>
      <c r="AS66" s="3103"/>
      <c r="AT66" s="3113"/>
      <c r="AU66" s="3114"/>
      <c r="AV66" s="1580">
        <f t="shared" si="11"/>
        <v>0</v>
      </c>
      <c r="AW66" s="1580">
        <f t="shared" si="12"/>
        <v>0</v>
      </c>
      <c r="AX66" s="1580">
        <f t="shared" si="13"/>
        <v>0</v>
      </c>
      <c r="AY66" s="3128">
        <f t="shared" si="14"/>
        <v>0</v>
      </c>
      <c r="AZ66" s="3083">
        <f t="shared" si="15"/>
        <v>0</v>
      </c>
      <c r="BA66" s="3083">
        <f t="shared" si="16"/>
        <v>0</v>
      </c>
      <c r="BB66" s="3083">
        <f t="shared" si="17"/>
        <v>0</v>
      </c>
      <c r="BC66" s="3083">
        <f t="shared" si="18"/>
        <v>0</v>
      </c>
      <c r="BD66" s="3083">
        <f t="shared" si="19"/>
        <v>0</v>
      </c>
      <c r="BE66" s="3083">
        <f t="shared" si="20"/>
        <v>0</v>
      </c>
      <c r="BF66" s="3083">
        <f t="shared" si="21"/>
        <v>0</v>
      </c>
      <c r="BG66" s="3083">
        <f t="shared" si="22"/>
        <v>0</v>
      </c>
      <c r="BH66" s="3083">
        <f t="shared" si="23"/>
        <v>0</v>
      </c>
      <c r="BI66" s="3083">
        <f t="shared" si="24"/>
        <v>0</v>
      </c>
      <c r="BJ66" s="3083">
        <f t="shared" si="25"/>
        <v>0</v>
      </c>
      <c r="BK66" s="3083">
        <f t="shared" si="26"/>
        <v>0</v>
      </c>
      <c r="BL66" s="3083">
        <f t="shared" si="27"/>
        <v>0</v>
      </c>
      <c r="BM66" s="3083">
        <f t="shared" si="28"/>
        <v>0</v>
      </c>
      <c r="BN66" s="3083">
        <f t="shared" si="29"/>
        <v>0</v>
      </c>
      <c r="BO66" s="3083">
        <f t="shared" si="30"/>
        <v>0</v>
      </c>
      <c r="BP66" s="3083">
        <f t="shared" si="31"/>
        <v>0</v>
      </c>
      <c r="BQ66" s="3083">
        <f t="shared" si="32"/>
        <v>0</v>
      </c>
      <c r="BR66" s="3083">
        <f t="shared" si="33"/>
        <v>0</v>
      </c>
      <c r="BS66" s="3083">
        <f t="shared" si="34"/>
        <v>0</v>
      </c>
      <c r="BT66" s="3135">
        <f t="shared" si="35"/>
        <v>0</v>
      </c>
    </row>
    <row r="67" spans="1:72">
      <c r="A67" s="3080"/>
      <c r="B67" s="3081"/>
      <c r="C67" s="3081"/>
      <c r="D67" s="3082"/>
      <c r="E67" s="3083">
        <f t="shared" si="7"/>
        <v>0</v>
      </c>
      <c r="F67" s="3084"/>
      <c r="G67" s="3085">
        <f t="shared" si="8"/>
        <v>0</v>
      </c>
      <c r="H67" s="3086">
        <f t="shared" si="9"/>
        <v>0</v>
      </c>
      <c r="I67" s="3093"/>
      <c r="J67" s="3093"/>
      <c r="K67" s="3093"/>
      <c r="L67" s="3093"/>
      <c r="M67" s="3093"/>
      <c r="N67" s="3093"/>
      <c r="O67" s="3093"/>
      <c r="P67" s="3093"/>
      <c r="Q67" s="3093"/>
      <c r="R67" s="3093"/>
      <c r="S67" s="3093"/>
      <c r="T67" s="3093"/>
      <c r="U67" s="3093"/>
      <c r="V67" s="3093"/>
      <c r="W67" s="3093"/>
      <c r="X67" s="3093"/>
      <c r="Y67" s="3093"/>
      <c r="Z67" s="3093"/>
      <c r="AA67" s="3093"/>
      <c r="AB67" s="3093"/>
      <c r="AC67" s="3083">
        <f t="shared" si="10"/>
        <v>0</v>
      </c>
      <c r="AD67" s="3103"/>
      <c r="AE67" s="3103"/>
      <c r="AF67" s="3103"/>
      <c r="AG67" s="3103"/>
      <c r="AH67" s="3103"/>
      <c r="AI67" s="3103"/>
      <c r="AJ67" s="3103"/>
      <c r="AK67" s="3103"/>
      <c r="AL67" s="3103"/>
      <c r="AM67" s="3103"/>
      <c r="AN67" s="3103"/>
      <c r="AO67" s="3103"/>
      <c r="AP67" s="3103"/>
      <c r="AQ67" s="3103"/>
      <c r="AR67" s="3103"/>
      <c r="AS67" s="3103"/>
      <c r="AT67" s="3113"/>
      <c r="AU67" s="3114"/>
      <c r="AV67" s="1580">
        <f t="shared" si="11"/>
        <v>0</v>
      </c>
      <c r="AW67" s="1580">
        <f t="shared" si="12"/>
        <v>0</v>
      </c>
      <c r="AX67" s="1580">
        <f t="shared" si="13"/>
        <v>0</v>
      </c>
      <c r="AY67" s="3128">
        <f t="shared" si="14"/>
        <v>0</v>
      </c>
      <c r="AZ67" s="3083">
        <f t="shared" si="15"/>
        <v>0</v>
      </c>
      <c r="BA67" s="3083">
        <f t="shared" si="16"/>
        <v>0</v>
      </c>
      <c r="BB67" s="3083">
        <f t="shared" si="17"/>
        <v>0</v>
      </c>
      <c r="BC67" s="3083">
        <f t="shared" si="18"/>
        <v>0</v>
      </c>
      <c r="BD67" s="3083">
        <f t="shared" si="19"/>
        <v>0</v>
      </c>
      <c r="BE67" s="3083">
        <f t="shared" si="20"/>
        <v>0</v>
      </c>
      <c r="BF67" s="3083">
        <f t="shared" si="21"/>
        <v>0</v>
      </c>
      <c r="BG67" s="3083">
        <f t="shared" si="22"/>
        <v>0</v>
      </c>
      <c r="BH67" s="3083">
        <f t="shared" si="23"/>
        <v>0</v>
      </c>
      <c r="BI67" s="3083">
        <f t="shared" si="24"/>
        <v>0</v>
      </c>
      <c r="BJ67" s="3083">
        <f t="shared" si="25"/>
        <v>0</v>
      </c>
      <c r="BK67" s="3083">
        <f t="shared" si="26"/>
        <v>0</v>
      </c>
      <c r="BL67" s="3083">
        <f t="shared" si="27"/>
        <v>0</v>
      </c>
      <c r="BM67" s="3083">
        <f t="shared" si="28"/>
        <v>0</v>
      </c>
      <c r="BN67" s="3083">
        <f t="shared" si="29"/>
        <v>0</v>
      </c>
      <c r="BO67" s="3083">
        <f t="shared" si="30"/>
        <v>0</v>
      </c>
      <c r="BP67" s="3083">
        <f t="shared" si="31"/>
        <v>0</v>
      </c>
      <c r="BQ67" s="3083">
        <f t="shared" si="32"/>
        <v>0</v>
      </c>
      <c r="BR67" s="3083">
        <f t="shared" si="33"/>
        <v>0</v>
      </c>
      <c r="BS67" s="3083">
        <f t="shared" si="34"/>
        <v>0</v>
      </c>
      <c r="BT67" s="3135">
        <f t="shared" si="35"/>
        <v>0</v>
      </c>
    </row>
    <row r="68" spans="1:72">
      <c r="A68" s="3080"/>
      <c r="B68" s="3081"/>
      <c r="C68" s="3081"/>
      <c r="D68" s="3082"/>
      <c r="E68" s="3083">
        <f t="shared" si="7"/>
        <v>0</v>
      </c>
      <c r="F68" s="3084"/>
      <c r="G68" s="3085">
        <f t="shared" si="8"/>
        <v>0</v>
      </c>
      <c r="H68" s="3086">
        <f t="shared" si="9"/>
        <v>0</v>
      </c>
      <c r="I68" s="3093"/>
      <c r="J68" s="3093"/>
      <c r="K68" s="3093"/>
      <c r="L68" s="3093"/>
      <c r="M68" s="3093"/>
      <c r="N68" s="3093"/>
      <c r="O68" s="3093"/>
      <c r="P68" s="3093"/>
      <c r="Q68" s="3093"/>
      <c r="R68" s="3093"/>
      <c r="S68" s="3093"/>
      <c r="T68" s="3093"/>
      <c r="U68" s="3093"/>
      <c r="V68" s="3093"/>
      <c r="W68" s="3093"/>
      <c r="X68" s="3093"/>
      <c r="Y68" s="3093"/>
      <c r="Z68" s="3093"/>
      <c r="AA68" s="3093"/>
      <c r="AB68" s="3093"/>
      <c r="AC68" s="3083">
        <f t="shared" si="10"/>
        <v>0</v>
      </c>
      <c r="AD68" s="3103"/>
      <c r="AE68" s="3103"/>
      <c r="AF68" s="3103"/>
      <c r="AG68" s="3103"/>
      <c r="AH68" s="3103"/>
      <c r="AI68" s="3103"/>
      <c r="AJ68" s="3103"/>
      <c r="AK68" s="3103"/>
      <c r="AL68" s="3103"/>
      <c r="AM68" s="3103"/>
      <c r="AN68" s="3103"/>
      <c r="AO68" s="3103"/>
      <c r="AP68" s="3103"/>
      <c r="AQ68" s="3103"/>
      <c r="AR68" s="3103"/>
      <c r="AS68" s="3103"/>
      <c r="AT68" s="3113"/>
      <c r="AU68" s="3114"/>
      <c r="AV68" s="1580">
        <f t="shared" si="11"/>
        <v>0</v>
      </c>
      <c r="AW68" s="1580">
        <f t="shared" si="12"/>
        <v>0</v>
      </c>
      <c r="AX68" s="1580">
        <f t="shared" si="13"/>
        <v>0</v>
      </c>
      <c r="AY68" s="3128">
        <f t="shared" si="14"/>
        <v>0</v>
      </c>
      <c r="AZ68" s="3083">
        <f t="shared" si="15"/>
        <v>0</v>
      </c>
      <c r="BA68" s="3083">
        <f t="shared" si="16"/>
        <v>0</v>
      </c>
      <c r="BB68" s="3083">
        <f t="shared" si="17"/>
        <v>0</v>
      </c>
      <c r="BC68" s="3083">
        <f t="shared" si="18"/>
        <v>0</v>
      </c>
      <c r="BD68" s="3083">
        <f t="shared" si="19"/>
        <v>0</v>
      </c>
      <c r="BE68" s="3083">
        <f t="shared" si="20"/>
        <v>0</v>
      </c>
      <c r="BF68" s="3083">
        <f t="shared" si="21"/>
        <v>0</v>
      </c>
      <c r="BG68" s="3083">
        <f t="shared" si="22"/>
        <v>0</v>
      </c>
      <c r="BH68" s="3083">
        <f t="shared" si="23"/>
        <v>0</v>
      </c>
      <c r="BI68" s="3083">
        <f t="shared" si="24"/>
        <v>0</v>
      </c>
      <c r="BJ68" s="3083">
        <f t="shared" si="25"/>
        <v>0</v>
      </c>
      <c r="BK68" s="3083">
        <f t="shared" si="26"/>
        <v>0</v>
      </c>
      <c r="BL68" s="3083">
        <f t="shared" si="27"/>
        <v>0</v>
      </c>
      <c r="BM68" s="3083">
        <f t="shared" si="28"/>
        <v>0</v>
      </c>
      <c r="BN68" s="3083">
        <f t="shared" si="29"/>
        <v>0</v>
      </c>
      <c r="BO68" s="3083">
        <f t="shared" si="30"/>
        <v>0</v>
      </c>
      <c r="BP68" s="3083">
        <f t="shared" si="31"/>
        <v>0</v>
      </c>
      <c r="BQ68" s="3083">
        <f t="shared" si="32"/>
        <v>0</v>
      </c>
      <c r="BR68" s="3083">
        <f t="shared" si="33"/>
        <v>0</v>
      </c>
      <c r="BS68" s="3083">
        <f t="shared" si="34"/>
        <v>0</v>
      </c>
      <c r="BT68" s="3135">
        <f t="shared" si="35"/>
        <v>0</v>
      </c>
    </row>
    <row r="69" spans="1:72">
      <c r="A69" s="3080"/>
      <c r="B69" s="3081"/>
      <c r="C69" s="3081"/>
      <c r="D69" s="3082"/>
      <c r="E69" s="3083">
        <f t="shared" si="7"/>
        <v>0</v>
      </c>
      <c r="F69" s="3084"/>
      <c r="G69" s="3085">
        <f t="shared" si="8"/>
        <v>0</v>
      </c>
      <c r="H69" s="3086">
        <f t="shared" si="9"/>
        <v>0</v>
      </c>
      <c r="I69" s="3093"/>
      <c r="J69" s="3093"/>
      <c r="K69" s="3093"/>
      <c r="L69" s="3093"/>
      <c r="M69" s="3093"/>
      <c r="N69" s="3093"/>
      <c r="O69" s="3093"/>
      <c r="P69" s="3093"/>
      <c r="Q69" s="3093"/>
      <c r="R69" s="3093"/>
      <c r="S69" s="3093"/>
      <c r="T69" s="3093"/>
      <c r="U69" s="3093"/>
      <c r="V69" s="3093"/>
      <c r="W69" s="3093"/>
      <c r="X69" s="3093"/>
      <c r="Y69" s="3093"/>
      <c r="Z69" s="3093"/>
      <c r="AA69" s="3093"/>
      <c r="AB69" s="3093"/>
      <c r="AC69" s="3083">
        <f t="shared" si="10"/>
        <v>0</v>
      </c>
      <c r="AD69" s="3103"/>
      <c r="AE69" s="3103"/>
      <c r="AF69" s="3103"/>
      <c r="AG69" s="3103"/>
      <c r="AH69" s="3103"/>
      <c r="AI69" s="3103"/>
      <c r="AJ69" s="3103"/>
      <c r="AK69" s="3103"/>
      <c r="AL69" s="3103"/>
      <c r="AM69" s="3103"/>
      <c r="AN69" s="3103"/>
      <c r="AO69" s="3103"/>
      <c r="AP69" s="3103"/>
      <c r="AQ69" s="3103"/>
      <c r="AR69" s="3103"/>
      <c r="AS69" s="3103"/>
      <c r="AT69" s="3113"/>
      <c r="AU69" s="3114"/>
      <c r="AV69" s="1580">
        <f t="shared" si="11"/>
        <v>0</v>
      </c>
      <c r="AW69" s="1580">
        <f t="shared" si="12"/>
        <v>0</v>
      </c>
      <c r="AX69" s="1580">
        <f t="shared" si="13"/>
        <v>0</v>
      </c>
      <c r="AY69" s="3128">
        <f t="shared" si="14"/>
        <v>0</v>
      </c>
      <c r="AZ69" s="3083">
        <f t="shared" si="15"/>
        <v>0</v>
      </c>
      <c r="BA69" s="3083">
        <f t="shared" si="16"/>
        <v>0</v>
      </c>
      <c r="BB69" s="3083">
        <f t="shared" si="17"/>
        <v>0</v>
      </c>
      <c r="BC69" s="3083">
        <f t="shared" si="18"/>
        <v>0</v>
      </c>
      <c r="BD69" s="3083">
        <f t="shared" si="19"/>
        <v>0</v>
      </c>
      <c r="BE69" s="3083">
        <f t="shared" si="20"/>
        <v>0</v>
      </c>
      <c r="BF69" s="3083">
        <f t="shared" si="21"/>
        <v>0</v>
      </c>
      <c r="BG69" s="3083">
        <f t="shared" si="22"/>
        <v>0</v>
      </c>
      <c r="BH69" s="3083">
        <f t="shared" si="23"/>
        <v>0</v>
      </c>
      <c r="BI69" s="3083">
        <f t="shared" si="24"/>
        <v>0</v>
      </c>
      <c r="BJ69" s="3083">
        <f t="shared" si="25"/>
        <v>0</v>
      </c>
      <c r="BK69" s="3083">
        <f t="shared" si="26"/>
        <v>0</v>
      </c>
      <c r="BL69" s="3083">
        <f t="shared" si="27"/>
        <v>0</v>
      </c>
      <c r="BM69" s="3083">
        <f t="shared" si="28"/>
        <v>0</v>
      </c>
      <c r="BN69" s="3083">
        <f t="shared" si="29"/>
        <v>0</v>
      </c>
      <c r="BO69" s="3083">
        <f t="shared" si="30"/>
        <v>0</v>
      </c>
      <c r="BP69" s="3083">
        <f t="shared" si="31"/>
        <v>0</v>
      </c>
      <c r="BQ69" s="3083">
        <f t="shared" si="32"/>
        <v>0</v>
      </c>
      <c r="BR69" s="3083">
        <f t="shared" si="33"/>
        <v>0</v>
      </c>
      <c r="BS69" s="3083">
        <f t="shared" si="34"/>
        <v>0</v>
      </c>
      <c r="BT69" s="3135">
        <f t="shared" si="35"/>
        <v>0</v>
      </c>
    </row>
    <row r="70" spans="1:72">
      <c r="A70" s="3080"/>
      <c r="B70" s="3081"/>
      <c r="C70" s="3081"/>
      <c r="D70" s="3082"/>
      <c r="E70" s="3083">
        <f t="shared" si="7"/>
        <v>0</v>
      </c>
      <c r="F70" s="3084"/>
      <c r="G70" s="3085">
        <f t="shared" si="8"/>
        <v>0</v>
      </c>
      <c r="H70" s="3086">
        <f t="shared" si="9"/>
        <v>0</v>
      </c>
      <c r="I70" s="3093"/>
      <c r="J70" s="3093"/>
      <c r="K70" s="3093"/>
      <c r="L70" s="3093"/>
      <c r="M70" s="3093"/>
      <c r="N70" s="3093"/>
      <c r="O70" s="3093"/>
      <c r="P70" s="3093"/>
      <c r="Q70" s="3093"/>
      <c r="R70" s="3093"/>
      <c r="S70" s="3093"/>
      <c r="T70" s="3093"/>
      <c r="U70" s="3093"/>
      <c r="V70" s="3093"/>
      <c r="W70" s="3093"/>
      <c r="X70" s="3093"/>
      <c r="Y70" s="3093"/>
      <c r="Z70" s="3093"/>
      <c r="AA70" s="3093"/>
      <c r="AB70" s="3093"/>
      <c r="AC70" s="3083">
        <f t="shared" si="10"/>
        <v>0</v>
      </c>
      <c r="AD70" s="3103"/>
      <c r="AE70" s="3103"/>
      <c r="AF70" s="3103"/>
      <c r="AG70" s="3103"/>
      <c r="AH70" s="3103"/>
      <c r="AI70" s="3103"/>
      <c r="AJ70" s="3103"/>
      <c r="AK70" s="3103"/>
      <c r="AL70" s="3103"/>
      <c r="AM70" s="3103"/>
      <c r="AN70" s="3103"/>
      <c r="AO70" s="3103"/>
      <c r="AP70" s="3103"/>
      <c r="AQ70" s="3103"/>
      <c r="AR70" s="3103"/>
      <c r="AS70" s="3103"/>
      <c r="AT70" s="3113"/>
      <c r="AU70" s="3114"/>
      <c r="AV70" s="1580">
        <f t="shared" si="11"/>
        <v>0</v>
      </c>
      <c r="AW70" s="1580">
        <f t="shared" si="12"/>
        <v>0</v>
      </c>
      <c r="AX70" s="1580">
        <f t="shared" si="13"/>
        <v>0</v>
      </c>
      <c r="AY70" s="3128">
        <f t="shared" si="14"/>
        <v>0</v>
      </c>
      <c r="AZ70" s="3083">
        <f t="shared" si="15"/>
        <v>0</v>
      </c>
      <c r="BA70" s="3083">
        <f t="shared" si="16"/>
        <v>0</v>
      </c>
      <c r="BB70" s="3083">
        <f t="shared" si="17"/>
        <v>0</v>
      </c>
      <c r="BC70" s="3083">
        <f t="shared" si="18"/>
        <v>0</v>
      </c>
      <c r="BD70" s="3083">
        <f t="shared" si="19"/>
        <v>0</v>
      </c>
      <c r="BE70" s="3083">
        <f t="shared" si="20"/>
        <v>0</v>
      </c>
      <c r="BF70" s="3083">
        <f t="shared" si="21"/>
        <v>0</v>
      </c>
      <c r="BG70" s="3083">
        <f t="shared" si="22"/>
        <v>0</v>
      </c>
      <c r="BH70" s="3083">
        <f t="shared" si="23"/>
        <v>0</v>
      </c>
      <c r="BI70" s="3083">
        <f t="shared" si="24"/>
        <v>0</v>
      </c>
      <c r="BJ70" s="3083">
        <f t="shared" si="25"/>
        <v>0</v>
      </c>
      <c r="BK70" s="3083">
        <f t="shared" si="26"/>
        <v>0</v>
      </c>
      <c r="BL70" s="3083">
        <f t="shared" si="27"/>
        <v>0</v>
      </c>
      <c r="BM70" s="3083">
        <f t="shared" si="28"/>
        <v>0</v>
      </c>
      <c r="BN70" s="3083">
        <f t="shared" si="29"/>
        <v>0</v>
      </c>
      <c r="BO70" s="3083">
        <f t="shared" si="30"/>
        <v>0</v>
      </c>
      <c r="BP70" s="3083">
        <f t="shared" si="31"/>
        <v>0</v>
      </c>
      <c r="BQ70" s="3083">
        <f t="shared" si="32"/>
        <v>0</v>
      </c>
      <c r="BR70" s="3083">
        <f t="shared" si="33"/>
        <v>0</v>
      </c>
      <c r="BS70" s="3083">
        <f t="shared" si="34"/>
        <v>0</v>
      </c>
      <c r="BT70" s="3135">
        <f t="shared" si="35"/>
        <v>0</v>
      </c>
    </row>
    <row r="71" spans="1:72">
      <c r="A71" s="3080"/>
      <c r="B71" s="3081"/>
      <c r="C71" s="3081"/>
      <c r="D71" s="3082"/>
      <c r="E71" s="3083">
        <f t="shared" si="7"/>
        <v>0</v>
      </c>
      <c r="F71" s="3084"/>
      <c r="G71" s="3085">
        <f t="shared" si="8"/>
        <v>0</v>
      </c>
      <c r="H71" s="3086">
        <f t="shared" si="9"/>
        <v>0</v>
      </c>
      <c r="I71" s="3093"/>
      <c r="J71" s="3093"/>
      <c r="K71" s="3093"/>
      <c r="L71" s="3093"/>
      <c r="M71" s="3093"/>
      <c r="N71" s="3093"/>
      <c r="O71" s="3093"/>
      <c r="P71" s="3093"/>
      <c r="Q71" s="3093"/>
      <c r="R71" s="3093"/>
      <c r="S71" s="3093"/>
      <c r="T71" s="3093"/>
      <c r="U71" s="3093"/>
      <c r="V71" s="3093"/>
      <c r="W71" s="3093"/>
      <c r="X71" s="3093"/>
      <c r="Y71" s="3093"/>
      <c r="Z71" s="3093"/>
      <c r="AA71" s="3093"/>
      <c r="AB71" s="3093"/>
      <c r="AC71" s="3083">
        <f t="shared" si="10"/>
        <v>0</v>
      </c>
      <c r="AD71" s="3103"/>
      <c r="AE71" s="3103"/>
      <c r="AF71" s="3103"/>
      <c r="AG71" s="3103"/>
      <c r="AH71" s="3103"/>
      <c r="AI71" s="3103"/>
      <c r="AJ71" s="3103"/>
      <c r="AK71" s="3103"/>
      <c r="AL71" s="3103"/>
      <c r="AM71" s="3103"/>
      <c r="AN71" s="3103"/>
      <c r="AO71" s="3103"/>
      <c r="AP71" s="3103"/>
      <c r="AQ71" s="3103"/>
      <c r="AR71" s="3103"/>
      <c r="AS71" s="3103"/>
      <c r="AT71" s="3113"/>
      <c r="AU71" s="3114"/>
      <c r="AV71" s="1580">
        <f t="shared" si="11"/>
        <v>0</v>
      </c>
      <c r="AW71" s="1580">
        <f t="shared" si="12"/>
        <v>0</v>
      </c>
      <c r="AX71" s="1580">
        <f t="shared" si="13"/>
        <v>0</v>
      </c>
      <c r="AY71" s="3128">
        <f t="shared" si="14"/>
        <v>0</v>
      </c>
      <c r="AZ71" s="3083">
        <f t="shared" si="15"/>
        <v>0</v>
      </c>
      <c r="BA71" s="3083">
        <f t="shared" si="16"/>
        <v>0</v>
      </c>
      <c r="BB71" s="3083">
        <f t="shared" si="17"/>
        <v>0</v>
      </c>
      <c r="BC71" s="3083">
        <f t="shared" si="18"/>
        <v>0</v>
      </c>
      <c r="BD71" s="3083">
        <f t="shared" si="19"/>
        <v>0</v>
      </c>
      <c r="BE71" s="3083">
        <f t="shared" si="20"/>
        <v>0</v>
      </c>
      <c r="BF71" s="3083">
        <f t="shared" si="21"/>
        <v>0</v>
      </c>
      <c r="BG71" s="3083">
        <f t="shared" si="22"/>
        <v>0</v>
      </c>
      <c r="BH71" s="3083">
        <f t="shared" si="23"/>
        <v>0</v>
      </c>
      <c r="BI71" s="3083">
        <f t="shared" si="24"/>
        <v>0</v>
      </c>
      <c r="BJ71" s="3083">
        <f t="shared" si="25"/>
        <v>0</v>
      </c>
      <c r="BK71" s="3083">
        <f t="shared" si="26"/>
        <v>0</v>
      </c>
      <c r="BL71" s="3083">
        <f t="shared" si="27"/>
        <v>0</v>
      </c>
      <c r="BM71" s="3083">
        <f t="shared" si="28"/>
        <v>0</v>
      </c>
      <c r="BN71" s="3083">
        <f t="shared" si="29"/>
        <v>0</v>
      </c>
      <c r="BO71" s="3083">
        <f t="shared" si="30"/>
        <v>0</v>
      </c>
      <c r="BP71" s="3083">
        <f t="shared" si="31"/>
        <v>0</v>
      </c>
      <c r="BQ71" s="3083">
        <f t="shared" si="32"/>
        <v>0</v>
      </c>
      <c r="BR71" s="3083">
        <f t="shared" si="33"/>
        <v>0</v>
      </c>
      <c r="BS71" s="3083">
        <f t="shared" si="34"/>
        <v>0</v>
      </c>
      <c r="BT71" s="3135">
        <f t="shared" si="35"/>
        <v>0</v>
      </c>
    </row>
    <row r="72" spans="1:72">
      <c r="A72" s="3080"/>
      <c r="B72" s="3081"/>
      <c r="C72" s="3081"/>
      <c r="D72" s="3082"/>
      <c r="E72" s="3083">
        <f t="shared" si="7"/>
        <v>0</v>
      </c>
      <c r="F72" s="3084"/>
      <c r="G72" s="3085">
        <f t="shared" si="8"/>
        <v>0</v>
      </c>
      <c r="H72" s="3086">
        <f t="shared" si="9"/>
        <v>0</v>
      </c>
      <c r="I72" s="3093"/>
      <c r="J72" s="3093"/>
      <c r="K72" s="3093"/>
      <c r="L72" s="3093"/>
      <c r="M72" s="3093"/>
      <c r="N72" s="3093"/>
      <c r="O72" s="3093"/>
      <c r="P72" s="3093"/>
      <c r="Q72" s="3093"/>
      <c r="R72" s="3093"/>
      <c r="S72" s="3093"/>
      <c r="T72" s="3093"/>
      <c r="U72" s="3093"/>
      <c r="V72" s="3093"/>
      <c r="W72" s="3093"/>
      <c r="X72" s="3093"/>
      <c r="Y72" s="3093"/>
      <c r="Z72" s="3093"/>
      <c r="AA72" s="3093"/>
      <c r="AB72" s="3093"/>
      <c r="AC72" s="3083">
        <f t="shared" si="10"/>
        <v>0</v>
      </c>
      <c r="AD72" s="3103"/>
      <c r="AE72" s="3103"/>
      <c r="AF72" s="3103"/>
      <c r="AG72" s="3103"/>
      <c r="AH72" s="3103"/>
      <c r="AI72" s="3103"/>
      <c r="AJ72" s="3103"/>
      <c r="AK72" s="3103"/>
      <c r="AL72" s="3103"/>
      <c r="AM72" s="3103"/>
      <c r="AN72" s="3103"/>
      <c r="AO72" s="3103"/>
      <c r="AP72" s="3103"/>
      <c r="AQ72" s="3103"/>
      <c r="AR72" s="3103"/>
      <c r="AS72" s="3103"/>
      <c r="AT72" s="3113"/>
      <c r="AU72" s="3114"/>
      <c r="AV72" s="1580">
        <f t="shared" si="11"/>
        <v>0</v>
      </c>
      <c r="AW72" s="1580">
        <f t="shared" si="12"/>
        <v>0</v>
      </c>
      <c r="AX72" s="1580">
        <f t="shared" si="13"/>
        <v>0</v>
      </c>
      <c r="AY72" s="3128">
        <f t="shared" si="14"/>
        <v>0</v>
      </c>
      <c r="AZ72" s="3083">
        <f t="shared" si="15"/>
        <v>0</v>
      </c>
      <c r="BA72" s="3083">
        <f t="shared" si="16"/>
        <v>0</v>
      </c>
      <c r="BB72" s="3083">
        <f t="shared" si="17"/>
        <v>0</v>
      </c>
      <c r="BC72" s="3083">
        <f t="shared" si="18"/>
        <v>0</v>
      </c>
      <c r="BD72" s="3083">
        <f t="shared" si="19"/>
        <v>0</v>
      </c>
      <c r="BE72" s="3083">
        <f t="shared" si="20"/>
        <v>0</v>
      </c>
      <c r="BF72" s="3083">
        <f t="shared" si="21"/>
        <v>0</v>
      </c>
      <c r="BG72" s="3083">
        <f t="shared" si="22"/>
        <v>0</v>
      </c>
      <c r="BH72" s="3083">
        <f t="shared" si="23"/>
        <v>0</v>
      </c>
      <c r="BI72" s="3083">
        <f t="shared" si="24"/>
        <v>0</v>
      </c>
      <c r="BJ72" s="3083">
        <f t="shared" si="25"/>
        <v>0</v>
      </c>
      <c r="BK72" s="3083">
        <f t="shared" si="26"/>
        <v>0</v>
      </c>
      <c r="BL72" s="3083">
        <f t="shared" si="27"/>
        <v>0</v>
      </c>
      <c r="BM72" s="3083">
        <f t="shared" si="28"/>
        <v>0</v>
      </c>
      <c r="BN72" s="3083">
        <f t="shared" si="29"/>
        <v>0</v>
      </c>
      <c r="BO72" s="3083">
        <f t="shared" si="30"/>
        <v>0</v>
      </c>
      <c r="BP72" s="3083">
        <f t="shared" si="31"/>
        <v>0</v>
      </c>
      <c r="BQ72" s="3083">
        <f t="shared" si="32"/>
        <v>0</v>
      </c>
      <c r="BR72" s="3083">
        <f t="shared" si="33"/>
        <v>0</v>
      </c>
      <c r="BS72" s="3083">
        <f t="shared" si="34"/>
        <v>0</v>
      </c>
      <c r="BT72" s="3135">
        <f t="shared" si="35"/>
        <v>0</v>
      </c>
    </row>
    <row r="73" spans="1:72">
      <c r="A73" s="3080"/>
      <c r="B73" s="3081"/>
      <c r="C73" s="3081"/>
      <c r="D73" s="3082"/>
      <c r="E73" s="3083">
        <f t="shared" si="7"/>
        <v>0</v>
      </c>
      <c r="F73" s="3084"/>
      <c r="G73" s="3085">
        <f t="shared" si="8"/>
        <v>0</v>
      </c>
      <c r="H73" s="3086">
        <f t="shared" si="9"/>
        <v>0</v>
      </c>
      <c r="I73" s="3093"/>
      <c r="J73" s="3093"/>
      <c r="K73" s="3093"/>
      <c r="L73" s="3093"/>
      <c r="M73" s="3093"/>
      <c r="N73" s="3093"/>
      <c r="O73" s="3093"/>
      <c r="P73" s="3093"/>
      <c r="Q73" s="3093"/>
      <c r="R73" s="3093"/>
      <c r="S73" s="3093"/>
      <c r="T73" s="3093"/>
      <c r="U73" s="3093"/>
      <c r="V73" s="3093"/>
      <c r="W73" s="3093"/>
      <c r="X73" s="3093"/>
      <c r="Y73" s="3093"/>
      <c r="Z73" s="3093"/>
      <c r="AA73" s="3093"/>
      <c r="AB73" s="3093"/>
      <c r="AC73" s="3083">
        <f t="shared" si="10"/>
        <v>0</v>
      </c>
      <c r="AD73" s="3103"/>
      <c r="AE73" s="3103"/>
      <c r="AF73" s="3103"/>
      <c r="AG73" s="3103"/>
      <c r="AH73" s="3103"/>
      <c r="AI73" s="3103"/>
      <c r="AJ73" s="3103"/>
      <c r="AK73" s="3103"/>
      <c r="AL73" s="3103"/>
      <c r="AM73" s="3103"/>
      <c r="AN73" s="3103"/>
      <c r="AO73" s="3103"/>
      <c r="AP73" s="3103"/>
      <c r="AQ73" s="3103"/>
      <c r="AR73" s="3103"/>
      <c r="AS73" s="3103"/>
      <c r="AT73" s="3113"/>
      <c r="AU73" s="3114"/>
      <c r="AV73" s="1580">
        <f t="shared" si="11"/>
        <v>0</v>
      </c>
      <c r="AW73" s="1580">
        <f t="shared" si="12"/>
        <v>0</v>
      </c>
      <c r="AX73" s="1580">
        <f t="shared" si="13"/>
        <v>0</v>
      </c>
      <c r="AY73" s="3128">
        <f t="shared" si="14"/>
        <v>0</v>
      </c>
      <c r="AZ73" s="3083">
        <f t="shared" si="15"/>
        <v>0</v>
      </c>
      <c r="BA73" s="3083">
        <f t="shared" si="16"/>
        <v>0</v>
      </c>
      <c r="BB73" s="3083">
        <f t="shared" si="17"/>
        <v>0</v>
      </c>
      <c r="BC73" s="3083">
        <f t="shared" si="18"/>
        <v>0</v>
      </c>
      <c r="BD73" s="3083">
        <f t="shared" si="19"/>
        <v>0</v>
      </c>
      <c r="BE73" s="3083">
        <f t="shared" si="20"/>
        <v>0</v>
      </c>
      <c r="BF73" s="3083">
        <f t="shared" si="21"/>
        <v>0</v>
      </c>
      <c r="BG73" s="3083">
        <f t="shared" si="22"/>
        <v>0</v>
      </c>
      <c r="BH73" s="3083">
        <f t="shared" si="23"/>
        <v>0</v>
      </c>
      <c r="BI73" s="3083">
        <f t="shared" si="24"/>
        <v>0</v>
      </c>
      <c r="BJ73" s="3083">
        <f t="shared" si="25"/>
        <v>0</v>
      </c>
      <c r="BK73" s="3083">
        <f t="shared" si="26"/>
        <v>0</v>
      </c>
      <c r="BL73" s="3083">
        <f t="shared" si="27"/>
        <v>0</v>
      </c>
      <c r="BM73" s="3083">
        <f t="shared" si="28"/>
        <v>0</v>
      </c>
      <c r="BN73" s="3083">
        <f t="shared" si="29"/>
        <v>0</v>
      </c>
      <c r="BO73" s="3083">
        <f t="shared" si="30"/>
        <v>0</v>
      </c>
      <c r="BP73" s="3083">
        <f t="shared" si="31"/>
        <v>0</v>
      </c>
      <c r="BQ73" s="3083">
        <f t="shared" si="32"/>
        <v>0</v>
      </c>
      <c r="BR73" s="3083">
        <f t="shared" si="33"/>
        <v>0</v>
      </c>
      <c r="BS73" s="3083">
        <f t="shared" si="34"/>
        <v>0</v>
      </c>
      <c r="BT73" s="3135">
        <f t="shared" si="35"/>
        <v>0</v>
      </c>
    </row>
    <row r="74" spans="1:72">
      <c r="A74" s="3080"/>
      <c r="B74" s="3081"/>
      <c r="C74" s="3081"/>
      <c r="D74" s="3082"/>
      <c r="E74" s="3083">
        <f t="shared" si="7"/>
        <v>0</v>
      </c>
      <c r="F74" s="3084"/>
      <c r="G74" s="3085">
        <f t="shared" si="8"/>
        <v>0</v>
      </c>
      <c r="H74" s="3086">
        <f t="shared" si="9"/>
        <v>0</v>
      </c>
      <c r="I74" s="3093"/>
      <c r="J74" s="3093"/>
      <c r="K74" s="3093"/>
      <c r="L74" s="3093"/>
      <c r="M74" s="3093"/>
      <c r="N74" s="3093"/>
      <c r="O74" s="3093"/>
      <c r="P74" s="3093"/>
      <c r="Q74" s="3093"/>
      <c r="R74" s="3093"/>
      <c r="S74" s="3093"/>
      <c r="T74" s="3093"/>
      <c r="U74" s="3093"/>
      <c r="V74" s="3093"/>
      <c r="W74" s="3093"/>
      <c r="X74" s="3093"/>
      <c r="Y74" s="3093"/>
      <c r="Z74" s="3093"/>
      <c r="AA74" s="3093"/>
      <c r="AB74" s="3093"/>
      <c r="AC74" s="3083">
        <f t="shared" si="10"/>
        <v>0</v>
      </c>
      <c r="AD74" s="3103"/>
      <c r="AE74" s="3103"/>
      <c r="AF74" s="3103"/>
      <c r="AG74" s="3103"/>
      <c r="AH74" s="3103"/>
      <c r="AI74" s="3103"/>
      <c r="AJ74" s="3103"/>
      <c r="AK74" s="3103"/>
      <c r="AL74" s="3103"/>
      <c r="AM74" s="3103"/>
      <c r="AN74" s="3103"/>
      <c r="AO74" s="3103"/>
      <c r="AP74" s="3103"/>
      <c r="AQ74" s="3103"/>
      <c r="AR74" s="3103"/>
      <c r="AS74" s="3103"/>
      <c r="AT74" s="3113"/>
      <c r="AU74" s="3114"/>
      <c r="AV74" s="1580">
        <f t="shared" si="11"/>
        <v>0</v>
      </c>
      <c r="AW74" s="1580">
        <f t="shared" si="12"/>
        <v>0</v>
      </c>
      <c r="AX74" s="1580">
        <f t="shared" si="13"/>
        <v>0</v>
      </c>
      <c r="AY74" s="3128">
        <f t="shared" si="14"/>
        <v>0</v>
      </c>
      <c r="AZ74" s="3083">
        <f t="shared" si="15"/>
        <v>0</v>
      </c>
      <c r="BA74" s="3083">
        <f t="shared" si="16"/>
        <v>0</v>
      </c>
      <c r="BB74" s="3083">
        <f t="shared" si="17"/>
        <v>0</v>
      </c>
      <c r="BC74" s="3083">
        <f t="shared" si="18"/>
        <v>0</v>
      </c>
      <c r="BD74" s="3083">
        <f t="shared" si="19"/>
        <v>0</v>
      </c>
      <c r="BE74" s="3083">
        <f t="shared" si="20"/>
        <v>0</v>
      </c>
      <c r="BF74" s="3083">
        <f t="shared" si="21"/>
        <v>0</v>
      </c>
      <c r="BG74" s="3083">
        <f t="shared" si="22"/>
        <v>0</v>
      </c>
      <c r="BH74" s="3083">
        <f t="shared" si="23"/>
        <v>0</v>
      </c>
      <c r="BI74" s="3083">
        <f t="shared" si="24"/>
        <v>0</v>
      </c>
      <c r="BJ74" s="3083">
        <f t="shared" si="25"/>
        <v>0</v>
      </c>
      <c r="BK74" s="3083">
        <f t="shared" si="26"/>
        <v>0</v>
      </c>
      <c r="BL74" s="3083">
        <f t="shared" si="27"/>
        <v>0</v>
      </c>
      <c r="BM74" s="3083">
        <f t="shared" si="28"/>
        <v>0</v>
      </c>
      <c r="BN74" s="3083">
        <f t="shared" si="29"/>
        <v>0</v>
      </c>
      <c r="BO74" s="3083">
        <f t="shared" si="30"/>
        <v>0</v>
      </c>
      <c r="BP74" s="3083">
        <f t="shared" si="31"/>
        <v>0</v>
      </c>
      <c r="BQ74" s="3083">
        <f t="shared" si="32"/>
        <v>0</v>
      </c>
      <c r="BR74" s="3083">
        <f t="shared" si="33"/>
        <v>0</v>
      </c>
      <c r="BS74" s="3083">
        <f t="shared" si="34"/>
        <v>0</v>
      </c>
      <c r="BT74" s="3135">
        <f t="shared" si="35"/>
        <v>0</v>
      </c>
    </row>
    <row r="75" spans="1:72">
      <c r="A75" s="3080"/>
      <c r="B75" s="3081"/>
      <c r="C75" s="3081"/>
      <c r="D75" s="3082"/>
      <c r="E75" s="3083">
        <f t="shared" si="7"/>
        <v>0</v>
      </c>
      <c r="F75" s="3084"/>
      <c r="G75" s="3085">
        <f t="shared" si="8"/>
        <v>0</v>
      </c>
      <c r="H75" s="3086">
        <f t="shared" si="9"/>
        <v>0</v>
      </c>
      <c r="I75" s="3093"/>
      <c r="J75" s="3093"/>
      <c r="K75" s="3093"/>
      <c r="L75" s="3093"/>
      <c r="M75" s="3093"/>
      <c r="N75" s="3093"/>
      <c r="O75" s="3093"/>
      <c r="P75" s="3093"/>
      <c r="Q75" s="3093"/>
      <c r="R75" s="3093"/>
      <c r="S75" s="3093"/>
      <c r="T75" s="3093"/>
      <c r="U75" s="3093"/>
      <c r="V75" s="3093"/>
      <c r="W75" s="3093"/>
      <c r="X75" s="3093"/>
      <c r="Y75" s="3093"/>
      <c r="Z75" s="3093"/>
      <c r="AA75" s="3093"/>
      <c r="AB75" s="3093"/>
      <c r="AC75" s="3083">
        <f t="shared" si="10"/>
        <v>0</v>
      </c>
      <c r="AD75" s="3103"/>
      <c r="AE75" s="3103"/>
      <c r="AF75" s="3103"/>
      <c r="AG75" s="3103"/>
      <c r="AH75" s="3103"/>
      <c r="AI75" s="3103"/>
      <c r="AJ75" s="3103"/>
      <c r="AK75" s="3103"/>
      <c r="AL75" s="3103"/>
      <c r="AM75" s="3103"/>
      <c r="AN75" s="3103"/>
      <c r="AO75" s="3103"/>
      <c r="AP75" s="3103"/>
      <c r="AQ75" s="3103"/>
      <c r="AR75" s="3103"/>
      <c r="AS75" s="3103"/>
      <c r="AT75" s="3113"/>
      <c r="AU75" s="3114"/>
      <c r="AV75" s="1580">
        <f t="shared" si="11"/>
        <v>0</v>
      </c>
      <c r="AW75" s="1580">
        <f t="shared" si="12"/>
        <v>0</v>
      </c>
      <c r="AX75" s="1580">
        <f t="shared" si="13"/>
        <v>0</v>
      </c>
      <c r="AY75" s="3128">
        <f t="shared" si="14"/>
        <v>0</v>
      </c>
      <c r="AZ75" s="3083">
        <f t="shared" si="15"/>
        <v>0</v>
      </c>
      <c r="BA75" s="3083">
        <f t="shared" si="16"/>
        <v>0</v>
      </c>
      <c r="BB75" s="3083">
        <f t="shared" si="17"/>
        <v>0</v>
      </c>
      <c r="BC75" s="3083">
        <f t="shared" si="18"/>
        <v>0</v>
      </c>
      <c r="BD75" s="3083">
        <f t="shared" si="19"/>
        <v>0</v>
      </c>
      <c r="BE75" s="3083">
        <f t="shared" si="20"/>
        <v>0</v>
      </c>
      <c r="BF75" s="3083">
        <f t="shared" si="21"/>
        <v>0</v>
      </c>
      <c r="BG75" s="3083">
        <f t="shared" si="22"/>
        <v>0</v>
      </c>
      <c r="BH75" s="3083">
        <f t="shared" si="23"/>
        <v>0</v>
      </c>
      <c r="BI75" s="3083">
        <f t="shared" si="24"/>
        <v>0</v>
      </c>
      <c r="BJ75" s="3083">
        <f t="shared" si="25"/>
        <v>0</v>
      </c>
      <c r="BK75" s="3083">
        <f t="shared" si="26"/>
        <v>0</v>
      </c>
      <c r="BL75" s="3083">
        <f t="shared" si="27"/>
        <v>0</v>
      </c>
      <c r="BM75" s="3083">
        <f t="shared" si="28"/>
        <v>0</v>
      </c>
      <c r="BN75" s="3083">
        <f t="shared" si="29"/>
        <v>0</v>
      </c>
      <c r="BO75" s="3083">
        <f t="shared" si="30"/>
        <v>0</v>
      </c>
      <c r="BP75" s="3083">
        <f t="shared" si="31"/>
        <v>0</v>
      </c>
      <c r="BQ75" s="3083">
        <f t="shared" si="32"/>
        <v>0</v>
      </c>
      <c r="BR75" s="3083">
        <f t="shared" si="33"/>
        <v>0</v>
      </c>
      <c r="BS75" s="3083">
        <f t="shared" si="34"/>
        <v>0</v>
      </c>
      <c r="BT75" s="3135">
        <f t="shared" si="35"/>
        <v>0</v>
      </c>
    </row>
    <row r="76" spans="1:72">
      <c r="A76" s="3080"/>
      <c r="B76" s="3081"/>
      <c r="C76" s="3081"/>
      <c r="D76" s="3082"/>
      <c r="E76" s="3083">
        <f t="shared" si="7"/>
        <v>0</v>
      </c>
      <c r="F76" s="3084"/>
      <c r="G76" s="3085">
        <f t="shared" si="8"/>
        <v>0</v>
      </c>
      <c r="H76" s="3086">
        <f t="shared" si="9"/>
        <v>0</v>
      </c>
      <c r="I76" s="3093"/>
      <c r="J76" s="3093"/>
      <c r="K76" s="3093"/>
      <c r="L76" s="3093"/>
      <c r="M76" s="3093"/>
      <c r="N76" s="3093"/>
      <c r="O76" s="3093"/>
      <c r="P76" s="3093"/>
      <c r="Q76" s="3093"/>
      <c r="R76" s="3093"/>
      <c r="S76" s="3093"/>
      <c r="T76" s="3093"/>
      <c r="U76" s="3093"/>
      <c r="V76" s="3093"/>
      <c r="W76" s="3093"/>
      <c r="X76" s="3093"/>
      <c r="Y76" s="3093"/>
      <c r="Z76" s="3093"/>
      <c r="AA76" s="3093"/>
      <c r="AB76" s="3093"/>
      <c r="AC76" s="3083">
        <f t="shared" si="10"/>
        <v>0</v>
      </c>
      <c r="AD76" s="3103"/>
      <c r="AE76" s="3103"/>
      <c r="AF76" s="3103"/>
      <c r="AG76" s="3103"/>
      <c r="AH76" s="3103"/>
      <c r="AI76" s="3103"/>
      <c r="AJ76" s="3103"/>
      <c r="AK76" s="3103"/>
      <c r="AL76" s="3103"/>
      <c r="AM76" s="3103"/>
      <c r="AN76" s="3103"/>
      <c r="AO76" s="3103"/>
      <c r="AP76" s="3103"/>
      <c r="AQ76" s="3103"/>
      <c r="AR76" s="3103"/>
      <c r="AS76" s="3103"/>
      <c r="AT76" s="3113"/>
      <c r="AU76" s="3114"/>
      <c r="AV76" s="1580">
        <f t="shared" si="11"/>
        <v>0</v>
      </c>
      <c r="AW76" s="1580">
        <f t="shared" si="12"/>
        <v>0</v>
      </c>
      <c r="AX76" s="1580">
        <f t="shared" si="13"/>
        <v>0</v>
      </c>
      <c r="AY76" s="3128">
        <f t="shared" si="14"/>
        <v>0</v>
      </c>
      <c r="AZ76" s="3083">
        <f t="shared" si="15"/>
        <v>0</v>
      </c>
      <c r="BA76" s="3083">
        <f t="shared" si="16"/>
        <v>0</v>
      </c>
      <c r="BB76" s="3083">
        <f t="shared" si="17"/>
        <v>0</v>
      </c>
      <c r="BC76" s="3083">
        <f t="shared" si="18"/>
        <v>0</v>
      </c>
      <c r="BD76" s="3083">
        <f t="shared" si="19"/>
        <v>0</v>
      </c>
      <c r="BE76" s="3083">
        <f t="shared" si="20"/>
        <v>0</v>
      </c>
      <c r="BF76" s="3083">
        <f t="shared" si="21"/>
        <v>0</v>
      </c>
      <c r="BG76" s="3083">
        <f t="shared" si="22"/>
        <v>0</v>
      </c>
      <c r="BH76" s="3083">
        <f t="shared" si="23"/>
        <v>0</v>
      </c>
      <c r="BI76" s="3083">
        <f t="shared" si="24"/>
        <v>0</v>
      </c>
      <c r="BJ76" s="3083">
        <f t="shared" si="25"/>
        <v>0</v>
      </c>
      <c r="BK76" s="3083">
        <f t="shared" si="26"/>
        <v>0</v>
      </c>
      <c r="BL76" s="3083">
        <f t="shared" si="27"/>
        <v>0</v>
      </c>
      <c r="BM76" s="3083">
        <f t="shared" si="28"/>
        <v>0</v>
      </c>
      <c r="BN76" s="3083">
        <f t="shared" si="29"/>
        <v>0</v>
      </c>
      <c r="BO76" s="3083">
        <f t="shared" si="30"/>
        <v>0</v>
      </c>
      <c r="BP76" s="3083">
        <f t="shared" si="31"/>
        <v>0</v>
      </c>
      <c r="BQ76" s="3083">
        <f t="shared" si="32"/>
        <v>0</v>
      </c>
      <c r="BR76" s="3083">
        <f t="shared" si="33"/>
        <v>0</v>
      </c>
      <c r="BS76" s="3083">
        <f t="shared" si="34"/>
        <v>0</v>
      </c>
      <c r="BT76" s="3135">
        <f t="shared" si="35"/>
        <v>0</v>
      </c>
    </row>
    <row r="77" spans="1:72">
      <c r="A77" s="3080"/>
      <c r="B77" s="3081"/>
      <c r="C77" s="3081"/>
      <c r="D77" s="3082"/>
      <c r="E77" s="3083">
        <f t="shared" si="7"/>
        <v>0</v>
      </c>
      <c r="F77" s="3084"/>
      <c r="G77" s="3085">
        <f t="shared" si="8"/>
        <v>0</v>
      </c>
      <c r="H77" s="3086">
        <f t="shared" si="9"/>
        <v>0</v>
      </c>
      <c r="I77" s="3093"/>
      <c r="J77" s="3093"/>
      <c r="K77" s="3093"/>
      <c r="L77" s="3093"/>
      <c r="M77" s="3093"/>
      <c r="N77" s="3093"/>
      <c r="O77" s="3093"/>
      <c r="P77" s="3093"/>
      <c r="Q77" s="3093"/>
      <c r="R77" s="3093"/>
      <c r="S77" s="3093"/>
      <c r="T77" s="3093"/>
      <c r="U77" s="3093"/>
      <c r="V77" s="3093"/>
      <c r="W77" s="3093"/>
      <c r="X77" s="3093"/>
      <c r="Y77" s="3093"/>
      <c r="Z77" s="3093"/>
      <c r="AA77" s="3093"/>
      <c r="AB77" s="3093"/>
      <c r="AC77" s="3083">
        <f t="shared" si="10"/>
        <v>0</v>
      </c>
      <c r="AD77" s="3103"/>
      <c r="AE77" s="3103"/>
      <c r="AF77" s="3103"/>
      <c r="AG77" s="3103"/>
      <c r="AH77" s="3103"/>
      <c r="AI77" s="3103"/>
      <c r="AJ77" s="3103"/>
      <c r="AK77" s="3103"/>
      <c r="AL77" s="3103"/>
      <c r="AM77" s="3103"/>
      <c r="AN77" s="3103"/>
      <c r="AO77" s="3103"/>
      <c r="AP77" s="3103"/>
      <c r="AQ77" s="3103"/>
      <c r="AR77" s="3103"/>
      <c r="AS77" s="3103"/>
      <c r="AT77" s="3113"/>
      <c r="AU77" s="3114"/>
      <c r="AV77" s="1580">
        <f t="shared" si="11"/>
        <v>0</v>
      </c>
      <c r="AW77" s="1580">
        <f t="shared" si="12"/>
        <v>0</v>
      </c>
      <c r="AX77" s="1580">
        <f t="shared" si="13"/>
        <v>0</v>
      </c>
      <c r="AY77" s="3128">
        <f t="shared" si="14"/>
        <v>0</v>
      </c>
      <c r="AZ77" s="3083">
        <f t="shared" si="15"/>
        <v>0</v>
      </c>
      <c r="BA77" s="3083">
        <f t="shared" si="16"/>
        <v>0</v>
      </c>
      <c r="BB77" s="3083">
        <f t="shared" si="17"/>
        <v>0</v>
      </c>
      <c r="BC77" s="3083">
        <f t="shared" si="18"/>
        <v>0</v>
      </c>
      <c r="BD77" s="3083">
        <f t="shared" si="19"/>
        <v>0</v>
      </c>
      <c r="BE77" s="3083">
        <f t="shared" si="20"/>
        <v>0</v>
      </c>
      <c r="BF77" s="3083">
        <f t="shared" si="21"/>
        <v>0</v>
      </c>
      <c r="BG77" s="3083">
        <f t="shared" si="22"/>
        <v>0</v>
      </c>
      <c r="BH77" s="3083">
        <f t="shared" si="23"/>
        <v>0</v>
      </c>
      <c r="BI77" s="3083">
        <f t="shared" si="24"/>
        <v>0</v>
      </c>
      <c r="BJ77" s="3083">
        <f t="shared" si="25"/>
        <v>0</v>
      </c>
      <c r="BK77" s="3083">
        <f t="shared" si="26"/>
        <v>0</v>
      </c>
      <c r="BL77" s="3083">
        <f t="shared" si="27"/>
        <v>0</v>
      </c>
      <c r="BM77" s="3083">
        <f t="shared" si="28"/>
        <v>0</v>
      </c>
      <c r="BN77" s="3083">
        <f t="shared" si="29"/>
        <v>0</v>
      </c>
      <c r="BO77" s="3083">
        <f t="shared" si="30"/>
        <v>0</v>
      </c>
      <c r="BP77" s="3083">
        <f t="shared" si="31"/>
        <v>0</v>
      </c>
      <c r="BQ77" s="3083">
        <f t="shared" si="32"/>
        <v>0</v>
      </c>
      <c r="BR77" s="3083">
        <f t="shared" si="33"/>
        <v>0</v>
      </c>
      <c r="BS77" s="3083">
        <f t="shared" si="34"/>
        <v>0</v>
      </c>
      <c r="BT77" s="3135">
        <f t="shared" si="35"/>
        <v>0</v>
      </c>
    </row>
    <row r="78" spans="1:72">
      <c r="A78" s="3080"/>
      <c r="B78" s="3081"/>
      <c r="C78" s="3081"/>
      <c r="D78" s="3082"/>
      <c r="E78" s="3083">
        <f t="shared" si="7"/>
        <v>0</v>
      </c>
      <c r="F78" s="3084"/>
      <c r="G78" s="3085">
        <f t="shared" si="8"/>
        <v>0</v>
      </c>
      <c r="H78" s="3086">
        <f t="shared" si="9"/>
        <v>0</v>
      </c>
      <c r="I78" s="3093"/>
      <c r="J78" s="3093"/>
      <c r="K78" s="3093"/>
      <c r="L78" s="3093"/>
      <c r="M78" s="3093"/>
      <c r="N78" s="3093"/>
      <c r="O78" s="3093"/>
      <c r="P78" s="3093"/>
      <c r="Q78" s="3093"/>
      <c r="R78" s="3093"/>
      <c r="S78" s="3093"/>
      <c r="T78" s="3093"/>
      <c r="U78" s="3093"/>
      <c r="V78" s="3093"/>
      <c r="W78" s="3093"/>
      <c r="X78" s="3093"/>
      <c r="Y78" s="3093"/>
      <c r="Z78" s="3093"/>
      <c r="AA78" s="3093"/>
      <c r="AB78" s="3093"/>
      <c r="AC78" s="3083">
        <f t="shared" si="10"/>
        <v>0</v>
      </c>
      <c r="AD78" s="3103"/>
      <c r="AE78" s="3103"/>
      <c r="AF78" s="3103"/>
      <c r="AG78" s="3103"/>
      <c r="AH78" s="3103"/>
      <c r="AI78" s="3103"/>
      <c r="AJ78" s="3103"/>
      <c r="AK78" s="3103"/>
      <c r="AL78" s="3103"/>
      <c r="AM78" s="3103"/>
      <c r="AN78" s="3103"/>
      <c r="AO78" s="3103"/>
      <c r="AP78" s="3103"/>
      <c r="AQ78" s="3103"/>
      <c r="AR78" s="3103"/>
      <c r="AS78" s="3103"/>
      <c r="AT78" s="3113"/>
      <c r="AU78" s="3114"/>
      <c r="AV78" s="1580">
        <f t="shared" si="11"/>
        <v>0</v>
      </c>
      <c r="AW78" s="1580">
        <f t="shared" si="12"/>
        <v>0</v>
      </c>
      <c r="AX78" s="1580">
        <f t="shared" si="13"/>
        <v>0</v>
      </c>
      <c r="AY78" s="3128">
        <f t="shared" si="14"/>
        <v>0</v>
      </c>
      <c r="AZ78" s="3083">
        <f t="shared" si="15"/>
        <v>0</v>
      </c>
      <c r="BA78" s="3083">
        <f t="shared" si="16"/>
        <v>0</v>
      </c>
      <c r="BB78" s="3083">
        <f t="shared" si="17"/>
        <v>0</v>
      </c>
      <c r="BC78" s="3083">
        <f t="shared" si="18"/>
        <v>0</v>
      </c>
      <c r="BD78" s="3083">
        <f t="shared" si="19"/>
        <v>0</v>
      </c>
      <c r="BE78" s="3083">
        <f t="shared" si="20"/>
        <v>0</v>
      </c>
      <c r="BF78" s="3083">
        <f t="shared" si="21"/>
        <v>0</v>
      </c>
      <c r="BG78" s="3083">
        <f t="shared" si="22"/>
        <v>0</v>
      </c>
      <c r="BH78" s="3083">
        <f t="shared" si="23"/>
        <v>0</v>
      </c>
      <c r="BI78" s="3083">
        <f t="shared" si="24"/>
        <v>0</v>
      </c>
      <c r="BJ78" s="3083">
        <f t="shared" si="25"/>
        <v>0</v>
      </c>
      <c r="BK78" s="3083">
        <f t="shared" si="26"/>
        <v>0</v>
      </c>
      <c r="BL78" s="3083">
        <f t="shared" si="27"/>
        <v>0</v>
      </c>
      <c r="BM78" s="3083">
        <f t="shared" si="28"/>
        <v>0</v>
      </c>
      <c r="BN78" s="3083">
        <f t="shared" si="29"/>
        <v>0</v>
      </c>
      <c r="BO78" s="3083">
        <f t="shared" si="30"/>
        <v>0</v>
      </c>
      <c r="BP78" s="3083">
        <f t="shared" si="31"/>
        <v>0</v>
      </c>
      <c r="BQ78" s="3083">
        <f t="shared" si="32"/>
        <v>0</v>
      </c>
      <c r="BR78" s="3083">
        <f t="shared" si="33"/>
        <v>0</v>
      </c>
      <c r="BS78" s="3083">
        <f t="shared" si="34"/>
        <v>0</v>
      </c>
      <c r="BT78" s="3135">
        <f t="shared" si="35"/>
        <v>0</v>
      </c>
    </row>
    <row r="79" spans="1:72">
      <c r="A79" s="3080"/>
      <c r="B79" s="3081"/>
      <c r="C79" s="3081"/>
      <c r="D79" s="3082"/>
      <c r="E79" s="3083">
        <f t="shared" si="7"/>
        <v>0</v>
      </c>
      <c r="F79" s="3084"/>
      <c r="G79" s="3085">
        <f t="shared" si="8"/>
        <v>0</v>
      </c>
      <c r="H79" s="3086">
        <f t="shared" si="9"/>
        <v>0</v>
      </c>
      <c r="I79" s="3093"/>
      <c r="J79" s="3093"/>
      <c r="K79" s="3093"/>
      <c r="L79" s="3093"/>
      <c r="M79" s="3093"/>
      <c r="N79" s="3093"/>
      <c r="O79" s="3093"/>
      <c r="P79" s="3093"/>
      <c r="Q79" s="3093"/>
      <c r="R79" s="3093"/>
      <c r="S79" s="3093"/>
      <c r="T79" s="3093"/>
      <c r="U79" s="3093"/>
      <c r="V79" s="3093"/>
      <c r="W79" s="3093"/>
      <c r="X79" s="3093"/>
      <c r="Y79" s="3093"/>
      <c r="Z79" s="3093"/>
      <c r="AA79" s="3093"/>
      <c r="AB79" s="3093"/>
      <c r="AC79" s="3083">
        <f t="shared" si="10"/>
        <v>0</v>
      </c>
      <c r="AD79" s="3103"/>
      <c r="AE79" s="3103"/>
      <c r="AF79" s="3103"/>
      <c r="AG79" s="3103"/>
      <c r="AH79" s="3103"/>
      <c r="AI79" s="3103"/>
      <c r="AJ79" s="3103"/>
      <c r="AK79" s="3103"/>
      <c r="AL79" s="3103"/>
      <c r="AM79" s="3103"/>
      <c r="AN79" s="3103"/>
      <c r="AO79" s="3103"/>
      <c r="AP79" s="3103"/>
      <c r="AQ79" s="3103"/>
      <c r="AR79" s="3103"/>
      <c r="AS79" s="3103"/>
      <c r="AT79" s="3113"/>
      <c r="AU79" s="3114"/>
      <c r="AV79" s="1580">
        <f t="shared" si="11"/>
        <v>0</v>
      </c>
      <c r="AW79" s="1580">
        <f t="shared" si="12"/>
        <v>0</v>
      </c>
      <c r="AX79" s="1580">
        <f t="shared" si="13"/>
        <v>0</v>
      </c>
      <c r="AY79" s="3128">
        <f t="shared" si="14"/>
        <v>0</v>
      </c>
      <c r="AZ79" s="3083">
        <f t="shared" si="15"/>
        <v>0</v>
      </c>
      <c r="BA79" s="3083">
        <f t="shared" si="16"/>
        <v>0</v>
      </c>
      <c r="BB79" s="3083">
        <f t="shared" si="17"/>
        <v>0</v>
      </c>
      <c r="BC79" s="3083">
        <f t="shared" si="18"/>
        <v>0</v>
      </c>
      <c r="BD79" s="3083">
        <f t="shared" si="19"/>
        <v>0</v>
      </c>
      <c r="BE79" s="3083">
        <f t="shared" si="20"/>
        <v>0</v>
      </c>
      <c r="BF79" s="3083">
        <f t="shared" si="21"/>
        <v>0</v>
      </c>
      <c r="BG79" s="3083">
        <f t="shared" si="22"/>
        <v>0</v>
      </c>
      <c r="BH79" s="3083">
        <f t="shared" si="23"/>
        <v>0</v>
      </c>
      <c r="BI79" s="3083">
        <f t="shared" si="24"/>
        <v>0</v>
      </c>
      <c r="BJ79" s="3083">
        <f t="shared" si="25"/>
        <v>0</v>
      </c>
      <c r="BK79" s="3083">
        <f t="shared" si="26"/>
        <v>0</v>
      </c>
      <c r="BL79" s="3083">
        <f t="shared" si="27"/>
        <v>0</v>
      </c>
      <c r="BM79" s="3083">
        <f t="shared" si="28"/>
        <v>0</v>
      </c>
      <c r="BN79" s="3083">
        <f t="shared" si="29"/>
        <v>0</v>
      </c>
      <c r="BO79" s="3083">
        <f t="shared" si="30"/>
        <v>0</v>
      </c>
      <c r="BP79" s="3083">
        <f t="shared" si="31"/>
        <v>0</v>
      </c>
      <c r="BQ79" s="3083">
        <f t="shared" si="32"/>
        <v>0</v>
      </c>
      <c r="BR79" s="3083">
        <f t="shared" si="33"/>
        <v>0</v>
      </c>
      <c r="BS79" s="3083">
        <f t="shared" si="34"/>
        <v>0</v>
      </c>
      <c r="BT79" s="3135">
        <f t="shared" si="35"/>
        <v>0</v>
      </c>
    </row>
    <row r="80" spans="1:72">
      <c r="A80" s="3080"/>
      <c r="B80" s="3081"/>
      <c r="C80" s="3081"/>
      <c r="D80" s="3082"/>
      <c r="E80" s="3083">
        <f t="shared" si="7"/>
        <v>0</v>
      </c>
      <c r="F80" s="3084"/>
      <c r="G80" s="3085">
        <f t="shared" si="8"/>
        <v>0</v>
      </c>
      <c r="H80" s="3086">
        <f t="shared" si="9"/>
        <v>0</v>
      </c>
      <c r="I80" s="3093"/>
      <c r="J80" s="3093"/>
      <c r="K80" s="3093"/>
      <c r="L80" s="3093"/>
      <c r="M80" s="3093"/>
      <c r="N80" s="3093"/>
      <c r="O80" s="3093"/>
      <c r="P80" s="3093"/>
      <c r="Q80" s="3093"/>
      <c r="R80" s="3093"/>
      <c r="S80" s="3093"/>
      <c r="T80" s="3093"/>
      <c r="U80" s="3093"/>
      <c r="V80" s="3093"/>
      <c r="W80" s="3093"/>
      <c r="X80" s="3093"/>
      <c r="Y80" s="3093"/>
      <c r="Z80" s="3093"/>
      <c r="AA80" s="3093"/>
      <c r="AB80" s="3093"/>
      <c r="AC80" s="3083">
        <f t="shared" si="10"/>
        <v>0</v>
      </c>
      <c r="AD80" s="3103"/>
      <c r="AE80" s="3103"/>
      <c r="AF80" s="3103"/>
      <c r="AG80" s="3103"/>
      <c r="AH80" s="3103"/>
      <c r="AI80" s="3103"/>
      <c r="AJ80" s="3103"/>
      <c r="AK80" s="3103"/>
      <c r="AL80" s="3103"/>
      <c r="AM80" s="3103"/>
      <c r="AN80" s="3103"/>
      <c r="AO80" s="3103"/>
      <c r="AP80" s="3103"/>
      <c r="AQ80" s="3103"/>
      <c r="AR80" s="3103"/>
      <c r="AS80" s="3103"/>
      <c r="AT80" s="3113"/>
      <c r="AU80" s="3114"/>
      <c r="AV80" s="1580">
        <f t="shared" si="11"/>
        <v>0</v>
      </c>
      <c r="AW80" s="1580">
        <f t="shared" si="12"/>
        <v>0</v>
      </c>
      <c r="AX80" s="1580">
        <f t="shared" si="13"/>
        <v>0</v>
      </c>
      <c r="AY80" s="3128">
        <f t="shared" si="14"/>
        <v>0</v>
      </c>
      <c r="AZ80" s="3083">
        <f t="shared" si="15"/>
        <v>0</v>
      </c>
      <c r="BA80" s="3083">
        <f t="shared" si="16"/>
        <v>0</v>
      </c>
      <c r="BB80" s="3083">
        <f t="shared" si="17"/>
        <v>0</v>
      </c>
      <c r="BC80" s="3083">
        <f t="shared" si="18"/>
        <v>0</v>
      </c>
      <c r="BD80" s="3083">
        <f t="shared" si="19"/>
        <v>0</v>
      </c>
      <c r="BE80" s="3083">
        <f t="shared" si="20"/>
        <v>0</v>
      </c>
      <c r="BF80" s="3083">
        <f t="shared" si="21"/>
        <v>0</v>
      </c>
      <c r="BG80" s="3083">
        <f t="shared" si="22"/>
        <v>0</v>
      </c>
      <c r="BH80" s="3083">
        <f t="shared" si="23"/>
        <v>0</v>
      </c>
      <c r="BI80" s="3083">
        <f t="shared" si="24"/>
        <v>0</v>
      </c>
      <c r="BJ80" s="3083">
        <f t="shared" si="25"/>
        <v>0</v>
      </c>
      <c r="BK80" s="3083">
        <f t="shared" si="26"/>
        <v>0</v>
      </c>
      <c r="BL80" s="3083">
        <f t="shared" si="27"/>
        <v>0</v>
      </c>
      <c r="BM80" s="3083">
        <f t="shared" si="28"/>
        <v>0</v>
      </c>
      <c r="BN80" s="3083">
        <f t="shared" si="29"/>
        <v>0</v>
      </c>
      <c r="BO80" s="3083">
        <f t="shared" si="30"/>
        <v>0</v>
      </c>
      <c r="BP80" s="3083">
        <f t="shared" si="31"/>
        <v>0</v>
      </c>
      <c r="BQ80" s="3083">
        <f t="shared" si="32"/>
        <v>0</v>
      </c>
      <c r="BR80" s="3083">
        <f t="shared" si="33"/>
        <v>0</v>
      </c>
      <c r="BS80" s="3083">
        <f t="shared" si="34"/>
        <v>0</v>
      </c>
      <c r="BT80" s="3135">
        <f t="shared" si="35"/>
        <v>0</v>
      </c>
    </row>
    <row r="81" spans="1:72">
      <c r="A81" s="3080"/>
      <c r="B81" s="3081"/>
      <c r="C81" s="3081"/>
      <c r="D81" s="3082"/>
      <c r="E81" s="3083">
        <f t="shared" si="7"/>
        <v>0</v>
      </c>
      <c r="F81" s="3084"/>
      <c r="G81" s="3085">
        <f t="shared" si="8"/>
        <v>0</v>
      </c>
      <c r="H81" s="3086">
        <f t="shared" si="9"/>
        <v>0</v>
      </c>
      <c r="I81" s="3093"/>
      <c r="J81" s="3093"/>
      <c r="K81" s="3093"/>
      <c r="L81" s="3093"/>
      <c r="M81" s="3093"/>
      <c r="N81" s="3093"/>
      <c r="O81" s="3093"/>
      <c r="P81" s="3093"/>
      <c r="Q81" s="3093"/>
      <c r="R81" s="3093"/>
      <c r="S81" s="3093"/>
      <c r="T81" s="3093"/>
      <c r="U81" s="3093"/>
      <c r="V81" s="3093"/>
      <c r="W81" s="3093"/>
      <c r="X81" s="3093"/>
      <c r="Y81" s="3093"/>
      <c r="Z81" s="3093"/>
      <c r="AA81" s="3093"/>
      <c r="AB81" s="3093"/>
      <c r="AC81" s="3083">
        <f t="shared" si="10"/>
        <v>0</v>
      </c>
      <c r="AD81" s="3103"/>
      <c r="AE81" s="3103"/>
      <c r="AF81" s="3103"/>
      <c r="AG81" s="3103"/>
      <c r="AH81" s="3103"/>
      <c r="AI81" s="3103"/>
      <c r="AJ81" s="3103"/>
      <c r="AK81" s="3103"/>
      <c r="AL81" s="3103"/>
      <c r="AM81" s="3103"/>
      <c r="AN81" s="3103"/>
      <c r="AO81" s="3103"/>
      <c r="AP81" s="3103"/>
      <c r="AQ81" s="3103"/>
      <c r="AR81" s="3103"/>
      <c r="AS81" s="3103"/>
      <c r="AT81" s="3113"/>
      <c r="AU81" s="3114"/>
      <c r="AV81" s="1580">
        <f t="shared" si="11"/>
        <v>0</v>
      </c>
      <c r="AW81" s="1580">
        <f t="shared" si="12"/>
        <v>0</v>
      </c>
      <c r="AX81" s="1580">
        <f t="shared" si="13"/>
        <v>0</v>
      </c>
      <c r="AY81" s="3128">
        <f t="shared" si="14"/>
        <v>0</v>
      </c>
      <c r="AZ81" s="3083">
        <f t="shared" si="15"/>
        <v>0</v>
      </c>
      <c r="BA81" s="3083">
        <f t="shared" si="16"/>
        <v>0</v>
      </c>
      <c r="BB81" s="3083">
        <f t="shared" si="17"/>
        <v>0</v>
      </c>
      <c r="BC81" s="3083">
        <f t="shared" si="18"/>
        <v>0</v>
      </c>
      <c r="BD81" s="3083">
        <f t="shared" si="19"/>
        <v>0</v>
      </c>
      <c r="BE81" s="3083">
        <f t="shared" si="20"/>
        <v>0</v>
      </c>
      <c r="BF81" s="3083">
        <f t="shared" si="21"/>
        <v>0</v>
      </c>
      <c r="BG81" s="3083">
        <f t="shared" si="22"/>
        <v>0</v>
      </c>
      <c r="BH81" s="3083">
        <f t="shared" si="23"/>
        <v>0</v>
      </c>
      <c r="BI81" s="3083">
        <f t="shared" si="24"/>
        <v>0</v>
      </c>
      <c r="BJ81" s="3083">
        <f t="shared" si="25"/>
        <v>0</v>
      </c>
      <c r="BK81" s="3083">
        <f t="shared" si="26"/>
        <v>0</v>
      </c>
      <c r="BL81" s="3083">
        <f t="shared" si="27"/>
        <v>0</v>
      </c>
      <c r="BM81" s="3083">
        <f t="shared" si="28"/>
        <v>0</v>
      </c>
      <c r="BN81" s="3083">
        <f t="shared" si="29"/>
        <v>0</v>
      </c>
      <c r="BO81" s="3083">
        <f t="shared" si="30"/>
        <v>0</v>
      </c>
      <c r="BP81" s="3083">
        <f t="shared" si="31"/>
        <v>0</v>
      </c>
      <c r="BQ81" s="3083">
        <f t="shared" si="32"/>
        <v>0</v>
      </c>
      <c r="BR81" s="3083">
        <f t="shared" si="33"/>
        <v>0</v>
      </c>
      <c r="BS81" s="3083">
        <f t="shared" si="34"/>
        <v>0</v>
      </c>
      <c r="BT81" s="3135">
        <f t="shared" si="35"/>
        <v>0</v>
      </c>
    </row>
    <row r="82" spans="1:72">
      <c r="A82" s="3080"/>
      <c r="B82" s="3081"/>
      <c r="C82" s="3081"/>
      <c r="D82" s="3082"/>
      <c r="E82" s="3083">
        <f t="shared" si="7"/>
        <v>0</v>
      </c>
      <c r="F82" s="3084"/>
      <c r="G82" s="3085">
        <f t="shared" si="8"/>
        <v>0</v>
      </c>
      <c r="H82" s="3086">
        <f t="shared" si="9"/>
        <v>0</v>
      </c>
      <c r="I82" s="3093"/>
      <c r="J82" s="3093"/>
      <c r="K82" s="3093"/>
      <c r="L82" s="3093"/>
      <c r="M82" s="3093"/>
      <c r="N82" s="3093"/>
      <c r="O82" s="3093"/>
      <c r="P82" s="3093"/>
      <c r="Q82" s="3093"/>
      <c r="R82" s="3093"/>
      <c r="S82" s="3093"/>
      <c r="T82" s="3093"/>
      <c r="U82" s="3093"/>
      <c r="V82" s="3093"/>
      <c r="W82" s="3093"/>
      <c r="X82" s="3093"/>
      <c r="Y82" s="3093"/>
      <c r="Z82" s="3093"/>
      <c r="AA82" s="3093"/>
      <c r="AB82" s="3093"/>
      <c r="AC82" s="3083">
        <f t="shared" si="10"/>
        <v>0</v>
      </c>
      <c r="AD82" s="3103"/>
      <c r="AE82" s="3103"/>
      <c r="AF82" s="3103"/>
      <c r="AG82" s="3103"/>
      <c r="AH82" s="3103"/>
      <c r="AI82" s="3103"/>
      <c r="AJ82" s="3103"/>
      <c r="AK82" s="3103"/>
      <c r="AL82" s="3103"/>
      <c r="AM82" s="3103"/>
      <c r="AN82" s="3103"/>
      <c r="AO82" s="3103"/>
      <c r="AP82" s="3103"/>
      <c r="AQ82" s="3103"/>
      <c r="AR82" s="3103"/>
      <c r="AS82" s="3103"/>
      <c r="AT82" s="3113"/>
      <c r="AU82" s="3114"/>
      <c r="AV82" s="1580">
        <f t="shared" si="11"/>
        <v>0</v>
      </c>
      <c r="AW82" s="1580">
        <f t="shared" si="12"/>
        <v>0</v>
      </c>
      <c r="AX82" s="1580">
        <f t="shared" si="13"/>
        <v>0</v>
      </c>
      <c r="AY82" s="3128">
        <f t="shared" si="14"/>
        <v>0</v>
      </c>
      <c r="AZ82" s="3083">
        <f t="shared" si="15"/>
        <v>0</v>
      </c>
      <c r="BA82" s="3083">
        <f t="shared" si="16"/>
        <v>0</v>
      </c>
      <c r="BB82" s="3083">
        <f t="shared" si="17"/>
        <v>0</v>
      </c>
      <c r="BC82" s="3083">
        <f t="shared" si="18"/>
        <v>0</v>
      </c>
      <c r="BD82" s="3083">
        <f t="shared" si="19"/>
        <v>0</v>
      </c>
      <c r="BE82" s="3083">
        <f t="shared" si="20"/>
        <v>0</v>
      </c>
      <c r="BF82" s="3083">
        <f t="shared" si="21"/>
        <v>0</v>
      </c>
      <c r="BG82" s="3083">
        <f t="shared" si="22"/>
        <v>0</v>
      </c>
      <c r="BH82" s="3083">
        <f t="shared" si="23"/>
        <v>0</v>
      </c>
      <c r="BI82" s="3083">
        <f t="shared" si="24"/>
        <v>0</v>
      </c>
      <c r="BJ82" s="3083">
        <f t="shared" si="25"/>
        <v>0</v>
      </c>
      <c r="BK82" s="3083">
        <f t="shared" si="26"/>
        <v>0</v>
      </c>
      <c r="BL82" s="3083">
        <f t="shared" si="27"/>
        <v>0</v>
      </c>
      <c r="BM82" s="3083">
        <f t="shared" si="28"/>
        <v>0</v>
      </c>
      <c r="BN82" s="3083">
        <f t="shared" si="29"/>
        <v>0</v>
      </c>
      <c r="BO82" s="3083">
        <f t="shared" si="30"/>
        <v>0</v>
      </c>
      <c r="BP82" s="3083">
        <f t="shared" si="31"/>
        <v>0</v>
      </c>
      <c r="BQ82" s="3083">
        <f t="shared" si="32"/>
        <v>0</v>
      </c>
      <c r="BR82" s="3083">
        <f t="shared" si="33"/>
        <v>0</v>
      </c>
      <c r="BS82" s="3083">
        <f t="shared" si="34"/>
        <v>0</v>
      </c>
      <c r="BT82" s="3135">
        <f t="shared" si="35"/>
        <v>0</v>
      </c>
    </row>
    <row r="83" spans="1:72">
      <c r="A83" s="3080"/>
      <c r="B83" s="3081"/>
      <c r="C83" s="3081"/>
      <c r="D83" s="3082"/>
      <c r="E83" s="3083">
        <f t="shared" si="7"/>
        <v>0</v>
      </c>
      <c r="F83" s="3084"/>
      <c r="G83" s="3085">
        <f t="shared" si="8"/>
        <v>0</v>
      </c>
      <c r="H83" s="3086">
        <f t="shared" si="9"/>
        <v>0</v>
      </c>
      <c r="I83" s="3093"/>
      <c r="J83" s="3093"/>
      <c r="K83" s="3093"/>
      <c r="L83" s="3093"/>
      <c r="M83" s="3093"/>
      <c r="N83" s="3093"/>
      <c r="O83" s="3093"/>
      <c r="P83" s="3093"/>
      <c r="Q83" s="3093"/>
      <c r="R83" s="3093"/>
      <c r="S83" s="3093"/>
      <c r="T83" s="3093"/>
      <c r="U83" s="3093"/>
      <c r="V83" s="3093"/>
      <c r="W83" s="3093"/>
      <c r="X83" s="3093"/>
      <c r="Y83" s="3093"/>
      <c r="Z83" s="3093"/>
      <c r="AA83" s="3093"/>
      <c r="AB83" s="3093"/>
      <c r="AC83" s="3083">
        <f t="shared" si="10"/>
        <v>0</v>
      </c>
      <c r="AD83" s="3103"/>
      <c r="AE83" s="3103"/>
      <c r="AF83" s="3103"/>
      <c r="AG83" s="3103"/>
      <c r="AH83" s="3103"/>
      <c r="AI83" s="3103"/>
      <c r="AJ83" s="3103"/>
      <c r="AK83" s="3103"/>
      <c r="AL83" s="3103"/>
      <c r="AM83" s="3103"/>
      <c r="AN83" s="3103"/>
      <c r="AO83" s="3103"/>
      <c r="AP83" s="3103"/>
      <c r="AQ83" s="3103"/>
      <c r="AR83" s="3103"/>
      <c r="AS83" s="3103"/>
      <c r="AT83" s="3113"/>
      <c r="AU83" s="3114"/>
      <c r="AV83" s="1580">
        <f t="shared" si="11"/>
        <v>0</v>
      </c>
      <c r="AW83" s="1580">
        <f t="shared" si="12"/>
        <v>0</v>
      </c>
      <c r="AX83" s="1580">
        <f t="shared" si="13"/>
        <v>0</v>
      </c>
      <c r="AY83" s="3128">
        <f t="shared" si="14"/>
        <v>0</v>
      </c>
      <c r="AZ83" s="3083">
        <f t="shared" si="15"/>
        <v>0</v>
      </c>
      <c r="BA83" s="3083">
        <f t="shared" si="16"/>
        <v>0</v>
      </c>
      <c r="BB83" s="3083">
        <f t="shared" si="17"/>
        <v>0</v>
      </c>
      <c r="BC83" s="3083">
        <f t="shared" si="18"/>
        <v>0</v>
      </c>
      <c r="BD83" s="3083">
        <f t="shared" si="19"/>
        <v>0</v>
      </c>
      <c r="BE83" s="3083">
        <f t="shared" si="20"/>
        <v>0</v>
      </c>
      <c r="BF83" s="3083">
        <f t="shared" si="21"/>
        <v>0</v>
      </c>
      <c r="BG83" s="3083">
        <f t="shared" si="22"/>
        <v>0</v>
      </c>
      <c r="BH83" s="3083">
        <f t="shared" si="23"/>
        <v>0</v>
      </c>
      <c r="BI83" s="3083">
        <f t="shared" si="24"/>
        <v>0</v>
      </c>
      <c r="BJ83" s="3083">
        <f t="shared" si="25"/>
        <v>0</v>
      </c>
      <c r="BK83" s="3083">
        <f t="shared" si="26"/>
        <v>0</v>
      </c>
      <c r="BL83" s="3083">
        <f t="shared" si="27"/>
        <v>0</v>
      </c>
      <c r="BM83" s="3083">
        <f t="shared" si="28"/>
        <v>0</v>
      </c>
      <c r="BN83" s="3083">
        <f t="shared" si="29"/>
        <v>0</v>
      </c>
      <c r="BO83" s="3083">
        <f t="shared" si="30"/>
        <v>0</v>
      </c>
      <c r="BP83" s="3083">
        <f t="shared" si="31"/>
        <v>0</v>
      </c>
      <c r="BQ83" s="3083">
        <f t="shared" si="32"/>
        <v>0</v>
      </c>
      <c r="BR83" s="3083">
        <f t="shared" si="33"/>
        <v>0</v>
      </c>
      <c r="BS83" s="3083">
        <f t="shared" si="34"/>
        <v>0</v>
      </c>
      <c r="BT83" s="3135">
        <f t="shared" si="35"/>
        <v>0</v>
      </c>
    </row>
    <row r="84" spans="1:72">
      <c r="A84" s="3080"/>
      <c r="B84" s="3081"/>
      <c r="C84" s="3081"/>
      <c r="D84" s="3082"/>
      <c r="E84" s="3083">
        <f t="shared" si="7"/>
        <v>0</v>
      </c>
      <c r="F84" s="3084"/>
      <c r="G84" s="3085">
        <f t="shared" si="8"/>
        <v>0</v>
      </c>
      <c r="H84" s="3086">
        <f t="shared" si="9"/>
        <v>0</v>
      </c>
      <c r="I84" s="3093"/>
      <c r="J84" s="3093"/>
      <c r="K84" s="3093"/>
      <c r="L84" s="3093"/>
      <c r="M84" s="3093"/>
      <c r="N84" s="3093"/>
      <c r="O84" s="3093"/>
      <c r="P84" s="3093"/>
      <c r="Q84" s="3093"/>
      <c r="R84" s="3093"/>
      <c r="S84" s="3093"/>
      <c r="T84" s="3093"/>
      <c r="U84" s="3093"/>
      <c r="V84" s="3093"/>
      <c r="W84" s="3093"/>
      <c r="X84" s="3093"/>
      <c r="Y84" s="3093"/>
      <c r="Z84" s="3093"/>
      <c r="AA84" s="3093"/>
      <c r="AB84" s="3093"/>
      <c r="AC84" s="3083">
        <f t="shared" si="10"/>
        <v>0</v>
      </c>
      <c r="AD84" s="3103"/>
      <c r="AE84" s="3103"/>
      <c r="AF84" s="3103"/>
      <c r="AG84" s="3103"/>
      <c r="AH84" s="3103"/>
      <c r="AI84" s="3103"/>
      <c r="AJ84" s="3103"/>
      <c r="AK84" s="3103"/>
      <c r="AL84" s="3103"/>
      <c r="AM84" s="3103"/>
      <c r="AN84" s="3103"/>
      <c r="AO84" s="3103"/>
      <c r="AP84" s="3103"/>
      <c r="AQ84" s="3103"/>
      <c r="AR84" s="3103"/>
      <c r="AS84" s="3103"/>
      <c r="AT84" s="3113"/>
      <c r="AU84" s="3114"/>
      <c r="AV84" s="1580">
        <f t="shared" si="11"/>
        <v>0</v>
      </c>
      <c r="AW84" s="1580">
        <f t="shared" si="12"/>
        <v>0</v>
      </c>
      <c r="AX84" s="1580">
        <f t="shared" si="13"/>
        <v>0</v>
      </c>
      <c r="AY84" s="3128">
        <f t="shared" si="14"/>
        <v>0</v>
      </c>
      <c r="AZ84" s="3083">
        <f t="shared" si="15"/>
        <v>0</v>
      </c>
      <c r="BA84" s="3083">
        <f t="shared" si="16"/>
        <v>0</v>
      </c>
      <c r="BB84" s="3083">
        <f t="shared" si="17"/>
        <v>0</v>
      </c>
      <c r="BC84" s="3083">
        <f t="shared" si="18"/>
        <v>0</v>
      </c>
      <c r="BD84" s="3083">
        <f t="shared" si="19"/>
        <v>0</v>
      </c>
      <c r="BE84" s="3083">
        <f t="shared" si="20"/>
        <v>0</v>
      </c>
      <c r="BF84" s="3083">
        <f t="shared" si="21"/>
        <v>0</v>
      </c>
      <c r="BG84" s="3083">
        <f t="shared" si="22"/>
        <v>0</v>
      </c>
      <c r="BH84" s="3083">
        <f t="shared" si="23"/>
        <v>0</v>
      </c>
      <c r="BI84" s="3083">
        <f t="shared" si="24"/>
        <v>0</v>
      </c>
      <c r="BJ84" s="3083">
        <f t="shared" si="25"/>
        <v>0</v>
      </c>
      <c r="BK84" s="3083">
        <f t="shared" si="26"/>
        <v>0</v>
      </c>
      <c r="BL84" s="3083">
        <f t="shared" si="27"/>
        <v>0</v>
      </c>
      <c r="BM84" s="3083">
        <f t="shared" si="28"/>
        <v>0</v>
      </c>
      <c r="BN84" s="3083">
        <f t="shared" si="29"/>
        <v>0</v>
      </c>
      <c r="BO84" s="3083">
        <f t="shared" si="30"/>
        <v>0</v>
      </c>
      <c r="BP84" s="3083">
        <f t="shared" si="31"/>
        <v>0</v>
      </c>
      <c r="BQ84" s="3083">
        <f t="shared" si="32"/>
        <v>0</v>
      </c>
      <c r="BR84" s="3083">
        <f t="shared" si="33"/>
        <v>0</v>
      </c>
      <c r="BS84" s="3083">
        <f t="shared" si="34"/>
        <v>0</v>
      </c>
      <c r="BT84" s="3135">
        <f t="shared" si="35"/>
        <v>0</v>
      </c>
    </row>
    <row r="85" spans="1:72">
      <c r="A85" s="3080"/>
      <c r="B85" s="3081"/>
      <c r="C85" s="3081"/>
      <c r="D85" s="3082"/>
      <c r="E85" s="3083">
        <f t="shared" si="7"/>
        <v>0</v>
      </c>
      <c r="F85" s="3084"/>
      <c r="G85" s="3085">
        <f t="shared" si="8"/>
        <v>0</v>
      </c>
      <c r="H85" s="3086">
        <f t="shared" si="9"/>
        <v>0</v>
      </c>
      <c r="I85" s="3093"/>
      <c r="J85" s="3093"/>
      <c r="K85" s="3093"/>
      <c r="L85" s="3093"/>
      <c r="M85" s="3093"/>
      <c r="N85" s="3093"/>
      <c r="O85" s="3093"/>
      <c r="P85" s="3093"/>
      <c r="Q85" s="3093"/>
      <c r="R85" s="3093"/>
      <c r="S85" s="3093"/>
      <c r="T85" s="3093"/>
      <c r="U85" s="3093"/>
      <c r="V85" s="3093"/>
      <c r="W85" s="3093"/>
      <c r="X85" s="3093"/>
      <c r="Y85" s="3093"/>
      <c r="Z85" s="3093"/>
      <c r="AA85" s="3093"/>
      <c r="AB85" s="3093"/>
      <c r="AC85" s="3083">
        <f t="shared" si="10"/>
        <v>0</v>
      </c>
      <c r="AD85" s="3103"/>
      <c r="AE85" s="3103"/>
      <c r="AF85" s="3103"/>
      <c r="AG85" s="3103"/>
      <c r="AH85" s="3103"/>
      <c r="AI85" s="3103"/>
      <c r="AJ85" s="3103"/>
      <c r="AK85" s="3103"/>
      <c r="AL85" s="3103"/>
      <c r="AM85" s="3103"/>
      <c r="AN85" s="3103"/>
      <c r="AO85" s="3103"/>
      <c r="AP85" s="3103"/>
      <c r="AQ85" s="3103"/>
      <c r="AR85" s="3103"/>
      <c r="AS85" s="3103"/>
      <c r="AT85" s="3113"/>
      <c r="AU85" s="3114"/>
      <c r="AV85" s="1580">
        <f t="shared" si="11"/>
        <v>0</v>
      </c>
      <c r="AW85" s="1580">
        <f t="shared" si="12"/>
        <v>0</v>
      </c>
      <c r="AX85" s="1580">
        <f t="shared" si="13"/>
        <v>0</v>
      </c>
      <c r="AY85" s="3128">
        <f t="shared" si="14"/>
        <v>0</v>
      </c>
      <c r="AZ85" s="3083">
        <f t="shared" si="15"/>
        <v>0</v>
      </c>
      <c r="BA85" s="3083">
        <f t="shared" si="16"/>
        <v>0</v>
      </c>
      <c r="BB85" s="3083">
        <f t="shared" si="17"/>
        <v>0</v>
      </c>
      <c r="BC85" s="3083">
        <f t="shared" si="18"/>
        <v>0</v>
      </c>
      <c r="BD85" s="3083">
        <f t="shared" si="19"/>
        <v>0</v>
      </c>
      <c r="BE85" s="3083">
        <f t="shared" si="20"/>
        <v>0</v>
      </c>
      <c r="BF85" s="3083">
        <f t="shared" si="21"/>
        <v>0</v>
      </c>
      <c r="BG85" s="3083">
        <f t="shared" si="22"/>
        <v>0</v>
      </c>
      <c r="BH85" s="3083">
        <f t="shared" si="23"/>
        <v>0</v>
      </c>
      <c r="BI85" s="3083">
        <f t="shared" si="24"/>
        <v>0</v>
      </c>
      <c r="BJ85" s="3083">
        <f t="shared" si="25"/>
        <v>0</v>
      </c>
      <c r="BK85" s="3083">
        <f t="shared" si="26"/>
        <v>0</v>
      </c>
      <c r="BL85" s="3083">
        <f t="shared" si="27"/>
        <v>0</v>
      </c>
      <c r="BM85" s="3083">
        <f t="shared" si="28"/>
        <v>0</v>
      </c>
      <c r="BN85" s="3083">
        <f t="shared" si="29"/>
        <v>0</v>
      </c>
      <c r="BO85" s="3083">
        <f t="shared" si="30"/>
        <v>0</v>
      </c>
      <c r="BP85" s="3083">
        <f t="shared" si="31"/>
        <v>0</v>
      </c>
      <c r="BQ85" s="3083">
        <f t="shared" si="32"/>
        <v>0</v>
      </c>
      <c r="BR85" s="3083">
        <f t="shared" si="33"/>
        <v>0</v>
      </c>
      <c r="BS85" s="3083">
        <f t="shared" si="34"/>
        <v>0</v>
      </c>
      <c r="BT85" s="3135">
        <f t="shared" si="35"/>
        <v>0</v>
      </c>
    </row>
    <row r="86" spans="1:72">
      <c r="A86" s="3080"/>
      <c r="B86" s="3081"/>
      <c r="C86" s="3081"/>
      <c r="D86" s="3082"/>
      <c r="E86" s="3083">
        <f t="shared" si="7"/>
        <v>0</v>
      </c>
      <c r="F86" s="3084"/>
      <c r="G86" s="3085">
        <f t="shared" si="8"/>
        <v>0</v>
      </c>
      <c r="H86" s="3086">
        <f t="shared" si="9"/>
        <v>0</v>
      </c>
      <c r="I86" s="3093"/>
      <c r="J86" s="3093"/>
      <c r="K86" s="3093"/>
      <c r="L86" s="3093"/>
      <c r="M86" s="3093"/>
      <c r="N86" s="3093"/>
      <c r="O86" s="3093"/>
      <c r="P86" s="3093"/>
      <c r="Q86" s="3093"/>
      <c r="R86" s="3093"/>
      <c r="S86" s="3093"/>
      <c r="T86" s="3093"/>
      <c r="U86" s="3093"/>
      <c r="V86" s="3093"/>
      <c r="W86" s="3093"/>
      <c r="X86" s="3093"/>
      <c r="Y86" s="3093"/>
      <c r="Z86" s="3093"/>
      <c r="AA86" s="3093"/>
      <c r="AB86" s="3093"/>
      <c r="AC86" s="3083">
        <f t="shared" si="10"/>
        <v>0</v>
      </c>
      <c r="AD86" s="3103"/>
      <c r="AE86" s="3103"/>
      <c r="AF86" s="3103"/>
      <c r="AG86" s="3103"/>
      <c r="AH86" s="3103"/>
      <c r="AI86" s="3103"/>
      <c r="AJ86" s="3103"/>
      <c r="AK86" s="3103"/>
      <c r="AL86" s="3103"/>
      <c r="AM86" s="3103"/>
      <c r="AN86" s="3103"/>
      <c r="AO86" s="3103"/>
      <c r="AP86" s="3103"/>
      <c r="AQ86" s="3103"/>
      <c r="AR86" s="3103"/>
      <c r="AS86" s="3103"/>
      <c r="AT86" s="3113"/>
      <c r="AU86" s="3114"/>
      <c r="AV86" s="1580">
        <f t="shared" si="11"/>
        <v>0</v>
      </c>
      <c r="AW86" s="1580">
        <f t="shared" si="12"/>
        <v>0</v>
      </c>
      <c r="AX86" s="1580">
        <f t="shared" si="13"/>
        <v>0</v>
      </c>
      <c r="AY86" s="3128">
        <f t="shared" si="14"/>
        <v>0</v>
      </c>
      <c r="AZ86" s="3083">
        <f t="shared" si="15"/>
        <v>0</v>
      </c>
      <c r="BA86" s="3083">
        <f t="shared" si="16"/>
        <v>0</v>
      </c>
      <c r="BB86" s="3083">
        <f t="shared" si="17"/>
        <v>0</v>
      </c>
      <c r="BC86" s="3083">
        <f t="shared" si="18"/>
        <v>0</v>
      </c>
      <c r="BD86" s="3083">
        <f t="shared" si="19"/>
        <v>0</v>
      </c>
      <c r="BE86" s="3083">
        <f t="shared" si="20"/>
        <v>0</v>
      </c>
      <c r="BF86" s="3083">
        <f t="shared" si="21"/>
        <v>0</v>
      </c>
      <c r="BG86" s="3083">
        <f t="shared" si="22"/>
        <v>0</v>
      </c>
      <c r="BH86" s="3083">
        <f t="shared" si="23"/>
        <v>0</v>
      </c>
      <c r="BI86" s="3083">
        <f t="shared" si="24"/>
        <v>0</v>
      </c>
      <c r="BJ86" s="3083">
        <f t="shared" si="25"/>
        <v>0</v>
      </c>
      <c r="BK86" s="3083">
        <f t="shared" si="26"/>
        <v>0</v>
      </c>
      <c r="BL86" s="3083">
        <f t="shared" si="27"/>
        <v>0</v>
      </c>
      <c r="BM86" s="3083">
        <f t="shared" si="28"/>
        <v>0</v>
      </c>
      <c r="BN86" s="3083">
        <f t="shared" si="29"/>
        <v>0</v>
      </c>
      <c r="BO86" s="3083">
        <f t="shared" si="30"/>
        <v>0</v>
      </c>
      <c r="BP86" s="3083">
        <f t="shared" si="31"/>
        <v>0</v>
      </c>
      <c r="BQ86" s="3083">
        <f t="shared" si="32"/>
        <v>0</v>
      </c>
      <c r="BR86" s="3083">
        <f t="shared" si="33"/>
        <v>0</v>
      </c>
      <c r="BS86" s="3083">
        <f t="shared" si="34"/>
        <v>0</v>
      </c>
      <c r="BT86" s="3135">
        <f t="shared" si="35"/>
        <v>0</v>
      </c>
    </row>
    <row r="87" spans="1:72">
      <c r="A87" s="3080"/>
      <c r="B87" s="3081"/>
      <c r="C87" s="3081"/>
      <c r="D87" s="3082"/>
      <c r="E87" s="3083">
        <f t="shared" si="7"/>
        <v>0</v>
      </c>
      <c r="F87" s="3084"/>
      <c r="G87" s="3085">
        <f t="shared" si="8"/>
        <v>0</v>
      </c>
      <c r="H87" s="3086">
        <f t="shared" si="9"/>
        <v>0</v>
      </c>
      <c r="I87" s="3093"/>
      <c r="J87" s="3093"/>
      <c r="K87" s="3093"/>
      <c r="L87" s="3093"/>
      <c r="M87" s="3093"/>
      <c r="N87" s="3093"/>
      <c r="O87" s="3093"/>
      <c r="P87" s="3093"/>
      <c r="Q87" s="3093"/>
      <c r="R87" s="3093"/>
      <c r="S87" s="3093"/>
      <c r="T87" s="3093"/>
      <c r="U87" s="3093"/>
      <c r="V87" s="3093"/>
      <c r="W87" s="3093"/>
      <c r="X87" s="3093"/>
      <c r="Y87" s="3093"/>
      <c r="Z87" s="3093"/>
      <c r="AA87" s="3093"/>
      <c r="AB87" s="3093"/>
      <c r="AC87" s="3083">
        <f t="shared" si="10"/>
        <v>0</v>
      </c>
      <c r="AD87" s="3103"/>
      <c r="AE87" s="3103"/>
      <c r="AF87" s="3103"/>
      <c r="AG87" s="3103"/>
      <c r="AH87" s="3103"/>
      <c r="AI87" s="3103"/>
      <c r="AJ87" s="3103"/>
      <c r="AK87" s="3103"/>
      <c r="AL87" s="3103"/>
      <c r="AM87" s="3103"/>
      <c r="AN87" s="3103"/>
      <c r="AO87" s="3103"/>
      <c r="AP87" s="3103"/>
      <c r="AQ87" s="3103"/>
      <c r="AR87" s="3103"/>
      <c r="AS87" s="3103"/>
      <c r="AT87" s="3113"/>
      <c r="AU87" s="3114"/>
      <c r="AV87" s="1580">
        <f t="shared" si="11"/>
        <v>0</v>
      </c>
      <c r="AW87" s="1580">
        <f t="shared" si="12"/>
        <v>0</v>
      </c>
      <c r="AX87" s="1580">
        <f t="shared" si="13"/>
        <v>0</v>
      </c>
      <c r="AY87" s="3128">
        <f t="shared" si="14"/>
        <v>0</v>
      </c>
      <c r="AZ87" s="3083">
        <f t="shared" si="15"/>
        <v>0</v>
      </c>
      <c r="BA87" s="3083">
        <f t="shared" si="16"/>
        <v>0</v>
      </c>
      <c r="BB87" s="3083">
        <f t="shared" si="17"/>
        <v>0</v>
      </c>
      <c r="BC87" s="3083">
        <f t="shared" si="18"/>
        <v>0</v>
      </c>
      <c r="BD87" s="3083">
        <f t="shared" si="19"/>
        <v>0</v>
      </c>
      <c r="BE87" s="3083">
        <f t="shared" si="20"/>
        <v>0</v>
      </c>
      <c r="BF87" s="3083">
        <f t="shared" si="21"/>
        <v>0</v>
      </c>
      <c r="BG87" s="3083">
        <f t="shared" si="22"/>
        <v>0</v>
      </c>
      <c r="BH87" s="3083">
        <f t="shared" si="23"/>
        <v>0</v>
      </c>
      <c r="BI87" s="3083">
        <f t="shared" si="24"/>
        <v>0</v>
      </c>
      <c r="BJ87" s="3083">
        <f t="shared" si="25"/>
        <v>0</v>
      </c>
      <c r="BK87" s="3083">
        <f t="shared" si="26"/>
        <v>0</v>
      </c>
      <c r="BL87" s="3083">
        <f t="shared" si="27"/>
        <v>0</v>
      </c>
      <c r="BM87" s="3083">
        <f t="shared" si="28"/>
        <v>0</v>
      </c>
      <c r="BN87" s="3083">
        <f t="shared" si="29"/>
        <v>0</v>
      </c>
      <c r="BO87" s="3083">
        <f t="shared" si="30"/>
        <v>0</v>
      </c>
      <c r="BP87" s="3083">
        <f t="shared" si="31"/>
        <v>0</v>
      </c>
      <c r="BQ87" s="3083">
        <f t="shared" si="32"/>
        <v>0</v>
      </c>
      <c r="BR87" s="3083">
        <f t="shared" si="33"/>
        <v>0</v>
      </c>
      <c r="BS87" s="3083">
        <f t="shared" si="34"/>
        <v>0</v>
      </c>
      <c r="BT87" s="3135">
        <f t="shared" si="35"/>
        <v>0</v>
      </c>
    </row>
    <row r="88" spans="1:72">
      <c r="A88" s="3080"/>
      <c r="B88" s="3081"/>
      <c r="C88" s="3081"/>
      <c r="D88" s="3082"/>
      <c r="E88" s="3083">
        <f t="shared" si="7"/>
        <v>0</v>
      </c>
      <c r="F88" s="3084"/>
      <c r="G88" s="3085">
        <f t="shared" si="8"/>
        <v>0</v>
      </c>
      <c r="H88" s="3086">
        <f t="shared" si="9"/>
        <v>0</v>
      </c>
      <c r="I88" s="3093"/>
      <c r="J88" s="3093"/>
      <c r="K88" s="3093"/>
      <c r="L88" s="3093"/>
      <c r="M88" s="3093"/>
      <c r="N88" s="3093"/>
      <c r="O88" s="3093"/>
      <c r="P88" s="3093"/>
      <c r="Q88" s="3093"/>
      <c r="R88" s="3093"/>
      <c r="S88" s="3093"/>
      <c r="T88" s="3093"/>
      <c r="U88" s="3093"/>
      <c r="V88" s="3093"/>
      <c r="W88" s="3093"/>
      <c r="X88" s="3093"/>
      <c r="Y88" s="3093"/>
      <c r="Z88" s="3093"/>
      <c r="AA88" s="3093"/>
      <c r="AB88" s="3093"/>
      <c r="AC88" s="3083">
        <f t="shared" si="10"/>
        <v>0</v>
      </c>
      <c r="AD88" s="3103"/>
      <c r="AE88" s="3103"/>
      <c r="AF88" s="3103"/>
      <c r="AG88" s="3103"/>
      <c r="AH88" s="3103"/>
      <c r="AI88" s="3103"/>
      <c r="AJ88" s="3103"/>
      <c r="AK88" s="3103"/>
      <c r="AL88" s="3103"/>
      <c r="AM88" s="3103"/>
      <c r="AN88" s="3103"/>
      <c r="AO88" s="3103"/>
      <c r="AP88" s="3103"/>
      <c r="AQ88" s="3103"/>
      <c r="AR88" s="3103"/>
      <c r="AS88" s="3103"/>
      <c r="AT88" s="3113"/>
      <c r="AU88" s="3114"/>
      <c r="AV88" s="1580">
        <f t="shared" si="11"/>
        <v>0</v>
      </c>
      <c r="AW88" s="1580">
        <f t="shared" si="12"/>
        <v>0</v>
      </c>
      <c r="AX88" s="1580">
        <f t="shared" si="13"/>
        <v>0</v>
      </c>
      <c r="AY88" s="3128">
        <f t="shared" si="14"/>
        <v>0</v>
      </c>
      <c r="AZ88" s="3083">
        <f t="shared" si="15"/>
        <v>0</v>
      </c>
      <c r="BA88" s="3083">
        <f t="shared" si="16"/>
        <v>0</v>
      </c>
      <c r="BB88" s="3083">
        <f t="shared" si="17"/>
        <v>0</v>
      </c>
      <c r="BC88" s="3083">
        <f t="shared" si="18"/>
        <v>0</v>
      </c>
      <c r="BD88" s="3083">
        <f t="shared" si="19"/>
        <v>0</v>
      </c>
      <c r="BE88" s="3083">
        <f t="shared" si="20"/>
        <v>0</v>
      </c>
      <c r="BF88" s="3083">
        <f t="shared" si="21"/>
        <v>0</v>
      </c>
      <c r="BG88" s="3083">
        <f t="shared" si="22"/>
        <v>0</v>
      </c>
      <c r="BH88" s="3083">
        <f t="shared" si="23"/>
        <v>0</v>
      </c>
      <c r="BI88" s="3083">
        <f t="shared" si="24"/>
        <v>0</v>
      </c>
      <c r="BJ88" s="3083">
        <f t="shared" si="25"/>
        <v>0</v>
      </c>
      <c r="BK88" s="3083">
        <f t="shared" si="26"/>
        <v>0</v>
      </c>
      <c r="BL88" s="3083">
        <f t="shared" si="27"/>
        <v>0</v>
      </c>
      <c r="BM88" s="3083">
        <f t="shared" si="28"/>
        <v>0</v>
      </c>
      <c r="BN88" s="3083">
        <f t="shared" si="29"/>
        <v>0</v>
      </c>
      <c r="BO88" s="3083">
        <f t="shared" si="30"/>
        <v>0</v>
      </c>
      <c r="BP88" s="3083">
        <f t="shared" si="31"/>
        <v>0</v>
      </c>
      <c r="BQ88" s="3083">
        <f t="shared" si="32"/>
        <v>0</v>
      </c>
      <c r="BR88" s="3083">
        <f t="shared" si="33"/>
        <v>0</v>
      </c>
      <c r="BS88" s="3083">
        <f t="shared" si="34"/>
        <v>0</v>
      </c>
      <c r="BT88" s="3135">
        <f t="shared" si="35"/>
        <v>0</v>
      </c>
    </row>
    <row r="89" spans="1:72">
      <c r="A89" s="3080"/>
      <c r="B89" s="3081"/>
      <c r="C89" s="3081"/>
      <c r="D89" s="3082"/>
      <c r="E89" s="3083">
        <f t="shared" si="7"/>
        <v>0</v>
      </c>
      <c r="F89" s="3084"/>
      <c r="G89" s="3085">
        <f t="shared" si="8"/>
        <v>0</v>
      </c>
      <c r="H89" s="3086">
        <f t="shared" si="9"/>
        <v>0</v>
      </c>
      <c r="I89" s="3093"/>
      <c r="J89" s="3093"/>
      <c r="K89" s="3093"/>
      <c r="L89" s="3093"/>
      <c r="M89" s="3093"/>
      <c r="N89" s="3093"/>
      <c r="O89" s="3093"/>
      <c r="P89" s="3093"/>
      <c r="Q89" s="3093"/>
      <c r="R89" s="3093"/>
      <c r="S89" s="3093"/>
      <c r="T89" s="3093"/>
      <c r="U89" s="3093"/>
      <c r="V89" s="3093"/>
      <c r="W89" s="3093"/>
      <c r="X89" s="3093"/>
      <c r="Y89" s="3093"/>
      <c r="Z89" s="3093"/>
      <c r="AA89" s="3093"/>
      <c r="AB89" s="3093"/>
      <c r="AC89" s="3083">
        <f t="shared" si="10"/>
        <v>0</v>
      </c>
      <c r="AD89" s="3103"/>
      <c r="AE89" s="3103"/>
      <c r="AF89" s="3103"/>
      <c r="AG89" s="3103"/>
      <c r="AH89" s="3103"/>
      <c r="AI89" s="3103"/>
      <c r="AJ89" s="3103"/>
      <c r="AK89" s="3103"/>
      <c r="AL89" s="3103"/>
      <c r="AM89" s="3103"/>
      <c r="AN89" s="3103"/>
      <c r="AO89" s="3103"/>
      <c r="AP89" s="3103"/>
      <c r="AQ89" s="3103"/>
      <c r="AR89" s="3103"/>
      <c r="AS89" s="3103"/>
      <c r="AT89" s="3113"/>
      <c r="AU89" s="3114"/>
      <c r="AV89" s="1580">
        <f t="shared" si="11"/>
        <v>0</v>
      </c>
      <c r="AW89" s="1580">
        <f t="shared" si="12"/>
        <v>0</v>
      </c>
      <c r="AX89" s="1580">
        <f t="shared" si="13"/>
        <v>0</v>
      </c>
      <c r="AY89" s="3128">
        <f t="shared" si="14"/>
        <v>0</v>
      </c>
      <c r="AZ89" s="3083">
        <f t="shared" si="15"/>
        <v>0</v>
      </c>
      <c r="BA89" s="3083">
        <f t="shared" si="16"/>
        <v>0</v>
      </c>
      <c r="BB89" s="3083">
        <f t="shared" si="17"/>
        <v>0</v>
      </c>
      <c r="BC89" s="3083">
        <f t="shared" si="18"/>
        <v>0</v>
      </c>
      <c r="BD89" s="3083">
        <f t="shared" si="19"/>
        <v>0</v>
      </c>
      <c r="BE89" s="3083">
        <f t="shared" si="20"/>
        <v>0</v>
      </c>
      <c r="BF89" s="3083">
        <f t="shared" si="21"/>
        <v>0</v>
      </c>
      <c r="BG89" s="3083">
        <f t="shared" si="22"/>
        <v>0</v>
      </c>
      <c r="BH89" s="3083">
        <f t="shared" si="23"/>
        <v>0</v>
      </c>
      <c r="BI89" s="3083">
        <f t="shared" si="24"/>
        <v>0</v>
      </c>
      <c r="BJ89" s="3083">
        <f t="shared" si="25"/>
        <v>0</v>
      </c>
      <c r="BK89" s="3083">
        <f t="shared" si="26"/>
        <v>0</v>
      </c>
      <c r="BL89" s="3083">
        <f t="shared" si="27"/>
        <v>0</v>
      </c>
      <c r="BM89" s="3083">
        <f t="shared" si="28"/>
        <v>0</v>
      </c>
      <c r="BN89" s="3083">
        <f t="shared" si="29"/>
        <v>0</v>
      </c>
      <c r="BO89" s="3083">
        <f t="shared" si="30"/>
        <v>0</v>
      </c>
      <c r="BP89" s="3083">
        <f t="shared" si="31"/>
        <v>0</v>
      </c>
      <c r="BQ89" s="3083">
        <f t="shared" si="32"/>
        <v>0</v>
      </c>
      <c r="BR89" s="3083">
        <f t="shared" si="33"/>
        <v>0</v>
      </c>
      <c r="BS89" s="3083">
        <f t="shared" si="34"/>
        <v>0</v>
      </c>
      <c r="BT89" s="3135">
        <f t="shared" si="35"/>
        <v>0</v>
      </c>
    </row>
    <row r="90" spans="1:72">
      <c r="A90" s="3080"/>
      <c r="B90" s="3081"/>
      <c r="C90" s="3081"/>
      <c r="D90" s="3082"/>
      <c r="E90" s="3083">
        <f t="shared" si="7"/>
        <v>0</v>
      </c>
      <c r="F90" s="3084"/>
      <c r="G90" s="3085">
        <f t="shared" si="8"/>
        <v>0</v>
      </c>
      <c r="H90" s="3086">
        <f t="shared" si="9"/>
        <v>0</v>
      </c>
      <c r="I90" s="3093"/>
      <c r="J90" s="3093"/>
      <c r="K90" s="3093"/>
      <c r="L90" s="3093"/>
      <c r="M90" s="3093"/>
      <c r="N90" s="3093"/>
      <c r="O90" s="3093"/>
      <c r="P90" s="3093"/>
      <c r="Q90" s="3093"/>
      <c r="R90" s="3093"/>
      <c r="S90" s="3093"/>
      <c r="T90" s="3093"/>
      <c r="U90" s="3093"/>
      <c r="V90" s="3093"/>
      <c r="W90" s="3093"/>
      <c r="X90" s="3093"/>
      <c r="Y90" s="3093"/>
      <c r="Z90" s="3093"/>
      <c r="AA90" s="3093"/>
      <c r="AB90" s="3093"/>
      <c r="AC90" s="3083">
        <f t="shared" si="10"/>
        <v>0</v>
      </c>
      <c r="AD90" s="3103"/>
      <c r="AE90" s="3103"/>
      <c r="AF90" s="3103"/>
      <c r="AG90" s="3103"/>
      <c r="AH90" s="3103"/>
      <c r="AI90" s="3103"/>
      <c r="AJ90" s="3103"/>
      <c r="AK90" s="3103"/>
      <c r="AL90" s="3103"/>
      <c r="AM90" s="3103"/>
      <c r="AN90" s="3103"/>
      <c r="AO90" s="3103"/>
      <c r="AP90" s="3103"/>
      <c r="AQ90" s="3103"/>
      <c r="AR90" s="3103"/>
      <c r="AS90" s="3103"/>
      <c r="AT90" s="3113"/>
      <c r="AU90" s="3114"/>
      <c r="AV90" s="1580">
        <f t="shared" si="11"/>
        <v>0</v>
      </c>
      <c r="AW90" s="1580">
        <f t="shared" si="12"/>
        <v>0</v>
      </c>
      <c r="AX90" s="1580">
        <f t="shared" si="13"/>
        <v>0</v>
      </c>
      <c r="AY90" s="3128">
        <f t="shared" si="14"/>
        <v>0</v>
      </c>
      <c r="AZ90" s="3083">
        <f t="shared" si="15"/>
        <v>0</v>
      </c>
      <c r="BA90" s="3083">
        <f t="shared" si="16"/>
        <v>0</v>
      </c>
      <c r="BB90" s="3083">
        <f t="shared" si="17"/>
        <v>0</v>
      </c>
      <c r="BC90" s="3083">
        <f t="shared" si="18"/>
        <v>0</v>
      </c>
      <c r="BD90" s="3083">
        <f t="shared" si="19"/>
        <v>0</v>
      </c>
      <c r="BE90" s="3083">
        <f t="shared" si="20"/>
        <v>0</v>
      </c>
      <c r="BF90" s="3083">
        <f t="shared" si="21"/>
        <v>0</v>
      </c>
      <c r="BG90" s="3083">
        <f t="shared" si="22"/>
        <v>0</v>
      </c>
      <c r="BH90" s="3083">
        <f t="shared" si="23"/>
        <v>0</v>
      </c>
      <c r="BI90" s="3083">
        <f t="shared" si="24"/>
        <v>0</v>
      </c>
      <c r="BJ90" s="3083">
        <f t="shared" si="25"/>
        <v>0</v>
      </c>
      <c r="BK90" s="3083">
        <f t="shared" si="26"/>
        <v>0</v>
      </c>
      <c r="BL90" s="3083">
        <f t="shared" si="27"/>
        <v>0</v>
      </c>
      <c r="BM90" s="3083">
        <f t="shared" si="28"/>
        <v>0</v>
      </c>
      <c r="BN90" s="3083">
        <f t="shared" si="29"/>
        <v>0</v>
      </c>
      <c r="BO90" s="3083">
        <f t="shared" si="30"/>
        <v>0</v>
      </c>
      <c r="BP90" s="3083">
        <f t="shared" si="31"/>
        <v>0</v>
      </c>
      <c r="BQ90" s="3083">
        <f t="shared" si="32"/>
        <v>0</v>
      </c>
      <c r="BR90" s="3083">
        <f t="shared" si="33"/>
        <v>0</v>
      </c>
      <c r="BS90" s="3083">
        <f t="shared" si="34"/>
        <v>0</v>
      </c>
      <c r="BT90" s="3135">
        <f t="shared" si="35"/>
        <v>0</v>
      </c>
    </row>
    <row r="91" spans="1:72">
      <c r="A91" s="3080"/>
      <c r="B91" s="3081"/>
      <c r="C91" s="3081"/>
      <c r="D91" s="3082"/>
      <c r="E91" s="3083">
        <f t="shared" si="7"/>
        <v>0</v>
      </c>
      <c r="F91" s="3084"/>
      <c r="G91" s="3085">
        <f t="shared" si="8"/>
        <v>0</v>
      </c>
      <c r="H91" s="3086">
        <f t="shared" si="9"/>
        <v>0</v>
      </c>
      <c r="I91" s="3093"/>
      <c r="J91" s="3093"/>
      <c r="K91" s="3093"/>
      <c r="L91" s="3093"/>
      <c r="M91" s="3093"/>
      <c r="N91" s="3093"/>
      <c r="O91" s="3093"/>
      <c r="P91" s="3093"/>
      <c r="Q91" s="3093"/>
      <c r="R91" s="3093"/>
      <c r="S91" s="3093"/>
      <c r="T91" s="3093"/>
      <c r="U91" s="3093"/>
      <c r="V91" s="3093"/>
      <c r="W91" s="3093"/>
      <c r="X91" s="3093"/>
      <c r="Y91" s="3093"/>
      <c r="Z91" s="3093"/>
      <c r="AA91" s="3093"/>
      <c r="AB91" s="3093"/>
      <c r="AC91" s="3083">
        <f t="shared" si="10"/>
        <v>0</v>
      </c>
      <c r="AD91" s="3103"/>
      <c r="AE91" s="3103"/>
      <c r="AF91" s="3103"/>
      <c r="AG91" s="3103"/>
      <c r="AH91" s="3103"/>
      <c r="AI91" s="3103"/>
      <c r="AJ91" s="3103"/>
      <c r="AK91" s="3103"/>
      <c r="AL91" s="3103"/>
      <c r="AM91" s="3103"/>
      <c r="AN91" s="3103"/>
      <c r="AO91" s="3103"/>
      <c r="AP91" s="3103"/>
      <c r="AQ91" s="3103"/>
      <c r="AR91" s="3103"/>
      <c r="AS91" s="3103"/>
      <c r="AT91" s="3113"/>
      <c r="AU91" s="3114"/>
      <c r="AV91" s="1580">
        <f t="shared" si="11"/>
        <v>0</v>
      </c>
      <c r="AW91" s="1580">
        <f t="shared" si="12"/>
        <v>0</v>
      </c>
      <c r="AX91" s="1580">
        <f t="shared" si="13"/>
        <v>0</v>
      </c>
      <c r="AY91" s="3128">
        <f t="shared" si="14"/>
        <v>0</v>
      </c>
      <c r="AZ91" s="3083">
        <f t="shared" si="15"/>
        <v>0</v>
      </c>
      <c r="BA91" s="3083">
        <f t="shared" si="16"/>
        <v>0</v>
      </c>
      <c r="BB91" s="3083">
        <f t="shared" si="17"/>
        <v>0</v>
      </c>
      <c r="BC91" s="3083">
        <f t="shared" si="18"/>
        <v>0</v>
      </c>
      <c r="BD91" s="3083">
        <f t="shared" si="19"/>
        <v>0</v>
      </c>
      <c r="BE91" s="3083">
        <f t="shared" si="20"/>
        <v>0</v>
      </c>
      <c r="BF91" s="3083">
        <f t="shared" si="21"/>
        <v>0</v>
      </c>
      <c r="BG91" s="3083">
        <f t="shared" si="22"/>
        <v>0</v>
      </c>
      <c r="BH91" s="3083">
        <f t="shared" si="23"/>
        <v>0</v>
      </c>
      <c r="BI91" s="3083">
        <f t="shared" si="24"/>
        <v>0</v>
      </c>
      <c r="BJ91" s="3083">
        <f t="shared" si="25"/>
        <v>0</v>
      </c>
      <c r="BK91" s="3083">
        <f t="shared" si="26"/>
        <v>0</v>
      </c>
      <c r="BL91" s="3083">
        <f t="shared" si="27"/>
        <v>0</v>
      </c>
      <c r="BM91" s="3083">
        <f t="shared" si="28"/>
        <v>0</v>
      </c>
      <c r="BN91" s="3083">
        <f t="shared" si="29"/>
        <v>0</v>
      </c>
      <c r="BO91" s="3083">
        <f t="shared" si="30"/>
        <v>0</v>
      </c>
      <c r="BP91" s="3083">
        <f t="shared" si="31"/>
        <v>0</v>
      </c>
      <c r="BQ91" s="3083">
        <f t="shared" si="32"/>
        <v>0</v>
      </c>
      <c r="BR91" s="3083">
        <f t="shared" si="33"/>
        <v>0</v>
      </c>
      <c r="BS91" s="3083">
        <f t="shared" si="34"/>
        <v>0</v>
      </c>
      <c r="BT91" s="3135">
        <f t="shared" si="35"/>
        <v>0</v>
      </c>
    </row>
    <row r="92" spans="1:72">
      <c r="A92" s="3080"/>
      <c r="B92" s="3081"/>
      <c r="C92" s="3081"/>
      <c r="D92" s="3082"/>
      <c r="E92" s="3083">
        <f t="shared" si="7"/>
        <v>0</v>
      </c>
      <c r="F92" s="3084"/>
      <c r="G92" s="3085">
        <f t="shared" si="8"/>
        <v>0</v>
      </c>
      <c r="H92" s="3086">
        <f t="shared" si="9"/>
        <v>0</v>
      </c>
      <c r="I92" s="3093"/>
      <c r="J92" s="3093"/>
      <c r="K92" s="3093"/>
      <c r="L92" s="3093"/>
      <c r="M92" s="3093"/>
      <c r="N92" s="3093"/>
      <c r="O92" s="3093"/>
      <c r="P92" s="3093"/>
      <c r="Q92" s="3093"/>
      <c r="R92" s="3093"/>
      <c r="S92" s="3093"/>
      <c r="T92" s="3093"/>
      <c r="U92" s="3093"/>
      <c r="V92" s="3093"/>
      <c r="W92" s="3093"/>
      <c r="X92" s="3093"/>
      <c r="Y92" s="3093"/>
      <c r="Z92" s="3093"/>
      <c r="AA92" s="3093"/>
      <c r="AB92" s="3093"/>
      <c r="AC92" s="3083">
        <f t="shared" si="10"/>
        <v>0</v>
      </c>
      <c r="AD92" s="3103"/>
      <c r="AE92" s="3103"/>
      <c r="AF92" s="3103"/>
      <c r="AG92" s="3103"/>
      <c r="AH92" s="3103"/>
      <c r="AI92" s="3103"/>
      <c r="AJ92" s="3103"/>
      <c r="AK92" s="3103"/>
      <c r="AL92" s="3103"/>
      <c r="AM92" s="3103"/>
      <c r="AN92" s="3103"/>
      <c r="AO92" s="3103"/>
      <c r="AP92" s="3103"/>
      <c r="AQ92" s="3103"/>
      <c r="AR92" s="3103"/>
      <c r="AS92" s="3103"/>
      <c r="AT92" s="3113"/>
      <c r="AU92" s="3114"/>
      <c r="AV92" s="1580">
        <f t="shared" si="11"/>
        <v>0</v>
      </c>
      <c r="AW92" s="1580">
        <f t="shared" si="12"/>
        <v>0</v>
      </c>
      <c r="AX92" s="1580">
        <f t="shared" si="13"/>
        <v>0</v>
      </c>
      <c r="AY92" s="3128">
        <f t="shared" si="14"/>
        <v>0</v>
      </c>
      <c r="AZ92" s="3083">
        <f t="shared" si="15"/>
        <v>0</v>
      </c>
      <c r="BA92" s="3083">
        <f t="shared" si="16"/>
        <v>0</v>
      </c>
      <c r="BB92" s="3083">
        <f t="shared" si="17"/>
        <v>0</v>
      </c>
      <c r="BC92" s="3083">
        <f t="shared" si="18"/>
        <v>0</v>
      </c>
      <c r="BD92" s="3083">
        <f t="shared" si="19"/>
        <v>0</v>
      </c>
      <c r="BE92" s="3083">
        <f t="shared" si="20"/>
        <v>0</v>
      </c>
      <c r="BF92" s="3083">
        <f t="shared" si="21"/>
        <v>0</v>
      </c>
      <c r="BG92" s="3083">
        <f t="shared" si="22"/>
        <v>0</v>
      </c>
      <c r="BH92" s="3083">
        <f t="shared" si="23"/>
        <v>0</v>
      </c>
      <c r="BI92" s="3083">
        <f t="shared" si="24"/>
        <v>0</v>
      </c>
      <c r="BJ92" s="3083">
        <f t="shared" si="25"/>
        <v>0</v>
      </c>
      <c r="BK92" s="3083">
        <f t="shared" si="26"/>
        <v>0</v>
      </c>
      <c r="BL92" s="3083">
        <f t="shared" si="27"/>
        <v>0</v>
      </c>
      <c r="BM92" s="3083">
        <f t="shared" si="28"/>
        <v>0</v>
      </c>
      <c r="BN92" s="3083">
        <f t="shared" si="29"/>
        <v>0</v>
      </c>
      <c r="BO92" s="3083">
        <f t="shared" si="30"/>
        <v>0</v>
      </c>
      <c r="BP92" s="3083">
        <f t="shared" si="31"/>
        <v>0</v>
      </c>
      <c r="BQ92" s="3083">
        <f t="shared" si="32"/>
        <v>0</v>
      </c>
      <c r="BR92" s="3083">
        <f t="shared" si="33"/>
        <v>0</v>
      </c>
      <c r="BS92" s="3083">
        <f t="shared" si="34"/>
        <v>0</v>
      </c>
      <c r="BT92" s="3135">
        <f t="shared" si="35"/>
        <v>0</v>
      </c>
    </row>
    <row r="93" spans="1:72">
      <c r="A93" s="3080"/>
      <c r="B93" s="3081"/>
      <c r="C93" s="3081"/>
      <c r="D93" s="3082"/>
      <c r="E93" s="3083">
        <f t="shared" si="7"/>
        <v>0</v>
      </c>
      <c r="F93" s="3084"/>
      <c r="G93" s="3085">
        <f t="shared" si="8"/>
        <v>0</v>
      </c>
      <c r="H93" s="3086">
        <f t="shared" si="9"/>
        <v>0</v>
      </c>
      <c r="I93" s="3093"/>
      <c r="J93" s="3093"/>
      <c r="K93" s="3093"/>
      <c r="L93" s="3093"/>
      <c r="M93" s="3093"/>
      <c r="N93" s="3093"/>
      <c r="O93" s="3093"/>
      <c r="P93" s="3093"/>
      <c r="Q93" s="3093"/>
      <c r="R93" s="3093"/>
      <c r="S93" s="3093"/>
      <c r="T93" s="3093"/>
      <c r="U93" s="3093"/>
      <c r="V93" s="3093"/>
      <c r="W93" s="3093"/>
      <c r="X93" s="3093"/>
      <c r="Y93" s="3093"/>
      <c r="Z93" s="3093"/>
      <c r="AA93" s="3093"/>
      <c r="AB93" s="3093"/>
      <c r="AC93" s="3083">
        <f t="shared" si="10"/>
        <v>0</v>
      </c>
      <c r="AD93" s="3103"/>
      <c r="AE93" s="3103"/>
      <c r="AF93" s="3103"/>
      <c r="AG93" s="3103"/>
      <c r="AH93" s="3103"/>
      <c r="AI93" s="3103"/>
      <c r="AJ93" s="3103"/>
      <c r="AK93" s="3103"/>
      <c r="AL93" s="3103"/>
      <c r="AM93" s="3103"/>
      <c r="AN93" s="3103"/>
      <c r="AO93" s="3103"/>
      <c r="AP93" s="3103"/>
      <c r="AQ93" s="3103"/>
      <c r="AR93" s="3103"/>
      <c r="AS93" s="3103"/>
      <c r="AT93" s="3113"/>
      <c r="AU93" s="3114"/>
      <c r="AV93" s="1580">
        <f t="shared" si="11"/>
        <v>0</v>
      </c>
      <c r="AW93" s="1580">
        <f t="shared" si="12"/>
        <v>0</v>
      </c>
      <c r="AX93" s="1580">
        <f t="shared" si="13"/>
        <v>0</v>
      </c>
      <c r="AY93" s="3128">
        <f t="shared" si="14"/>
        <v>0</v>
      </c>
      <c r="AZ93" s="3083">
        <f t="shared" si="15"/>
        <v>0</v>
      </c>
      <c r="BA93" s="3083">
        <f t="shared" si="16"/>
        <v>0</v>
      </c>
      <c r="BB93" s="3083">
        <f t="shared" si="17"/>
        <v>0</v>
      </c>
      <c r="BC93" s="3083">
        <f t="shared" si="18"/>
        <v>0</v>
      </c>
      <c r="BD93" s="3083">
        <f t="shared" si="19"/>
        <v>0</v>
      </c>
      <c r="BE93" s="3083">
        <f t="shared" si="20"/>
        <v>0</v>
      </c>
      <c r="BF93" s="3083">
        <f t="shared" si="21"/>
        <v>0</v>
      </c>
      <c r="BG93" s="3083">
        <f t="shared" si="22"/>
        <v>0</v>
      </c>
      <c r="BH93" s="3083">
        <f t="shared" si="23"/>
        <v>0</v>
      </c>
      <c r="BI93" s="3083">
        <f t="shared" si="24"/>
        <v>0</v>
      </c>
      <c r="BJ93" s="3083">
        <f t="shared" si="25"/>
        <v>0</v>
      </c>
      <c r="BK93" s="3083">
        <f t="shared" si="26"/>
        <v>0</v>
      </c>
      <c r="BL93" s="3083">
        <f t="shared" si="27"/>
        <v>0</v>
      </c>
      <c r="BM93" s="3083">
        <f t="shared" si="28"/>
        <v>0</v>
      </c>
      <c r="BN93" s="3083">
        <f t="shared" si="29"/>
        <v>0</v>
      </c>
      <c r="BO93" s="3083">
        <f t="shared" si="30"/>
        <v>0</v>
      </c>
      <c r="BP93" s="3083">
        <f t="shared" si="31"/>
        <v>0</v>
      </c>
      <c r="BQ93" s="3083">
        <f t="shared" si="32"/>
        <v>0</v>
      </c>
      <c r="BR93" s="3083">
        <f t="shared" si="33"/>
        <v>0</v>
      </c>
      <c r="BS93" s="3083">
        <f t="shared" si="34"/>
        <v>0</v>
      </c>
      <c r="BT93" s="3135">
        <f t="shared" si="35"/>
        <v>0</v>
      </c>
    </row>
    <row r="94" spans="1:72">
      <c r="A94" s="3080"/>
      <c r="B94" s="3081"/>
      <c r="C94" s="3081"/>
      <c r="D94" s="3082"/>
      <c r="E94" s="3083">
        <f t="shared" si="7"/>
        <v>0</v>
      </c>
      <c r="F94" s="3084"/>
      <c r="G94" s="3085">
        <f t="shared" si="8"/>
        <v>0</v>
      </c>
      <c r="H94" s="3086">
        <f t="shared" si="9"/>
        <v>0</v>
      </c>
      <c r="I94" s="3093"/>
      <c r="J94" s="3093"/>
      <c r="K94" s="3093"/>
      <c r="L94" s="3093"/>
      <c r="M94" s="3093"/>
      <c r="N94" s="3093"/>
      <c r="O94" s="3093"/>
      <c r="P94" s="3093"/>
      <c r="Q94" s="3093"/>
      <c r="R94" s="3093"/>
      <c r="S94" s="3093"/>
      <c r="T94" s="3093"/>
      <c r="U94" s="3093"/>
      <c r="V94" s="3093"/>
      <c r="W94" s="3093"/>
      <c r="X94" s="3093"/>
      <c r="Y94" s="3093"/>
      <c r="Z94" s="3093"/>
      <c r="AA94" s="3093"/>
      <c r="AB94" s="3093"/>
      <c r="AC94" s="3083">
        <f t="shared" si="10"/>
        <v>0</v>
      </c>
      <c r="AD94" s="3103"/>
      <c r="AE94" s="3103"/>
      <c r="AF94" s="3103"/>
      <c r="AG94" s="3103"/>
      <c r="AH94" s="3103"/>
      <c r="AI94" s="3103"/>
      <c r="AJ94" s="3103"/>
      <c r="AK94" s="3103"/>
      <c r="AL94" s="3103"/>
      <c r="AM94" s="3103"/>
      <c r="AN94" s="3103"/>
      <c r="AO94" s="3103"/>
      <c r="AP94" s="3103"/>
      <c r="AQ94" s="3103"/>
      <c r="AR94" s="3103"/>
      <c r="AS94" s="3103"/>
      <c r="AT94" s="3113"/>
      <c r="AU94" s="3114"/>
      <c r="AV94" s="1580">
        <f t="shared" si="11"/>
        <v>0</v>
      </c>
      <c r="AW94" s="1580">
        <f t="shared" si="12"/>
        <v>0</v>
      </c>
      <c r="AX94" s="1580">
        <f t="shared" si="13"/>
        <v>0</v>
      </c>
      <c r="AY94" s="3128">
        <f t="shared" si="14"/>
        <v>0</v>
      </c>
      <c r="AZ94" s="3083">
        <f t="shared" si="15"/>
        <v>0</v>
      </c>
      <c r="BA94" s="3083">
        <f t="shared" si="16"/>
        <v>0</v>
      </c>
      <c r="BB94" s="3083">
        <f t="shared" si="17"/>
        <v>0</v>
      </c>
      <c r="BC94" s="3083">
        <f t="shared" si="18"/>
        <v>0</v>
      </c>
      <c r="BD94" s="3083">
        <f t="shared" si="19"/>
        <v>0</v>
      </c>
      <c r="BE94" s="3083">
        <f t="shared" si="20"/>
        <v>0</v>
      </c>
      <c r="BF94" s="3083">
        <f t="shared" si="21"/>
        <v>0</v>
      </c>
      <c r="BG94" s="3083">
        <f t="shared" si="22"/>
        <v>0</v>
      </c>
      <c r="BH94" s="3083">
        <f t="shared" si="23"/>
        <v>0</v>
      </c>
      <c r="BI94" s="3083">
        <f t="shared" si="24"/>
        <v>0</v>
      </c>
      <c r="BJ94" s="3083">
        <f t="shared" si="25"/>
        <v>0</v>
      </c>
      <c r="BK94" s="3083">
        <f t="shared" si="26"/>
        <v>0</v>
      </c>
      <c r="BL94" s="3083">
        <f t="shared" si="27"/>
        <v>0</v>
      </c>
      <c r="BM94" s="3083">
        <f t="shared" si="28"/>
        <v>0</v>
      </c>
      <c r="BN94" s="3083">
        <f t="shared" si="29"/>
        <v>0</v>
      </c>
      <c r="BO94" s="3083">
        <f t="shared" si="30"/>
        <v>0</v>
      </c>
      <c r="BP94" s="3083">
        <f t="shared" si="31"/>
        <v>0</v>
      </c>
      <c r="BQ94" s="3083">
        <f t="shared" si="32"/>
        <v>0</v>
      </c>
      <c r="BR94" s="3083">
        <f t="shared" si="33"/>
        <v>0</v>
      </c>
      <c r="BS94" s="3083">
        <f t="shared" si="34"/>
        <v>0</v>
      </c>
      <c r="BT94" s="3135">
        <f t="shared" si="35"/>
        <v>0</v>
      </c>
    </row>
    <row r="95" spans="1:72">
      <c r="A95" s="3080"/>
      <c r="B95" s="3081"/>
      <c r="C95" s="3081"/>
      <c r="D95" s="3082"/>
      <c r="E95" s="3083">
        <f t="shared" si="7"/>
        <v>0</v>
      </c>
      <c r="F95" s="3084"/>
      <c r="G95" s="3085">
        <f t="shared" si="8"/>
        <v>0</v>
      </c>
      <c r="H95" s="3086">
        <f t="shared" si="9"/>
        <v>0</v>
      </c>
      <c r="I95" s="3093"/>
      <c r="J95" s="3093"/>
      <c r="K95" s="3093"/>
      <c r="L95" s="3093"/>
      <c r="M95" s="3093"/>
      <c r="N95" s="3093"/>
      <c r="O95" s="3093"/>
      <c r="P95" s="3093"/>
      <c r="Q95" s="3093"/>
      <c r="R95" s="3093"/>
      <c r="S95" s="3093"/>
      <c r="T95" s="3093"/>
      <c r="U95" s="3093"/>
      <c r="V95" s="3093"/>
      <c r="W95" s="3093"/>
      <c r="X95" s="3093"/>
      <c r="Y95" s="3093"/>
      <c r="Z95" s="3093"/>
      <c r="AA95" s="3093"/>
      <c r="AB95" s="3093"/>
      <c r="AC95" s="3083">
        <f t="shared" si="10"/>
        <v>0</v>
      </c>
      <c r="AD95" s="3103"/>
      <c r="AE95" s="3103"/>
      <c r="AF95" s="3103"/>
      <c r="AG95" s="3103"/>
      <c r="AH95" s="3103"/>
      <c r="AI95" s="3103"/>
      <c r="AJ95" s="3103"/>
      <c r="AK95" s="3103"/>
      <c r="AL95" s="3103"/>
      <c r="AM95" s="3103"/>
      <c r="AN95" s="3103"/>
      <c r="AO95" s="3103"/>
      <c r="AP95" s="3103"/>
      <c r="AQ95" s="3103"/>
      <c r="AR95" s="3103"/>
      <c r="AS95" s="3103"/>
      <c r="AT95" s="3113"/>
      <c r="AU95" s="3114"/>
      <c r="AV95" s="1580">
        <f t="shared" si="11"/>
        <v>0</v>
      </c>
      <c r="AW95" s="1580">
        <f t="shared" si="12"/>
        <v>0</v>
      </c>
      <c r="AX95" s="1580">
        <f t="shared" si="13"/>
        <v>0</v>
      </c>
      <c r="AY95" s="3128">
        <f t="shared" si="14"/>
        <v>0</v>
      </c>
      <c r="AZ95" s="3083">
        <f t="shared" si="15"/>
        <v>0</v>
      </c>
      <c r="BA95" s="3083">
        <f t="shared" si="16"/>
        <v>0</v>
      </c>
      <c r="BB95" s="3083">
        <f t="shared" si="17"/>
        <v>0</v>
      </c>
      <c r="BC95" s="3083">
        <f t="shared" si="18"/>
        <v>0</v>
      </c>
      <c r="BD95" s="3083">
        <f t="shared" si="19"/>
        <v>0</v>
      </c>
      <c r="BE95" s="3083">
        <f t="shared" si="20"/>
        <v>0</v>
      </c>
      <c r="BF95" s="3083">
        <f t="shared" si="21"/>
        <v>0</v>
      </c>
      <c r="BG95" s="3083">
        <f t="shared" si="22"/>
        <v>0</v>
      </c>
      <c r="BH95" s="3083">
        <f t="shared" si="23"/>
        <v>0</v>
      </c>
      <c r="BI95" s="3083">
        <f t="shared" si="24"/>
        <v>0</v>
      </c>
      <c r="BJ95" s="3083">
        <f t="shared" si="25"/>
        <v>0</v>
      </c>
      <c r="BK95" s="3083">
        <f t="shared" si="26"/>
        <v>0</v>
      </c>
      <c r="BL95" s="3083">
        <f t="shared" si="27"/>
        <v>0</v>
      </c>
      <c r="BM95" s="3083">
        <f t="shared" si="28"/>
        <v>0</v>
      </c>
      <c r="BN95" s="3083">
        <f t="shared" si="29"/>
        <v>0</v>
      </c>
      <c r="BO95" s="3083">
        <f t="shared" si="30"/>
        <v>0</v>
      </c>
      <c r="BP95" s="3083">
        <f t="shared" si="31"/>
        <v>0</v>
      </c>
      <c r="BQ95" s="3083">
        <f t="shared" si="32"/>
        <v>0</v>
      </c>
      <c r="BR95" s="3083">
        <f t="shared" si="33"/>
        <v>0</v>
      </c>
      <c r="BS95" s="3083">
        <f t="shared" si="34"/>
        <v>0</v>
      </c>
      <c r="BT95" s="3135">
        <f t="shared" si="35"/>
        <v>0</v>
      </c>
    </row>
    <row r="96" spans="1:72">
      <c r="A96" s="3080"/>
      <c r="B96" s="3081"/>
      <c r="C96" s="3081"/>
      <c r="D96" s="3082"/>
      <c r="E96" s="3083">
        <f t="shared" si="7"/>
        <v>0</v>
      </c>
      <c r="F96" s="3084"/>
      <c r="G96" s="3085">
        <f t="shared" si="8"/>
        <v>0</v>
      </c>
      <c r="H96" s="3086">
        <f t="shared" si="9"/>
        <v>0</v>
      </c>
      <c r="I96" s="3093"/>
      <c r="J96" s="3093"/>
      <c r="K96" s="3093"/>
      <c r="L96" s="3093"/>
      <c r="M96" s="3093"/>
      <c r="N96" s="3093"/>
      <c r="O96" s="3093"/>
      <c r="P96" s="3093"/>
      <c r="Q96" s="3093"/>
      <c r="R96" s="3093"/>
      <c r="S96" s="3093"/>
      <c r="T96" s="3093"/>
      <c r="U96" s="3093"/>
      <c r="V96" s="3093"/>
      <c r="W96" s="3093"/>
      <c r="X96" s="3093"/>
      <c r="Y96" s="3093"/>
      <c r="Z96" s="3093"/>
      <c r="AA96" s="3093"/>
      <c r="AB96" s="3093"/>
      <c r="AC96" s="3083">
        <f t="shared" si="10"/>
        <v>0</v>
      </c>
      <c r="AD96" s="3103"/>
      <c r="AE96" s="3103"/>
      <c r="AF96" s="3103"/>
      <c r="AG96" s="3103"/>
      <c r="AH96" s="3103"/>
      <c r="AI96" s="3103"/>
      <c r="AJ96" s="3103"/>
      <c r="AK96" s="3103"/>
      <c r="AL96" s="3103"/>
      <c r="AM96" s="3103"/>
      <c r="AN96" s="3103"/>
      <c r="AO96" s="3103"/>
      <c r="AP96" s="3103"/>
      <c r="AQ96" s="3103"/>
      <c r="AR96" s="3103"/>
      <c r="AS96" s="3103"/>
      <c r="AT96" s="3113"/>
      <c r="AU96" s="3114"/>
      <c r="AV96" s="1580">
        <f t="shared" si="11"/>
        <v>0</v>
      </c>
      <c r="AW96" s="1580">
        <f t="shared" si="12"/>
        <v>0</v>
      </c>
      <c r="AX96" s="1580">
        <f t="shared" si="13"/>
        <v>0</v>
      </c>
      <c r="AY96" s="3128">
        <f t="shared" si="14"/>
        <v>0</v>
      </c>
      <c r="AZ96" s="3083">
        <f t="shared" si="15"/>
        <v>0</v>
      </c>
      <c r="BA96" s="3083">
        <f t="shared" si="16"/>
        <v>0</v>
      </c>
      <c r="BB96" s="3083">
        <f t="shared" si="17"/>
        <v>0</v>
      </c>
      <c r="BC96" s="3083">
        <f t="shared" si="18"/>
        <v>0</v>
      </c>
      <c r="BD96" s="3083">
        <f t="shared" si="19"/>
        <v>0</v>
      </c>
      <c r="BE96" s="3083">
        <f t="shared" si="20"/>
        <v>0</v>
      </c>
      <c r="BF96" s="3083">
        <f t="shared" si="21"/>
        <v>0</v>
      </c>
      <c r="BG96" s="3083">
        <f t="shared" si="22"/>
        <v>0</v>
      </c>
      <c r="BH96" s="3083">
        <f t="shared" si="23"/>
        <v>0</v>
      </c>
      <c r="BI96" s="3083">
        <f t="shared" si="24"/>
        <v>0</v>
      </c>
      <c r="BJ96" s="3083">
        <f t="shared" si="25"/>
        <v>0</v>
      </c>
      <c r="BK96" s="3083">
        <f t="shared" si="26"/>
        <v>0</v>
      </c>
      <c r="BL96" s="3083">
        <f t="shared" si="27"/>
        <v>0</v>
      </c>
      <c r="BM96" s="3083">
        <f t="shared" si="28"/>
        <v>0</v>
      </c>
      <c r="BN96" s="3083">
        <f t="shared" si="29"/>
        <v>0</v>
      </c>
      <c r="BO96" s="3083">
        <f t="shared" si="30"/>
        <v>0</v>
      </c>
      <c r="BP96" s="3083">
        <f t="shared" si="31"/>
        <v>0</v>
      </c>
      <c r="BQ96" s="3083">
        <f t="shared" si="32"/>
        <v>0</v>
      </c>
      <c r="BR96" s="3083">
        <f t="shared" si="33"/>
        <v>0</v>
      </c>
      <c r="BS96" s="3083">
        <f t="shared" si="34"/>
        <v>0</v>
      </c>
      <c r="BT96" s="3135">
        <f t="shared" si="35"/>
        <v>0</v>
      </c>
    </row>
    <row r="97" spans="1:72">
      <c r="A97" s="3080"/>
      <c r="B97" s="3081"/>
      <c r="C97" s="3081"/>
      <c r="D97" s="3082"/>
      <c r="E97" s="3083">
        <f t="shared" si="7"/>
        <v>0</v>
      </c>
      <c r="F97" s="3084"/>
      <c r="G97" s="3085">
        <f t="shared" si="8"/>
        <v>0</v>
      </c>
      <c r="H97" s="3086">
        <f t="shared" si="9"/>
        <v>0</v>
      </c>
      <c r="I97" s="3093"/>
      <c r="J97" s="3093"/>
      <c r="K97" s="3093"/>
      <c r="L97" s="3093"/>
      <c r="M97" s="3093"/>
      <c r="N97" s="3093"/>
      <c r="O97" s="3093"/>
      <c r="P97" s="3093"/>
      <c r="Q97" s="3093"/>
      <c r="R97" s="3093"/>
      <c r="S97" s="3093"/>
      <c r="T97" s="3093"/>
      <c r="U97" s="3093"/>
      <c r="V97" s="3093"/>
      <c r="W97" s="3093"/>
      <c r="X97" s="3093"/>
      <c r="Y97" s="3093"/>
      <c r="Z97" s="3093"/>
      <c r="AA97" s="3093"/>
      <c r="AB97" s="3093"/>
      <c r="AC97" s="3083">
        <f t="shared" si="10"/>
        <v>0</v>
      </c>
      <c r="AD97" s="3103"/>
      <c r="AE97" s="3103"/>
      <c r="AF97" s="3103"/>
      <c r="AG97" s="3103"/>
      <c r="AH97" s="3103"/>
      <c r="AI97" s="3103"/>
      <c r="AJ97" s="3103"/>
      <c r="AK97" s="3103"/>
      <c r="AL97" s="3103"/>
      <c r="AM97" s="3103"/>
      <c r="AN97" s="3103"/>
      <c r="AO97" s="3103"/>
      <c r="AP97" s="3103"/>
      <c r="AQ97" s="3103"/>
      <c r="AR97" s="3103"/>
      <c r="AS97" s="3103"/>
      <c r="AT97" s="3113"/>
      <c r="AU97" s="3114"/>
      <c r="AV97" s="1580">
        <f t="shared" si="11"/>
        <v>0</v>
      </c>
      <c r="AW97" s="1580">
        <f t="shared" si="12"/>
        <v>0</v>
      </c>
      <c r="AX97" s="1580">
        <f t="shared" si="13"/>
        <v>0</v>
      </c>
      <c r="AY97" s="3128">
        <f t="shared" si="14"/>
        <v>0</v>
      </c>
      <c r="AZ97" s="3083">
        <f t="shared" si="15"/>
        <v>0</v>
      </c>
      <c r="BA97" s="3083">
        <f t="shared" si="16"/>
        <v>0</v>
      </c>
      <c r="BB97" s="3083">
        <f t="shared" si="17"/>
        <v>0</v>
      </c>
      <c r="BC97" s="3083">
        <f t="shared" si="18"/>
        <v>0</v>
      </c>
      <c r="BD97" s="3083">
        <f t="shared" si="19"/>
        <v>0</v>
      </c>
      <c r="BE97" s="3083">
        <f t="shared" si="20"/>
        <v>0</v>
      </c>
      <c r="BF97" s="3083">
        <f t="shared" si="21"/>
        <v>0</v>
      </c>
      <c r="BG97" s="3083">
        <f t="shared" si="22"/>
        <v>0</v>
      </c>
      <c r="BH97" s="3083">
        <f t="shared" si="23"/>
        <v>0</v>
      </c>
      <c r="BI97" s="3083">
        <f t="shared" si="24"/>
        <v>0</v>
      </c>
      <c r="BJ97" s="3083">
        <f t="shared" si="25"/>
        <v>0</v>
      </c>
      <c r="BK97" s="3083">
        <f t="shared" si="26"/>
        <v>0</v>
      </c>
      <c r="BL97" s="3083">
        <f t="shared" si="27"/>
        <v>0</v>
      </c>
      <c r="BM97" s="3083">
        <f t="shared" si="28"/>
        <v>0</v>
      </c>
      <c r="BN97" s="3083">
        <f t="shared" si="29"/>
        <v>0</v>
      </c>
      <c r="BO97" s="3083">
        <f t="shared" si="30"/>
        <v>0</v>
      </c>
      <c r="BP97" s="3083">
        <f t="shared" si="31"/>
        <v>0</v>
      </c>
      <c r="BQ97" s="3083">
        <f t="shared" si="32"/>
        <v>0</v>
      </c>
      <c r="BR97" s="3083">
        <f t="shared" si="33"/>
        <v>0</v>
      </c>
      <c r="BS97" s="3083">
        <f t="shared" si="34"/>
        <v>0</v>
      </c>
      <c r="BT97" s="3135">
        <f t="shared" si="35"/>
        <v>0</v>
      </c>
    </row>
    <row r="98" spans="1:72">
      <c r="A98" s="3080"/>
      <c r="B98" s="3081"/>
      <c r="C98" s="3081"/>
      <c r="D98" s="3082"/>
      <c r="E98" s="3083">
        <f t="shared" si="7"/>
        <v>0</v>
      </c>
      <c r="F98" s="3084"/>
      <c r="G98" s="3085">
        <f t="shared" si="8"/>
        <v>0</v>
      </c>
      <c r="H98" s="3086">
        <f t="shared" si="9"/>
        <v>0</v>
      </c>
      <c r="I98" s="3093"/>
      <c r="J98" s="3093"/>
      <c r="K98" s="3093"/>
      <c r="L98" s="3093"/>
      <c r="M98" s="3093"/>
      <c r="N98" s="3093"/>
      <c r="O98" s="3093"/>
      <c r="P98" s="3093"/>
      <c r="Q98" s="3093"/>
      <c r="R98" s="3093"/>
      <c r="S98" s="3093"/>
      <c r="T98" s="3093"/>
      <c r="U98" s="3093"/>
      <c r="V98" s="3093"/>
      <c r="W98" s="3093"/>
      <c r="X98" s="3093"/>
      <c r="Y98" s="3093"/>
      <c r="Z98" s="3093"/>
      <c r="AA98" s="3093"/>
      <c r="AB98" s="3093"/>
      <c r="AC98" s="3083">
        <f t="shared" si="10"/>
        <v>0</v>
      </c>
      <c r="AD98" s="3103"/>
      <c r="AE98" s="3103"/>
      <c r="AF98" s="3103"/>
      <c r="AG98" s="3103"/>
      <c r="AH98" s="3103"/>
      <c r="AI98" s="3103"/>
      <c r="AJ98" s="3103"/>
      <c r="AK98" s="3103"/>
      <c r="AL98" s="3103"/>
      <c r="AM98" s="3103"/>
      <c r="AN98" s="3103"/>
      <c r="AO98" s="3103"/>
      <c r="AP98" s="3103"/>
      <c r="AQ98" s="3103"/>
      <c r="AR98" s="3103"/>
      <c r="AS98" s="3103"/>
      <c r="AT98" s="3113"/>
      <c r="AU98" s="3114"/>
      <c r="AV98" s="1580">
        <f t="shared" si="11"/>
        <v>0</v>
      </c>
      <c r="AW98" s="1580">
        <f t="shared" si="12"/>
        <v>0</v>
      </c>
      <c r="AX98" s="1580">
        <f t="shared" si="13"/>
        <v>0</v>
      </c>
      <c r="AY98" s="3128">
        <f t="shared" si="14"/>
        <v>0</v>
      </c>
      <c r="AZ98" s="3083">
        <f t="shared" si="15"/>
        <v>0</v>
      </c>
      <c r="BA98" s="3083">
        <f t="shared" si="16"/>
        <v>0</v>
      </c>
      <c r="BB98" s="3083">
        <f t="shared" si="17"/>
        <v>0</v>
      </c>
      <c r="BC98" s="3083">
        <f t="shared" si="18"/>
        <v>0</v>
      </c>
      <c r="BD98" s="3083">
        <f t="shared" si="19"/>
        <v>0</v>
      </c>
      <c r="BE98" s="3083">
        <f t="shared" si="20"/>
        <v>0</v>
      </c>
      <c r="BF98" s="3083">
        <f t="shared" si="21"/>
        <v>0</v>
      </c>
      <c r="BG98" s="3083">
        <f t="shared" si="22"/>
        <v>0</v>
      </c>
      <c r="BH98" s="3083">
        <f t="shared" si="23"/>
        <v>0</v>
      </c>
      <c r="BI98" s="3083">
        <f t="shared" si="24"/>
        <v>0</v>
      </c>
      <c r="BJ98" s="3083">
        <f t="shared" si="25"/>
        <v>0</v>
      </c>
      <c r="BK98" s="3083">
        <f t="shared" si="26"/>
        <v>0</v>
      </c>
      <c r="BL98" s="3083">
        <f t="shared" si="27"/>
        <v>0</v>
      </c>
      <c r="BM98" s="3083">
        <f t="shared" si="28"/>
        <v>0</v>
      </c>
      <c r="BN98" s="3083">
        <f t="shared" si="29"/>
        <v>0</v>
      </c>
      <c r="BO98" s="3083">
        <f t="shared" si="30"/>
        <v>0</v>
      </c>
      <c r="BP98" s="3083">
        <f t="shared" si="31"/>
        <v>0</v>
      </c>
      <c r="BQ98" s="3083">
        <f t="shared" si="32"/>
        <v>0</v>
      </c>
      <c r="BR98" s="3083">
        <f t="shared" si="33"/>
        <v>0</v>
      </c>
      <c r="BS98" s="3083">
        <f t="shared" si="34"/>
        <v>0</v>
      </c>
      <c r="BT98" s="3135">
        <f t="shared" si="35"/>
        <v>0</v>
      </c>
    </row>
    <row r="99" spans="1:72">
      <c r="A99" s="3080"/>
      <c r="B99" s="3081"/>
      <c r="C99" s="3081"/>
      <c r="D99" s="3082"/>
      <c r="E99" s="3083">
        <f t="shared" si="7"/>
        <v>0</v>
      </c>
      <c r="F99" s="3084"/>
      <c r="G99" s="3085">
        <f t="shared" si="8"/>
        <v>0</v>
      </c>
      <c r="H99" s="3086">
        <f t="shared" si="9"/>
        <v>0</v>
      </c>
      <c r="I99" s="3093"/>
      <c r="J99" s="3093"/>
      <c r="K99" s="3093"/>
      <c r="L99" s="3093"/>
      <c r="M99" s="3093"/>
      <c r="N99" s="3093"/>
      <c r="O99" s="3093"/>
      <c r="P99" s="3093"/>
      <c r="Q99" s="3093"/>
      <c r="R99" s="3093"/>
      <c r="S99" s="3093"/>
      <c r="T99" s="3093"/>
      <c r="U99" s="3093"/>
      <c r="V99" s="3093"/>
      <c r="W99" s="3093"/>
      <c r="X99" s="3093"/>
      <c r="Y99" s="3093"/>
      <c r="Z99" s="3093"/>
      <c r="AA99" s="3093"/>
      <c r="AB99" s="3093"/>
      <c r="AC99" s="3083">
        <f t="shared" si="10"/>
        <v>0</v>
      </c>
      <c r="AD99" s="3103"/>
      <c r="AE99" s="3103"/>
      <c r="AF99" s="3103"/>
      <c r="AG99" s="3103"/>
      <c r="AH99" s="3103"/>
      <c r="AI99" s="3103"/>
      <c r="AJ99" s="3103"/>
      <c r="AK99" s="3103"/>
      <c r="AL99" s="3103"/>
      <c r="AM99" s="3103"/>
      <c r="AN99" s="3103"/>
      <c r="AO99" s="3103"/>
      <c r="AP99" s="3103"/>
      <c r="AQ99" s="3103"/>
      <c r="AR99" s="3103"/>
      <c r="AS99" s="3103"/>
      <c r="AT99" s="3113"/>
      <c r="AU99" s="3114"/>
      <c r="AV99" s="1580">
        <f t="shared" si="11"/>
        <v>0</v>
      </c>
      <c r="AW99" s="1580">
        <f t="shared" si="12"/>
        <v>0</v>
      </c>
      <c r="AX99" s="1580">
        <f t="shared" si="13"/>
        <v>0</v>
      </c>
      <c r="AY99" s="3128">
        <f t="shared" si="14"/>
        <v>0</v>
      </c>
      <c r="AZ99" s="3083">
        <f t="shared" si="15"/>
        <v>0</v>
      </c>
      <c r="BA99" s="3083">
        <f t="shared" si="16"/>
        <v>0</v>
      </c>
      <c r="BB99" s="3083">
        <f t="shared" si="17"/>
        <v>0</v>
      </c>
      <c r="BC99" s="3083">
        <f t="shared" si="18"/>
        <v>0</v>
      </c>
      <c r="BD99" s="3083">
        <f t="shared" si="19"/>
        <v>0</v>
      </c>
      <c r="BE99" s="3083">
        <f t="shared" si="20"/>
        <v>0</v>
      </c>
      <c r="BF99" s="3083">
        <f t="shared" si="21"/>
        <v>0</v>
      </c>
      <c r="BG99" s="3083">
        <f t="shared" si="22"/>
        <v>0</v>
      </c>
      <c r="BH99" s="3083">
        <f t="shared" si="23"/>
        <v>0</v>
      </c>
      <c r="BI99" s="3083">
        <f t="shared" si="24"/>
        <v>0</v>
      </c>
      <c r="BJ99" s="3083">
        <f t="shared" si="25"/>
        <v>0</v>
      </c>
      <c r="BK99" s="3083">
        <f t="shared" si="26"/>
        <v>0</v>
      </c>
      <c r="BL99" s="3083">
        <f t="shared" si="27"/>
        <v>0</v>
      </c>
      <c r="BM99" s="3083">
        <f t="shared" si="28"/>
        <v>0</v>
      </c>
      <c r="BN99" s="3083">
        <f t="shared" si="29"/>
        <v>0</v>
      </c>
      <c r="BO99" s="3083">
        <f t="shared" si="30"/>
        <v>0</v>
      </c>
      <c r="BP99" s="3083">
        <f t="shared" si="31"/>
        <v>0</v>
      </c>
      <c r="BQ99" s="3083">
        <f t="shared" si="32"/>
        <v>0</v>
      </c>
      <c r="BR99" s="3083">
        <f t="shared" si="33"/>
        <v>0</v>
      </c>
      <c r="BS99" s="3083">
        <f t="shared" si="34"/>
        <v>0</v>
      </c>
      <c r="BT99" s="3135">
        <f t="shared" si="35"/>
        <v>0</v>
      </c>
    </row>
    <row r="100" spans="1:72">
      <c r="A100" s="3080"/>
      <c r="B100" s="3081"/>
      <c r="C100" s="3081"/>
      <c r="D100" s="3082"/>
      <c r="E100" s="3083">
        <f t="shared" si="7"/>
        <v>0</v>
      </c>
      <c r="F100" s="3084"/>
      <c r="G100" s="3085">
        <f t="shared" si="8"/>
        <v>0</v>
      </c>
      <c r="H100" s="3086">
        <f t="shared" si="9"/>
        <v>0</v>
      </c>
      <c r="I100" s="3093"/>
      <c r="J100" s="3093"/>
      <c r="K100" s="3093"/>
      <c r="L100" s="3093"/>
      <c r="M100" s="3093"/>
      <c r="N100" s="3093"/>
      <c r="O100" s="3093"/>
      <c r="P100" s="3093"/>
      <c r="Q100" s="3093"/>
      <c r="R100" s="3093"/>
      <c r="S100" s="3093"/>
      <c r="T100" s="3093"/>
      <c r="U100" s="3093"/>
      <c r="V100" s="3093"/>
      <c r="W100" s="3093"/>
      <c r="X100" s="3093"/>
      <c r="Y100" s="3093"/>
      <c r="Z100" s="3093"/>
      <c r="AA100" s="3093"/>
      <c r="AB100" s="3093"/>
      <c r="AC100" s="3083">
        <f t="shared" si="10"/>
        <v>0</v>
      </c>
      <c r="AD100" s="3103"/>
      <c r="AE100" s="3103"/>
      <c r="AF100" s="3103"/>
      <c r="AG100" s="3103"/>
      <c r="AH100" s="3103"/>
      <c r="AI100" s="3103"/>
      <c r="AJ100" s="3103"/>
      <c r="AK100" s="3103"/>
      <c r="AL100" s="3103"/>
      <c r="AM100" s="3103"/>
      <c r="AN100" s="3103"/>
      <c r="AO100" s="3103"/>
      <c r="AP100" s="3103"/>
      <c r="AQ100" s="3103"/>
      <c r="AR100" s="3103"/>
      <c r="AS100" s="3103"/>
      <c r="AT100" s="3113"/>
      <c r="AU100" s="3114"/>
      <c r="AV100" s="1580">
        <f t="shared" si="11"/>
        <v>0</v>
      </c>
      <c r="AW100" s="1580">
        <f t="shared" si="12"/>
        <v>0</v>
      </c>
      <c r="AX100" s="1580">
        <f t="shared" si="13"/>
        <v>0</v>
      </c>
      <c r="AY100" s="3128">
        <f t="shared" si="14"/>
        <v>0</v>
      </c>
      <c r="AZ100" s="3083">
        <f t="shared" si="15"/>
        <v>0</v>
      </c>
      <c r="BA100" s="3083">
        <f t="shared" si="16"/>
        <v>0</v>
      </c>
      <c r="BB100" s="3083">
        <f t="shared" si="17"/>
        <v>0</v>
      </c>
      <c r="BC100" s="3083">
        <f t="shared" si="18"/>
        <v>0</v>
      </c>
      <c r="BD100" s="3083">
        <f t="shared" si="19"/>
        <v>0</v>
      </c>
      <c r="BE100" s="3083">
        <f t="shared" si="20"/>
        <v>0</v>
      </c>
      <c r="BF100" s="3083">
        <f t="shared" si="21"/>
        <v>0</v>
      </c>
      <c r="BG100" s="3083">
        <f t="shared" si="22"/>
        <v>0</v>
      </c>
      <c r="BH100" s="3083">
        <f t="shared" si="23"/>
        <v>0</v>
      </c>
      <c r="BI100" s="3083">
        <f t="shared" si="24"/>
        <v>0</v>
      </c>
      <c r="BJ100" s="3083">
        <f t="shared" si="25"/>
        <v>0</v>
      </c>
      <c r="BK100" s="3083">
        <f t="shared" si="26"/>
        <v>0</v>
      </c>
      <c r="BL100" s="3083">
        <f t="shared" si="27"/>
        <v>0</v>
      </c>
      <c r="BM100" s="3083">
        <f t="shared" si="28"/>
        <v>0</v>
      </c>
      <c r="BN100" s="3083">
        <f t="shared" si="29"/>
        <v>0</v>
      </c>
      <c r="BO100" s="3083">
        <f t="shared" si="30"/>
        <v>0</v>
      </c>
      <c r="BP100" s="3083">
        <f t="shared" si="31"/>
        <v>0</v>
      </c>
      <c r="BQ100" s="3083">
        <f t="shared" si="32"/>
        <v>0</v>
      </c>
      <c r="BR100" s="3083">
        <f t="shared" si="33"/>
        <v>0</v>
      </c>
      <c r="BS100" s="3083">
        <f t="shared" si="34"/>
        <v>0</v>
      </c>
      <c r="BT100" s="3135">
        <f t="shared" si="35"/>
        <v>0</v>
      </c>
    </row>
    <row r="101" spans="1:72">
      <c r="A101" s="3080"/>
      <c r="B101" s="3081"/>
      <c r="C101" s="3081"/>
      <c r="D101" s="3082"/>
      <c r="E101" s="3083">
        <f t="shared" si="7"/>
        <v>0</v>
      </c>
      <c r="F101" s="3084"/>
      <c r="G101" s="3085">
        <f t="shared" si="8"/>
        <v>0</v>
      </c>
      <c r="H101" s="3086">
        <f t="shared" si="9"/>
        <v>0</v>
      </c>
      <c r="I101" s="3093"/>
      <c r="J101" s="3093"/>
      <c r="K101" s="3093"/>
      <c r="L101" s="3093"/>
      <c r="M101" s="3093"/>
      <c r="N101" s="3093"/>
      <c r="O101" s="3093"/>
      <c r="P101" s="3093"/>
      <c r="Q101" s="3093"/>
      <c r="R101" s="3093"/>
      <c r="S101" s="3093"/>
      <c r="T101" s="3093"/>
      <c r="U101" s="3093"/>
      <c r="V101" s="3093"/>
      <c r="W101" s="3093"/>
      <c r="X101" s="3093"/>
      <c r="Y101" s="3093"/>
      <c r="Z101" s="3093"/>
      <c r="AA101" s="3093"/>
      <c r="AB101" s="3093"/>
      <c r="AC101" s="3083">
        <f t="shared" si="10"/>
        <v>0</v>
      </c>
      <c r="AD101" s="3103"/>
      <c r="AE101" s="3103"/>
      <c r="AF101" s="3103"/>
      <c r="AG101" s="3103"/>
      <c r="AH101" s="3103"/>
      <c r="AI101" s="3103"/>
      <c r="AJ101" s="3103"/>
      <c r="AK101" s="3103"/>
      <c r="AL101" s="3103"/>
      <c r="AM101" s="3103"/>
      <c r="AN101" s="3103"/>
      <c r="AO101" s="3103"/>
      <c r="AP101" s="3103"/>
      <c r="AQ101" s="3103"/>
      <c r="AR101" s="3103"/>
      <c r="AS101" s="3103"/>
      <c r="AT101" s="3113"/>
      <c r="AU101" s="3114"/>
      <c r="AV101" s="1580">
        <f t="shared" si="11"/>
        <v>0</v>
      </c>
      <c r="AW101" s="1580">
        <f t="shared" si="12"/>
        <v>0</v>
      </c>
      <c r="AX101" s="1580">
        <f t="shared" si="13"/>
        <v>0</v>
      </c>
      <c r="AY101" s="3128">
        <f t="shared" si="14"/>
        <v>0</v>
      </c>
      <c r="AZ101" s="3083">
        <f t="shared" si="15"/>
        <v>0</v>
      </c>
      <c r="BA101" s="3083">
        <f t="shared" si="16"/>
        <v>0</v>
      </c>
      <c r="BB101" s="3083">
        <f t="shared" si="17"/>
        <v>0</v>
      </c>
      <c r="BC101" s="3083">
        <f t="shared" si="18"/>
        <v>0</v>
      </c>
      <c r="BD101" s="3083">
        <f t="shared" si="19"/>
        <v>0</v>
      </c>
      <c r="BE101" s="3083">
        <f t="shared" si="20"/>
        <v>0</v>
      </c>
      <c r="BF101" s="3083">
        <f t="shared" si="21"/>
        <v>0</v>
      </c>
      <c r="BG101" s="3083">
        <f t="shared" si="22"/>
        <v>0</v>
      </c>
      <c r="BH101" s="3083">
        <f t="shared" si="23"/>
        <v>0</v>
      </c>
      <c r="BI101" s="3083">
        <f t="shared" si="24"/>
        <v>0</v>
      </c>
      <c r="BJ101" s="3083">
        <f t="shared" si="25"/>
        <v>0</v>
      </c>
      <c r="BK101" s="3083">
        <f t="shared" si="26"/>
        <v>0</v>
      </c>
      <c r="BL101" s="3083">
        <f t="shared" si="27"/>
        <v>0</v>
      </c>
      <c r="BM101" s="3083">
        <f t="shared" si="28"/>
        <v>0</v>
      </c>
      <c r="BN101" s="3083">
        <f t="shared" si="29"/>
        <v>0</v>
      </c>
      <c r="BO101" s="3083">
        <f t="shared" si="30"/>
        <v>0</v>
      </c>
      <c r="BP101" s="3083">
        <f t="shared" si="31"/>
        <v>0</v>
      </c>
      <c r="BQ101" s="3083">
        <f t="shared" si="32"/>
        <v>0</v>
      </c>
      <c r="BR101" s="3083">
        <f t="shared" si="33"/>
        <v>0</v>
      </c>
      <c r="BS101" s="3083">
        <f t="shared" si="34"/>
        <v>0</v>
      </c>
      <c r="BT101" s="3135">
        <f t="shared" si="35"/>
        <v>0</v>
      </c>
    </row>
    <row r="102" spans="1:72">
      <c r="A102" s="3080"/>
      <c r="B102" s="3081"/>
      <c r="C102" s="3081"/>
      <c r="D102" s="3082"/>
      <c r="E102" s="3083">
        <f t="shared" si="7"/>
        <v>0</v>
      </c>
      <c r="F102" s="3084"/>
      <c r="G102" s="3085">
        <f t="shared" si="8"/>
        <v>0</v>
      </c>
      <c r="H102" s="3086">
        <f t="shared" si="9"/>
        <v>0</v>
      </c>
      <c r="I102" s="3093"/>
      <c r="J102" s="3093"/>
      <c r="K102" s="3093"/>
      <c r="L102" s="3093"/>
      <c r="M102" s="3093"/>
      <c r="N102" s="3093"/>
      <c r="O102" s="3093"/>
      <c r="P102" s="3093"/>
      <c r="Q102" s="3093"/>
      <c r="R102" s="3093"/>
      <c r="S102" s="3093"/>
      <c r="T102" s="3093"/>
      <c r="U102" s="3093"/>
      <c r="V102" s="3093"/>
      <c r="W102" s="3093"/>
      <c r="X102" s="3093"/>
      <c r="Y102" s="3093"/>
      <c r="Z102" s="3093"/>
      <c r="AA102" s="3093"/>
      <c r="AB102" s="3093"/>
      <c r="AC102" s="3083">
        <f t="shared" si="10"/>
        <v>0</v>
      </c>
      <c r="AD102" s="3103"/>
      <c r="AE102" s="3103"/>
      <c r="AF102" s="3103"/>
      <c r="AG102" s="3103"/>
      <c r="AH102" s="3103"/>
      <c r="AI102" s="3103"/>
      <c r="AJ102" s="3103"/>
      <c r="AK102" s="3103"/>
      <c r="AL102" s="3103"/>
      <c r="AM102" s="3103"/>
      <c r="AN102" s="3103"/>
      <c r="AO102" s="3103"/>
      <c r="AP102" s="3103"/>
      <c r="AQ102" s="3103"/>
      <c r="AR102" s="3103"/>
      <c r="AS102" s="3103"/>
      <c r="AT102" s="3113"/>
      <c r="AU102" s="3114"/>
      <c r="AV102" s="1580">
        <f t="shared" si="11"/>
        <v>0</v>
      </c>
      <c r="AW102" s="1580">
        <f t="shared" si="12"/>
        <v>0</v>
      </c>
      <c r="AX102" s="1580">
        <f t="shared" si="13"/>
        <v>0</v>
      </c>
      <c r="AY102" s="3128">
        <f t="shared" si="14"/>
        <v>0</v>
      </c>
      <c r="AZ102" s="3083">
        <f t="shared" si="15"/>
        <v>0</v>
      </c>
      <c r="BA102" s="3083">
        <f t="shared" si="16"/>
        <v>0</v>
      </c>
      <c r="BB102" s="3083">
        <f t="shared" si="17"/>
        <v>0</v>
      </c>
      <c r="BC102" s="3083">
        <f t="shared" si="18"/>
        <v>0</v>
      </c>
      <c r="BD102" s="3083">
        <f t="shared" si="19"/>
        <v>0</v>
      </c>
      <c r="BE102" s="3083">
        <f t="shared" si="20"/>
        <v>0</v>
      </c>
      <c r="BF102" s="3083">
        <f t="shared" si="21"/>
        <v>0</v>
      </c>
      <c r="BG102" s="3083">
        <f t="shared" si="22"/>
        <v>0</v>
      </c>
      <c r="BH102" s="3083">
        <f t="shared" si="23"/>
        <v>0</v>
      </c>
      <c r="BI102" s="3083">
        <f t="shared" si="24"/>
        <v>0</v>
      </c>
      <c r="BJ102" s="3083">
        <f t="shared" si="25"/>
        <v>0</v>
      </c>
      <c r="BK102" s="3083">
        <f t="shared" si="26"/>
        <v>0</v>
      </c>
      <c r="BL102" s="3083">
        <f t="shared" si="27"/>
        <v>0</v>
      </c>
      <c r="BM102" s="3083">
        <f t="shared" si="28"/>
        <v>0</v>
      </c>
      <c r="BN102" s="3083">
        <f t="shared" si="29"/>
        <v>0</v>
      </c>
      <c r="BO102" s="3083">
        <f t="shared" si="30"/>
        <v>0</v>
      </c>
      <c r="BP102" s="3083">
        <f t="shared" si="31"/>
        <v>0</v>
      </c>
      <c r="BQ102" s="3083">
        <f t="shared" si="32"/>
        <v>0</v>
      </c>
      <c r="BR102" s="3083">
        <f t="shared" si="33"/>
        <v>0</v>
      </c>
      <c r="BS102" s="3083">
        <f t="shared" si="34"/>
        <v>0</v>
      </c>
      <c r="BT102" s="3135">
        <f t="shared" si="35"/>
        <v>0</v>
      </c>
    </row>
    <row r="103" spans="1:72">
      <c r="A103" s="3080"/>
      <c r="B103" s="3081"/>
      <c r="C103" s="3081"/>
      <c r="D103" s="3082"/>
      <c r="E103" s="3083">
        <f t="shared" si="7"/>
        <v>0</v>
      </c>
      <c r="F103" s="3084"/>
      <c r="G103" s="3085">
        <f t="shared" si="8"/>
        <v>0</v>
      </c>
      <c r="H103" s="3086">
        <f t="shared" si="9"/>
        <v>0</v>
      </c>
      <c r="I103" s="3093"/>
      <c r="J103" s="3093"/>
      <c r="K103" s="3093"/>
      <c r="L103" s="3093"/>
      <c r="M103" s="3093"/>
      <c r="N103" s="3093"/>
      <c r="O103" s="3093"/>
      <c r="P103" s="3093"/>
      <c r="Q103" s="3093"/>
      <c r="R103" s="3093"/>
      <c r="S103" s="3093"/>
      <c r="T103" s="3093"/>
      <c r="U103" s="3093"/>
      <c r="V103" s="3093"/>
      <c r="W103" s="3093"/>
      <c r="X103" s="3093"/>
      <c r="Y103" s="3093"/>
      <c r="Z103" s="3093"/>
      <c r="AA103" s="3093"/>
      <c r="AB103" s="3093"/>
      <c r="AC103" s="3083">
        <f t="shared" si="10"/>
        <v>0</v>
      </c>
      <c r="AD103" s="3103"/>
      <c r="AE103" s="3103"/>
      <c r="AF103" s="3103"/>
      <c r="AG103" s="3103"/>
      <c r="AH103" s="3103"/>
      <c r="AI103" s="3103"/>
      <c r="AJ103" s="3103"/>
      <c r="AK103" s="3103"/>
      <c r="AL103" s="3103"/>
      <c r="AM103" s="3103"/>
      <c r="AN103" s="3103"/>
      <c r="AO103" s="3103"/>
      <c r="AP103" s="3103"/>
      <c r="AQ103" s="3103"/>
      <c r="AR103" s="3103"/>
      <c r="AS103" s="3103"/>
      <c r="AT103" s="3113"/>
      <c r="AU103" s="3114"/>
      <c r="AV103" s="1580">
        <f t="shared" si="11"/>
        <v>0</v>
      </c>
      <c r="AW103" s="1580">
        <f t="shared" si="12"/>
        <v>0</v>
      </c>
      <c r="AX103" s="1580">
        <f t="shared" si="13"/>
        <v>0</v>
      </c>
      <c r="AY103" s="3128">
        <f t="shared" si="14"/>
        <v>0</v>
      </c>
      <c r="AZ103" s="3083">
        <f t="shared" si="15"/>
        <v>0</v>
      </c>
      <c r="BA103" s="3083">
        <f t="shared" si="16"/>
        <v>0</v>
      </c>
      <c r="BB103" s="3083">
        <f t="shared" si="17"/>
        <v>0</v>
      </c>
      <c r="BC103" s="3083">
        <f t="shared" si="18"/>
        <v>0</v>
      </c>
      <c r="BD103" s="3083">
        <f t="shared" si="19"/>
        <v>0</v>
      </c>
      <c r="BE103" s="3083">
        <f t="shared" si="20"/>
        <v>0</v>
      </c>
      <c r="BF103" s="3083">
        <f t="shared" si="21"/>
        <v>0</v>
      </c>
      <c r="BG103" s="3083">
        <f t="shared" si="22"/>
        <v>0</v>
      </c>
      <c r="BH103" s="3083">
        <f t="shared" si="23"/>
        <v>0</v>
      </c>
      <c r="BI103" s="3083">
        <f t="shared" si="24"/>
        <v>0</v>
      </c>
      <c r="BJ103" s="3083">
        <f t="shared" si="25"/>
        <v>0</v>
      </c>
      <c r="BK103" s="3083">
        <f t="shared" si="26"/>
        <v>0</v>
      </c>
      <c r="BL103" s="3083">
        <f t="shared" si="27"/>
        <v>0</v>
      </c>
      <c r="BM103" s="3083">
        <f t="shared" si="28"/>
        <v>0</v>
      </c>
      <c r="BN103" s="3083">
        <f t="shared" si="29"/>
        <v>0</v>
      </c>
      <c r="BO103" s="3083">
        <f t="shared" si="30"/>
        <v>0</v>
      </c>
      <c r="BP103" s="3083">
        <f t="shared" si="31"/>
        <v>0</v>
      </c>
      <c r="BQ103" s="3083">
        <f t="shared" si="32"/>
        <v>0</v>
      </c>
      <c r="BR103" s="3083">
        <f t="shared" si="33"/>
        <v>0</v>
      </c>
      <c r="BS103" s="3083">
        <f t="shared" si="34"/>
        <v>0</v>
      </c>
      <c r="BT103" s="3135">
        <f t="shared" si="35"/>
        <v>0</v>
      </c>
    </row>
    <row r="104" spans="1:72">
      <c r="A104" s="3080"/>
      <c r="B104" s="3081"/>
      <c r="C104" s="3081"/>
      <c r="D104" s="3082"/>
      <c r="E104" s="3083">
        <f t="shared" si="7"/>
        <v>0</v>
      </c>
      <c r="F104" s="3084"/>
      <c r="G104" s="3085">
        <f t="shared" si="8"/>
        <v>0</v>
      </c>
      <c r="H104" s="3086">
        <f t="shared" si="9"/>
        <v>0</v>
      </c>
      <c r="I104" s="3093"/>
      <c r="J104" s="3093"/>
      <c r="K104" s="3093"/>
      <c r="L104" s="3093"/>
      <c r="M104" s="3093"/>
      <c r="N104" s="3093"/>
      <c r="O104" s="3093"/>
      <c r="P104" s="3093"/>
      <c r="Q104" s="3093"/>
      <c r="R104" s="3093"/>
      <c r="S104" s="3093"/>
      <c r="T104" s="3093"/>
      <c r="U104" s="3093"/>
      <c r="V104" s="3093"/>
      <c r="W104" s="3093"/>
      <c r="X104" s="3093"/>
      <c r="Y104" s="3093"/>
      <c r="Z104" s="3093"/>
      <c r="AA104" s="3093"/>
      <c r="AB104" s="3093"/>
      <c r="AC104" s="3083">
        <f t="shared" si="10"/>
        <v>0</v>
      </c>
      <c r="AD104" s="3103"/>
      <c r="AE104" s="3103"/>
      <c r="AF104" s="3103"/>
      <c r="AG104" s="3103"/>
      <c r="AH104" s="3103"/>
      <c r="AI104" s="3103"/>
      <c r="AJ104" s="3103"/>
      <c r="AK104" s="3103"/>
      <c r="AL104" s="3103"/>
      <c r="AM104" s="3103"/>
      <c r="AN104" s="3103"/>
      <c r="AO104" s="3103"/>
      <c r="AP104" s="3103"/>
      <c r="AQ104" s="3103"/>
      <c r="AR104" s="3103"/>
      <c r="AS104" s="3103"/>
      <c r="AT104" s="3113"/>
      <c r="AU104" s="3114"/>
      <c r="AV104" s="1580">
        <f t="shared" si="11"/>
        <v>0</v>
      </c>
      <c r="AW104" s="1580">
        <f t="shared" si="12"/>
        <v>0</v>
      </c>
      <c r="AX104" s="1580">
        <f t="shared" si="13"/>
        <v>0</v>
      </c>
      <c r="AY104" s="3128">
        <f t="shared" si="14"/>
        <v>0</v>
      </c>
      <c r="AZ104" s="3083">
        <f t="shared" si="15"/>
        <v>0</v>
      </c>
      <c r="BA104" s="3083">
        <f t="shared" si="16"/>
        <v>0</v>
      </c>
      <c r="BB104" s="3083">
        <f t="shared" si="17"/>
        <v>0</v>
      </c>
      <c r="BC104" s="3083">
        <f t="shared" si="18"/>
        <v>0</v>
      </c>
      <c r="BD104" s="3083">
        <f t="shared" si="19"/>
        <v>0</v>
      </c>
      <c r="BE104" s="3083">
        <f t="shared" si="20"/>
        <v>0</v>
      </c>
      <c r="BF104" s="3083">
        <f t="shared" si="21"/>
        <v>0</v>
      </c>
      <c r="BG104" s="3083">
        <f t="shared" si="22"/>
        <v>0</v>
      </c>
      <c r="BH104" s="3083">
        <f t="shared" si="23"/>
        <v>0</v>
      </c>
      <c r="BI104" s="3083">
        <f t="shared" si="24"/>
        <v>0</v>
      </c>
      <c r="BJ104" s="3083">
        <f t="shared" si="25"/>
        <v>0</v>
      </c>
      <c r="BK104" s="3083">
        <f t="shared" si="26"/>
        <v>0</v>
      </c>
      <c r="BL104" s="3083">
        <f t="shared" si="27"/>
        <v>0</v>
      </c>
      <c r="BM104" s="3083">
        <f t="shared" si="28"/>
        <v>0</v>
      </c>
      <c r="BN104" s="3083">
        <f t="shared" si="29"/>
        <v>0</v>
      </c>
      <c r="BO104" s="3083">
        <f t="shared" si="30"/>
        <v>0</v>
      </c>
      <c r="BP104" s="3083">
        <f t="shared" si="31"/>
        <v>0</v>
      </c>
      <c r="BQ104" s="3083">
        <f t="shared" si="32"/>
        <v>0</v>
      </c>
      <c r="BR104" s="3083">
        <f t="shared" si="33"/>
        <v>0</v>
      </c>
      <c r="BS104" s="3083">
        <f t="shared" si="34"/>
        <v>0</v>
      </c>
      <c r="BT104" s="3135">
        <f t="shared" si="35"/>
        <v>0</v>
      </c>
    </row>
    <row r="105" spans="1:72">
      <c r="A105" s="3080"/>
      <c r="B105" s="3081"/>
      <c r="C105" s="3081"/>
      <c r="D105" s="3082"/>
      <c r="E105" s="3083">
        <f t="shared" si="7"/>
        <v>0</v>
      </c>
      <c r="F105" s="3084"/>
      <c r="G105" s="3085">
        <f t="shared" si="8"/>
        <v>0</v>
      </c>
      <c r="H105" s="3086">
        <f t="shared" si="9"/>
        <v>0</v>
      </c>
      <c r="I105" s="3093"/>
      <c r="J105" s="3093"/>
      <c r="K105" s="3093"/>
      <c r="L105" s="3093"/>
      <c r="M105" s="3093"/>
      <c r="N105" s="3093"/>
      <c r="O105" s="3093"/>
      <c r="P105" s="3093"/>
      <c r="Q105" s="3093"/>
      <c r="R105" s="3093"/>
      <c r="S105" s="3093"/>
      <c r="T105" s="3093"/>
      <c r="U105" s="3093"/>
      <c r="V105" s="3093"/>
      <c r="W105" s="3093"/>
      <c r="X105" s="3093"/>
      <c r="Y105" s="3093"/>
      <c r="Z105" s="3093"/>
      <c r="AA105" s="3093"/>
      <c r="AB105" s="3093"/>
      <c r="AC105" s="3083">
        <f t="shared" si="10"/>
        <v>0</v>
      </c>
      <c r="AD105" s="3103"/>
      <c r="AE105" s="3103"/>
      <c r="AF105" s="3103"/>
      <c r="AG105" s="3103"/>
      <c r="AH105" s="3103"/>
      <c r="AI105" s="3103"/>
      <c r="AJ105" s="3103"/>
      <c r="AK105" s="3103"/>
      <c r="AL105" s="3103"/>
      <c r="AM105" s="3103"/>
      <c r="AN105" s="3103"/>
      <c r="AO105" s="3103"/>
      <c r="AP105" s="3103"/>
      <c r="AQ105" s="3103"/>
      <c r="AR105" s="3103"/>
      <c r="AS105" s="3103"/>
      <c r="AT105" s="3113"/>
      <c r="AU105" s="3114"/>
      <c r="AV105" s="1580">
        <f t="shared" si="11"/>
        <v>0</v>
      </c>
      <c r="AW105" s="1580">
        <f t="shared" si="12"/>
        <v>0</v>
      </c>
      <c r="AX105" s="1580">
        <f t="shared" si="13"/>
        <v>0</v>
      </c>
      <c r="AY105" s="3128">
        <f t="shared" si="14"/>
        <v>0</v>
      </c>
      <c r="AZ105" s="3083">
        <f t="shared" si="15"/>
        <v>0</v>
      </c>
      <c r="BA105" s="3083">
        <f t="shared" si="16"/>
        <v>0</v>
      </c>
      <c r="BB105" s="3083">
        <f t="shared" si="17"/>
        <v>0</v>
      </c>
      <c r="BC105" s="3083">
        <f t="shared" si="18"/>
        <v>0</v>
      </c>
      <c r="BD105" s="3083">
        <f t="shared" si="19"/>
        <v>0</v>
      </c>
      <c r="BE105" s="3083">
        <f t="shared" si="20"/>
        <v>0</v>
      </c>
      <c r="BF105" s="3083">
        <f t="shared" si="21"/>
        <v>0</v>
      </c>
      <c r="BG105" s="3083">
        <f t="shared" si="22"/>
        <v>0</v>
      </c>
      <c r="BH105" s="3083">
        <f t="shared" si="23"/>
        <v>0</v>
      </c>
      <c r="BI105" s="3083">
        <f t="shared" si="24"/>
        <v>0</v>
      </c>
      <c r="BJ105" s="3083">
        <f t="shared" si="25"/>
        <v>0</v>
      </c>
      <c r="BK105" s="3083">
        <f t="shared" si="26"/>
        <v>0</v>
      </c>
      <c r="BL105" s="3083">
        <f t="shared" si="27"/>
        <v>0</v>
      </c>
      <c r="BM105" s="3083">
        <f t="shared" si="28"/>
        <v>0</v>
      </c>
      <c r="BN105" s="3083">
        <f t="shared" si="29"/>
        <v>0</v>
      </c>
      <c r="BO105" s="3083">
        <f t="shared" si="30"/>
        <v>0</v>
      </c>
      <c r="BP105" s="3083">
        <f t="shared" si="31"/>
        <v>0</v>
      </c>
      <c r="BQ105" s="3083">
        <f t="shared" si="32"/>
        <v>0</v>
      </c>
      <c r="BR105" s="3083">
        <f t="shared" si="33"/>
        <v>0</v>
      </c>
      <c r="BS105" s="3083">
        <f t="shared" si="34"/>
        <v>0</v>
      </c>
      <c r="BT105" s="3135">
        <f t="shared" si="35"/>
        <v>0</v>
      </c>
    </row>
    <row r="106" spans="1:72">
      <c r="A106" s="3080"/>
      <c r="B106" s="3081"/>
      <c r="C106" s="3081"/>
      <c r="D106" s="3082"/>
      <c r="E106" s="3083">
        <f t="shared" si="7"/>
        <v>0</v>
      </c>
      <c r="F106" s="3084"/>
      <c r="G106" s="3085">
        <f t="shared" si="8"/>
        <v>0</v>
      </c>
      <c r="H106" s="3086">
        <f t="shared" si="9"/>
        <v>0</v>
      </c>
      <c r="I106" s="3093"/>
      <c r="J106" s="3093"/>
      <c r="K106" s="3093"/>
      <c r="L106" s="3093"/>
      <c r="M106" s="3093"/>
      <c r="N106" s="3093"/>
      <c r="O106" s="3093"/>
      <c r="P106" s="3093"/>
      <c r="Q106" s="3093"/>
      <c r="R106" s="3093"/>
      <c r="S106" s="3093"/>
      <c r="T106" s="3093"/>
      <c r="U106" s="3093"/>
      <c r="V106" s="3093"/>
      <c r="W106" s="3093"/>
      <c r="X106" s="3093"/>
      <c r="Y106" s="3093"/>
      <c r="Z106" s="3093"/>
      <c r="AA106" s="3093"/>
      <c r="AB106" s="3093"/>
      <c r="AC106" s="3083">
        <f t="shared" si="10"/>
        <v>0</v>
      </c>
      <c r="AD106" s="3103"/>
      <c r="AE106" s="3103"/>
      <c r="AF106" s="3103"/>
      <c r="AG106" s="3103"/>
      <c r="AH106" s="3103"/>
      <c r="AI106" s="3103"/>
      <c r="AJ106" s="3103"/>
      <c r="AK106" s="3103"/>
      <c r="AL106" s="3103"/>
      <c r="AM106" s="3103"/>
      <c r="AN106" s="3103"/>
      <c r="AO106" s="3103"/>
      <c r="AP106" s="3103"/>
      <c r="AQ106" s="3103"/>
      <c r="AR106" s="3103"/>
      <c r="AS106" s="3103"/>
      <c r="AT106" s="3113"/>
      <c r="AU106" s="3114"/>
      <c r="AV106" s="1580">
        <f t="shared" si="11"/>
        <v>0</v>
      </c>
      <c r="AW106" s="1580">
        <f t="shared" si="12"/>
        <v>0</v>
      </c>
      <c r="AX106" s="1580">
        <f t="shared" si="13"/>
        <v>0</v>
      </c>
      <c r="AY106" s="3128">
        <f t="shared" si="14"/>
        <v>0</v>
      </c>
      <c r="AZ106" s="3083">
        <f t="shared" si="15"/>
        <v>0</v>
      </c>
      <c r="BA106" s="3083">
        <f t="shared" si="16"/>
        <v>0</v>
      </c>
      <c r="BB106" s="3083">
        <f t="shared" si="17"/>
        <v>0</v>
      </c>
      <c r="BC106" s="3083">
        <f t="shared" si="18"/>
        <v>0</v>
      </c>
      <c r="BD106" s="3083">
        <f t="shared" si="19"/>
        <v>0</v>
      </c>
      <c r="BE106" s="3083">
        <f t="shared" si="20"/>
        <v>0</v>
      </c>
      <c r="BF106" s="3083">
        <f t="shared" si="21"/>
        <v>0</v>
      </c>
      <c r="BG106" s="3083">
        <f t="shared" si="22"/>
        <v>0</v>
      </c>
      <c r="BH106" s="3083">
        <f t="shared" si="23"/>
        <v>0</v>
      </c>
      <c r="BI106" s="3083">
        <f t="shared" si="24"/>
        <v>0</v>
      </c>
      <c r="BJ106" s="3083">
        <f t="shared" si="25"/>
        <v>0</v>
      </c>
      <c r="BK106" s="3083">
        <f t="shared" si="26"/>
        <v>0</v>
      </c>
      <c r="BL106" s="3083">
        <f t="shared" si="27"/>
        <v>0</v>
      </c>
      <c r="BM106" s="3083">
        <f t="shared" si="28"/>
        <v>0</v>
      </c>
      <c r="BN106" s="3083">
        <f t="shared" si="29"/>
        <v>0</v>
      </c>
      <c r="BO106" s="3083">
        <f t="shared" si="30"/>
        <v>0</v>
      </c>
      <c r="BP106" s="3083">
        <f t="shared" si="31"/>
        <v>0</v>
      </c>
      <c r="BQ106" s="3083">
        <f t="shared" si="32"/>
        <v>0</v>
      </c>
      <c r="BR106" s="3083">
        <f t="shared" si="33"/>
        <v>0</v>
      </c>
      <c r="BS106" s="3083">
        <f t="shared" si="34"/>
        <v>0</v>
      </c>
      <c r="BT106" s="3135">
        <f t="shared" si="35"/>
        <v>0</v>
      </c>
    </row>
    <row r="107" spans="1:72">
      <c r="A107" s="3080"/>
      <c r="B107" s="3081"/>
      <c r="C107" s="3081"/>
      <c r="D107" s="3082"/>
      <c r="E107" s="3083">
        <f t="shared" si="7"/>
        <v>0</v>
      </c>
      <c r="F107" s="3084"/>
      <c r="G107" s="3085">
        <f t="shared" si="8"/>
        <v>0</v>
      </c>
      <c r="H107" s="3086">
        <f t="shared" si="9"/>
        <v>0</v>
      </c>
      <c r="I107" s="3093"/>
      <c r="J107" s="3093"/>
      <c r="K107" s="3093"/>
      <c r="L107" s="3093"/>
      <c r="M107" s="3093"/>
      <c r="N107" s="3093"/>
      <c r="O107" s="3093"/>
      <c r="P107" s="3093"/>
      <c r="Q107" s="3093"/>
      <c r="R107" s="3093"/>
      <c r="S107" s="3093"/>
      <c r="T107" s="3093"/>
      <c r="U107" s="3093"/>
      <c r="V107" s="3093"/>
      <c r="W107" s="3093"/>
      <c r="X107" s="3093"/>
      <c r="Y107" s="3093"/>
      <c r="Z107" s="3093"/>
      <c r="AA107" s="3093"/>
      <c r="AB107" s="3093"/>
      <c r="AC107" s="3083">
        <f t="shared" si="10"/>
        <v>0</v>
      </c>
      <c r="AD107" s="3103"/>
      <c r="AE107" s="3103"/>
      <c r="AF107" s="3103"/>
      <c r="AG107" s="3103"/>
      <c r="AH107" s="3103"/>
      <c r="AI107" s="3103"/>
      <c r="AJ107" s="3103"/>
      <c r="AK107" s="3103"/>
      <c r="AL107" s="3103"/>
      <c r="AM107" s="3103"/>
      <c r="AN107" s="3103"/>
      <c r="AO107" s="3103"/>
      <c r="AP107" s="3103"/>
      <c r="AQ107" s="3103"/>
      <c r="AR107" s="3103"/>
      <c r="AS107" s="3103"/>
      <c r="AT107" s="3113"/>
      <c r="AU107" s="3114"/>
      <c r="AV107" s="1580">
        <f t="shared" si="11"/>
        <v>0</v>
      </c>
      <c r="AW107" s="1580">
        <f t="shared" si="12"/>
        <v>0</v>
      </c>
      <c r="AX107" s="1580">
        <f t="shared" si="13"/>
        <v>0</v>
      </c>
      <c r="AY107" s="3128">
        <f t="shared" si="14"/>
        <v>0</v>
      </c>
      <c r="AZ107" s="3083">
        <f t="shared" si="15"/>
        <v>0</v>
      </c>
      <c r="BA107" s="3083">
        <f t="shared" si="16"/>
        <v>0</v>
      </c>
      <c r="BB107" s="3083">
        <f t="shared" si="17"/>
        <v>0</v>
      </c>
      <c r="BC107" s="3083">
        <f t="shared" si="18"/>
        <v>0</v>
      </c>
      <c r="BD107" s="3083">
        <f t="shared" si="19"/>
        <v>0</v>
      </c>
      <c r="BE107" s="3083">
        <f t="shared" si="20"/>
        <v>0</v>
      </c>
      <c r="BF107" s="3083">
        <f t="shared" si="21"/>
        <v>0</v>
      </c>
      <c r="BG107" s="3083">
        <f t="shared" si="22"/>
        <v>0</v>
      </c>
      <c r="BH107" s="3083">
        <f t="shared" si="23"/>
        <v>0</v>
      </c>
      <c r="BI107" s="3083">
        <f t="shared" si="24"/>
        <v>0</v>
      </c>
      <c r="BJ107" s="3083">
        <f t="shared" si="25"/>
        <v>0</v>
      </c>
      <c r="BK107" s="3083">
        <f t="shared" si="26"/>
        <v>0</v>
      </c>
      <c r="BL107" s="3083">
        <f t="shared" si="27"/>
        <v>0</v>
      </c>
      <c r="BM107" s="3083">
        <f t="shared" si="28"/>
        <v>0</v>
      </c>
      <c r="BN107" s="3083">
        <f t="shared" si="29"/>
        <v>0</v>
      </c>
      <c r="BO107" s="3083">
        <f t="shared" si="30"/>
        <v>0</v>
      </c>
      <c r="BP107" s="3083">
        <f t="shared" si="31"/>
        <v>0</v>
      </c>
      <c r="BQ107" s="3083">
        <f t="shared" si="32"/>
        <v>0</v>
      </c>
      <c r="BR107" s="3083">
        <f t="shared" si="33"/>
        <v>0</v>
      </c>
      <c r="BS107" s="3083">
        <f t="shared" si="34"/>
        <v>0</v>
      </c>
      <c r="BT107" s="3135">
        <f t="shared" si="35"/>
        <v>0</v>
      </c>
    </row>
    <row r="108" spans="1:72">
      <c r="A108" s="3080"/>
      <c r="B108" s="3081"/>
      <c r="C108" s="3081"/>
      <c r="D108" s="3082"/>
      <c r="E108" s="3083">
        <f t="shared" si="7"/>
        <v>0</v>
      </c>
      <c r="F108" s="3084"/>
      <c r="G108" s="3085">
        <f t="shared" si="8"/>
        <v>0</v>
      </c>
      <c r="H108" s="3086">
        <f t="shared" si="9"/>
        <v>0</v>
      </c>
      <c r="I108" s="3093"/>
      <c r="J108" s="3093"/>
      <c r="K108" s="3093"/>
      <c r="L108" s="3093"/>
      <c r="M108" s="3093"/>
      <c r="N108" s="3093"/>
      <c r="O108" s="3093"/>
      <c r="P108" s="3093"/>
      <c r="Q108" s="3093"/>
      <c r="R108" s="3093"/>
      <c r="S108" s="3093"/>
      <c r="T108" s="3093"/>
      <c r="U108" s="3093"/>
      <c r="V108" s="3093"/>
      <c r="W108" s="3093"/>
      <c r="X108" s="3093"/>
      <c r="Y108" s="3093"/>
      <c r="Z108" s="3093"/>
      <c r="AA108" s="3093"/>
      <c r="AB108" s="3093"/>
      <c r="AC108" s="3083">
        <f t="shared" si="10"/>
        <v>0</v>
      </c>
      <c r="AD108" s="3103"/>
      <c r="AE108" s="3103"/>
      <c r="AF108" s="3103"/>
      <c r="AG108" s="3103"/>
      <c r="AH108" s="3103"/>
      <c r="AI108" s="3103"/>
      <c r="AJ108" s="3103"/>
      <c r="AK108" s="3103"/>
      <c r="AL108" s="3103"/>
      <c r="AM108" s="3103"/>
      <c r="AN108" s="3103"/>
      <c r="AO108" s="3103"/>
      <c r="AP108" s="3103"/>
      <c r="AQ108" s="3103"/>
      <c r="AR108" s="3103"/>
      <c r="AS108" s="3103"/>
      <c r="AT108" s="3113"/>
      <c r="AU108" s="3114"/>
      <c r="AV108" s="1580">
        <f t="shared" si="11"/>
        <v>0</v>
      </c>
      <c r="AW108" s="1580">
        <f t="shared" si="12"/>
        <v>0</v>
      </c>
      <c r="AX108" s="1580">
        <f t="shared" si="13"/>
        <v>0</v>
      </c>
      <c r="AY108" s="3128">
        <f t="shared" si="14"/>
        <v>0</v>
      </c>
      <c r="AZ108" s="3083">
        <f t="shared" si="15"/>
        <v>0</v>
      </c>
      <c r="BA108" s="3083">
        <f t="shared" si="16"/>
        <v>0</v>
      </c>
      <c r="BB108" s="3083">
        <f t="shared" si="17"/>
        <v>0</v>
      </c>
      <c r="BC108" s="3083">
        <f t="shared" si="18"/>
        <v>0</v>
      </c>
      <c r="BD108" s="3083">
        <f t="shared" si="19"/>
        <v>0</v>
      </c>
      <c r="BE108" s="3083">
        <f t="shared" si="20"/>
        <v>0</v>
      </c>
      <c r="BF108" s="3083">
        <f t="shared" si="21"/>
        <v>0</v>
      </c>
      <c r="BG108" s="3083">
        <f t="shared" si="22"/>
        <v>0</v>
      </c>
      <c r="BH108" s="3083">
        <f t="shared" si="23"/>
        <v>0</v>
      </c>
      <c r="BI108" s="3083">
        <f t="shared" si="24"/>
        <v>0</v>
      </c>
      <c r="BJ108" s="3083">
        <f t="shared" si="25"/>
        <v>0</v>
      </c>
      <c r="BK108" s="3083">
        <f t="shared" si="26"/>
        <v>0</v>
      </c>
      <c r="BL108" s="3083">
        <f t="shared" si="27"/>
        <v>0</v>
      </c>
      <c r="BM108" s="3083">
        <f t="shared" si="28"/>
        <v>0</v>
      </c>
      <c r="BN108" s="3083">
        <f t="shared" si="29"/>
        <v>0</v>
      </c>
      <c r="BO108" s="3083">
        <f t="shared" si="30"/>
        <v>0</v>
      </c>
      <c r="BP108" s="3083">
        <f t="shared" si="31"/>
        <v>0</v>
      </c>
      <c r="BQ108" s="3083">
        <f t="shared" si="32"/>
        <v>0</v>
      </c>
      <c r="BR108" s="3083">
        <f t="shared" si="33"/>
        <v>0</v>
      </c>
      <c r="BS108" s="3083">
        <f t="shared" si="34"/>
        <v>0</v>
      </c>
      <c r="BT108" s="3135">
        <f t="shared" si="35"/>
        <v>0</v>
      </c>
    </row>
    <row r="109" spans="1:72">
      <c r="A109" s="3080"/>
      <c r="B109" s="3081"/>
      <c r="C109" s="3081"/>
      <c r="D109" s="3082"/>
      <c r="E109" s="3083">
        <f t="shared" si="7"/>
        <v>0</v>
      </c>
      <c r="F109" s="3084"/>
      <c r="G109" s="3085">
        <f t="shared" si="8"/>
        <v>0</v>
      </c>
      <c r="H109" s="3086">
        <f t="shared" si="9"/>
        <v>0</v>
      </c>
      <c r="I109" s="3093"/>
      <c r="J109" s="3093"/>
      <c r="K109" s="3093"/>
      <c r="L109" s="3093"/>
      <c r="M109" s="3093"/>
      <c r="N109" s="3093"/>
      <c r="O109" s="3093"/>
      <c r="P109" s="3093"/>
      <c r="Q109" s="3093"/>
      <c r="R109" s="3093"/>
      <c r="S109" s="3093"/>
      <c r="T109" s="3093"/>
      <c r="U109" s="3093"/>
      <c r="V109" s="3093"/>
      <c r="W109" s="3093"/>
      <c r="X109" s="3093"/>
      <c r="Y109" s="3093"/>
      <c r="Z109" s="3093"/>
      <c r="AA109" s="3093"/>
      <c r="AB109" s="3093"/>
      <c r="AC109" s="3083">
        <f t="shared" si="10"/>
        <v>0</v>
      </c>
      <c r="AD109" s="3103"/>
      <c r="AE109" s="3103"/>
      <c r="AF109" s="3103"/>
      <c r="AG109" s="3103"/>
      <c r="AH109" s="3103"/>
      <c r="AI109" s="3103"/>
      <c r="AJ109" s="3103"/>
      <c r="AK109" s="3103"/>
      <c r="AL109" s="3103"/>
      <c r="AM109" s="3103"/>
      <c r="AN109" s="3103"/>
      <c r="AO109" s="3103"/>
      <c r="AP109" s="3103"/>
      <c r="AQ109" s="3103"/>
      <c r="AR109" s="3103"/>
      <c r="AS109" s="3103"/>
      <c r="AT109" s="3113"/>
      <c r="AU109" s="3114"/>
      <c r="AV109" s="1580">
        <f t="shared" si="11"/>
        <v>0</v>
      </c>
      <c r="AW109" s="1580">
        <f t="shared" si="12"/>
        <v>0</v>
      </c>
      <c r="AX109" s="1580">
        <f t="shared" si="13"/>
        <v>0</v>
      </c>
      <c r="AY109" s="3128">
        <f t="shared" si="14"/>
        <v>0</v>
      </c>
      <c r="AZ109" s="3083">
        <f t="shared" si="15"/>
        <v>0</v>
      </c>
      <c r="BA109" s="3083">
        <f t="shared" si="16"/>
        <v>0</v>
      </c>
      <c r="BB109" s="3083">
        <f t="shared" si="17"/>
        <v>0</v>
      </c>
      <c r="BC109" s="3083">
        <f t="shared" si="18"/>
        <v>0</v>
      </c>
      <c r="BD109" s="3083">
        <f t="shared" si="19"/>
        <v>0</v>
      </c>
      <c r="BE109" s="3083">
        <f t="shared" si="20"/>
        <v>0</v>
      </c>
      <c r="BF109" s="3083">
        <f t="shared" si="21"/>
        <v>0</v>
      </c>
      <c r="BG109" s="3083">
        <f t="shared" si="22"/>
        <v>0</v>
      </c>
      <c r="BH109" s="3083">
        <f t="shared" si="23"/>
        <v>0</v>
      </c>
      <c r="BI109" s="3083">
        <f t="shared" si="24"/>
        <v>0</v>
      </c>
      <c r="BJ109" s="3083">
        <f t="shared" si="25"/>
        <v>0</v>
      </c>
      <c r="BK109" s="3083">
        <f t="shared" si="26"/>
        <v>0</v>
      </c>
      <c r="BL109" s="3083">
        <f t="shared" si="27"/>
        <v>0</v>
      </c>
      <c r="BM109" s="3083">
        <f t="shared" si="28"/>
        <v>0</v>
      </c>
      <c r="BN109" s="3083">
        <f t="shared" si="29"/>
        <v>0</v>
      </c>
      <c r="BO109" s="3083">
        <f t="shared" si="30"/>
        <v>0</v>
      </c>
      <c r="BP109" s="3083">
        <f t="shared" si="31"/>
        <v>0</v>
      </c>
      <c r="BQ109" s="3083">
        <f t="shared" si="32"/>
        <v>0</v>
      </c>
      <c r="BR109" s="3083">
        <f t="shared" si="33"/>
        <v>0</v>
      </c>
      <c r="BS109" s="3083">
        <f t="shared" si="34"/>
        <v>0</v>
      </c>
      <c r="BT109" s="3135">
        <f t="shared" si="35"/>
        <v>0</v>
      </c>
    </row>
    <row r="110" spans="1:72">
      <c r="A110" s="3080"/>
      <c r="B110" s="3080"/>
      <c r="C110" s="3080"/>
      <c r="D110" s="3082"/>
      <c r="E110" s="3083">
        <f t="shared" si="7"/>
        <v>0</v>
      </c>
      <c r="F110" s="3136"/>
      <c r="G110" s="3085">
        <f t="shared" ref="G110:G141" si="36">H110+AC110+AT110</f>
        <v>0</v>
      </c>
      <c r="H110" s="3086">
        <f t="shared" ref="H110:H141" si="37">SUMIF(I$12:AB$12,"总值",I110:AB110)</f>
        <v>0</v>
      </c>
      <c r="I110" s="3137"/>
      <c r="J110" s="3137"/>
      <c r="K110" s="3093"/>
      <c r="L110" s="3093"/>
      <c r="M110" s="3093"/>
      <c r="N110" s="3093"/>
      <c r="O110" s="3093"/>
      <c r="P110" s="3093"/>
      <c r="Q110" s="3093"/>
      <c r="R110" s="3093"/>
      <c r="S110" s="3093"/>
      <c r="T110" s="3093"/>
      <c r="U110" s="3093"/>
      <c r="V110" s="3093"/>
      <c r="W110" s="3093"/>
      <c r="X110" s="3093"/>
      <c r="Y110" s="3093"/>
      <c r="Z110" s="3093"/>
      <c r="AA110" s="3093"/>
      <c r="AB110" s="3093"/>
      <c r="AC110" s="3083">
        <f t="shared" ref="AC110:AC141" si="38">SUMIF(AD$12:AS$12,"总值",AD110:AS110)</f>
        <v>0</v>
      </c>
      <c r="AD110" s="3103"/>
      <c r="AE110" s="3103"/>
      <c r="AF110" s="3103"/>
      <c r="AG110" s="3103"/>
      <c r="AH110" s="3103"/>
      <c r="AI110" s="3103"/>
      <c r="AJ110" s="3103"/>
      <c r="AK110" s="3103"/>
      <c r="AL110" s="3103"/>
      <c r="AM110" s="3103"/>
      <c r="AN110" s="3103"/>
      <c r="AO110" s="3103"/>
      <c r="AP110" s="3103"/>
      <c r="AQ110" s="3103"/>
      <c r="AR110" s="3103"/>
      <c r="AS110" s="3103"/>
      <c r="AT110" s="3103"/>
      <c r="AU110" s="3138"/>
      <c r="AV110" s="1580">
        <f t="shared" si="11"/>
        <v>0</v>
      </c>
      <c r="AW110" s="1580">
        <f t="shared" si="12"/>
        <v>0</v>
      </c>
      <c r="AX110" s="1580">
        <f t="shared" si="13"/>
        <v>0</v>
      </c>
      <c r="AY110" s="3128">
        <f t="shared" ref="AY110:AY141" si="39">ROUND($AY$6*AZ110/$AZ$5,2)</f>
        <v>0</v>
      </c>
      <c r="AZ110" s="3083">
        <f t="shared" ref="AZ110:AZ141" si="40">BA110+BL110</f>
        <v>0</v>
      </c>
      <c r="BA110" s="3083">
        <f t="shared" ref="BA110:BA141" si="41">SUM(BB110:BK110)</f>
        <v>0</v>
      </c>
      <c r="BB110" s="3083">
        <f t="shared" ref="BB110:BB141" si="42">IF($D110="是",I110-J110,0)</f>
        <v>0</v>
      </c>
      <c r="BC110" s="3083">
        <f t="shared" ref="BC110:BC141" si="43">IF($D110="是",K110-L110,0)</f>
        <v>0</v>
      </c>
      <c r="BD110" s="3083">
        <f t="shared" ref="BD110:BD141" si="44">IF($D110="是",M110-N110,0)</f>
        <v>0</v>
      </c>
      <c r="BE110" s="3083">
        <f t="shared" ref="BE110:BE141" si="45">IF($D110="是",O110-P110,0)</f>
        <v>0</v>
      </c>
      <c r="BF110" s="3083">
        <f t="shared" ref="BF110:BF141" si="46">IF($D110="是",Q110-R110,0)</f>
        <v>0</v>
      </c>
      <c r="BG110" s="3083">
        <f t="shared" ref="BG110:BG141" si="47">IF($D110="是",S110-T110,0)</f>
        <v>0</v>
      </c>
      <c r="BH110" s="3083">
        <f t="shared" ref="BH110:BH141" si="48">IF($D110="是",U110-V110,0)</f>
        <v>0</v>
      </c>
      <c r="BI110" s="3083">
        <f t="shared" ref="BI110:BI141" si="49">IF($D110="是",W110-X110,0)</f>
        <v>0</v>
      </c>
      <c r="BJ110" s="3083">
        <f t="shared" ref="BJ110:BJ141" si="50">IF($D110="是",Y110-Z110,0)</f>
        <v>0</v>
      </c>
      <c r="BK110" s="3083">
        <f t="shared" ref="BK110:BK141" si="51">IF($D110="是",AA110-AB110,0)</f>
        <v>0</v>
      </c>
      <c r="BL110" s="3083">
        <f t="shared" ref="BL110:BL141" si="52">SUM(BM110:BT110)</f>
        <v>0</v>
      </c>
      <c r="BM110" s="3083">
        <f t="shared" ref="BM110:BM141" si="53">IF($D110="是",AD110-AE110,0)</f>
        <v>0</v>
      </c>
      <c r="BN110" s="3083">
        <f t="shared" ref="BN110:BN141" si="54">IF($D110="是",AF110-AG110,0)</f>
        <v>0</v>
      </c>
      <c r="BO110" s="3083">
        <f t="shared" ref="BO110:BO141" si="55">IF($D110="是",AH110-AI110,0)</f>
        <v>0</v>
      </c>
      <c r="BP110" s="3083">
        <f t="shared" ref="BP110:BP141" si="56">IF($D110="是",AJ110-AK110,0)</f>
        <v>0</v>
      </c>
      <c r="BQ110" s="3083">
        <f t="shared" ref="BQ110:BQ141" si="57">IF($D110="是",AL110-AM110,0)</f>
        <v>0</v>
      </c>
      <c r="BR110" s="3083">
        <f t="shared" ref="BR110:BR141" si="58">IF($D110="是",AN110-AO110,0)</f>
        <v>0</v>
      </c>
      <c r="BS110" s="3083">
        <f t="shared" ref="BS110:BS141" si="59">IF($D110="是",AP110-AQ110,0)</f>
        <v>0</v>
      </c>
      <c r="BT110" s="3135">
        <f t="shared" ref="BT110:BT141" si="60">IF($D110="是",AR110-AS110,0)</f>
        <v>0</v>
      </c>
    </row>
    <row r="111" spans="1:72">
      <c r="A111" s="3080"/>
      <c r="B111" s="3080"/>
      <c r="C111" s="3080"/>
      <c r="D111" s="3082"/>
      <c r="E111" s="3083">
        <f t="shared" si="7"/>
        <v>0</v>
      </c>
      <c r="F111" s="3136"/>
      <c r="G111" s="3085">
        <f t="shared" si="36"/>
        <v>0</v>
      </c>
      <c r="H111" s="3086">
        <f t="shared" si="37"/>
        <v>0</v>
      </c>
      <c r="I111" s="3093"/>
      <c r="J111" s="3093"/>
      <c r="K111" s="3093"/>
      <c r="L111" s="3093"/>
      <c r="M111" s="3093"/>
      <c r="N111" s="3093"/>
      <c r="O111" s="3093"/>
      <c r="P111" s="3093"/>
      <c r="Q111" s="3093"/>
      <c r="R111" s="3093"/>
      <c r="S111" s="3093"/>
      <c r="T111" s="3093"/>
      <c r="U111" s="3093"/>
      <c r="V111" s="3093"/>
      <c r="W111" s="3093"/>
      <c r="X111" s="3093"/>
      <c r="Y111" s="3093"/>
      <c r="Z111" s="3093"/>
      <c r="AA111" s="3093"/>
      <c r="AB111" s="3093"/>
      <c r="AC111" s="3083">
        <f t="shared" si="38"/>
        <v>0</v>
      </c>
      <c r="AD111" s="3103"/>
      <c r="AE111" s="3103"/>
      <c r="AF111" s="3103"/>
      <c r="AG111" s="3103"/>
      <c r="AH111" s="3103"/>
      <c r="AI111" s="3103"/>
      <c r="AJ111" s="3103"/>
      <c r="AK111" s="3103"/>
      <c r="AL111" s="3103"/>
      <c r="AM111" s="3103"/>
      <c r="AN111" s="3103"/>
      <c r="AO111" s="3103"/>
      <c r="AP111" s="3103"/>
      <c r="AQ111" s="3103"/>
      <c r="AR111" s="3103"/>
      <c r="AS111" s="3103"/>
      <c r="AT111" s="3103"/>
      <c r="AU111" s="3138"/>
      <c r="AV111" s="1580">
        <f t="shared" si="11"/>
        <v>0</v>
      </c>
      <c r="AW111" s="1580">
        <f t="shared" si="12"/>
        <v>0</v>
      </c>
      <c r="AX111" s="1580">
        <f t="shared" si="13"/>
        <v>0</v>
      </c>
      <c r="AY111" s="3128">
        <f t="shared" si="39"/>
        <v>0</v>
      </c>
      <c r="AZ111" s="3083">
        <f t="shared" si="40"/>
        <v>0</v>
      </c>
      <c r="BA111" s="3083">
        <f t="shared" si="41"/>
        <v>0</v>
      </c>
      <c r="BB111" s="3083">
        <f t="shared" si="42"/>
        <v>0</v>
      </c>
      <c r="BC111" s="3083">
        <f t="shared" si="43"/>
        <v>0</v>
      </c>
      <c r="BD111" s="3083">
        <f t="shared" si="44"/>
        <v>0</v>
      </c>
      <c r="BE111" s="3083">
        <f t="shared" si="45"/>
        <v>0</v>
      </c>
      <c r="BF111" s="3083">
        <f t="shared" si="46"/>
        <v>0</v>
      </c>
      <c r="BG111" s="3083">
        <f t="shared" si="47"/>
        <v>0</v>
      </c>
      <c r="BH111" s="3083">
        <f t="shared" si="48"/>
        <v>0</v>
      </c>
      <c r="BI111" s="3083">
        <f t="shared" si="49"/>
        <v>0</v>
      </c>
      <c r="BJ111" s="3083">
        <f t="shared" si="50"/>
        <v>0</v>
      </c>
      <c r="BK111" s="3083">
        <f t="shared" si="51"/>
        <v>0</v>
      </c>
      <c r="BL111" s="3083">
        <f t="shared" si="52"/>
        <v>0</v>
      </c>
      <c r="BM111" s="3083">
        <f t="shared" si="53"/>
        <v>0</v>
      </c>
      <c r="BN111" s="3083">
        <f t="shared" si="54"/>
        <v>0</v>
      </c>
      <c r="BO111" s="3083">
        <f t="shared" si="55"/>
        <v>0</v>
      </c>
      <c r="BP111" s="3083">
        <f t="shared" si="56"/>
        <v>0</v>
      </c>
      <c r="BQ111" s="3083">
        <f t="shared" si="57"/>
        <v>0</v>
      </c>
      <c r="BR111" s="3083">
        <f t="shared" si="58"/>
        <v>0</v>
      </c>
      <c r="BS111" s="3083">
        <f t="shared" si="59"/>
        <v>0</v>
      </c>
      <c r="BT111" s="3135">
        <f t="shared" si="60"/>
        <v>0</v>
      </c>
    </row>
    <row r="112" spans="1:72">
      <c r="A112" s="3080"/>
      <c r="B112" s="3080"/>
      <c r="C112" s="3080"/>
      <c r="D112" s="3082"/>
      <c r="E112" s="3083">
        <f t="shared" si="7"/>
        <v>0</v>
      </c>
      <c r="F112" s="3136"/>
      <c r="G112" s="3085">
        <f t="shared" si="36"/>
        <v>0</v>
      </c>
      <c r="H112" s="3086">
        <f t="shared" si="37"/>
        <v>0</v>
      </c>
      <c r="I112" s="3093"/>
      <c r="J112" s="3093"/>
      <c r="K112" s="3093"/>
      <c r="L112" s="3093"/>
      <c r="M112" s="3093"/>
      <c r="N112" s="3093"/>
      <c r="O112" s="3093"/>
      <c r="P112" s="3093"/>
      <c r="Q112" s="3093"/>
      <c r="R112" s="3093"/>
      <c r="S112" s="3093"/>
      <c r="T112" s="3093"/>
      <c r="U112" s="3093"/>
      <c r="V112" s="3093"/>
      <c r="W112" s="3093"/>
      <c r="X112" s="3093"/>
      <c r="Y112" s="3093"/>
      <c r="Z112" s="3093"/>
      <c r="AA112" s="3093"/>
      <c r="AB112" s="3093"/>
      <c r="AC112" s="3083">
        <f t="shared" si="38"/>
        <v>0</v>
      </c>
      <c r="AD112" s="3103"/>
      <c r="AE112" s="3103"/>
      <c r="AF112" s="3103"/>
      <c r="AG112" s="3103"/>
      <c r="AH112" s="3103"/>
      <c r="AI112" s="3103"/>
      <c r="AJ112" s="3103"/>
      <c r="AK112" s="3103"/>
      <c r="AL112" s="3103"/>
      <c r="AM112" s="3103"/>
      <c r="AN112" s="3103"/>
      <c r="AO112" s="3103"/>
      <c r="AP112" s="3103"/>
      <c r="AQ112" s="3103"/>
      <c r="AR112" s="3103"/>
      <c r="AS112" s="3103"/>
      <c r="AT112" s="3103"/>
      <c r="AU112" s="3138"/>
      <c r="AV112" s="1580">
        <f t="shared" si="11"/>
        <v>0</v>
      </c>
      <c r="AW112" s="1580">
        <f t="shared" si="12"/>
        <v>0</v>
      </c>
      <c r="AX112" s="1580">
        <f t="shared" si="13"/>
        <v>0</v>
      </c>
      <c r="AY112" s="3128">
        <f t="shared" si="39"/>
        <v>0</v>
      </c>
      <c r="AZ112" s="3083">
        <f t="shared" si="40"/>
        <v>0</v>
      </c>
      <c r="BA112" s="3083">
        <f t="shared" si="41"/>
        <v>0</v>
      </c>
      <c r="BB112" s="3083">
        <f t="shared" si="42"/>
        <v>0</v>
      </c>
      <c r="BC112" s="3083">
        <f t="shared" si="43"/>
        <v>0</v>
      </c>
      <c r="BD112" s="3083">
        <f t="shared" si="44"/>
        <v>0</v>
      </c>
      <c r="BE112" s="3083">
        <f t="shared" si="45"/>
        <v>0</v>
      </c>
      <c r="BF112" s="3083">
        <f t="shared" si="46"/>
        <v>0</v>
      </c>
      <c r="BG112" s="3083">
        <f t="shared" si="47"/>
        <v>0</v>
      </c>
      <c r="BH112" s="3083">
        <f t="shared" si="48"/>
        <v>0</v>
      </c>
      <c r="BI112" s="3083">
        <f t="shared" si="49"/>
        <v>0</v>
      </c>
      <c r="BJ112" s="3083">
        <f t="shared" si="50"/>
        <v>0</v>
      </c>
      <c r="BK112" s="3083">
        <f t="shared" si="51"/>
        <v>0</v>
      </c>
      <c r="BL112" s="3083">
        <f t="shared" si="52"/>
        <v>0</v>
      </c>
      <c r="BM112" s="3083">
        <f t="shared" si="53"/>
        <v>0</v>
      </c>
      <c r="BN112" s="3083">
        <f t="shared" si="54"/>
        <v>0</v>
      </c>
      <c r="BO112" s="3083">
        <f t="shared" si="55"/>
        <v>0</v>
      </c>
      <c r="BP112" s="3083">
        <f t="shared" si="56"/>
        <v>0</v>
      </c>
      <c r="BQ112" s="3083">
        <f t="shared" si="57"/>
        <v>0</v>
      </c>
      <c r="BR112" s="3083">
        <f t="shared" si="58"/>
        <v>0</v>
      </c>
      <c r="BS112" s="3083">
        <f t="shared" si="59"/>
        <v>0</v>
      </c>
      <c r="BT112" s="3135">
        <f t="shared" si="60"/>
        <v>0</v>
      </c>
    </row>
    <row r="113" spans="1:72">
      <c r="A113" s="3080"/>
      <c r="B113" s="3081"/>
      <c r="C113" s="3081"/>
      <c r="D113" s="3082"/>
      <c r="E113" s="3083">
        <f t="shared" ref="E113:E144" si="61">IF($C$3="是",ROUND($A$3*G113/$B$3,2),ROUND($A$3*(G113-AT113)/$B$3,2))</f>
        <v>0</v>
      </c>
      <c r="F113" s="3084"/>
      <c r="G113" s="3085">
        <f t="shared" si="36"/>
        <v>0</v>
      </c>
      <c r="H113" s="3086">
        <f t="shared" si="37"/>
        <v>0</v>
      </c>
      <c r="I113" s="3093"/>
      <c r="J113" s="3093"/>
      <c r="K113" s="3093"/>
      <c r="L113" s="3093"/>
      <c r="M113" s="3093"/>
      <c r="N113" s="3093"/>
      <c r="O113" s="3093"/>
      <c r="P113" s="3093"/>
      <c r="Q113" s="3093"/>
      <c r="R113" s="3093"/>
      <c r="S113" s="3093"/>
      <c r="T113" s="3093"/>
      <c r="U113" s="3093"/>
      <c r="V113" s="3093"/>
      <c r="W113" s="3093"/>
      <c r="X113" s="3093"/>
      <c r="Y113" s="3093"/>
      <c r="Z113" s="3093"/>
      <c r="AA113" s="3093"/>
      <c r="AB113" s="3093"/>
      <c r="AC113" s="3083">
        <f t="shared" si="38"/>
        <v>0</v>
      </c>
      <c r="AD113" s="3103"/>
      <c r="AE113" s="3103"/>
      <c r="AF113" s="3103"/>
      <c r="AG113" s="3103"/>
      <c r="AH113" s="3103"/>
      <c r="AI113" s="3103"/>
      <c r="AJ113" s="3103"/>
      <c r="AK113" s="3103"/>
      <c r="AL113" s="3103"/>
      <c r="AM113" s="3103"/>
      <c r="AN113" s="3103"/>
      <c r="AO113" s="3103"/>
      <c r="AP113" s="3103"/>
      <c r="AQ113" s="3103"/>
      <c r="AR113" s="3103"/>
      <c r="AS113" s="3103"/>
      <c r="AT113" s="3113"/>
      <c r="AU113" s="3114"/>
      <c r="AV113" s="1580">
        <f t="shared" ref="AV113:AV144" si="62">A113</f>
        <v>0</v>
      </c>
      <c r="AW113" s="1580">
        <f t="shared" ref="AW113:AW144" si="63">B113</f>
        <v>0</v>
      </c>
      <c r="AX113" s="1580">
        <f t="shared" ref="AX113:AX144" si="64">C113</f>
        <v>0</v>
      </c>
      <c r="AY113" s="3128">
        <f t="shared" si="39"/>
        <v>0</v>
      </c>
      <c r="AZ113" s="3083">
        <f t="shared" si="40"/>
        <v>0</v>
      </c>
      <c r="BA113" s="3083">
        <f t="shared" si="41"/>
        <v>0</v>
      </c>
      <c r="BB113" s="3083">
        <f t="shared" si="42"/>
        <v>0</v>
      </c>
      <c r="BC113" s="3083">
        <f t="shared" si="43"/>
        <v>0</v>
      </c>
      <c r="BD113" s="3083">
        <f t="shared" si="44"/>
        <v>0</v>
      </c>
      <c r="BE113" s="3083">
        <f t="shared" si="45"/>
        <v>0</v>
      </c>
      <c r="BF113" s="3083">
        <f t="shared" si="46"/>
        <v>0</v>
      </c>
      <c r="BG113" s="3083">
        <f t="shared" si="47"/>
        <v>0</v>
      </c>
      <c r="BH113" s="3083">
        <f t="shared" si="48"/>
        <v>0</v>
      </c>
      <c r="BI113" s="3083">
        <f t="shared" si="49"/>
        <v>0</v>
      </c>
      <c r="BJ113" s="3083">
        <f t="shared" si="50"/>
        <v>0</v>
      </c>
      <c r="BK113" s="3083">
        <f t="shared" si="51"/>
        <v>0</v>
      </c>
      <c r="BL113" s="3083">
        <f t="shared" si="52"/>
        <v>0</v>
      </c>
      <c r="BM113" s="3083">
        <f t="shared" si="53"/>
        <v>0</v>
      </c>
      <c r="BN113" s="3083">
        <f t="shared" si="54"/>
        <v>0</v>
      </c>
      <c r="BO113" s="3083">
        <f t="shared" si="55"/>
        <v>0</v>
      </c>
      <c r="BP113" s="3083">
        <f t="shared" si="56"/>
        <v>0</v>
      </c>
      <c r="BQ113" s="3083">
        <f t="shared" si="57"/>
        <v>0</v>
      </c>
      <c r="BR113" s="3083">
        <f t="shared" si="58"/>
        <v>0</v>
      </c>
      <c r="BS113" s="3083">
        <f t="shared" si="59"/>
        <v>0</v>
      </c>
      <c r="BT113" s="3135">
        <f t="shared" si="60"/>
        <v>0</v>
      </c>
    </row>
    <row r="114" spans="1:72">
      <c r="A114" s="3080"/>
      <c r="B114" s="3081"/>
      <c r="C114" s="3081"/>
      <c r="D114" s="3082"/>
      <c r="E114" s="3083">
        <f t="shared" si="61"/>
        <v>0</v>
      </c>
      <c r="F114" s="3084"/>
      <c r="G114" s="3085">
        <f t="shared" si="36"/>
        <v>0</v>
      </c>
      <c r="H114" s="3086">
        <f t="shared" si="37"/>
        <v>0</v>
      </c>
      <c r="I114" s="3093"/>
      <c r="J114" s="3093"/>
      <c r="K114" s="3093"/>
      <c r="L114" s="3093"/>
      <c r="M114" s="3093"/>
      <c r="N114" s="3093"/>
      <c r="O114" s="3093"/>
      <c r="P114" s="3093"/>
      <c r="Q114" s="3093"/>
      <c r="R114" s="3093"/>
      <c r="S114" s="3093"/>
      <c r="T114" s="3093"/>
      <c r="U114" s="3093"/>
      <c r="V114" s="3093"/>
      <c r="W114" s="3093"/>
      <c r="X114" s="3093"/>
      <c r="Y114" s="3093"/>
      <c r="Z114" s="3093"/>
      <c r="AA114" s="3093"/>
      <c r="AB114" s="3093"/>
      <c r="AC114" s="3083">
        <f t="shared" si="38"/>
        <v>0</v>
      </c>
      <c r="AD114" s="3103"/>
      <c r="AE114" s="3103"/>
      <c r="AF114" s="3103"/>
      <c r="AG114" s="3103"/>
      <c r="AH114" s="3103"/>
      <c r="AI114" s="3103"/>
      <c r="AJ114" s="3103"/>
      <c r="AK114" s="3103"/>
      <c r="AL114" s="3103"/>
      <c r="AM114" s="3103"/>
      <c r="AN114" s="3103"/>
      <c r="AO114" s="3103"/>
      <c r="AP114" s="3103"/>
      <c r="AQ114" s="3103"/>
      <c r="AR114" s="3103"/>
      <c r="AS114" s="3103"/>
      <c r="AT114" s="3113"/>
      <c r="AU114" s="3114"/>
      <c r="AV114" s="1580">
        <f t="shared" si="62"/>
        <v>0</v>
      </c>
      <c r="AW114" s="1580">
        <f t="shared" si="63"/>
        <v>0</v>
      </c>
      <c r="AX114" s="1580">
        <f t="shared" si="64"/>
        <v>0</v>
      </c>
      <c r="AY114" s="3128">
        <f t="shared" si="39"/>
        <v>0</v>
      </c>
      <c r="AZ114" s="3083">
        <f t="shared" si="40"/>
        <v>0</v>
      </c>
      <c r="BA114" s="3083">
        <f t="shared" si="41"/>
        <v>0</v>
      </c>
      <c r="BB114" s="3083">
        <f t="shared" si="42"/>
        <v>0</v>
      </c>
      <c r="BC114" s="3083">
        <f t="shared" si="43"/>
        <v>0</v>
      </c>
      <c r="BD114" s="3083">
        <f t="shared" si="44"/>
        <v>0</v>
      </c>
      <c r="BE114" s="3083">
        <f t="shared" si="45"/>
        <v>0</v>
      </c>
      <c r="BF114" s="3083">
        <f t="shared" si="46"/>
        <v>0</v>
      </c>
      <c r="BG114" s="3083">
        <f t="shared" si="47"/>
        <v>0</v>
      </c>
      <c r="BH114" s="3083">
        <f t="shared" si="48"/>
        <v>0</v>
      </c>
      <c r="BI114" s="3083">
        <f t="shared" si="49"/>
        <v>0</v>
      </c>
      <c r="BJ114" s="3083">
        <f t="shared" si="50"/>
        <v>0</v>
      </c>
      <c r="BK114" s="3083">
        <f t="shared" si="51"/>
        <v>0</v>
      </c>
      <c r="BL114" s="3083">
        <f t="shared" si="52"/>
        <v>0</v>
      </c>
      <c r="BM114" s="3083">
        <f t="shared" si="53"/>
        <v>0</v>
      </c>
      <c r="BN114" s="3083">
        <f t="shared" si="54"/>
        <v>0</v>
      </c>
      <c r="BO114" s="3083">
        <f t="shared" si="55"/>
        <v>0</v>
      </c>
      <c r="BP114" s="3083">
        <f t="shared" si="56"/>
        <v>0</v>
      </c>
      <c r="BQ114" s="3083">
        <f t="shared" si="57"/>
        <v>0</v>
      </c>
      <c r="BR114" s="3083">
        <f t="shared" si="58"/>
        <v>0</v>
      </c>
      <c r="BS114" s="3083">
        <f t="shared" si="59"/>
        <v>0</v>
      </c>
      <c r="BT114" s="3135">
        <f t="shared" si="60"/>
        <v>0</v>
      </c>
    </row>
    <row r="115" spans="1:72">
      <c r="A115" s="3080"/>
      <c r="B115" s="3081"/>
      <c r="C115" s="3081"/>
      <c r="D115" s="3082"/>
      <c r="E115" s="3083">
        <f t="shared" si="61"/>
        <v>0</v>
      </c>
      <c r="F115" s="3084"/>
      <c r="G115" s="3085">
        <f t="shared" si="36"/>
        <v>0</v>
      </c>
      <c r="H115" s="3086">
        <f t="shared" si="37"/>
        <v>0</v>
      </c>
      <c r="I115" s="3093"/>
      <c r="J115" s="3093"/>
      <c r="K115" s="3093"/>
      <c r="L115" s="3093"/>
      <c r="M115" s="3093"/>
      <c r="N115" s="3093"/>
      <c r="O115" s="3093"/>
      <c r="P115" s="3093"/>
      <c r="Q115" s="3093"/>
      <c r="R115" s="3093"/>
      <c r="S115" s="3093"/>
      <c r="T115" s="3093"/>
      <c r="U115" s="3093"/>
      <c r="V115" s="3093"/>
      <c r="W115" s="3093"/>
      <c r="X115" s="3093"/>
      <c r="Y115" s="3093"/>
      <c r="Z115" s="3093"/>
      <c r="AA115" s="3093"/>
      <c r="AB115" s="3093"/>
      <c r="AC115" s="3083">
        <f t="shared" si="38"/>
        <v>0</v>
      </c>
      <c r="AD115" s="3103"/>
      <c r="AE115" s="3103"/>
      <c r="AF115" s="3103"/>
      <c r="AG115" s="3103"/>
      <c r="AH115" s="3103"/>
      <c r="AI115" s="3103"/>
      <c r="AJ115" s="3103"/>
      <c r="AK115" s="3103"/>
      <c r="AL115" s="3103"/>
      <c r="AM115" s="3103"/>
      <c r="AN115" s="3103"/>
      <c r="AO115" s="3103"/>
      <c r="AP115" s="3103"/>
      <c r="AQ115" s="3103"/>
      <c r="AR115" s="3103"/>
      <c r="AS115" s="3103"/>
      <c r="AT115" s="3113"/>
      <c r="AU115" s="3114"/>
      <c r="AV115" s="1580">
        <f t="shared" si="62"/>
        <v>0</v>
      </c>
      <c r="AW115" s="1580">
        <f t="shared" si="63"/>
        <v>0</v>
      </c>
      <c r="AX115" s="1580">
        <f t="shared" si="64"/>
        <v>0</v>
      </c>
      <c r="AY115" s="3128">
        <f t="shared" si="39"/>
        <v>0</v>
      </c>
      <c r="AZ115" s="3083">
        <f t="shared" si="40"/>
        <v>0</v>
      </c>
      <c r="BA115" s="3083">
        <f t="shared" si="41"/>
        <v>0</v>
      </c>
      <c r="BB115" s="3083">
        <f t="shared" si="42"/>
        <v>0</v>
      </c>
      <c r="BC115" s="3083">
        <f t="shared" si="43"/>
        <v>0</v>
      </c>
      <c r="BD115" s="3083">
        <f t="shared" si="44"/>
        <v>0</v>
      </c>
      <c r="BE115" s="3083">
        <f t="shared" si="45"/>
        <v>0</v>
      </c>
      <c r="BF115" s="3083">
        <f t="shared" si="46"/>
        <v>0</v>
      </c>
      <c r="BG115" s="3083">
        <f t="shared" si="47"/>
        <v>0</v>
      </c>
      <c r="BH115" s="3083">
        <f t="shared" si="48"/>
        <v>0</v>
      </c>
      <c r="BI115" s="3083">
        <f t="shared" si="49"/>
        <v>0</v>
      </c>
      <c r="BJ115" s="3083">
        <f t="shared" si="50"/>
        <v>0</v>
      </c>
      <c r="BK115" s="3083">
        <f t="shared" si="51"/>
        <v>0</v>
      </c>
      <c r="BL115" s="3083">
        <f t="shared" si="52"/>
        <v>0</v>
      </c>
      <c r="BM115" s="3083">
        <f t="shared" si="53"/>
        <v>0</v>
      </c>
      <c r="BN115" s="3083">
        <f t="shared" si="54"/>
        <v>0</v>
      </c>
      <c r="BO115" s="3083">
        <f t="shared" si="55"/>
        <v>0</v>
      </c>
      <c r="BP115" s="3083">
        <f t="shared" si="56"/>
        <v>0</v>
      </c>
      <c r="BQ115" s="3083">
        <f t="shared" si="57"/>
        <v>0</v>
      </c>
      <c r="BR115" s="3083">
        <f t="shared" si="58"/>
        <v>0</v>
      </c>
      <c r="BS115" s="3083">
        <f t="shared" si="59"/>
        <v>0</v>
      </c>
      <c r="BT115" s="3135">
        <f t="shared" si="60"/>
        <v>0</v>
      </c>
    </row>
    <row r="116" spans="1:72">
      <c r="A116" s="3080"/>
      <c r="B116" s="3081"/>
      <c r="C116" s="3081"/>
      <c r="D116" s="3082"/>
      <c r="E116" s="3083">
        <f t="shared" si="61"/>
        <v>0</v>
      </c>
      <c r="F116" s="3084"/>
      <c r="G116" s="3085">
        <f t="shared" si="36"/>
        <v>0</v>
      </c>
      <c r="H116" s="3086">
        <f t="shared" si="37"/>
        <v>0</v>
      </c>
      <c r="I116" s="3093"/>
      <c r="J116" s="3093"/>
      <c r="K116" s="3093"/>
      <c r="L116" s="3093"/>
      <c r="M116" s="3093"/>
      <c r="N116" s="3093"/>
      <c r="O116" s="3093"/>
      <c r="P116" s="3093"/>
      <c r="Q116" s="3093"/>
      <c r="R116" s="3093"/>
      <c r="S116" s="3093"/>
      <c r="T116" s="3093"/>
      <c r="U116" s="3093"/>
      <c r="V116" s="3093"/>
      <c r="W116" s="3093"/>
      <c r="X116" s="3093"/>
      <c r="Y116" s="3093"/>
      <c r="Z116" s="3093"/>
      <c r="AA116" s="3093"/>
      <c r="AB116" s="3093"/>
      <c r="AC116" s="3083">
        <f t="shared" si="38"/>
        <v>0</v>
      </c>
      <c r="AD116" s="3103"/>
      <c r="AE116" s="3103"/>
      <c r="AF116" s="3103"/>
      <c r="AG116" s="3103"/>
      <c r="AH116" s="3103"/>
      <c r="AI116" s="3103"/>
      <c r="AJ116" s="3103"/>
      <c r="AK116" s="3103"/>
      <c r="AL116" s="3103"/>
      <c r="AM116" s="3103"/>
      <c r="AN116" s="3103"/>
      <c r="AO116" s="3103"/>
      <c r="AP116" s="3103"/>
      <c r="AQ116" s="3103"/>
      <c r="AR116" s="3103"/>
      <c r="AS116" s="3103"/>
      <c r="AT116" s="3113"/>
      <c r="AU116" s="3114"/>
      <c r="AV116" s="1580">
        <f t="shared" si="62"/>
        <v>0</v>
      </c>
      <c r="AW116" s="1580">
        <f t="shared" si="63"/>
        <v>0</v>
      </c>
      <c r="AX116" s="1580">
        <f t="shared" si="64"/>
        <v>0</v>
      </c>
      <c r="AY116" s="3128">
        <f t="shared" si="39"/>
        <v>0</v>
      </c>
      <c r="AZ116" s="3083">
        <f t="shared" si="40"/>
        <v>0</v>
      </c>
      <c r="BA116" s="3083">
        <f t="shared" si="41"/>
        <v>0</v>
      </c>
      <c r="BB116" s="3083">
        <f t="shared" si="42"/>
        <v>0</v>
      </c>
      <c r="BC116" s="3083">
        <f t="shared" si="43"/>
        <v>0</v>
      </c>
      <c r="BD116" s="3083">
        <f t="shared" si="44"/>
        <v>0</v>
      </c>
      <c r="BE116" s="3083">
        <f t="shared" si="45"/>
        <v>0</v>
      </c>
      <c r="BF116" s="3083">
        <f t="shared" si="46"/>
        <v>0</v>
      </c>
      <c r="BG116" s="3083">
        <f t="shared" si="47"/>
        <v>0</v>
      </c>
      <c r="BH116" s="3083">
        <f t="shared" si="48"/>
        <v>0</v>
      </c>
      <c r="BI116" s="3083">
        <f t="shared" si="49"/>
        <v>0</v>
      </c>
      <c r="BJ116" s="3083">
        <f t="shared" si="50"/>
        <v>0</v>
      </c>
      <c r="BK116" s="3083">
        <f t="shared" si="51"/>
        <v>0</v>
      </c>
      <c r="BL116" s="3083">
        <f t="shared" si="52"/>
        <v>0</v>
      </c>
      <c r="BM116" s="3083">
        <f t="shared" si="53"/>
        <v>0</v>
      </c>
      <c r="BN116" s="3083">
        <f t="shared" si="54"/>
        <v>0</v>
      </c>
      <c r="BO116" s="3083">
        <f t="shared" si="55"/>
        <v>0</v>
      </c>
      <c r="BP116" s="3083">
        <f t="shared" si="56"/>
        <v>0</v>
      </c>
      <c r="BQ116" s="3083">
        <f t="shared" si="57"/>
        <v>0</v>
      </c>
      <c r="BR116" s="3083">
        <f t="shared" si="58"/>
        <v>0</v>
      </c>
      <c r="BS116" s="3083">
        <f t="shared" si="59"/>
        <v>0</v>
      </c>
      <c r="BT116" s="3135">
        <f t="shared" si="60"/>
        <v>0</v>
      </c>
    </row>
    <row r="117" spans="1:72">
      <c r="A117" s="3080"/>
      <c r="B117" s="3081"/>
      <c r="C117" s="3081"/>
      <c r="D117" s="3082"/>
      <c r="E117" s="3083">
        <f t="shared" si="61"/>
        <v>0</v>
      </c>
      <c r="F117" s="3084"/>
      <c r="G117" s="3085">
        <f t="shared" si="36"/>
        <v>0</v>
      </c>
      <c r="H117" s="3086">
        <f t="shared" si="37"/>
        <v>0</v>
      </c>
      <c r="I117" s="3093"/>
      <c r="J117" s="3093"/>
      <c r="K117" s="3093"/>
      <c r="L117" s="3093"/>
      <c r="M117" s="3093"/>
      <c r="N117" s="3093"/>
      <c r="O117" s="3093"/>
      <c r="P117" s="3093"/>
      <c r="Q117" s="3093"/>
      <c r="R117" s="3093"/>
      <c r="S117" s="3093"/>
      <c r="T117" s="3093"/>
      <c r="U117" s="3093"/>
      <c r="V117" s="3093"/>
      <c r="W117" s="3093"/>
      <c r="X117" s="3093"/>
      <c r="Y117" s="3093"/>
      <c r="Z117" s="3093"/>
      <c r="AA117" s="3093"/>
      <c r="AB117" s="3093"/>
      <c r="AC117" s="3083">
        <f t="shared" si="38"/>
        <v>0</v>
      </c>
      <c r="AD117" s="3103"/>
      <c r="AE117" s="3103"/>
      <c r="AF117" s="3103"/>
      <c r="AG117" s="3103"/>
      <c r="AH117" s="3103"/>
      <c r="AI117" s="3103"/>
      <c r="AJ117" s="3103"/>
      <c r="AK117" s="3103"/>
      <c r="AL117" s="3103"/>
      <c r="AM117" s="3103"/>
      <c r="AN117" s="3103"/>
      <c r="AO117" s="3103"/>
      <c r="AP117" s="3103"/>
      <c r="AQ117" s="3103"/>
      <c r="AR117" s="3103"/>
      <c r="AS117" s="3103"/>
      <c r="AT117" s="3113"/>
      <c r="AU117" s="3114"/>
      <c r="AV117" s="1580">
        <f t="shared" si="62"/>
        <v>0</v>
      </c>
      <c r="AW117" s="1580">
        <f t="shared" si="63"/>
        <v>0</v>
      </c>
      <c r="AX117" s="1580">
        <f t="shared" si="64"/>
        <v>0</v>
      </c>
      <c r="AY117" s="3128">
        <f t="shared" si="39"/>
        <v>0</v>
      </c>
      <c r="AZ117" s="3083">
        <f t="shared" si="40"/>
        <v>0</v>
      </c>
      <c r="BA117" s="3083">
        <f t="shared" si="41"/>
        <v>0</v>
      </c>
      <c r="BB117" s="3083">
        <f t="shared" si="42"/>
        <v>0</v>
      </c>
      <c r="BC117" s="3083">
        <f t="shared" si="43"/>
        <v>0</v>
      </c>
      <c r="BD117" s="3083">
        <f t="shared" si="44"/>
        <v>0</v>
      </c>
      <c r="BE117" s="3083">
        <f t="shared" si="45"/>
        <v>0</v>
      </c>
      <c r="BF117" s="3083">
        <f t="shared" si="46"/>
        <v>0</v>
      </c>
      <c r="BG117" s="3083">
        <f t="shared" si="47"/>
        <v>0</v>
      </c>
      <c r="BH117" s="3083">
        <f t="shared" si="48"/>
        <v>0</v>
      </c>
      <c r="BI117" s="3083">
        <f t="shared" si="49"/>
        <v>0</v>
      </c>
      <c r="BJ117" s="3083">
        <f t="shared" si="50"/>
        <v>0</v>
      </c>
      <c r="BK117" s="3083">
        <f t="shared" si="51"/>
        <v>0</v>
      </c>
      <c r="BL117" s="3083">
        <f t="shared" si="52"/>
        <v>0</v>
      </c>
      <c r="BM117" s="3083">
        <f t="shared" si="53"/>
        <v>0</v>
      </c>
      <c r="BN117" s="3083">
        <f t="shared" si="54"/>
        <v>0</v>
      </c>
      <c r="BO117" s="3083">
        <f t="shared" si="55"/>
        <v>0</v>
      </c>
      <c r="BP117" s="3083">
        <f t="shared" si="56"/>
        <v>0</v>
      </c>
      <c r="BQ117" s="3083">
        <f t="shared" si="57"/>
        <v>0</v>
      </c>
      <c r="BR117" s="3083">
        <f t="shared" si="58"/>
        <v>0</v>
      </c>
      <c r="BS117" s="3083">
        <f t="shared" si="59"/>
        <v>0</v>
      </c>
      <c r="BT117" s="3135">
        <f t="shared" si="60"/>
        <v>0</v>
      </c>
    </row>
    <row r="118" spans="1:72">
      <c r="A118" s="3080"/>
      <c r="B118" s="3081"/>
      <c r="C118" s="3081"/>
      <c r="D118" s="3082"/>
      <c r="E118" s="3083">
        <f t="shared" si="61"/>
        <v>0</v>
      </c>
      <c r="F118" s="3084"/>
      <c r="G118" s="3085">
        <f t="shared" si="36"/>
        <v>0</v>
      </c>
      <c r="H118" s="3086">
        <f t="shared" si="37"/>
        <v>0</v>
      </c>
      <c r="I118" s="3093"/>
      <c r="J118" s="3093"/>
      <c r="K118" s="3093"/>
      <c r="L118" s="3093"/>
      <c r="M118" s="3093"/>
      <c r="N118" s="3093"/>
      <c r="O118" s="3093"/>
      <c r="P118" s="3093"/>
      <c r="Q118" s="3093"/>
      <c r="R118" s="3093"/>
      <c r="S118" s="3093"/>
      <c r="T118" s="3093"/>
      <c r="U118" s="3093"/>
      <c r="V118" s="3093"/>
      <c r="W118" s="3093"/>
      <c r="X118" s="3093"/>
      <c r="Y118" s="3093"/>
      <c r="Z118" s="3093"/>
      <c r="AA118" s="3093"/>
      <c r="AB118" s="3093"/>
      <c r="AC118" s="3083">
        <f t="shared" si="38"/>
        <v>0</v>
      </c>
      <c r="AD118" s="3103"/>
      <c r="AE118" s="3103"/>
      <c r="AF118" s="3103"/>
      <c r="AG118" s="3103"/>
      <c r="AH118" s="3103"/>
      <c r="AI118" s="3103"/>
      <c r="AJ118" s="3103"/>
      <c r="AK118" s="3103"/>
      <c r="AL118" s="3103"/>
      <c r="AM118" s="3103"/>
      <c r="AN118" s="3103"/>
      <c r="AO118" s="3103"/>
      <c r="AP118" s="3103"/>
      <c r="AQ118" s="3103"/>
      <c r="AR118" s="3103"/>
      <c r="AS118" s="3103"/>
      <c r="AT118" s="3113"/>
      <c r="AU118" s="3114"/>
      <c r="AV118" s="1580">
        <f t="shared" si="62"/>
        <v>0</v>
      </c>
      <c r="AW118" s="1580">
        <f t="shared" si="63"/>
        <v>0</v>
      </c>
      <c r="AX118" s="1580">
        <f t="shared" si="64"/>
        <v>0</v>
      </c>
      <c r="AY118" s="3128">
        <f t="shared" si="39"/>
        <v>0</v>
      </c>
      <c r="AZ118" s="3083">
        <f t="shared" si="40"/>
        <v>0</v>
      </c>
      <c r="BA118" s="3083">
        <f t="shared" si="41"/>
        <v>0</v>
      </c>
      <c r="BB118" s="3083">
        <f t="shared" si="42"/>
        <v>0</v>
      </c>
      <c r="BC118" s="3083">
        <f t="shared" si="43"/>
        <v>0</v>
      </c>
      <c r="BD118" s="3083">
        <f t="shared" si="44"/>
        <v>0</v>
      </c>
      <c r="BE118" s="3083">
        <f t="shared" si="45"/>
        <v>0</v>
      </c>
      <c r="BF118" s="3083">
        <f t="shared" si="46"/>
        <v>0</v>
      </c>
      <c r="BG118" s="3083">
        <f t="shared" si="47"/>
        <v>0</v>
      </c>
      <c r="BH118" s="3083">
        <f t="shared" si="48"/>
        <v>0</v>
      </c>
      <c r="BI118" s="3083">
        <f t="shared" si="49"/>
        <v>0</v>
      </c>
      <c r="BJ118" s="3083">
        <f t="shared" si="50"/>
        <v>0</v>
      </c>
      <c r="BK118" s="3083">
        <f t="shared" si="51"/>
        <v>0</v>
      </c>
      <c r="BL118" s="3083">
        <f t="shared" si="52"/>
        <v>0</v>
      </c>
      <c r="BM118" s="3083">
        <f t="shared" si="53"/>
        <v>0</v>
      </c>
      <c r="BN118" s="3083">
        <f t="shared" si="54"/>
        <v>0</v>
      </c>
      <c r="BO118" s="3083">
        <f t="shared" si="55"/>
        <v>0</v>
      </c>
      <c r="BP118" s="3083">
        <f t="shared" si="56"/>
        <v>0</v>
      </c>
      <c r="BQ118" s="3083">
        <f t="shared" si="57"/>
        <v>0</v>
      </c>
      <c r="BR118" s="3083">
        <f t="shared" si="58"/>
        <v>0</v>
      </c>
      <c r="BS118" s="3083">
        <f t="shared" si="59"/>
        <v>0</v>
      </c>
      <c r="BT118" s="3135">
        <f t="shared" si="60"/>
        <v>0</v>
      </c>
    </row>
    <row r="119" spans="1:72">
      <c r="A119" s="3080"/>
      <c r="B119" s="3081"/>
      <c r="C119" s="3081"/>
      <c r="D119" s="3082"/>
      <c r="E119" s="3083">
        <f t="shared" si="61"/>
        <v>0</v>
      </c>
      <c r="F119" s="3084"/>
      <c r="G119" s="3085">
        <f t="shared" si="36"/>
        <v>0</v>
      </c>
      <c r="H119" s="3086">
        <f t="shared" si="37"/>
        <v>0</v>
      </c>
      <c r="I119" s="3093"/>
      <c r="J119" s="3093"/>
      <c r="K119" s="3093"/>
      <c r="L119" s="3093"/>
      <c r="M119" s="3093"/>
      <c r="N119" s="3093"/>
      <c r="O119" s="3093"/>
      <c r="P119" s="3093"/>
      <c r="Q119" s="3093"/>
      <c r="R119" s="3093"/>
      <c r="S119" s="3093"/>
      <c r="T119" s="3093"/>
      <c r="U119" s="3093"/>
      <c r="V119" s="3093"/>
      <c r="W119" s="3093"/>
      <c r="X119" s="3093"/>
      <c r="Y119" s="3093"/>
      <c r="Z119" s="3093"/>
      <c r="AA119" s="3093"/>
      <c r="AB119" s="3093"/>
      <c r="AC119" s="3083">
        <f t="shared" si="38"/>
        <v>0</v>
      </c>
      <c r="AD119" s="3103"/>
      <c r="AE119" s="3103"/>
      <c r="AF119" s="3103"/>
      <c r="AG119" s="3103"/>
      <c r="AH119" s="3103"/>
      <c r="AI119" s="3103"/>
      <c r="AJ119" s="3103"/>
      <c r="AK119" s="3103"/>
      <c r="AL119" s="3103"/>
      <c r="AM119" s="3103"/>
      <c r="AN119" s="3103"/>
      <c r="AO119" s="3103"/>
      <c r="AP119" s="3103"/>
      <c r="AQ119" s="3103"/>
      <c r="AR119" s="3103"/>
      <c r="AS119" s="3103"/>
      <c r="AT119" s="3113"/>
      <c r="AU119" s="3114"/>
      <c r="AV119" s="1580">
        <f t="shared" si="62"/>
        <v>0</v>
      </c>
      <c r="AW119" s="1580">
        <f t="shared" si="63"/>
        <v>0</v>
      </c>
      <c r="AX119" s="1580">
        <f t="shared" si="64"/>
        <v>0</v>
      </c>
      <c r="AY119" s="3128">
        <f t="shared" si="39"/>
        <v>0</v>
      </c>
      <c r="AZ119" s="3083">
        <f t="shared" si="40"/>
        <v>0</v>
      </c>
      <c r="BA119" s="3083">
        <f t="shared" si="41"/>
        <v>0</v>
      </c>
      <c r="BB119" s="3083">
        <f t="shared" si="42"/>
        <v>0</v>
      </c>
      <c r="BC119" s="3083">
        <f t="shared" si="43"/>
        <v>0</v>
      </c>
      <c r="BD119" s="3083">
        <f t="shared" si="44"/>
        <v>0</v>
      </c>
      <c r="BE119" s="3083">
        <f t="shared" si="45"/>
        <v>0</v>
      </c>
      <c r="BF119" s="3083">
        <f t="shared" si="46"/>
        <v>0</v>
      </c>
      <c r="BG119" s="3083">
        <f t="shared" si="47"/>
        <v>0</v>
      </c>
      <c r="BH119" s="3083">
        <f t="shared" si="48"/>
        <v>0</v>
      </c>
      <c r="BI119" s="3083">
        <f t="shared" si="49"/>
        <v>0</v>
      </c>
      <c r="BJ119" s="3083">
        <f t="shared" si="50"/>
        <v>0</v>
      </c>
      <c r="BK119" s="3083">
        <f t="shared" si="51"/>
        <v>0</v>
      </c>
      <c r="BL119" s="3083">
        <f t="shared" si="52"/>
        <v>0</v>
      </c>
      <c r="BM119" s="3083">
        <f t="shared" si="53"/>
        <v>0</v>
      </c>
      <c r="BN119" s="3083">
        <f t="shared" si="54"/>
        <v>0</v>
      </c>
      <c r="BO119" s="3083">
        <f t="shared" si="55"/>
        <v>0</v>
      </c>
      <c r="BP119" s="3083">
        <f t="shared" si="56"/>
        <v>0</v>
      </c>
      <c r="BQ119" s="3083">
        <f t="shared" si="57"/>
        <v>0</v>
      </c>
      <c r="BR119" s="3083">
        <f t="shared" si="58"/>
        <v>0</v>
      </c>
      <c r="BS119" s="3083">
        <f t="shared" si="59"/>
        <v>0</v>
      </c>
      <c r="BT119" s="3135">
        <f t="shared" si="60"/>
        <v>0</v>
      </c>
    </row>
    <row r="120" spans="1:72">
      <c r="A120" s="3080"/>
      <c r="B120" s="3081"/>
      <c r="C120" s="3081"/>
      <c r="D120" s="3082"/>
      <c r="E120" s="3083">
        <f t="shared" si="61"/>
        <v>0</v>
      </c>
      <c r="F120" s="3084"/>
      <c r="G120" s="3085">
        <f t="shared" si="36"/>
        <v>0</v>
      </c>
      <c r="H120" s="3086">
        <f t="shared" si="37"/>
        <v>0</v>
      </c>
      <c r="I120" s="3093"/>
      <c r="J120" s="3093"/>
      <c r="K120" s="3093"/>
      <c r="L120" s="3093"/>
      <c r="M120" s="3093"/>
      <c r="N120" s="3093"/>
      <c r="O120" s="3093"/>
      <c r="P120" s="3093"/>
      <c r="Q120" s="3093"/>
      <c r="R120" s="3093"/>
      <c r="S120" s="3093"/>
      <c r="T120" s="3093"/>
      <c r="U120" s="3093"/>
      <c r="V120" s="3093"/>
      <c r="W120" s="3093"/>
      <c r="X120" s="3093"/>
      <c r="Y120" s="3093"/>
      <c r="Z120" s="3093"/>
      <c r="AA120" s="3093"/>
      <c r="AB120" s="3093"/>
      <c r="AC120" s="3083">
        <f t="shared" si="38"/>
        <v>0</v>
      </c>
      <c r="AD120" s="3103"/>
      <c r="AE120" s="3103"/>
      <c r="AF120" s="3103"/>
      <c r="AG120" s="3103"/>
      <c r="AH120" s="3103"/>
      <c r="AI120" s="3103"/>
      <c r="AJ120" s="3103"/>
      <c r="AK120" s="3103"/>
      <c r="AL120" s="3103"/>
      <c r="AM120" s="3103"/>
      <c r="AN120" s="3103"/>
      <c r="AO120" s="3103"/>
      <c r="AP120" s="3103"/>
      <c r="AQ120" s="3103"/>
      <c r="AR120" s="3103"/>
      <c r="AS120" s="3103"/>
      <c r="AT120" s="3113"/>
      <c r="AU120" s="3114"/>
      <c r="AV120" s="1580">
        <f t="shared" si="62"/>
        <v>0</v>
      </c>
      <c r="AW120" s="1580">
        <f t="shared" si="63"/>
        <v>0</v>
      </c>
      <c r="AX120" s="1580">
        <f t="shared" si="64"/>
        <v>0</v>
      </c>
      <c r="AY120" s="3128">
        <f t="shared" si="39"/>
        <v>0</v>
      </c>
      <c r="AZ120" s="3083">
        <f t="shared" si="40"/>
        <v>0</v>
      </c>
      <c r="BA120" s="3083">
        <f t="shared" si="41"/>
        <v>0</v>
      </c>
      <c r="BB120" s="3083">
        <f t="shared" si="42"/>
        <v>0</v>
      </c>
      <c r="BC120" s="3083">
        <f t="shared" si="43"/>
        <v>0</v>
      </c>
      <c r="BD120" s="3083">
        <f t="shared" si="44"/>
        <v>0</v>
      </c>
      <c r="BE120" s="3083">
        <f t="shared" si="45"/>
        <v>0</v>
      </c>
      <c r="BF120" s="3083">
        <f t="shared" si="46"/>
        <v>0</v>
      </c>
      <c r="BG120" s="3083">
        <f t="shared" si="47"/>
        <v>0</v>
      </c>
      <c r="BH120" s="3083">
        <f t="shared" si="48"/>
        <v>0</v>
      </c>
      <c r="BI120" s="3083">
        <f t="shared" si="49"/>
        <v>0</v>
      </c>
      <c r="BJ120" s="3083">
        <f t="shared" si="50"/>
        <v>0</v>
      </c>
      <c r="BK120" s="3083">
        <f t="shared" si="51"/>
        <v>0</v>
      </c>
      <c r="BL120" s="3083">
        <f t="shared" si="52"/>
        <v>0</v>
      </c>
      <c r="BM120" s="3083">
        <f t="shared" si="53"/>
        <v>0</v>
      </c>
      <c r="BN120" s="3083">
        <f t="shared" si="54"/>
        <v>0</v>
      </c>
      <c r="BO120" s="3083">
        <f t="shared" si="55"/>
        <v>0</v>
      </c>
      <c r="BP120" s="3083">
        <f t="shared" si="56"/>
        <v>0</v>
      </c>
      <c r="BQ120" s="3083">
        <f t="shared" si="57"/>
        <v>0</v>
      </c>
      <c r="BR120" s="3083">
        <f t="shared" si="58"/>
        <v>0</v>
      </c>
      <c r="BS120" s="3083">
        <f t="shared" si="59"/>
        <v>0</v>
      </c>
      <c r="BT120" s="3135">
        <f t="shared" si="60"/>
        <v>0</v>
      </c>
    </row>
    <row r="121" spans="1:72">
      <c r="A121" s="3080"/>
      <c r="B121" s="3081"/>
      <c r="C121" s="3081"/>
      <c r="D121" s="3082"/>
      <c r="E121" s="3083">
        <f t="shared" si="61"/>
        <v>0</v>
      </c>
      <c r="F121" s="3084"/>
      <c r="G121" s="3085">
        <f t="shared" si="36"/>
        <v>0</v>
      </c>
      <c r="H121" s="3086">
        <f t="shared" si="37"/>
        <v>0</v>
      </c>
      <c r="I121" s="3093"/>
      <c r="J121" s="3093"/>
      <c r="K121" s="3093"/>
      <c r="L121" s="3093"/>
      <c r="M121" s="3093"/>
      <c r="N121" s="3093"/>
      <c r="O121" s="3093"/>
      <c r="P121" s="3093"/>
      <c r="Q121" s="3093"/>
      <c r="R121" s="3093"/>
      <c r="S121" s="3093"/>
      <c r="T121" s="3093"/>
      <c r="U121" s="3093"/>
      <c r="V121" s="3093"/>
      <c r="W121" s="3093"/>
      <c r="X121" s="3093"/>
      <c r="Y121" s="3093"/>
      <c r="Z121" s="3093"/>
      <c r="AA121" s="3093"/>
      <c r="AB121" s="3093"/>
      <c r="AC121" s="3083">
        <f t="shared" si="38"/>
        <v>0</v>
      </c>
      <c r="AD121" s="3103"/>
      <c r="AE121" s="3103"/>
      <c r="AF121" s="3103"/>
      <c r="AG121" s="3103"/>
      <c r="AH121" s="3103"/>
      <c r="AI121" s="3103"/>
      <c r="AJ121" s="3103"/>
      <c r="AK121" s="3103"/>
      <c r="AL121" s="3103"/>
      <c r="AM121" s="3103"/>
      <c r="AN121" s="3103"/>
      <c r="AO121" s="3103"/>
      <c r="AP121" s="3103"/>
      <c r="AQ121" s="3103"/>
      <c r="AR121" s="3103"/>
      <c r="AS121" s="3103"/>
      <c r="AT121" s="3113"/>
      <c r="AU121" s="3114"/>
      <c r="AV121" s="1580">
        <f t="shared" si="62"/>
        <v>0</v>
      </c>
      <c r="AW121" s="1580">
        <f t="shared" si="63"/>
        <v>0</v>
      </c>
      <c r="AX121" s="1580">
        <f t="shared" si="64"/>
        <v>0</v>
      </c>
      <c r="AY121" s="3128">
        <f t="shared" si="39"/>
        <v>0</v>
      </c>
      <c r="AZ121" s="3083">
        <f t="shared" si="40"/>
        <v>0</v>
      </c>
      <c r="BA121" s="3083">
        <f t="shared" si="41"/>
        <v>0</v>
      </c>
      <c r="BB121" s="3083">
        <f t="shared" si="42"/>
        <v>0</v>
      </c>
      <c r="BC121" s="3083">
        <f t="shared" si="43"/>
        <v>0</v>
      </c>
      <c r="BD121" s="3083">
        <f t="shared" si="44"/>
        <v>0</v>
      </c>
      <c r="BE121" s="3083">
        <f t="shared" si="45"/>
        <v>0</v>
      </c>
      <c r="BF121" s="3083">
        <f t="shared" si="46"/>
        <v>0</v>
      </c>
      <c r="BG121" s="3083">
        <f t="shared" si="47"/>
        <v>0</v>
      </c>
      <c r="BH121" s="3083">
        <f t="shared" si="48"/>
        <v>0</v>
      </c>
      <c r="BI121" s="3083">
        <f t="shared" si="49"/>
        <v>0</v>
      </c>
      <c r="BJ121" s="3083">
        <f t="shared" si="50"/>
        <v>0</v>
      </c>
      <c r="BK121" s="3083">
        <f t="shared" si="51"/>
        <v>0</v>
      </c>
      <c r="BL121" s="3083">
        <f t="shared" si="52"/>
        <v>0</v>
      </c>
      <c r="BM121" s="3083">
        <f t="shared" si="53"/>
        <v>0</v>
      </c>
      <c r="BN121" s="3083">
        <f t="shared" si="54"/>
        <v>0</v>
      </c>
      <c r="BO121" s="3083">
        <f t="shared" si="55"/>
        <v>0</v>
      </c>
      <c r="BP121" s="3083">
        <f t="shared" si="56"/>
        <v>0</v>
      </c>
      <c r="BQ121" s="3083">
        <f t="shared" si="57"/>
        <v>0</v>
      </c>
      <c r="BR121" s="3083">
        <f t="shared" si="58"/>
        <v>0</v>
      </c>
      <c r="BS121" s="3083">
        <f t="shared" si="59"/>
        <v>0</v>
      </c>
      <c r="BT121" s="3135">
        <f t="shared" si="60"/>
        <v>0</v>
      </c>
    </row>
    <row r="122" spans="1:72">
      <c r="A122" s="3080"/>
      <c r="B122" s="3081"/>
      <c r="C122" s="3081"/>
      <c r="D122" s="3082"/>
      <c r="E122" s="3083">
        <f t="shared" si="61"/>
        <v>0</v>
      </c>
      <c r="F122" s="3084"/>
      <c r="G122" s="3085">
        <f t="shared" si="36"/>
        <v>0</v>
      </c>
      <c r="H122" s="3086">
        <f t="shared" si="37"/>
        <v>0</v>
      </c>
      <c r="I122" s="3093"/>
      <c r="J122" s="3093"/>
      <c r="K122" s="3093"/>
      <c r="L122" s="3093"/>
      <c r="M122" s="3093"/>
      <c r="N122" s="3093"/>
      <c r="O122" s="3093"/>
      <c r="P122" s="3093"/>
      <c r="Q122" s="3093"/>
      <c r="R122" s="3093"/>
      <c r="S122" s="3093"/>
      <c r="T122" s="3093"/>
      <c r="U122" s="3093"/>
      <c r="V122" s="3093"/>
      <c r="W122" s="3093"/>
      <c r="X122" s="3093"/>
      <c r="Y122" s="3093"/>
      <c r="Z122" s="3093"/>
      <c r="AA122" s="3093"/>
      <c r="AB122" s="3093"/>
      <c r="AC122" s="3083">
        <f t="shared" si="38"/>
        <v>0</v>
      </c>
      <c r="AD122" s="3103"/>
      <c r="AE122" s="3103"/>
      <c r="AF122" s="3103"/>
      <c r="AG122" s="3103"/>
      <c r="AH122" s="3103"/>
      <c r="AI122" s="3103"/>
      <c r="AJ122" s="3103"/>
      <c r="AK122" s="3103"/>
      <c r="AL122" s="3103"/>
      <c r="AM122" s="3103"/>
      <c r="AN122" s="3103"/>
      <c r="AO122" s="3103"/>
      <c r="AP122" s="3103"/>
      <c r="AQ122" s="3103"/>
      <c r="AR122" s="3103"/>
      <c r="AS122" s="3103"/>
      <c r="AT122" s="3113"/>
      <c r="AU122" s="3114"/>
      <c r="AV122" s="1580">
        <f t="shared" si="62"/>
        <v>0</v>
      </c>
      <c r="AW122" s="1580">
        <f t="shared" si="63"/>
        <v>0</v>
      </c>
      <c r="AX122" s="1580">
        <f t="shared" si="64"/>
        <v>0</v>
      </c>
      <c r="AY122" s="3128">
        <f t="shared" si="39"/>
        <v>0</v>
      </c>
      <c r="AZ122" s="3083">
        <f t="shared" si="40"/>
        <v>0</v>
      </c>
      <c r="BA122" s="3083">
        <f t="shared" si="41"/>
        <v>0</v>
      </c>
      <c r="BB122" s="3083">
        <f t="shared" si="42"/>
        <v>0</v>
      </c>
      <c r="BC122" s="3083">
        <f t="shared" si="43"/>
        <v>0</v>
      </c>
      <c r="BD122" s="3083">
        <f t="shared" si="44"/>
        <v>0</v>
      </c>
      <c r="BE122" s="3083">
        <f t="shared" si="45"/>
        <v>0</v>
      </c>
      <c r="BF122" s="3083">
        <f t="shared" si="46"/>
        <v>0</v>
      </c>
      <c r="BG122" s="3083">
        <f t="shared" si="47"/>
        <v>0</v>
      </c>
      <c r="BH122" s="3083">
        <f t="shared" si="48"/>
        <v>0</v>
      </c>
      <c r="BI122" s="3083">
        <f t="shared" si="49"/>
        <v>0</v>
      </c>
      <c r="BJ122" s="3083">
        <f t="shared" si="50"/>
        <v>0</v>
      </c>
      <c r="BK122" s="3083">
        <f t="shared" si="51"/>
        <v>0</v>
      </c>
      <c r="BL122" s="3083">
        <f t="shared" si="52"/>
        <v>0</v>
      </c>
      <c r="BM122" s="3083">
        <f t="shared" si="53"/>
        <v>0</v>
      </c>
      <c r="BN122" s="3083">
        <f t="shared" si="54"/>
        <v>0</v>
      </c>
      <c r="BO122" s="3083">
        <f t="shared" si="55"/>
        <v>0</v>
      </c>
      <c r="BP122" s="3083">
        <f t="shared" si="56"/>
        <v>0</v>
      </c>
      <c r="BQ122" s="3083">
        <f t="shared" si="57"/>
        <v>0</v>
      </c>
      <c r="BR122" s="3083">
        <f t="shared" si="58"/>
        <v>0</v>
      </c>
      <c r="BS122" s="3083">
        <f t="shared" si="59"/>
        <v>0</v>
      </c>
      <c r="BT122" s="3135">
        <f t="shared" si="60"/>
        <v>0</v>
      </c>
    </row>
    <row r="123" spans="1:72">
      <c r="A123" s="3080"/>
      <c r="B123" s="3081"/>
      <c r="C123" s="3081"/>
      <c r="D123" s="3082"/>
      <c r="E123" s="3083">
        <f t="shared" si="61"/>
        <v>0</v>
      </c>
      <c r="F123" s="3084"/>
      <c r="G123" s="3085">
        <f t="shared" si="36"/>
        <v>0</v>
      </c>
      <c r="H123" s="3086">
        <f t="shared" si="37"/>
        <v>0</v>
      </c>
      <c r="I123" s="3093"/>
      <c r="J123" s="3093"/>
      <c r="K123" s="3093"/>
      <c r="L123" s="3093"/>
      <c r="M123" s="3093"/>
      <c r="N123" s="3093"/>
      <c r="O123" s="3093"/>
      <c r="P123" s="3093"/>
      <c r="Q123" s="3093"/>
      <c r="R123" s="3093"/>
      <c r="S123" s="3093"/>
      <c r="T123" s="3093"/>
      <c r="U123" s="3093"/>
      <c r="V123" s="3093"/>
      <c r="W123" s="3093"/>
      <c r="X123" s="3093"/>
      <c r="Y123" s="3093"/>
      <c r="Z123" s="3093"/>
      <c r="AA123" s="3093"/>
      <c r="AB123" s="3093"/>
      <c r="AC123" s="3083">
        <f t="shared" si="38"/>
        <v>0</v>
      </c>
      <c r="AD123" s="3103"/>
      <c r="AE123" s="3103"/>
      <c r="AF123" s="3103"/>
      <c r="AG123" s="3103"/>
      <c r="AH123" s="3103"/>
      <c r="AI123" s="3103"/>
      <c r="AJ123" s="3103"/>
      <c r="AK123" s="3103"/>
      <c r="AL123" s="3103"/>
      <c r="AM123" s="3103"/>
      <c r="AN123" s="3103"/>
      <c r="AO123" s="3103"/>
      <c r="AP123" s="3103"/>
      <c r="AQ123" s="3103"/>
      <c r="AR123" s="3103"/>
      <c r="AS123" s="3103"/>
      <c r="AT123" s="3113"/>
      <c r="AU123" s="3114"/>
      <c r="AV123" s="1580">
        <f t="shared" si="62"/>
        <v>0</v>
      </c>
      <c r="AW123" s="1580">
        <f t="shared" si="63"/>
        <v>0</v>
      </c>
      <c r="AX123" s="1580">
        <f t="shared" si="64"/>
        <v>0</v>
      </c>
      <c r="AY123" s="3128">
        <f t="shared" si="39"/>
        <v>0</v>
      </c>
      <c r="AZ123" s="3083">
        <f t="shared" si="40"/>
        <v>0</v>
      </c>
      <c r="BA123" s="3083">
        <f t="shared" si="41"/>
        <v>0</v>
      </c>
      <c r="BB123" s="3083">
        <f t="shared" si="42"/>
        <v>0</v>
      </c>
      <c r="BC123" s="3083">
        <f t="shared" si="43"/>
        <v>0</v>
      </c>
      <c r="BD123" s="3083">
        <f t="shared" si="44"/>
        <v>0</v>
      </c>
      <c r="BE123" s="3083">
        <f t="shared" si="45"/>
        <v>0</v>
      </c>
      <c r="BF123" s="3083">
        <f t="shared" si="46"/>
        <v>0</v>
      </c>
      <c r="BG123" s="3083">
        <f t="shared" si="47"/>
        <v>0</v>
      </c>
      <c r="BH123" s="3083">
        <f t="shared" si="48"/>
        <v>0</v>
      </c>
      <c r="BI123" s="3083">
        <f t="shared" si="49"/>
        <v>0</v>
      </c>
      <c r="BJ123" s="3083">
        <f t="shared" si="50"/>
        <v>0</v>
      </c>
      <c r="BK123" s="3083">
        <f t="shared" si="51"/>
        <v>0</v>
      </c>
      <c r="BL123" s="3083">
        <f t="shared" si="52"/>
        <v>0</v>
      </c>
      <c r="BM123" s="3083">
        <f t="shared" si="53"/>
        <v>0</v>
      </c>
      <c r="BN123" s="3083">
        <f t="shared" si="54"/>
        <v>0</v>
      </c>
      <c r="BO123" s="3083">
        <f t="shared" si="55"/>
        <v>0</v>
      </c>
      <c r="BP123" s="3083">
        <f t="shared" si="56"/>
        <v>0</v>
      </c>
      <c r="BQ123" s="3083">
        <f t="shared" si="57"/>
        <v>0</v>
      </c>
      <c r="BR123" s="3083">
        <f t="shared" si="58"/>
        <v>0</v>
      </c>
      <c r="BS123" s="3083">
        <f t="shared" si="59"/>
        <v>0</v>
      </c>
      <c r="BT123" s="3135">
        <f t="shared" si="60"/>
        <v>0</v>
      </c>
    </row>
    <row r="124" spans="1:72">
      <c r="A124" s="3080"/>
      <c r="B124" s="3081"/>
      <c r="C124" s="3081"/>
      <c r="D124" s="3082"/>
      <c r="E124" s="3083">
        <f t="shared" si="61"/>
        <v>0</v>
      </c>
      <c r="F124" s="3084"/>
      <c r="G124" s="3085">
        <f t="shared" si="36"/>
        <v>0</v>
      </c>
      <c r="H124" s="3086">
        <f t="shared" si="37"/>
        <v>0</v>
      </c>
      <c r="I124" s="3093"/>
      <c r="J124" s="3093"/>
      <c r="K124" s="3093"/>
      <c r="L124" s="3093"/>
      <c r="M124" s="3093"/>
      <c r="N124" s="3093"/>
      <c r="O124" s="3093"/>
      <c r="P124" s="3093"/>
      <c r="Q124" s="3093"/>
      <c r="R124" s="3093"/>
      <c r="S124" s="3093"/>
      <c r="T124" s="3093"/>
      <c r="U124" s="3093"/>
      <c r="V124" s="3093"/>
      <c r="W124" s="3093"/>
      <c r="X124" s="3093"/>
      <c r="Y124" s="3093"/>
      <c r="Z124" s="3093"/>
      <c r="AA124" s="3093"/>
      <c r="AB124" s="3093"/>
      <c r="AC124" s="3083">
        <f t="shared" si="38"/>
        <v>0</v>
      </c>
      <c r="AD124" s="3103"/>
      <c r="AE124" s="3103"/>
      <c r="AF124" s="3103"/>
      <c r="AG124" s="3103"/>
      <c r="AH124" s="3103"/>
      <c r="AI124" s="3103"/>
      <c r="AJ124" s="3103"/>
      <c r="AK124" s="3103"/>
      <c r="AL124" s="3103"/>
      <c r="AM124" s="3103"/>
      <c r="AN124" s="3103"/>
      <c r="AO124" s="3103"/>
      <c r="AP124" s="3103"/>
      <c r="AQ124" s="3103"/>
      <c r="AR124" s="3103"/>
      <c r="AS124" s="3103"/>
      <c r="AT124" s="3113"/>
      <c r="AU124" s="3114"/>
      <c r="AV124" s="1580">
        <f t="shared" si="62"/>
        <v>0</v>
      </c>
      <c r="AW124" s="1580">
        <f t="shared" si="63"/>
        <v>0</v>
      </c>
      <c r="AX124" s="1580">
        <f t="shared" si="64"/>
        <v>0</v>
      </c>
      <c r="AY124" s="3128">
        <f t="shared" si="39"/>
        <v>0</v>
      </c>
      <c r="AZ124" s="3083">
        <f t="shared" si="40"/>
        <v>0</v>
      </c>
      <c r="BA124" s="3083">
        <f t="shared" si="41"/>
        <v>0</v>
      </c>
      <c r="BB124" s="3083">
        <f t="shared" si="42"/>
        <v>0</v>
      </c>
      <c r="BC124" s="3083">
        <f t="shared" si="43"/>
        <v>0</v>
      </c>
      <c r="BD124" s="3083">
        <f t="shared" si="44"/>
        <v>0</v>
      </c>
      <c r="BE124" s="3083">
        <f t="shared" si="45"/>
        <v>0</v>
      </c>
      <c r="BF124" s="3083">
        <f t="shared" si="46"/>
        <v>0</v>
      </c>
      <c r="BG124" s="3083">
        <f t="shared" si="47"/>
        <v>0</v>
      </c>
      <c r="BH124" s="3083">
        <f t="shared" si="48"/>
        <v>0</v>
      </c>
      <c r="BI124" s="3083">
        <f t="shared" si="49"/>
        <v>0</v>
      </c>
      <c r="BJ124" s="3083">
        <f t="shared" si="50"/>
        <v>0</v>
      </c>
      <c r="BK124" s="3083">
        <f t="shared" si="51"/>
        <v>0</v>
      </c>
      <c r="BL124" s="3083">
        <f t="shared" si="52"/>
        <v>0</v>
      </c>
      <c r="BM124" s="3083">
        <f t="shared" si="53"/>
        <v>0</v>
      </c>
      <c r="BN124" s="3083">
        <f t="shared" si="54"/>
        <v>0</v>
      </c>
      <c r="BO124" s="3083">
        <f t="shared" si="55"/>
        <v>0</v>
      </c>
      <c r="BP124" s="3083">
        <f t="shared" si="56"/>
        <v>0</v>
      </c>
      <c r="BQ124" s="3083">
        <f t="shared" si="57"/>
        <v>0</v>
      </c>
      <c r="BR124" s="3083">
        <f t="shared" si="58"/>
        <v>0</v>
      </c>
      <c r="BS124" s="3083">
        <f t="shared" si="59"/>
        <v>0</v>
      </c>
      <c r="BT124" s="3135">
        <f t="shared" si="60"/>
        <v>0</v>
      </c>
    </row>
    <row r="125" spans="1:72">
      <c r="A125" s="3080"/>
      <c r="B125" s="3081"/>
      <c r="C125" s="3081"/>
      <c r="D125" s="3082"/>
      <c r="E125" s="3083">
        <f t="shared" si="61"/>
        <v>0</v>
      </c>
      <c r="F125" s="3084"/>
      <c r="G125" s="3085">
        <f t="shared" si="36"/>
        <v>0</v>
      </c>
      <c r="H125" s="3086">
        <f t="shared" si="37"/>
        <v>0</v>
      </c>
      <c r="I125" s="3093"/>
      <c r="J125" s="3093"/>
      <c r="K125" s="3093"/>
      <c r="L125" s="3093"/>
      <c r="M125" s="3093"/>
      <c r="N125" s="3093"/>
      <c r="O125" s="3093"/>
      <c r="P125" s="3093"/>
      <c r="Q125" s="3093"/>
      <c r="R125" s="3093"/>
      <c r="S125" s="3093"/>
      <c r="T125" s="3093"/>
      <c r="U125" s="3093"/>
      <c r="V125" s="3093"/>
      <c r="W125" s="3093"/>
      <c r="X125" s="3093"/>
      <c r="Y125" s="3093"/>
      <c r="Z125" s="3093"/>
      <c r="AA125" s="3093"/>
      <c r="AB125" s="3093"/>
      <c r="AC125" s="3083">
        <f t="shared" si="38"/>
        <v>0</v>
      </c>
      <c r="AD125" s="3103"/>
      <c r="AE125" s="3103"/>
      <c r="AF125" s="3103"/>
      <c r="AG125" s="3103"/>
      <c r="AH125" s="3103"/>
      <c r="AI125" s="3103"/>
      <c r="AJ125" s="3103"/>
      <c r="AK125" s="3103"/>
      <c r="AL125" s="3103"/>
      <c r="AM125" s="3103"/>
      <c r="AN125" s="3103"/>
      <c r="AO125" s="3103"/>
      <c r="AP125" s="3103"/>
      <c r="AQ125" s="3103"/>
      <c r="AR125" s="3103"/>
      <c r="AS125" s="3103"/>
      <c r="AT125" s="3113"/>
      <c r="AU125" s="3114"/>
      <c r="AV125" s="1580">
        <f t="shared" si="62"/>
        <v>0</v>
      </c>
      <c r="AW125" s="1580">
        <f t="shared" si="63"/>
        <v>0</v>
      </c>
      <c r="AX125" s="1580">
        <f t="shared" si="64"/>
        <v>0</v>
      </c>
      <c r="AY125" s="3128">
        <f t="shared" si="39"/>
        <v>0</v>
      </c>
      <c r="AZ125" s="3083">
        <f t="shared" si="40"/>
        <v>0</v>
      </c>
      <c r="BA125" s="3083">
        <f t="shared" si="41"/>
        <v>0</v>
      </c>
      <c r="BB125" s="3083">
        <f t="shared" si="42"/>
        <v>0</v>
      </c>
      <c r="BC125" s="3083">
        <f t="shared" si="43"/>
        <v>0</v>
      </c>
      <c r="BD125" s="3083">
        <f t="shared" si="44"/>
        <v>0</v>
      </c>
      <c r="BE125" s="3083">
        <f t="shared" si="45"/>
        <v>0</v>
      </c>
      <c r="BF125" s="3083">
        <f t="shared" si="46"/>
        <v>0</v>
      </c>
      <c r="BG125" s="3083">
        <f t="shared" si="47"/>
        <v>0</v>
      </c>
      <c r="BH125" s="3083">
        <f t="shared" si="48"/>
        <v>0</v>
      </c>
      <c r="BI125" s="3083">
        <f t="shared" si="49"/>
        <v>0</v>
      </c>
      <c r="BJ125" s="3083">
        <f t="shared" si="50"/>
        <v>0</v>
      </c>
      <c r="BK125" s="3083">
        <f t="shared" si="51"/>
        <v>0</v>
      </c>
      <c r="BL125" s="3083">
        <f t="shared" si="52"/>
        <v>0</v>
      </c>
      <c r="BM125" s="3083">
        <f t="shared" si="53"/>
        <v>0</v>
      </c>
      <c r="BN125" s="3083">
        <f t="shared" si="54"/>
        <v>0</v>
      </c>
      <c r="BO125" s="3083">
        <f t="shared" si="55"/>
        <v>0</v>
      </c>
      <c r="BP125" s="3083">
        <f t="shared" si="56"/>
        <v>0</v>
      </c>
      <c r="BQ125" s="3083">
        <f t="shared" si="57"/>
        <v>0</v>
      </c>
      <c r="BR125" s="3083">
        <f t="shared" si="58"/>
        <v>0</v>
      </c>
      <c r="BS125" s="3083">
        <f t="shared" si="59"/>
        <v>0</v>
      </c>
      <c r="BT125" s="3135">
        <f t="shared" si="60"/>
        <v>0</v>
      </c>
    </row>
    <row r="126" spans="1:72">
      <c r="A126" s="3080"/>
      <c r="B126" s="3081"/>
      <c r="C126" s="3081"/>
      <c r="D126" s="3082"/>
      <c r="E126" s="3083">
        <f t="shared" si="61"/>
        <v>0</v>
      </c>
      <c r="F126" s="3084"/>
      <c r="G126" s="3085">
        <f t="shared" si="36"/>
        <v>0</v>
      </c>
      <c r="H126" s="3086">
        <f t="shared" si="37"/>
        <v>0</v>
      </c>
      <c r="I126" s="3093"/>
      <c r="J126" s="3093"/>
      <c r="K126" s="3093"/>
      <c r="L126" s="3093"/>
      <c r="M126" s="3093"/>
      <c r="N126" s="3093"/>
      <c r="O126" s="3093"/>
      <c r="P126" s="3093"/>
      <c r="Q126" s="3093"/>
      <c r="R126" s="3093"/>
      <c r="S126" s="3093"/>
      <c r="T126" s="3093"/>
      <c r="U126" s="3093"/>
      <c r="V126" s="3093"/>
      <c r="W126" s="3093"/>
      <c r="X126" s="3093"/>
      <c r="Y126" s="3093"/>
      <c r="Z126" s="3093"/>
      <c r="AA126" s="3093"/>
      <c r="AB126" s="3093"/>
      <c r="AC126" s="3083">
        <f t="shared" si="38"/>
        <v>0</v>
      </c>
      <c r="AD126" s="3103"/>
      <c r="AE126" s="3103"/>
      <c r="AF126" s="3103"/>
      <c r="AG126" s="3103"/>
      <c r="AH126" s="3103"/>
      <c r="AI126" s="3103"/>
      <c r="AJ126" s="3103"/>
      <c r="AK126" s="3103"/>
      <c r="AL126" s="3103"/>
      <c r="AM126" s="3103"/>
      <c r="AN126" s="3103"/>
      <c r="AO126" s="3103"/>
      <c r="AP126" s="3103"/>
      <c r="AQ126" s="3103"/>
      <c r="AR126" s="3103"/>
      <c r="AS126" s="3103"/>
      <c r="AT126" s="3113"/>
      <c r="AU126" s="3114"/>
      <c r="AV126" s="1580">
        <f t="shared" si="62"/>
        <v>0</v>
      </c>
      <c r="AW126" s="1580">
        <f t="shared" si="63"/>
        <v>0</v>
      </c>
      <c r="AX126" s="1580">
        <f t="shared" si="64"/>
        <v>0</v>
      </c>
      <c r="AY126" s="3128">
        <f t="shared" si="39"/>
        <v>0</v>
      </c>
      <c r="AZ126" s="3083">
        <f t="shared" si="40"/>
        <v>0</v>
      </c>
      <c r="BA126" s="3083">
        <f t="shared" si="41"/>
        <v>0</v>
      </c>
      <c r="BB126" s="3083">
        <f t="shared" si="42"/>
        <v>0</v>
      </c>
      <c r="BC126" s="3083">
        <f t="shared" si="43"/>
        <v>0</v>
      </c>
      <c r="BD126" s="3083">
        <f t="shared" si="44"/>
        <v>0</v>
      </c>
      <c r="BE126" s="3083">
        <f t="shared" si="45"/>
        <v>0</v>
      </c>
      <c r="BF126" s="3083">
        <f t="shared" si="46"/>
        <v>0</v>
      </c>
      <c r="BG126" s="3083">
        <f t="shared" si="47"/>
        <v>0</v>
      </c>
      <c r="BH126" s="3083">
        <f t="shared" si="48"/>
        <v>0</v>
      </c>
      <c r="BI126" s="3083">
        <f t="shared" si="49"/>
        <v>0</v>
      </c>
      <c r="BJ126" s="3083">
        <f t="shared" si="50"/>
        <v>0</v>
      </c>
      <c r="BK126" s="3083">
        <f t="shared" si="51"/>
        <v>0</v>
      </c>
      <c r="BL126" s="3083">
        <f t="shared" si="52"/>
        <v>0</v>
      </c>
      <c r="BM126" s="3083">
        <f t="shared" si="53"/>
        <v>0</v>
      </c>
      <c r="BN126" s="3083">
        <f t="shared" si="54"/>
        <v>0</v>
      </c>
      <c r="BO126" s="3083">
        <f t="shared" si="55"/>
        <v>0</v>
      </c>
      <c r="BP126" s="3083">
        <f t="shared" si="56"/>
        <v>0</v>
      </c>
      <c r="BQ126" s="3083">
        <f t="shared" si="57"/>
        <v>0</v>
      </c>
      <c r="BR126" s="3083">
        <f t="shared" si="58"/>
        <v>0</v>
      </c>
      <c r="BS126" s="3083">
        <f t="shared" si="59"/>
        <v>0</v>
      </c>
      <c r="BT126" s="3135">
        <f t="shared" si="60"/>
        <v>0</v>
      </c>
    </row>
    <row r="127" spans="1:72">
      <c r="A127" s="3080"/>
      <c r="B127" s="3081"/>
      <c r="C127" s="3081"/>
      <c r="D127" s="3082"/>
      <c r="E127" s="3083">
        <f t="shared" si="61"/>
        <v>0</v>
      </c>
      <c r="F127" s="3084"/>
      <c r="G127" s="3085">
        <f t="shared" si="36"/>
        <v>0</v>
      </c>
      <c r="H127" s="3086">
        <f t="shared" si="37"/>
        <v>0</v>
      </c>
      <c r="I127" s="3093"/>
      <c r="J127" s="3093"/>
      <c r="K127" s="3093"/>
      <c r="L127" s="3093"/>
      <c r="M127" s="3093"/>
      <c r="N127" s="3093"/>
      <c r="O127" s="3093"/>
      <c r="P127" s="3093"/>
      <c r="Q127" s="3093"/>
      <c r="R127" s="3093"/>
      <c r="S127" s="3093"/>
      <c r="T127" s="3093"/>
      <c r="U127" s="3093"/>
      <c r="V127" s="3093"/>
      <c r="W127" s="3093"/>
      <c r="X127" s="3093"/>
      <c r="Y127" s="3093"/>
      <c r="Z127" s="3093"/>
      <c r="AA127" s="3093"/>
      <c r="AB127" s="3093"/>
      <c r="AC127" s="3083">
        <f t="shared" si="38"/>
        <v>0</v>
      </c>
      <c r="AD127" s="3103"/>
      <c r="AE127" s="3103"/>
      <c r="AF127" s="3103"/>
      <c r="AG127" s="3103"/>
      <c r="AH127" s="3103"/>
      <c r="AI127" s="3103"/>
      <c r="AJ127" s="3103"/>
      <c r="AK127" s="3103"/>
      <c r="AL127" s="3103"/>
      <c r="AM127" s="3103"/>
      <c r="AN127" s="3103"/>
      <c r="AO127" s="3103"/>
      <c r="AP127" s="3103"/>
      <c r="AQ127" s="3103"/>
      <c r="AR127" s="3103"/>
      <c r="AS127" s="3103"/>
      <c r="AT127" s="3113"/>
      <c r="AU127" s="3114"/>
      <c r="AV127" s="1580">
        <f t="shared" si="62"/>
        <v>0</v>
      </c>
      <c r="AW127" s="1580">
        <f t="shared" si="63"/>
        <v>0</v>
      </c>
      <c r="AX127" s="1580">
        <f t="shared" si="64"/>
        <v>0</v>
      </c>
      <c r="AY127" s="3128">
        <f t="shared" si="39"/>
        <v>0</v>
      </c>
      <c r="AZ127" s="3083">
        <f t="shared" si="40"/>
        <v>0</v>
      </c>
      <c r="BA127" s="3083">
        <f t="shared" si="41"/>
        <v>0</v>
      </c>
      <c r="BB127" s="3083">
        <f t="shared" si="42"/>
        <v>0</v>
      </c>
      <c r="BC127" s="3083">
        <f t="shared" si="43"/>
        <v>0</v>
      </c>
      <c r="BD127" s="3083">
        <f t="shared" si="44"/>
        <v>0</v>
      </c>
      <c r="BE127" s="3083">
        <f t="shared" si="45"/>
        <v>0</v>
      </c>
      <c r="BF127" s="3083">
        <f t="shared" si="46"/>
        <v>0</v>
      </c>
      <c r="BG127" s="3083">
        <f t="shared" si="47"/>
        <v>0</v>
      </c>
      <c r="BH127" s="3083">
        <f t="shared" si="48"/>
        <v>0</v>
      </c>
      <c r="BI127" s="3083">
        <f t="shared" si="49"/>
        <v>0</v>
      </c>
      <c r="BJ127" s="3083">
        <f t="shared" si="50"/>
        <v>0</v>
      </c>
      <c r="BK127" s="3083">
        <f t="shared" si="51"/>
        <v>0</v>
      </c>
      <c r="BL127" s="3083">
        <f t="shared" si="52"/>
        <v>0</v>
      </c>
      <c r="BM127" s="3083">
        <f t="shared" si="53"/>
        <v>0</v>
      </c>
      <c r="BN127" s="3083">
        <f t="shared" si="54"/>
        <v>0</v>
      </c>
      <c r="BO127" s="3083">
        <f t="shared" si="55"/>
        <v>0</v>
      </c>
      <c r="BP127" s="3083">
        <f t="shared" si="56"/>
        <v>0</v>
      </c>
      <c r="BQ127" s="3083">
        <f t="shared" si="57"/>
        <v>0</v>
      </c>
      <c r="BR127" s="3083">
        <f t="shared" si="58"/>
        <v>0</v>
      </c>
      <c r="BS127" s="3083">
        <f t="shared" si="59"/>
        <v>0</v>
      </c>
      <c r="BT127" s="3135">
        <f t="shared" si="60"/>
        <v>0</v>
      </c>
    </row>
    <row r="128" spans="1:72">
      <c r="A128" s="3080"/>
      <c r="B128" s="3081"/>
      <c r="C128" s="3081"/>
      <c r="D128" s="3082"/>
      <c r="E128" s="3083">
        <f t="shared" si="61"/>
        <v>0</v>
      </c>
      <c r="F128" s="3084"/>
      <c r="G128" s="3085">
        <f t="shared" si="36"/>
        <v>0</v>
      </c>
      <c r="H128" s="3086">
        <f t="shared" si="37"/>
        <v>0</v>
      </c>
      <c r="I128" s="3093"/>
      <c r="J128" s="3093"/>
      <c r="K128" s="3093"/>
      <c r="L128" s="3093"/>
      <c r="M128" s="3093"/>
      <c r="N128" s="3093"/>
      <c r="O128" s="3093"/>
      <c r="P128" s="3093"/>
      <c r="Q128" s="3093"/>
      <c r="R128" s="3093"/>
      <c r="S128" s="3093"/>
      <c r="T128" s="3093"/>
      <c r="U128" s="3093"/>
      <c r="V128" s="3093"/>
      <c r="W128" s="3093"/>
      <c r="X128" s="3093"/>
      <c r="Y128" s="3093"/>
      <c r="Z128" s="3093"/>
      <c r="AA128" s="3093"/>
      <c r="AB128" s="3093"/>
      <c r="AC128" s="3083">
        <f t="shared" si="38"/>
        <v>0</v>
      </c>
      <c r="AD128" s="3103"/>
      <c r="AE128" s="3103"/>
      <c r="AF128" s="3103"/>
      <c r="AG128" s="3103"/>
      <c r="AH128" s="3103"/>
      <c r="AI128" s="3103"/>
      <c r="AJ128" s="3103"/>
      <c r="AK128" s="3103"/>
      <c r="AL128" s="3103"/>
      <c r="AM128" s="3103"/>
      <c r="AN128" s="3103"/>
      <c r="AO128" s="3103"/>
      <c r="AP128" s="3103"/>
      <c r="AQ128" s="3103"/>
      <c r="AR128" s="3103"/>
      <c r="AS128" s="3103"/>
      <c r="AT128" s="3113"/>
      <c r="AU128" s="3114"/>
      <c r="AV128" s="1580">
        <f t="shared" si="62"/>
        <v>0</v>
      </c>
      <c r="AW128" s="1580">
        <f t="shared" si="63"/>
        <v>0</v>
      </c>
      <c r="AX128" s="1580">
        <f t="shared" si="64"/>
        <v>0</v>
      </c>
      <c r="AY128" s="3128">
        <f t="shared" si="39"/>
        <v>0</v>
      </c>
      <c r="AZ128" s="3083">
        <f t="shared" si="40"/>
        <v>0</v>
      </c>
      <c r="BA128" s="3083">
        <f t="shared" si="41"/>
        <v>0</v>
      </c>
      <c r="BB128" s="3083">
        <f t="shared" si="42"/>
        <v>0</v>
      </c>
      <c r="BC128" s="3083">
        <f t="shared" si="43"/>
        <v>0</v>
      </c>
      <c r="BD128" s="3083">
        <f t="shared" si="44"/>
        <v>0</v>
      </c>
      <c r="BE128" s="3083">
        <f t="shared" si="45"/>
        <v>0</v>
      </c>
      <c r="BF128" s="3083">
        <f t="shared" si="46"/>
        <v>0</v>
      </c>
      <c r="BG128" s="3083">
        <f t="shared" si="47"/>
        <v>0</v>
      </c>
      <c r="BH128" s="3083">
        <f t="shared" si="48"/>
        <v>0</v>
      </c>
      <c r="BI128" s="3083">
        <f t="shared" si="49"/>
        <v>0</v>
      </c>
      <c r="BJ128" s="3083">
        <f t="shared" si="50"/>
        <v>0</v>
      </c>
      <c r="BK128" s="3083">
        <f t="shared" si="51"/>
        <v>0</v>
      </c>
      <c r="BL128" s="3083">
        <f t="shared" si="52"/>
        <v>0</v>
      </c>
      <c r="BM128" s="3083">
        <f t="shared" si="53"/>
        <v>0</v>
      </c>
      <c r="BN128" s="3083">
        <f t="shared" si="54"/>
        <v>0</v>
      </c>
      <c r="BO128" s="3083">
        <f t="shared" si="55"/>
        <v>0</v>
      </c>
      <c r="BP128" s="3083">
        <f t="shared" si="56"/>
        <v>0</v>
      </c>
      <c r="BQ128" s="3083">
        <f t="shared" si="57"/>
        <v>0</v>
      </c>
      <c r="BR128" s="3083">
        <f t="shared" si="58"/>
        <v>0</v>
      </c>
      <c r="BS128" s="3083">
        <f t="shared" si="59"/>
        <v>0</v>
      </c>
      <c r="BT128" s="3135">
        <f t="shared" si="60"/>
        <v>0</v>
      </c>
    </row>
    <row r="129" spans="1:72">
      <c r="A129" s="3080"/>
      <c r="B129" s="3081"/>
      <c r="C129" s="3081"/>
      <c r="D129" s="3082"/>
      <c r="E129" s="3083">
        <f t="shared" si="61"/>
        <v>0</v>
      </c>
      <c r="F129" s="3084"/>
      <c r="G129" s="3085">
        <f t="shared" si="36"/>
        <v>0</v>
      </c>
      <c r="H129" s="3086">
        <f t="shared" si="37"/>
        <v>0</v>
      </c>
      <c r="I129" s="3093"/>
      <c r="J129" s="3093"/>
      <c r="K129" s="3093"/>
      <c r="L129" s="3093"/>
      <c r="M129" s="3093"/>
      <c r="N129" s="3093"/>
      <c r="O129" s="3093"/>
      <c r="P129" s="3093"/>
      <c r="Q129" s="3093"/>
      <c r="R129" s="3093"/>
      <c r="S129" s="3093"/>
      <c r="T129" s="3093"/>
      <c r="U129" s="3093"/>
      <c r="V129" s="3093"/>
      <c r="W129" s="3093"/>
      <c r="X129" s="3093"/>
      <c r="Y129" s="3093"/>
      <c r="Z129" s="3093"/>
      <c r="AA129" s="3093"/>
      <c r="AB129" s="3093"/>
      <c r="AC129" s="3083">
        <f t="shared" si="38"/>
        <v>0</v>
      </c>
      <c r="AD129" s="3103"/>
      <c r="AE129" s="3103"/>
      <c r="AF129" s="3103"/>
      <c r="AG129" s="3103"/>
      <c r="AH129" s="3103"/>
      <c r="AI129" s="3103"/>
      <c r="AJ129" s="3103"/>
      <c r="AK129" s="3103"/>
      <c r="AL129" s="3103"/>
      <c r="AM129" s="3103"/>
      <c r="AN129" s="3103"/>
      <c r="AO129" s="3103"/>
      <c r="AP129" s="3103"/>
      <c r="AQ129" s="3103"/>
      <c r="AR129" s="3103"/>
      <c r="AS129" s="3103"/>
      <c r="AT129" s="3113"/>
      <c r="AU129" s="3114"/>
      <c r="AV129" s="1580">
        <f t="shared" si="62"/>
        <v>0</v>
      </c>
      <c r="AW129" s="1580">
        <f t="shared" si="63"/>
        <v>0</v>
      </c>
      <c r="AX129" s="1580">
        <f t="shared" si="64"/>
        <v>0</v>
      </c>
      <c r="AY129" s="3128">
        <f t="shared" si="39"/>
        <v>0</v>
      </c>
      <c r="AZ129" s="3083">
        <f t="shared" si="40"/>
        <v>0</v>
      </c>
      <c r="BA129" s="3083">
        <f t="shared" si="41"/>
        <v>0</v>
      </c>
      <c r="BB129" s="3083">
        <f t="shared" si="42"/>
        <v>0</v>
      </c>
      <c r="BC129" s="3083">
        <f t="shared" si="43"/>
        <v>0</v>
      </c>
      <c r="BD129" s="3083">
        <f t="shared" si="44"/>
        <v>0</v>
      </c>
      <c r="BE129" s="3083">
        <f t="shared" si="45"/>
        <v>0</v>
      </c>
      <c r="BF129" s="3083">
        <f t="shared" si="46"/>
        <v>0</v>
      </c>
      <c r="BG129" s="3083">
        <f t="shared" si="47"/>
        <v>0</v>
      </c>
      <c r="BH129" s="3083">
        <f t="shared" si="48"/>
        <v>0</v>
      </c>
      <c r="BI129" s="3083">
        <f t="shared" si="49"/>
        <v>0</v>
      </c>
      <c r="BJ129" s="3083">
        <f t="shared" si="50"/>
        <v>0</v>
      </c>
      <c r="BK129" s="3083">
        <f t="shared" si="51"/>
        <v>0</v>
      </c>
      <c r="BL129" s="3083">
        <f t="shared" si="52"/>
        <v>0</v>
      </c>
      <c r="BM129" s="3083">
        <f t="shared" si="53"/>
        <v>0</v>
      </c>
      <c r="BN129" s="3083">
        <f t="shared" si="54"/>
        <v>0</v>
      </c>
      <c r="BO129" s="3083">
        <f t="shared" si="55"/>
        <v>0</v>
      </c>
      <c r="BP129" s="3083">
        <f t="shared" si="56"/>
        <v>0</v>
      </c>
      <c r="BQ129" s="3083">
        <f t="shared" si="57"/>
        <v>0</v>
      </c>
      <c r="BR129" s="3083">
        <f t="shared" si="58"/>
        <v>0</v>
      </c>
      <c r="BS129" s="3083">
        <f t="shared" si="59"/>
        <v>0</v>
      </c>
      <c r="BT129" s="3135">
        <f t="shared" si="60"/>
        <v>0</v>
      </c>
    </row>
    <row r="130" spans="1:72">
      <c r="A130" s="3080"/>
      <c r="B130" s="3081"/>
      <c r="C130" s="3081"/>
      <c r="D130" s="3082"/>
      <c r="E130" s="3083">
        <f t="shared" si="61"/>
        <v>0</v>
      </c>
      <c r="F130" s="3084"/>
      <c r="G130" s="3085">
        <f t="shared" si="36"/>
        <v>0</v>
      </c>
      <c r="H130" s="3086">
        <f t="shared" si="37"/>
        <v>0</v>
      </c>
      <c r="I130" s="3093"/>
      <c r="J130" s="3093"/>
      <c r="K130" s="3093"/>
      <c r="L130" s="3093"/>
      <c r="M130" s="3093"/>
      <c r="N130" s="3093"/>
      <c r="O130" s="3093"/>
      <c r="P130" s="3093"/>
      <c r="Q130" s="3093"/>
      <c r="R130" s="3093"/>
      <c r="S130" s="3093"/>
      <c r="T130" s="3093"/>
      <c r="U130" s="3093"/>
      <c r="V130" s="3093"/>
      <c r="W130" s="3093"/>
      <c r="X130" s="3093"/>
      <c r="Y130" s="3093"/>
      <c r="Z130" s="3093"/>
      <c r="AA130" s="3093"/>
      <c r="AB130" s="3093"/>
      <c r="AC130" s="3083">
        <f t="shared" si="38"/>
        <v>0</v>
      </c>
      <c r="AD130" s="3103"/>
      <c r="AE130" s="3103"/>
      <c r="AF130" s="3103"/>
      <c r="AG130" s="3103"/>
      <c r="AH130" s="3103"/>
      <c r="AI130" s="3103"/>
      <c r="AJ130" s="3103"/>
      <c r="AK130" s="3103"/>
      <c r="AL130" s="3103"/>
      <c r="AM130" s="3103"/>
      <c r="AN130" s="3103"/>
      <c r="AO130" s="3103"/>
      <c r="AP130" s="3103"/>
      <c r="AQ130" s="3103"/>
      <c r="AR130" s="3103"/>
      <c r="AS130" s="3103"/>
      <c r="AT130" s="3113"/>
      <c r="AU130" s="3114"/>
      <c r="AV130" s="1580">
        <f t="shared" si="62"/>
        <v>0</v>
      </c>
      <c r="AW130" s="1580">
        <f t="shared" si="63"/>
        <v>0</v>
      </c>
      <c r="AX130" s="1580">
        <f t="shared" si="64"/>
        <v>0</v>
      </c>
      <c r="AY130" s="3128">
        <f t="shared" si="39"/>
        <v>0</v>
      </c>
      <c r="AZ130" s="3083">
        <f t="shared" si="40"/>
        <v>0</v>
      </c>
      <c r="BA130" s="3083">
        <f t="shared" si="41"/>
        <v>0</v>
      </c>
      <c r="BB130" s="3083">
        <f t="shared" si="42"/>
        <v>0</v>
      </c>
      <c r="BC130" s="3083">
        <f t="shared" si="43"/>
        <v>0</v>
      </c>
      <c r="BD130" s="3083">
        <f t="shared" si="44"/>
        <v>0</v>
      </c>
      <c r="BE130" s="3083">
        <f t="shared" si="45"/>
        <v>0</v>
      </c>
      <c r="BF130" s="3083">
        <f t="shared" si="46"/>
        <v>0</v>
      </c>
      <c r="BG130" s="3083">
        <f t="shared" si="47"/>
        <v>0</v>
      </c>
      <c r="BH130" s="3083">
        <f t="shared" si="48"/>
        <v>0</v>
      </c>
      <c r="BI130" s="3083">
        <f t="shared" si="49"/>
        <v>0</v>
      </c>
      <c r="BJ130" s="3083">
        <f t="shared" si="50"/>
        <v>0</v>
      </c>
      <c r="BK130" s="3083">
        <f t="shared" si="51"/>
        <v>0</v>
      </c>
      <c r="BL130" s="3083">
        <f t="shared" si="52"/>
        <v>0</v>
      </c>
      <c r="BM130" s="3083">
        <f t="shared" si="53"/>
        <v>0</v>
      </c>
      <c r="BN130" s="3083">
        <f t="shared" si="54"/>
        <v>0</v>
      </c>
      <c r="BO130" s="3083">
        <f t="shared" si="55"/>
        <v>0</v>
      </c>
      <c r="BP130" s="3083">
        <f t="shared" si="56"/>
        <v>0</v>
      </c>
      <c r="BQ130" s="3083">
        <f t="shared" si="57"/>
        <v>0</v>
      </c>
      <c r="BR130" s="3083">
        <f t="shared" si="58"/>
        <v>0</v>
      </c>
      <c r="BS130" s="3083">
        <f t="shared" si="59"/>
        <v>0</v>
      </c>
      <c r="BT130" s="3135">
        <f t="shared" si="60"/>
        <v>0</v>
      </c>
    </row>
    <row r="131" spans="1:72">
      <c r="A131" s="3080"/>
      <c r="B131" s="3081"/>
      <c r="C131" s="3081"/>
      <c r="D131" s="3082"/>
      <c r="E131" s="3083">
        <f t="shared" si="61"/>
        <v>0</v>
      </c>
      <c r="F131" s="3084"/>
      <c r="G131" s="3085">
        <f t="shared" si="36"/>
        <v>0</v>
      </c>
      <c r="H131" s="3086">
        <f t="shared" si="37"/>
        <v>0</v>
      </c>
      <c r="I131" s="3093"/>
      <c r="J131" s="3093"/>
      <c r="K131" s="3093"/>
      <c r="L131" s="3093"/>
      <c r="M131" s="3093"/>
      <c r="N131" s="3093"/>
      <c r="O131" s="3093"/>
      <c r="P131" s="3093"/>
      <c r="Q131" s="3093"/>
      <c r="R131" s="3093"/>
      <c r="S131" s="3093"/>
      <c r="T131" s="3093"/>
      <c r="U131" s="3093"/>
      <c r="V131" s="3093"/>
      <c r="W131" s="3093"/>
      <c r="X131" s="3093"/>
      <c r="Y131" s="3093"/>
      <c r="Z131" s="3093"/>
      <c r="AA131" s="3093"/>
      <c r="AB131" s="3093"/>
      <c r="AC131" s="3083">
        <f t="shared" si="38"/>
        <v>0</v>
      </c>
      <c r="AD131" s="3103"/>
      <c r="AE131" s="3103"/>
      <c r="AF131" s="3103"/>
      <c r="AG131" s="3103"/>
      <c r="AH131" s="3103"/>
      <c r="AI131" s="3103"/>
      <c r="AJ131" s="3103"/>
      <c r="AK131" s="3103"/>
      <c r="AL131" s="3103"/>
      <c r="AM131" s="3103"/>
      <c r="AN131" s="3103"/>
      <c r="AO131" s="3103"/>
      <c r="AP131" s="3103"/>
      <c r="AQ131" s="3103"/>
      <c r="AR131" s="3103"/>
      <c r="AS131" s="3103"/>
      <c r="AT131" s="3113"/>
      <c r="AU131" s="3114"/>
      <c r="AV131" s="1580">
        <f t="shared" si="62"/>
        <v>0</v>
      </c>
      <c r="AW131" s="1580">
        <f t="shared" si="63"/>
        <v>0</v>
      </c>
      <c r="AX131" s="1580">
        <f t="shared" si="64"/>
        <v>0</v>
      </c>
      <c r="AY131" s="3128">
        <f t="shared" si="39"/>
        <v>0</v>
      </c>
      <c r="AZ131" s="3083">
        <f t="shared" si="40"/>
        <v>0</v>
      </c>
      <c r="BA131" s="3083">
        <f t="shared" si="41"/>
        <v>0</v>
      </c>
      <c r="BB131" s="3083">
        <f t="shared" si="42"/>
        <v>0</v>
      </c>
      <c r="BC131" s="3083">
        <f t="shared" si="43"/>
        <v>0</v>
      </c>
      <c r="BD131" s="3083">
        <f t="shared" si="44"/>
        <v>0</v>
      </c>
      <c r="BE131" s="3083">
        <f t="shared" si="45"/>
        <v>0</v>
      </c>
      <c r="BF131" s="3083">
        <f t="shared" si="46"/>
        <v>0</v>
      </c>
      <c r="BG131" s="3083">
        <f t="shared" si="47"/>
        <v>0</v>
      </c>
      <c r="BH131" s="3083">
        <f t="shared" si="48"/>
        <v>0</v>
      </c>
      <c r="BI131" s="3083">
        <f t="shared" si="49"/>
        <v>0</v>
      </c>
      <c r="BJ131" s="3083">
        <f t="shared" si="50"/>
        <v>0</v>
      </c>
      <c r="BK131" s="3083">
        <f t="shared" si="51"/>
        <v>0</v>
      </c>
      <c r="BL131" s="3083">
        <f t="shared" si="52"/>
        <v>0</v>
      </c>
      <c r="BM131" s="3083">
        <f t="shared" si="53"/>
        <v>0</v>
      </c>
      <c r="BN131" s="3083">
        <f t="shared" si="54"/>
        <v>0</v>
      </c>
      <c r="BO131" s="3083">
        <f t="shared" si="55"/>
        <v>0</v>
      </c>
      <c r="BP131" s="3083">
        <f t="shared" si="56"/>
        <v>0</v>
      </c>
      <c r="BQ131" s="3083">
        <f t="shared" si="57"/>
        <v>0</v>
      </c>
      <c r="BR131" s="3083">
        <f t="shared" si="58"/>
        <v>0</v>
      </c>
      <c r="BS131" s="3083">
        <f t="shared" si="59"/>
        <v>0</v>
      </c>
      <c r="BT131" s="3135">
        <f t="shared" si="60"/>
        <v>0</v>
      </c>
    </row>
    <row r="132" spans="1:72">
      <c r="A132" s="3080"/>
      <c r="B132" s="3081"/>
      <c r="C132" s="3081"/>
      <c r="D132" s="3082"/>
      <c r="E132" s="3083">
        <f t="shared" si="61"/>
        <v>0</v>
      </c>
      <c r="F132" s="3084"/>
      <c r="G132" s="3085">
        <f t="shared" si="36"/>
        <v>0</v>
      </c>
      <c r="H132" s="3086">
        <f t="shared" si="37"/>
        <v>0</v>
      </c>
      <c r="I132" s="3093"/>
      <c r="J132" s="3093"/>
      <c r="K132" s="3093"/>
      <c r="L132" s="3093"/>
      <c r="M132" s="3093"/>
      <c r="N132" s="3093"/>
      <c r="O132" s="3093"/>
      <c r="P132" s="3093"/>
      <c r="Q132" s="3093"/>
      <c r="R132" s="3093"/>
      <c r="S132" s="3093"/>
      <c r="T132" s="3093"/>
      <c r="U132" s="3093"/>
      <c r="V132" s="3093"/>
      <c r="W132" s="3093"/>
      <c r="X132" s="3093"/>
      <c r="Y132" s="3093"/>
      <c r="Z132" s="3093"/>
      <c r="AA132" s="3093"/>
      <c r="AB132" s="3093"/>
      <c r="AC132" s="3083">
        <f t="shared" si="38"/>
        <v>0</v>
      </c>
      <c r="AD132" s="3103"/>
      <c r="AE132" s="3103"/>
      <c r="AF132" s="3103"/>
      <c r="AG132" s="3103"/>
      <c r="AH132" s="3103"/>
      <c r="AI132" s="3103"/>
      <c r="AJ132" s="3103"/>
      <c r="AK132" s="3103"/>
      <c r="AL132" s="3103"/>
      <c r="AM132" s="3103"/>
      <c r="AN132" s="3103"/>
      <c r="AO132" s="3103"/>
      <c r="AP132" s="3103"/>
      <c r="AQ132" s="3103"/>
      <c r="AR132" s="3103"/>
      <c r="AS132" s="3103"/>
      <c r="AT132" s="3113"/>
      <c r="AU132" s="3114"/>
      <c r="AV132" s="1580">
        <f t="shared" si="62"/>
        <v>0</v>
      </c>
      <c r="AW132" s="1580">
        <f t="shared" si="63"/>
        <v>0</v>
      </c>
      <c r="AX132" s="1580">
        <f t="shared" si="64"/>
        <v>0</v>
      </c>
      <c r="AY132" s="3128">
        <f t="shared" si="39"/>
        <v>0</v>
      </c>
      <c r="AZ132" s="3083">
        <f t="shared" si="40"/>
        <v>0</v>
      </c>
      <c r="BA132" s="3083">
        <f t="shared" si="41"/>
        <v>0</v>
      </c>
      <c r="BB132" s="3083">
        <f t="shared" si="42"/>
        <v>0</v>
      </c>
      <c r="BC132" s="3083">
        <f t="shared" si="43"/>
        <v>0</v>
      </c>
      <c r="BD132" s="3083">
        <f t="shared" si="44"/>
        <v>0</v>
      </c>
      <c r="BE132" s="3083">
        <f t="shared" si="45"/>
        <v>0</v>
      </c>
      <c r="BF132" s="3083">
        <f t="shared" si="46"/>
        <v>0</v>
      </c>
      <c r="BG132" s="3083">
        <f t="shared" si="47"/>
        <v>0</v>
      </c>
      <c r="BH132" s="3083">
        <f t="shared" si="48"/>
        <v>0</v>
      </c>
      <c r="BI132" s="3083">
        <f t="shared" si="49"/>
        <v>0</v>
      </c>
      <c r="BJ132" s="3083">
        <f t="shared" si="50"/>
        <v>0</v>
      </c>
      <c r="BK132" s="3083">
        <f t="shared" si="51"/>
        <v>0</v>
      </c>
      <c r="BL132" s="3083">
        <f t="shared" si="52"/>
        <v>0</v>
      </c>
      <c r="BM132" s="3083">
        <f t="shared" si="53"/>
        <v>0</v>
      </c>
      <c r="BN132" s="3083">
        <f t="shared" si="54"/>
        <v>0</v>
      </c>
      <c r="BO132" s="3083">
        <f t="shared" si="55"/>
        <v>0</v>
      </c>
      <c r="BP132" s="3083">
        <f t="shared" si="56"/>
        <v>0</v>
      </c>
      <c r="BQ132" s="3083">
        <f t="shared" si="57"/>
        <v>0</v>
      </c>
      <c r="BR132" s="3083">
        <f t="shared" si="58"/>
        <v>0</v>
      </c>
      <c r="BS132" s="3083">
        <f t="shared" si="59"/>
        <v>0</v>
      </c>
      <c r="BT132" s="3135">
        <f t="shared" si="60"/>
        <v>0</v>
      </c>
    </row>
    <row r="133" spans="1:72">
      <c r="A133" s="3080"/>
      <c r="B133" s="3081"/>
      <c r="C133" s="3081"/>
      <c r="D133" s="3082"/>
      <c r="E133" s="3083">
        <f t="shared" si="61"/>
        <v>0</v>
      </c>
      <c r="F133" s="3084"/>
      <c r="G133" s="3085">
        <f t="shared" si="36"/>
        <v>0</v>
      </c>
      <c r="H133" s="3086">
        <f t="shared" si="37"/>
        <v>0</v>
      </c>
      <c r="I133" s="3093"/>
      <c r="J133" s="3093"/>
      <c r="K133" s="3093"/>
      <c r="L133" s="3093"/>
      <c r="M133" s="3093"/>
      <c r="N133" s="3093"/>
      <c r="O133" s="3093"/>
      <c r="P133" s="3093"/>
      <c r="Q133" s="3093"/>
      <c r="R133" s="3093"/>
      <c r="S133" s="3093"/>
      <c r="T133" s="3093"/>
      <c r="U133" s="3093"/>
      <c r="V133" s="3093"/>
      <c r="W133" s="3093"/>
      <c r="X133" s="3093"/>
      <c r="Y133" s="3093"/>
      <c r="Z133" s="3093"/>
      <c r="AA133" s="3093"/>
      <c r="AB133" s="3093"/>
      <c r="AC133" s="3083">
        <f t="shared" si="38"/>
        <v>0</v>
      </c>
      <c r="AD133" s="3103"/>
      <c r="AE133" s="3103"/>
      <c r="AF133" s="3103"/>
      <c r="AG133" s="3103"/>
      <c r="AH133" s="3103"/>
      <c r="AI133" s="3103"/>
      <c r="AJ133" s="3103"/>
      <c r="AK133" s="3103"/>
      <c r="AL133" s="3103"/>
      <c r="AM133" s="3103"/>
      <c r="AN133" s="3103"/>
      <c r="AO133" s="3103"/>
      <c r="AP133" s="3103"/>
      <c r="AQ133" s="3103"/>
      <c r="AR133" s="3103"/>
      <c r="AS133" s="3103"/>
      <c r="AT133" s="3113"/>
      <c r="AU133" s="3114"/>
      <c r="AV133" s="1580">
        <f t="shared" si="62"/>
        <v>0</v>
      </c>
      <c r="AW133" s="1580">
        <f t="shared" si="63"/>
        <v>0</v>
      </c>
      <c r="AX133" s="1580">
        <f t="shared" si="64"/>
        <v>0</v>
      </c>
      <c r="AY133" s="3128">
        <f t="shared" si="39"/>
        <v>0</v>
      </c>
      <c r="AZ133" s="3083">
        <f t="shared" si="40"/>
        <v>0</v>
      </c>
      <c r="BA133" s="3083">
        <f t="shared" si="41"/>
        <v>0</v>
      </c>
      <c r="BB133" s="3083">
        <f t="shared" si="42"/>
        <v>0</v>
      </c>
      <c r="BC133" s="3083">
        <f t="shared" si="43"/>
        <v>0</v>
      </c>
      <c r="BD133" s="3083">
        <f t="shared" si="44"/>
        <v>0</v>
      </c>
      <c r="BE133" s="3083">
        <f t="shared" si="45"/>
        <v>0</v>
      </c>
      <c r="BF133" s="3083">
        <f t="shared" si="46"/>
        <v>0</v>
      </c>
      <c r="BG133" s="3083">
        <f t="shared" si="47"/>
        <v>0</v>
      </c>
      <c r="BH133" s="3083">
        <f t="shared" si="48"/>
        <v>0</v>
      </c>
      <c r="BI133" s="3083">
        <f t="shared" si="49"/>
        <v>0</v>
      </c>
      <c r="BJ133" s="3083">
        <f t="shared" si="50"/>
        <v>0</v>
      </c>
      <c r="BK133" s="3083">
        <f t="shared" si="51"/>
        <v>0</v>
      </c>
      <c r="BL133" s="3083">
        <f t="shared" si="52"/>
        <v>0</v>
      </c>
      <c r="BM133" s="3083">
        <f t="shared" si="53"/>
        <v>0</v>
      </c>
      <c r="BN133" s="3083">
        <f t="shared" si="54"/>
        <v>0</v>
      </c>
      <c r="BO133" s="3083">
        <f t="shared" si="55"/>
        <v>0</v>
      </c>
      <c r="BP133" s="3083">
        <f t="shared" si="56"/>
        <v>0</v>
      </c>
      <c r="BQ133" s="3083">
        <f t="shared" si="57"/>
        <v>0</v>
      </c>
      <c r="BR133" s="3083">
        <f t="shared" si="58"/>
        <v>0</v>
      </c>
      <c r="BS133" s="3083">
        <f t="shared" si="59"/>
        <v>0</v>
      </c>
      <c r="BT133" s="3135">
        <f t="shared" si="60"/>
        <v>0</v>
      </c>
    </row>
    <row r="134" spans="1:72">
      <c r="A134" s="3080"/>
      <c r="B134" s="3081"/>
      <c r="C134" s="3081"/>
      <c r="D134" s="3082"/>
      <c r="E134" s="3083">
        <f t="shared" si="61"/>
        <v>0</v>
      </c>
      <c r="F134" s="3084"/>
      <c r="G134" s="3085">
        <f t="shared" si="36"/>
        <v>0</v>
      </c>
      <c r="H134" s="3086">
        <f t="shared" si="37"/>
        <v>0</v>
      </c>
      <c r="I134" s="3093"/>
      <c r="J134" s="3093"/>
      <c r="K134" s="3093"/>
      <c r="L134" s="3093"/>
      <c r="M134" s="3093"/>
      <c r="N134" s="3093"/>
      <c r="O134" s="3093"/>
      <c r="P134" s="3093"/>
      <c r="Q134" s="3093"/>
      <c r="R134" s="3093"/>
      <c r="S134" s="3093"/>
      <c r="T134" s="3093"/>
      <c r="U134" s="3093"/>
      <c r="V134" s="3093"/>
      <c r="W134" s="3093"/>
      <c r="X134" s="3093"/>
      <c r="Y134" s="3093"/>
      <c r="Z134" s="3093"/>
      <c r="AA134" s="3093"/>
      <c r="AB134" s="3093"/>
      <c r="AC134" s="3083">
        <f t="shared" si="38"/>
        <v>0</v>
      </c>
      <c r="AD134" s="3103"/>
      <c r="AE134" s="3103"/>
      <c r="AF134" s="3103"/>
      <c r="AG134" s="3103"/>
      <c r="AH134" s="3103"/>
      <c r="AI134" s="3103"/>
      <c r="AJ134" s="3103"/>
      <c r="AK134" s="3103"/>
      <c r="AL134" s="3103"/>
      <c r="AM134" s="3103"/>
      <c r="AN134" s="3103"/>
      <c r="AO134" s="3103"/>
      <c r="AP134" s="3103"/>
      <c r="AQ134" s="3103"/>
      <c r="AR134" s="3103"/>
      <c r="AS134" s="3103"/>
      <c r="AT134" s="3113"/>
      <c r="AU134" s="3114"/>
      <c r="AV134" s="1580">
        <f t="shared" si="62"/>
        <v>0</v>
      </c>
      <c r="AW134" s="1580">
        <f t="shared" si="63"/>
        <v>0</v>
      </c>
      <c r="AX134" s="1580">
        <f t="shared" si="64"/>
        <v>0</v>
      </c>
      <c r="AY134" s="3128">
        <f t="shared" si="39"/>
        <v>0</v>
      </c>
      <c r="AZ134" s="3083">
        <f t="shared" si="40"/>
        <v>0</v>
      </c>
      <c r="BA134" s="3083">
        <f t="shared" si="41"/>
        <v>0</v>
      </c>
      <c r="BB134" s="3083">
        <f t="shared" si="42"/>
        <v>0</v>
      </c>
      <c r="BC134" s="3083">
        <f t="shared" si="43"/>
        <v>0</v>
      </c>
      <c r="BD134" s="3083">
        <f t="shared" si="44"/>
        <v>0</v>
      </c>
      <c r="BE134" s="3083">
        <f t="shared" si="45"/>
        <v>0</v>
      </c>
      <c r="BF134" s="3083">
        <f t="shared" si="46"/>
        <v>0</v>
      </c>
      <c r="BG134" s="3083">
        <f t="shared" si="47"/>
        <v>0</v>
      </c>
      <c r="BH134" s="3083">
        <f t="shared" si="48"/>
        <v>0</v>
      </c>
      <c r="BI134" s="3083">
        <f t="shared" si="49"/>
        <v>0</v>
      </c>
      <c r="BJ134" s="3083">
        <f t="shared" si="50"/>
        <v>0</v>
      </c>
      <c r="BK134" s="3083">
        <f t="shared" si="51"/>
        <v>0</v>
      </c>
      <c r="BL134" s="3083">
        <f t="shared" si="52"/>
        <v>0</v>
      </c>
      <c r="BM134" s="3083">
        <f t="shared" si="53"/>
        <v>0</v>
      </c>
      <c r="BN134" s="3083">
        <f t="shared" si="54"/>
        <v>0</v>
      </c>
      <c r="BO134" s="3083">
        <f t="shared" si="55"/>
        <v>0</v>
      </c>
      <c r="BP134" s="3083">
        <f t="shared" si="56"/>
        <v>0</v>
      </c>
      <c r="BQ134" s="3083">
        <f t="shared" si="57"/>
        <v>0</v>
      </c>
      <c r="BR134" s="3083">
        <f t="shared" si="58"/>
        <v>0</v>
      </c>
      <c r="BS134" s="3083">
        <f t="shared" si="59"/>
        <v>0</v>
      </c>
      <c r="BT134" s="3135">
        <f t="shared" si="60"/>
        <v>0</v>
      </c>
    </row>
    <row r="135" spans="1:72">
      <c r="A135" s="3080"/>
      <c r="B135" s="3081"/>
      <c r="C135" s="3081"/>
      <c r="D135" s="3082"/>
      <c r="E135" s="3083">
        <f t="shared" si="61"/>
        <v>0</v>
      </c>
      <c r="F135" s="3084"/>
      <c r="G135" s="3085">
        <f t="shared" si="36"/>
        <v>0</v>
      </c>
      <c r="H135" s="3086">
        <f t="shared" si="37"/>
        <v>0</v>
      </c>
      <c r="I135" s="3093"/>
      <c r="J135" s="3093"/>
      <c r="K135" s="3093"/>
      <c r="L135" s="3093"/>
      <c r="M135" s="3093"/>
      <c r="N135" s="3093"/>
      <c r="O135" s="3093"/>
      <c r="P135" s="3093"/>
      <c r="Q135" s="3093"/>
      <c r="R135" s="3093"/>
      <c r="S135" s="3093"/>
      <c r="T135" s="3093"/>
      <c r="U135" s="3093"/>
      <c r="V135" s="3093"/>
      <c r="W135" s="3093"/>
      <c r="X135" s="3093"/>
      <c r="Y135" s="3093"/>
      <c r="Z135" s="3093"/>
      <c r="AA135" s="3093"/>
      <c r="AB135" s="3093"/>
      <c r="AC135" s="3083">
        <f t="shared" si="38"/>
        <v>0</v>
      </c>
      <c r="AD135" s="3103"/>
      <c r="AE135" s="3103"/>
      <c r="AF135" s="3103"/>
      <c r="AG135" s="3103"/>
      <c r="AH135" s="3103"/>
      <c r="AI135" s="3103"/>
      <c r="AJ135" s="3103"/>
      <c r="AK135" s="3103"/>
      <c r="AL135" s="3103"/>
      <c r="AM135" s="3103"/>
      <c r="AN135" s="3103"/>
      <c r="AO135" s="3103"/>
      <c r="AP135" s="3103"/>
      <c r="AQ135" s="3103"/>
      <c r="AR135" s="3103"/>
      <c r="AS135" s="3103"/>
      <c r="AT135" s="3113"/>
      <c r="AU135" s="3114"/>
      <c r="AV135" s="1580">
        <f t="shared" si="62"/>
        <v>0</v>
      </c>
      <c r="AW135" s="1580">
        <f t="shared" si="63"/>
        <v>0</v>
      </c>
      <c r="AX135" s="1580">
        <f t="shared" si="64"/>
        <v>0</v>
      </c>
      <c r="AY135" s="3128">
        <f t="shared" si="39"/>
        <v>0</v>
      </c>
      <c r="AZ135" s="3083">
        <f t="shared" si="40"/>
        <v>0</v>
      </c>
      <c r="BA135" s="3083">
        <f t="shared" si="41"/>
        <v>0</v>
      </c>
      <c r="BB135" s="3083">
        <f t="shared" si="42"/>
        <v>0</v>
      </c>
      <c r="BC135" s="3083">
        <f t="shared" si="43"/>
        <v>0</v>
      </c>
      <c r="BD135" s="3083">
        <f t="shared" si="44"/>
        <v>0</v>
      </c>
      <c r="BE135" s="3083">
        <f t="shared" si="45"/>
        <v>0</v>
      </c>
      <c r="BF135" s="3083">
        <f t="shared" si="46"/>
        <v>0</v>
      </c>
      <c r="BG135" s="3083">
        <f t="shared" si="47"/>
        <v>0</v>
      </c>
      <c r="BH135" s="3083">
        <f t="shared" si="48"/>
        <v>0</v>
      </c>
      <c r="BI135" s="3083">
        <f t="shared" si="49"/>
        <v>0</v>
      </c>
      <c r="BJ135" s="3083">
        <f t="shared" si="50"/>
        <v>0</v>
      </c>
      <c r="BK135" s="3083">
        <f t="shared" si="51"/>
        <v>0</v>
      </c>
      <c r="BL135" s="3083">
        <f t="shared" si="52"/>
        <v>0</v>
      </c>
      <c r="BM135" s="3083">
        <f t="shared" si="53"/>
        <v>0</v>
      </c>
      <c r="BN135" s="3083">
        <f t="shared" si="54"/>
        <v>0</v>
      </c>
      <c r="BO135" s="3083">
        <f t="shared" si="55"/>
        <v>0</v>
      </c>
      <c r="BP135" s="3083">
        <f t="shared" si="56"/>
        <v>0</v>
      </c>
      <c r="BQ135" s="3083">
        <f t="shared" si="57"/>
        <v>0</v>
      </c>
      <c r="BR135" s="3083">
        <f t="shared" si="58"/>
        <v>0</v>
      </c>
      <c r="BS135" s="3083">
        <f t="shared" si="59"/>
        <v>0</v>
      </c>
      <c r="BT135" s="3135">
        <f t="shared" si="60"/>
        <v>0</v>
      </c>
    </row>
    <row r="136" spans="1:72">
      <c r="A136" s="3080"/>
      <c r="B136" s="3081"/>
      <c r="C136" s="3081"/>
      <c r="D136" s="3082"/>
      <c r="E136" s="3083">
        <f t="shared" si="61"/>
        <v>0</v>
      </c>
      <c r="F136" s="3084"/>
      <c r="G136" s="3085">
        <f t="shared" si="36"/>
        <v>0</v>
      </c>
      <c r="H136" s="3086">
        <f t="shared" si="37"/>
        <v>0</v>
      </c>
      <c r="I136" s="3093"/>
      <c r="J136" s="3093"/>
      <c r="K136" s="3093"/>
      <c r="L136" s="3093"/>
      <c r="M136" s="3093"/>
      <c r="N136" s="3093"/>
      <c r="O136" s="3093"/>
      <c r="P136" s="3093"/>
      <c r="Q136" s="3093"/>
      <c r="R136" s="3093"/>
      <c r="S136" s="3093"/>
      <c r="T136" s="3093"/>
      <c r="U136" s="3093"/>
      <c r="V136" s="3093"/>
      <c r="W136" s="3093"/>
      <c r="X136" s="3093"/>
      <c r="Y136" s="3093"/>
      <c r="Z136" s="3093"/>
      <c r="AA136" s="3093"/>
      <c r="AB136" s="3093"/>
      <c r="AC136" s="3083">
        <f t="shared" si="38"/>
        <v>0</v>
      </c>
      <c r="AD136" s="3103"/>
      <c r="AE136" s="3103"/>
      <c r="AF136" s="3103"/>
      <c r="AG136" s="3103"/>
      <c r="AH136" s="3103"/>
      <c r="AI136" s="3103"/>
      <c r="AJ136" s="3103"/>
      <c r="AK136" s="3103"/>
      <c r="AL136" s="3103"/>
      <c r="AM136" s="3103"/>
      <c r="AN136" s="3103"/>
      <c r="AO136" s="3103"/>
      <c r="AP136" s="3103"/>
      <c r="AQ136" s="3103"/>
      <c r="AR136" s="3103"/>
      <c r="AS136" s="3103"/>
      <c r="AT136" s="3113"/>
      <c r="AU136" s="3114"/>
      <c r="AV136" s="1580">
        <f t="shared" si="62"/>
        <v>0</v>
      </c>
      <c r="AW136" s="1580">
        <f t="shared" si="63"/>
        <v>0</v>
      </c>
      <c r="AX136" s="1580">
        <f t="shared" si="64"/>
        <v>0</v>
      </c>
      <c r="AY136" s="3128">
        <f t="shared" si="39"/>
        <v>0</v>
      </c>
      <c r="AZ136" s="3083">
        <f t="shared" si="40"/>
        <v>0</v>
      </c>
      <c r="BA136" s="3083">
        <f t="shared" si="41"/>
        <v>0</v>
      </c>
      <c r="BB136" s="3083">
        <f t="shared" si="42"/>
        <v>0</v>
      </c>
      <c r="BC136" s="3083">
        <f t="shared" si="43"/>
        <v>0</v>
      </c>
      <c r="BD136" s="3083">
        <f t="shared" si="44"/>
        <v>0</v>
      </c>
      <c r="BE136" s="3083">
        <f t="shared" si="45"/>
        <v>0</v>
      </c>
      <c r="BF136" s="3083">
        <f t="shared" si="46"/>
        <v>0</v>
      </c>
      <c r="BG136" s="3083">
        <f t="shared" si="47"/>
        <v>0</v>
      </c>
      <c r="BH136" s="3083">
        <f t="shared" si="48"/>
        <v>0</v>
      </c>
      <c r="BI136" s="3083">
        <f t="shared" si="49"/>
        <v>0</v>
      </c>
      <c r="BJ136" s="3083">
        <f t="shared" si="50"/>
        <v>0</v>
      </c>
      <c r="BK136" s="3083">
        <f t="shared" si="51"/>
        <v>0</v>
      </c>
      <c r="BL136" s="3083">
        <f t="shared" si="52"/>
        <v>0</v>
      </c>
      <c r="BM136" s="3083">
        <f t="shared" si="53"/>
        <v>0</v>
      </c>
      <c r="BN136" s="3083">
        <f t="shared" si="54"/>
        <v>0</v>
      </c>
      <c r="BO136" s="3083">
        <f t="shared" si="55"/>
        <v>0</v>
      </c>
      <c r="BP136" s="3083">
        <f t="shared" si="56"/>
        <v>0</v>
      </c>
      <c r="BQ136" s="3083">
        <f t="shared" si="57"/>
        <v>0</v>
      </c>
      <c r="BR136" s="3083">
        <f t="shared" si="58"/>
        <v>0</v>
      </c>
      <c r="BS136" s="3083">
        <f t="shared" si="59"/>
        <v>0</v>
      </c>
      <c r="BT136" s="3135">
        <f t="shared" si="60"/>
        <v>0</v>
      </c>
    </row>
    <row r="137" spans="1:72">
      <c r="A137" s="3080"/>
      <c r="B137" s="3081"/>
      <c r="C137" s="3081"/>
      <c r="D137" s="3082"/>
      <c r="E137" s="3083">
        <f t="shared" si="61"/>
        <v>0</v>
      </c>
      <c r="F137" s="3084"/>
      <c r="G137" s="3085">
        <f t="shared" si="36"/>
        <v>0</v>
      </c>
      <c r="H137" s="3086">
        <f t="shared" si="37"/>
        <v>0</v>
      </c>
      <c r="I137" s="3093"/>
      <c r="J137" s="3093"/>
      <c r="K137" s="3093"/>
      <c r="L137" s="3093"/>
      <c r="M137" s="3093"/>
      <c r="N137" s="3093"/>
      <c r="O137" s="3093"/>
      <c r="P137" s="3093"/>
      <c r="Q137" s="3093"/>
      <c r="R137" s="3093"/>
      <c r="S137" s="3093"/>
      <c r="T137" s="3093"/>
      <c r="U137" s="3093"/>
      <c r="V137" s="3093"/>
      <c r="W137" s="3093"/>
      <c r="X137" s="3093"/>
      <c r="Y137" s="3093"/>
      <c r="Z137" s="3093"/>
      <c r="AA137" s="3093"/>
      <c r="AB137" s="3093"/>
      <c r="AC137" s="3083">
        <f t="shared" si="38"/>
        <v>0</v>
      </c>
      <c r="AD137" s="3103"/>
      <c r="AE137" s="3103"/>
      <c r="AF137" s="3103"/>
      <c r="AG137" s="3103"/>
      <c r="AH137" s="3103"/>
      <c r="AI137" s="3103"/>
      <c r="AJ137" s="3103"/>
      <c r="AK137" s="3103"/>
      <c r="AL137" s="3103"/>
      <c r="AM137" s="3103"/>
      <c r="AN137" s="3103"/>
      <c r="AO137" s="3103"/>
      <c r="AP137" s="3103"/>
      <c r="AQ137" s="3103"/>
      <c r="AR137" s="3103"/>
      <c r="AS137" s="3103"/>
      <c r="AT137" s="3113"/>
      <c r="AU137" s="3114"/>
      <c r="AV137" s="1580">
        <f t="shared" si="62"/>
        <v>0</v>
      </c>
      <c r="AW137" s="1580">
        <f t="shared" si="63"/>
        <v>0</v>
      </c>
      <c r="AX137" s="1580">
        <f t="shared" si="64"/>
        <v>0</v>
      </c>
      <c r="AY137" s="3128">
        <f t="shared" si="39"/>
        <v>0</v>
      </c>
      <c r="AZ137" s="3083">
        <f t="shared" si="40"/>
        <v>0</v>
      </c>
      <c r="BA137" s="3083">
        <f t="shared" si="41"/>
        <v>0</v>
      </c>
      <c r="BB137" s="3083">
        <f t="shared" si="42"/>
        <v>0</v>
      </c>
      <c r="BC137" s="3083">
        <f t="shared" si="43"/>
        <v>0</v>
      </c>
      <c r="BD137" s="3083">
        <f t="shared" si="44"/>
        <v>0</v>
      </c>
      <c r="BE137" s="3083">
        <f t="shared" si="45"/>
        <v>0</v>
      </c>
      <c r="BF137" s="3083">
        <f t="shared" si="46"/>
        <v>0</v>
      </c>
      <c r="BG137" s="3083">
        <f t="shared" si="47"/>
        <v>0</v>
      </c>
      <c r="BH137" s="3083">
        <f t="shared" si="48"/>
        <v>0</v>
      </c>
      <c r="BI137" s="3083">
        <f t="shared" si="49"/>
        <v>0</v>
      </c>
      <c r="BJ137" s="3083">
        <f t="shared" si="50"/>
        <v>0</v>
      </c>
      <c r="BK137" s="3083">
        <f t="shared" si="51"/>
        <v>0</v>
      </c>
      <c r="BL137" s="3083">
        <f t="shared" si="52"/>
        <v>0</v>
      </c>
      <c r="BM137" s="3083">
        <f t="shared" si="53"/>
        <v>0</v>
      </c>
      <c r="BN137" s="3083">
        <f t="shared" si="54"/>
        <v>0</v>
      </c>
      <c r="BO137" s="3083">
        <f t="shared" si="55"/>
        <v>0</v>
      </c>
      <c r="BP137" s="3083">
        <f t="shared" si="56"/>
        <v>0</v>
      </c>
      <c r="BQ137" s="3083">
        <f t="shared" si="57"/>
        <v>0</v>
      </c>
      <c r="BR137" s="3083">
        <f t="shared" si="58"/>
        <v>0</v>
      </c>
      <c r="BS137" s="3083">
        <f t="shared" si="59"/>
        <v>0</v>
      </c>
      <c r="BT137" s="3135">
        <f t="shared" si="60"/>
        <v>0</v>
      </c>
    </row>
    <row r="138" spans="1:72">
      <c r="A138" s="3080"/>
      <c r="B138" s="3081"/>
      <c r="C138" s="3081"/>
      <c r="D138" s="3082"/>
      <c r="E138" s="3083">
        <f t="shared" si="61"/>
        <v>0</v>
      </c>
      <c r="F138" s="3084"/>
      <c r="G138" s="3085">
        <f t="shared" si="36"/>
        <v>0</v>
      </c>
      <c r="H138" s="3086">
        <f t="shared" si="37"/>
        <v>0</v>
      </c>
      <c r="I138" s="3093"/>
      <c r="J138" s="3093"/>
      <c r="K138" s="3093"/>
      <c r="L138" s="3093"/>
      <c r="M138" s="3093"/>
      <c r="N138" s="3093"/>
      <c r="O138" s="3093"/>
      <c r="P138" s="3093"/>
      <c r="Q138" s="3093"/>
      <c r="R138" s="3093"/>
      <c r="S138" s="3093"/>
      <c r="T138" s="3093"/>
      <c r="U138" s="3093"/>
      <c r="V138" s="3093"/>
      <c r="W138" s="3093"/>
      <c r="X138" s="3093"/>
      <c r="Y138" s="3093"/>
      <c r="Z138" s="3093"/>
      <c r="AA138" s="3093"/>
      <c r="AB138" s="3093"/>
      <c r="AC138" s="3083">
        <f t="shared" si="38"/>
        <v>0</v>
      </c>
      <c r="AD138" s="3103"/>
      <c r="AE138" s="3103"/>
      <c r="AF138" s="3103"/>
      <c r="AG138" s="3103"/>
      <c r="AH138" s="3103"/>
      <c r="AI138" s="3103"/>
      <c r="AJ138" s="3103"/>
      <c r="AK138" s="3103"/>
      <c r="AL138" s="3103"/>
      <c r="AM138" s="3103"/>
      <c r="AN138" s="3103"/>
      <c r="AO138" s="3103"/>
      <c r="AP138" s="3103"/>
      <c r="AQ138" s="3103"/>
      <c r="AR138" s="3103"/>
      <c r="AS138" s="3103"/>
      <c r="AT138" s="3113"/>
      <c r="AU138" s="3114"/>
      <c r="AV138" s="1580">
        <f t="shared" si="62"/>
        <v>0</v>
      </c>
      <c r="AW138" s="1580">
        <f t="shared" si="63"/>
        <v>0</v>
      </c>
      <c r="AX138" s="1580">
        <f t="shared" si="64"/>
        <v>0</v>
      </c>
      <c r="AY138" s="3128">
        <f t="shared" si="39"/>
        <v>0</v>
      </c>
      <c r="AZ138" s="3083">
        <f t="shared" si="40"/>
        <v>0</v>
      </c>
      <c r="BA138" s="3083">
        <f t="shared" si="41"/>
        <v>0</v>
      </c>
      <c r="BB138" s="3083">
        <f t="shared" si="42"/>
        <v>0</v>
      </c>
      <c r="BC138" s="3083">
        <f t="shared" si="43"/>
        <v>0</v>
      </c>
      <c r="BD138" s="3083">
        <f t="shared" si="44"/>
        <v>0</v>
      </c>
      <c r="BE138" s="3083">
        <f t="shared" si="45"/>
        <v>0</v>
      </c>
      <c r="BF138" s="3083">
        <f t="shared" si="46"/>
        <v>0</v>
      </c>
      <c r="BG138" s="3083">
        <f t="shared" si="47"/>
        <v>0</v>
      </c>
      <c r="BH138" s="3083">
        <f t="shared" si="48"/>
        <v>0</v>
      </c>
      <c r="BI138" s="3083">
        <f t="shared" si="49"/>
        <v>0</v>
      </c>
      <c r="BJ138" s="3083">
        <f t="shared" si="50"/>
        <v>0</v>
      </c>
      <c r="BK138" s="3083">
        <f t="shared" si="51"/>
        <v>0</v>
      </c>
      <c r="BL138" s="3083">
        <f t="shared" si="52"/>
        <v>0</v>
      </c>
      <c r="BM138" s="3083">
        <f t="shared" si="53"/>
        <v>0</v>
      </c>
      <c r="BN138" s="3083">
        <f t="shared" si="54"/>
        <v>0</v>
      </c>
      <c r="BO138" s="3083">
        <f t="shared" si="55"/>
        <v>0</v>
      </c>
      <c r="BP138" s="3083">
        <f t="shared" si="56"/>
        <v>0</v>
      </c>
      <c r="BQ138" s="3083">
        <f t="shared" si="57"/>
        <v>0</v>
      </c>
      <c r="BR138" s="3083">
        <f t="shared" si="58"/>
        <v>0</v>
      </c>
      <c r="BS138" s="3083">
        <f t="shared" si="59"/>
        <v>0</v>
      </c>
      <c r="BT138" s="3135">
        <f t="shared" si="60"/>
        <v>0</v>
      </c>
    </row>
    <row r="139" spans="1:72">
      <c r="A139" s="3080"/>
      <c r="B139" s="3081"/>
      <c r="C139" s="3081"/>
      <c r="D139" s="3082"/>
      <c r="E139" s="3083">
        <f t="shared" si="61"/>
        <v>0</v>
      </c>
      <c r="F139" s="3084"/>
      <c r="G139" s="3085">
        <f t="shared" si="36"/>
        <v>0</v>
      </c>
      <c r="H139" s="3086">
        <f t="shared" si="37"/>
        <v>0</v>
      </c>
      <c r="I139" s="3093"/>
      <c r="J139" s="3093"/>
      <c r="K139" s="3093"/>
      <c r="L139" s="3093"/>
      <c r="M139" s="3093"/>
      <c r="N139" s="3093"/>
      <c r="O139" s="3093"/>
      <c r="P139" s="3093"/>
      <c r="Q139" s="3093"/>
      <c r="R139" s="3093"/>
      <c r="S139" s="3093"/>
      <c r="T139" s="3093"/>
      <c r="U139" s="3093"/>
      <c r="V139" s="3093"/>
      <c r="W139" s="3093"/>
      <c r="X139" s="3093"/>
      <c r="Y139" s="3093"/>
      <c r="Z139" s="3093"/>
      <c r="AA139" s="3093"/>
      <c r="AB139" s="3093"/>
      <c r="AC139" s="3083">
        <f t="shared" si="38"/>
        <v>0</v>
      </c>
      <c r="AD139" s="3103"/>
      <c r="AE139" s="3103"/>
      <c r="AF139" s="3103"/>
      <c r="AG139" s="3103"/>
      <c r="AH139" s="3103"/>
      <c r="AI139" s="3103"/>
      <c r="AJ139" s="3103"/>
      <c r="AK139" s="3103"/>
      <c r="AL139" s="3103"/>
      <c r="AM139" s="3103"/>
      <c r="AN139" s="3103"/>
      <c r="AO139" s="3103"/>
      <c r="AP139" s="3103"/>
      <c r="AQ139" s="3103"/>
      <c r="AR139" s="3103"/>
      <c r="AS139" s="3103"/>
      <c r="AT139" s="3113"/>
      <c r="AU139" s="3114"/>
      <c r="AV139" s="1580">
        <f t="shared" si="62"/>
        <v>0</v>
      </c>
      <c r="AW139" s="1580">
        <f t="shared" si="63"/>
        <v>0</v>
      </c>
      <c r="AX139" s="1580">
        <f t="shared" si="64"/>
        <v>0</v>
      </c>
      <c r="AY139" s="3128">
        <f t="shared" si="39"/>
        <v>0</v>
      </c>
      <c r="AZ139" s="3083">
        <f t="shared" si="40"/>
        <v>0</v>
      </c>
      <c r="BA139" s="3083">
        <f t="shared" si="41"/>
        <v>0</v>
      </c>
      <c r="BB139" s="3083">
        <f t="shared" si="42"/>
        <v>0</v>
      </c>
      <c r="BC139" s="3083">
        <f t="shared" si="43"/>
        <v>0</v>
      </c>
      <c r="BD139" s="3083">
        <f t="shared" si="44"/>
        <v>0</v>
      </c>
      <c r="BE139" s="3083">
        <f t="shared" si="45"/>
        <v>0</v>
      </c>
      <c r="BF139" s="3083">
        <f t="shared" si="46"/>
        <v>0</v>
      </c>
      <c r="BG139" s="3083">
        <f t="shared" si="47"/>
        <v>0</v>
      </c>
      <c r="BH139" s="3083">
        <f t="shared" si="48"/>
        <v>0</v>
      </c>
      <c r="BI139" s="3083">
        <f t="shared" si="49"/>
        <v>0</v>
      </c>
      <c r="BJ139" s="3083">
        <f t="shared" si="50"/>
        <v>0</v>
      </c>
      <c r="BK139" s="3083">
        <f t="shared" si="51"/>
        <v>0</v>
      </c>
      <c r="BL139" s="3083">
        <f t="shared" si="52"/>
        <v>0</v>
      </c>
      <c r="BM139" s="3083">
        <f t="shared" si="53"/>
        <v>0</v>
      </c>
      <c r="BN139" s="3083">
        <f t="shared" si="54"/>
        <v>0</v>
      </c>
      <c r="BO139" s="3083">
        <f t="shared" si="55"/>
        <v>0</v>
      </c>
      <c r="BP139" s="3083">
        <f t="shared" si="56"/>
        <v>0</v>
      </c>
      <c r="BQ139" s="3083">
        <f t="shared" si="57"/>
        <v>0</v>
      </c>
      <c r="BR139" s="3083">
        <f t="shared" si="58"/>
        <v>0</v>
      </c>
      <c r="BS139" s="3083">
        <f t="shared" si="59"/>
        <v>0</v>
      </c>
      <c r="BT139" s="3135">
        <f t="shared" si="60"/>
        <v>0</v>
      </c>
    </row>
    <row r="140" spans="1:72">
      <c r="A140" s="3080"/>
      <c r="B140" s="3081"/>
      <c r="C140" s="3081"/>
      <c r="D140" s="3082"/>
      <c r="E140" s="3083">
        <f t="shared" si="61"/>
        <v>0</v>
      </c>
      <c r="F140" s="3084"/>
      <c r="G140" s="3085">
        <f t="shared" si="36"/>
        <v>0</v>
      </c>
      <c r="H140" s="3086">
        <f t="shared" si="37"/>
        <v>0</v>
      </c>
      <c r="I140" s="3093"/>
      <c r="J140" s="3093"/>
      <c r="K140" s="3093"/>
      <c r="L140" s="3093"/>
      <c r="M140" s="3093"/>
      <c r="N140" s="3093"/>
      <c r="O140" s="3093"/>
      <c r="P140" s="3093"/>
      <c r="Q140" s="3093"/>
      <c r="R140" s="3093"/>
      <c r="S140" s="3093"/>
      <c r="T140" s="3093"/>
      <c r="U140" s="3093"/>
      <c r="V140" s="3093"/>
      <c r="W140" s="3093"/>
      <c r="X140" s="3093"/>
      <c r="Y140" s="3093"/>
      <c r="Z140" s="3093"/>
      <c r="AA140" s="3093"/>
      <c r="AB140" s="3093"/>
      <c r="AC140" s="3083">
        <f t="shared" si="38"/>
        <v>0</v>
      </c>
      <c r="AD140" s="3103"/>
      <c r="AE140" s="3103"/>
      <c r="AF140" s="3103"/>
      <c r="AG140" s="3103"/>
      <c r="AH140" s="3103"/>
      <c r="AI140" s="3103"/>
      <c r="AJ140" s="3103"/>
      <c r="AK140" s="3103"/>
      <c r="AL140" s="3103"/>
      <c r="AM140" s="3103"/>
      <c r="AN140" s="3103"/>
      <c r="AO140" s="3103"/>
      <c r="AP140" s="3103"/>
      <c r="AQ140" s="3103"/>
      <c r="AR140" s="3103"/>
      <c r="AS140" s="3103"/>
      <c r="AT140" s="3113"/>
      <c r="AU140" s="3114"/>
      <c r="AV140" s="1580">
        <f t="shared" si="62"/>
        <v>0</v>
      </c>
      <c r="AW140" s="1580">
        <f t="shared" si="63"/>
        <v>0</v>
      </c>
      <c r="AX140" s="1580">
        <f t="shared" si="64"/>
        <v>0</v>
      </c>
      <c r="AY140" s="3128">
        <f t="shared" si="39"/>
        <v>0</v>
      </c>
      <c r="AZ140" s="3083">
        <f t="shared" si="40"/>
        <v>0</v>
      </c>
      <c r="BA140" s="3083">
        <f t="shared" si="41"/>
        <v>0</v>
      </c>
      <c r="BB140" s="3083">
        <f t="shared" si="42"/>
        <v>0</v>
      </c>
      <c r="BC140" s="3083">
        <f t="shared" si="43"/>
        <v>0</v>
      </c>
      <c r="BD140" s="3083">
        <f t="shared" si="44"/>
        <v>0</v>
      </c>
      <c r="BE140" s="3083">
        <f t="shared" si="45"/>
        <v>0</v>
      </c>
      <c r="BF140" s="3083">
        <f t="shared" si="46"/>
        <v>0</v>
      </c>
      <c r="BG140" s="3083">
        <f t="shared" si="47"/>
        <v>0</v>
      </c>
      <c r="BH140" s="3083">
        <f t="shared" si="48"/>
        <v>0</v>
      </c>
      <c r="BI140" s="3083">
        <f t="shared" si="49"/>
        <v>0</v>
      </c>
      <c r="BJ140" s="3083">
        <f t="shared" si="50"/>
        <v>0</v>
      </c>
      <c r="BK140" s="3083">
        <f t="shared" si="51"/>
        <v>0</v>
      </c>
      <c r="BL140" s="3083">
        <f t="shared" si="52"/>
        <v>0</v>
      </c>
      <c r="BM140" s="3083">
        <f t="shared" si="53"/>
        <v>0</v>
      </c>
      <c r="BN140" s="3083">
        <f t="shared" si="54"/>
        <v>0</v>
      </c>
      <c r="BO140" s="3083">
        <f t="shared" si="55"/>
        <v>0</v>
      </c>
      <c r="BP140" s="3083">
        <f t="shared" si="56"/>
        <v>0</v>
      </c>
      <c r="BQ140" s="3083">
        <f t="shared" si="57"/>
        <v>0</v>
      </c>
      <c r="BR140" s="3083">
        <f t="shared" si="58"/>
        <v>0</v>
      </c>
      <c r="BS140" s="3083">
        <f t="shared" si="59"/>
        <v>0</v>
      </c>
      <c r="BT140" s="3135">
        <f t="shared" si="60"/>
        <v>0</v>
      </c>
    </row>
    <row r="141" spans="1:72">
      <c r="A141" s="3080"/>
      <c r="B141" s="3081"/>
      <c r="C141" s="3081"/>
      <c r="D141" s="3082"/>
      <c r="E141" s="3083">
        <f t="shared" si="61"/>
        <v>0</v>
      </c>
      <c r="F141" s="3084"/>
      <c r="G141" s="3085">
        <f t="shared" si="36"/>
        <v>0</v>
      </c>
      <c r="H141" s="3086">
        <f t="shared" si="37"/>
        <v>0</v>
      </c>
      <c r="I141" s="3093"/>
      <c r="J141" s="3093"/>
      <c r="K141" s="3093"/>
      <c r="L141" s="3093"/>
      <c r="M141" s="3093"/>
      <c r="N141" s="3093"/>
      <c r="O141" s="3093"/>
      <c r="P141" s="3093"/>
      <c r="Q141" s="3093"/>
      <c r="R141" s="3093"/>
      <c r="S141" s="3093"/>
      <c r="T141" s="3093"/>
      <c r="U141" s="3093"/>
      <c r="V141" s="3093"/>
      <c r="W141" s="3093"/>
      <c r="X141" s="3093"/>
      <c r="Y141" s="3093"/>
      <c r="Z141" s="3093"/>
      <c r="AA141" s="3093"/>
      <c r="AB141" s="3093"/>
      <c r="AC141" s="3083">
        <f t="shared" si="38"/>
        <v>0</v>
      </c>
      <c r="AD141" s="3103"/>
      <c r="AE141" s="3103"/>
      <c r="AF141" s="3103"/>
      <c r="AG141" s="3103"/>
      <c r="AH141" s="3103"/>
      <c r="AI141" s="3103"/>
      <c r="AJ141" s="3103"/>
      <c r="AK141" s="3103"/>
      <c r="AL141" s="3103"/>
      <c r="AM141" s="3103"/>
      <c r="AN141" s="3103"/>
      <c r="AO141" s="3103"/>
      <c r="AP141" s="3103"/>
      <c r="AQ141" s="3103"/>
      <c r="AR141" s="3103"/>
      <c r="AS141" s="3103"/>
      <c r="AT141" s="3113"/>
      <c r="AU141" s="3114"/>
      <c r="AV141" s="1580">
        <f t="shared" si="62"/>
        <v>0</v>
      </c>
      <c r="AW141" s="1580">
        <f t="shared" si="63"/>
        <v>0</v>
      </c>
      <c r="AX141" s="1580">
        <f t="shared" si="64"/>
        <v>0</v>
      </c>
      <c r="AY141" s="3128">
        <f t="shared" si="39"/>
        <v>0</v>
      </c>
      <c r="AZ141" s="3083">
        <f t="shared" si="40"/>
        <v>0</v>
      </c>
      <c r="BA141" s="3083">
        <f t="shared" si="41"/>
        <v>0</v>
      </c>
      <c r="BB141" s="3083">
        <f t="shared" si="42"/>
        <v>0</v>
      </c>
      <c r="BC141" s="3083">
        <f t="shared" si="43"/>
        <v>0</v>
      </c>
      <c r="BD141" s="3083">
        <f t="shared" si="44"/>
        <v>0</v>
      </c>
      <c r="BE141" s="3083">
        <f t="shared" si="45"/>
        <v>0</v>
      </c>
      <c r="BF141" s="3083">
        <f t="shared" si="46"/>
        <v>0</v>
      </c>
      <c r="BG141" s="3083">
        <f t="shared" si="47"/>
        <v>0</v>
      </c>
      <c r="BH141" s="3083">
        <f t="shared" si="48"/>
        <v>0</v>
      </c>
      <c r="BI141" s="3083">
        <f t="shared" si="49"/>
        <v>0</v>
      </c>
      <c r="BJ141" s="3083">
        <f t="shared" si="50"/>
        <v>0</v>
      </c>
      <c r="BK141" s="3083">
        <f t="shared" si="51"/>
        <v>0</v>
      </c>
      <c r="BL141" s="3083">
        <f t="shared" si="52"/>
        <v>0</v>
      </c>
      <c r="BM141" s="3083">
        <f t="shared" si="53"/>
        <v>0</v>
      </c>
      <c r="BN141" s="3083">
        <f t="shared" si="54"/>
        <v>0</v>
      </c>
      <c r="BO141" s="3083">
        <f t="shared" si="55"/>
        <v>0</v>
      </c>
      <c r="BP141" s="3083">
        <f t="shared" si="56"/>
        <v>0</v>
      </c>
      <c r="BQ141" s="3083">
        <f t="shared" si="57"/>
        <v>0</v>
      </c>
      <c r="BR141" s="3083">
        <f t="shared" si="58"/>
        <v>0</v>
      </c>
      <c r="BS141" s="3083">
        <f t="shared" si="59"/>
        <v>0</v>
      </c>
      <c r="BT141" s="3135">
        <f t="shared" si="60"/>
        <v>0</v>
      </c>
    </row>
    <row r="142" spans="1:72">
      <c r="A142" s="3080"/>
      <c r="B142" s="3081"/>
      <c r="C142" s="3081"/>
      <c r="D142" s="3082"/>
      <c r="E142" s="3083">
        <f t="shared" si="61"/>
        <v>0</v>
      </c>
      <c r="F142" s="3084"/>
      <c r="G142" s="3085">
        <f t="shared" ref="G142:G173" si="65">H142+AC142+AT142</f>
        <v>0</v>
      </c>
      <c r="H142" s="3086">
        <f t="shared" ref="H142:H173" si="66">SUMIF(I$12:AB$12,"总值",I142:AB142)</f>
        <v>0</v>
      </c>
      <c r="I142" s="3093"/>
      <c r="J142" s="3093"/>
      <c r="K142" s="3093"/>
      <c r="L142" s="3093"/>
      <c r="M142" s="3093"/>
      <c r="N142" s="3093"/>
      <c r="O142" s="3093"/>
      <c r="P142" s="3093"/>
      <c r="Q142" s="3093"/>
      <c r="R142" s="3093"/>
      <c r="S142" s="3093"/>
      <c r="T142" s="3093"/>
      <c r="U142" s="3093"/>
      <c r="V142" s="3093"/>
      <c r="W142" s="3093"/>
      <c r="X142" s="3093"/>
      <c r="Y142" s="3093"/>
      <c r="Z142" s="3093"/>
      <c r="AA142" s="3093"/>
      <c r="AB142" s="3093"/>
      <c r="AC142" s="3083">
        <f t="shared" ref="AC142:AC173" si="67">SUMIF(AD$12:AS$12,"总值",AD142:AS142)</f>
        <v>0</v>
      </c>
      <c r="AD142" s="3103"/>
      <c r="AE142" s="3103"/>
      <c r="AF142" s="3103"/>
      <c r="AG142" s="3103"/>
      <c r="AH142" s="3103"/>
      <c r="AI142" s="3103"/>
      <c r="AJ142" s="3103"/>
      <c r="AK142" s="3103"/>
      <c r="AL142" s="3103"/>
      <c r="AM142" s="3103"/>
      <c r="AN142" s="3103"/>
      <c r="AO142" s="3103"/>
      <c r="AP142" s="3103"/>
      <c r="AQ142" s="3103"/>
      <c r="AR142" s="3103"/>
      <c r="AS142" s="3103"/>
      <c r="AT142" s="3113"/>
      <c r="AU142" s="3114"/>
      <c r="AV142" s="1580">
        <f t="shared" si="62"/>
        <v>0</v>
      </c>
      <c r="AW142" s="1580">
        <f t="shared" si="63"/>
        <v>0</v>
      </c>
      <c r="AX142" s="1580">
        <f t="shared" si="64"/>
        <v>0</v>
      </c>
      <c r="AY142" s="3128">
        <f t="shared" ref="AY142:AY173" si="68">ROUND($AY$6*AZ142/$AZ$5,2)</f>
        <v>0</v>
      </c>
      <c r="AZ142" s="3083">
        <f t="shared" ref="AZ142:AZ173" si="69">BA142+BL142</f>
        <v>0</v>
      </c>
      <c r="BA142" s="3083">
        <f t="shared" ref="BA142:BA173" si="70">SUM(BB142:BK142)</f>
        <v>0</v>
      </c>
      <c r="BB142" s="3083">
        <f t="shared" ref="BB142:BB173" si="71">IF($D142="是",I142-J142,0)</f>
        <v>0</v>
      </c>
      <c r="BC142" s="3083">
        <f t="shared" ref="BC142:BC173" si="72">IF($D142="是",K142-L142,0)</f>
        <v>0</v>
      </c>
      <c r="BD142" s="3083">
        <f t="shared" ref="BD142:BD173" si="73">IF($D142="是",M142-N142,0)</f>
        <v>0</v>
      </c>
      <c r="BE142" s="3083">
        <f t="shared" ref="BE142:BE173" si="74">IF($D142="是",O142-P142,0)</f>
        <v>0</v>
      </c>
      <c r="BF142" s="3083">
        <f t="shared" ref="BF142:BF173" si="75">IF($D142="是",Q142-R142,0)</f>
        <v>0</v>
      </c>
      <c r="BG142" s="3083">
        <f t="shared" ref="BG142:BG173" si="76">IF($D142="是",S142-T142,0)</f>
        <v>0</v>
      </c>
      <c r="BH142" s="3083">
        <f t="shared" ref="BH142:BH173" si="77">IF($D142="是",U142-V142,0)</f>
        <v>0</v>
      </c>
      <c r="BI142" s="3083">
        <f t="shared" ref="BI142:BI173" si="78">IF($D142="是",W142-X142,0)</f>
        <v>0</v>
      </c>
      <c r="BJ142" s="3083">
        <f t="shared" ref="BJ142:BJ173" si="79">IF($D142="是",Y142-Z142,0)</f>
        <v>0</v>
      </c>
      <c r="BK142" s="3083">
        <f t="shared" ref="BK142:BK173" si="80">IF($D142="是",AA142-AB142,0)</f>
        <v>0</v>
      </c>
      <c r="BL142" s="3083">
        <f t="shared" ref="BL142:BL173" si="81">SUM(BM142:BT142)</f>
        <v>0</v>
      </c>
      <c r="BM142" s="3083">
        <f t="shared" ref="BM142:BM173" si="82">IF($D142="是",AD142-AE142,0)</f>
        <v>0</v>
      </c>
      <c r="BN142" s="3083">
        <f t="shared" ref="BN142:BN173" si="83">IF($D142="是",AF142-AG142,0)</f>
        <v>0</v>
      </c>
      <c r="BO142" s="3083">
        <f t="shared" ref="BO142:BO173" si="84">IF($D142="是",AH142-AI142,0)</f>
        <v>0</v>
      </c>
      <c r="BP142" s="3083">
        <f t="shared" ref="BP142:BP173" si="85">IF($D142="是",AJ142-AK142,0)</f>
        <v>0</v>
      </c>
      <c r="BQ142" s="3083">
        <f t="shared" ref="BQ142:BQ173" si="86">IF($D142="是",AL142-AM142,0)</f>
        <v>0</v>
      </c>
      <c r="BR142" s="3083">
        <f t="shared" ref="BR142:BR173" si="87">IF($D142="是",AN142-AO142,0)</f>
        <v>0</v>
      </c>
      <c r="BS142" s="3083">
        <f t="shared" ref="BS142:BS173" si="88">IF($D142="是",AP142-AQ142,0)</f>
        <v>0</v>
      </c>
      <c r="BT142" s="3135">
        <f t="shared" ref="BT142:BT173" si="89">IF($D142="是",AR142-AS142,0)</f>
        <v>0</v>
      </c>
    </row>
    <row r="143" spans="1:72">
      <c r="A143" s="3080"/>
      <c r="B143" s="3081"/>
      <c r="C143" s="3081"/>
      <c r="D143" s="3082"/>
      <c r="E143" s="3083">
        <f t="shared" si="61"/>
        <v>0</v>
      </c>
      <c r="F143" s="3084"/>
      <c r="G143" s="3085">
        <f t="shared" si="65"/>
        <v>0</v>
      </c>
      <c r="H143" s="3086">
        <f t="shared" si="66"/>
        <v>0</v>
      </c>
      <c r="I143" s="3093"/>
      <c r="J143" s="3093"/>
      <c r="K143" s="3093"/>
      <c r="L143" s="3093"/>
      <c r="M143" s="3093"/>
      <c r="N143" s="3093"/>
      <c r="O143" s="3093"/>
      <c r="P143" s="3093"/>
      <c r="Q143" s="3093"/>
      <c r="R143" s="3093"/>
      <c r="S143" s="3093"/>
      <c r="T143" s="3093"/>
      <c r="U143" s="3093"/>
      <c r="V143" s="3093"/>
      <c r="W143" s="3093"/>
      <c r="X143" s="3093"/>
      <c r="Y143" s="3093"/>
      <c r="Z143" s="3093"/>
      <c r="AA143" s="3093"/>
      <c r="AB143" s="3093"/>
      <c r="AC143" s="3083">
        <f t="shared" si="67"/>
        <v>0</v>
      </c>
      <c r="AD143" s="3103"/>
      <c r="AE143" s="3103"/>
      <c r="AF143" s="3103"/>
      <c r="AG143" s="3103"/>
      <c r="AH143" s="3103"/>
      <c r="AI143" s="3103"/>
      <c r="AJ143" s="3103"/>
      <c r="AK143" s="3103"/>
      <c r="AL143" s="3103"/>
      <c r="AM143" s="3103"/>
      <c r="AN143" s="3103"/>
      <c r="AO143" s="3103"/>
      <c r="AP143" s="3103"/>
      <c r="AQ143" s="3103"/>
      <c r="AR143" s="3103"/>
      <c r="AS143" s="3103"/>
      <c r="AT143" s="3113"/>
      <c r="AU143" s="3114"/>
      <c r="AV143" s="1580">
        <f t="shared" si="62"/>
        <v>0</v>
      </c>
      <c r="AW143" s="1580">
        <f t="shared" si="63"/>
        <v>0</v>
      </c>
      <c r="AX143" s="1580">
        <f t="shared" si="64"/>
        <v>0</v>
      </c>
      <c r="AY143" s="3128">
        <f t="shared" si="68"/>
        <v>0</v>
      </c>
      <c r="AZ143" s="3083">
        <f t="shared" si="69"/>
        <v>0</v>
      </c>
      <c r="BA143" s="3083">
        <f t="shared" si="70"/>
        <v>0</v>
      </c>
      <c r="BB143" s="3083">
        <f t="shared" si="71"/>
        <v>0</v>
      </c>
      <c r="BC143" s="3083">
        <f t="shared" si="72"/>
        <v>0</v>
      </c>
      <c r="BD143" s="3083">
        <f t="shared" si="73"/>
        <v>0</v>
      </c>
      <c r="BE143" s="3083">
        <f t="shared" si="74"/>
        <v>0</v>
      </c>
      <c r="BF143" s="3083">
        <f t="shared" si="75"/>
        <v>0</v>
      </c>
      <c r="BG143" s="3083">
        <f t="shared" si="76"/>
        <v>0</v>
      </c>
      <c r="BH143" s="3083">
        <f t="shared" si="77"/>
        <v>0</v>
      </c>
      <c r="BI143" s="3083">
        <f t="shared" si="78"/>
        <v>0</v>
      </c>
      <c r="BJ143" s="3083">
        <f t="shared" si="79"/>
        <v>0</v>
      </c>
      <c r="BK143" s="3083">
        <f t="shared" si="80"/>
        <v>0</v>
      </c>
      <c r="BL143" s="3083">
        <f t="shared" si="81"/>
        <v>0</v>
      </c>
      <c r="BM143" s="3083">
        <f t="shared" si="82"/>
        <v>0</v>
      </c>
      <c r="BN143" s="3083">
        <f t="shared" si="83"/>
        <v>0</v>
      </c>
      <c r="BO143" s="3083">
        <f t="shared" si="84"/>
        <v>0</v>
      </c>
      <c r="BP143" s="3083">
        <f t="shared" si="85"/>
        <v>0</v>
      </c>
      <c r="BQ143" s="3083">
        <f t="shared" si="86"/>
        <v>0</v>
      </c>
      <c r="BR143" s="3083">
        <f t="shared" si="87"/>
        <v>0</v>
      </c>
      <c r="BS143" s="3083">
        <f t="shared" si="88"/>
        <v>0</v>
      </c>
      <c r="BT143" s="3135">
        <f t="shared" si="89"/>
        <v>0</v>
      </c>
    </row>
    <row r="144" spans="1:72">
      <c r="A144" s="3080"/>
      <c r="B144" s="3081"/>
      <c r="C144" s="3081"/>
      <c r="D144" s="3082"/>
      <c r="E144" s="3083">
        <f t="shared" si="61"/>
        <v>0</v>
      </c>
      <c r="F144" s="3084"/>
      <c r="G144" s="3085">
        <f t="shared" si="65"/>
        <v>0</v>
      </c>
      <c r="H144" s="3086">
        <f t="shared" si="66"/>
        <v>0</v>
      </c>
      <c r="I144" s="3093"/>
      <c r="J144" s="3093"/>
      <c r="K144" s="3093"/>
      <c r="L144" s="3093"/>
      <c r="M144" s="3093"/>
      <c r="N144" s="3093"/>
      <c r="O144" s="3093"/>
      <c r="P144" s="3093"/>
      <c r="Q144" s="3093"/>
      <c r="R144" s="3093"/>
      <c r="S144" s="3093"/>
      <c r="T144" s="3093"/>
      <c r="U144" s="3093"/>
      <c r="V144" s="3093"/>
      <c r="W144" s="3093"/>
      <c r="X144" s="3093"/>
      <c r="Y144" s="3093"/>
      <c r="Z144" s="3093"/>
      <c r="AA144" s="3093"/>
      <c r="AB144" s="3093"/>
      <c r="AC144" s="3083">
        <f t="shared" si="67"/>
        <v>0</v>
      </c>
      <c r="AD144" s="3103"/>
      <c r="AE144" s="3103"/>
      <c r="AF144" s="3103"/>
      <c r="AG144" s="3103"/>
      <c r="AH144" s="3103"/>
      <c r="AI144" s="3103"/>
      <c r="AJ144" s="3103"/>
      <c r="AK144" s="3103"/>
      <c r="AL144" s="3103"/>
      <c r="AM144" s="3103"/>
      <c r="AN144" s="3103"/>
      <c r="AO144" s="3103"/>
      <c r="AP144" s="3103"/>
      <c r="AQ144" s="3103"/>
      <c r="AR144" s="3103"/>
      <c r="AS144" s="3103"/>
      <c r="AT144" s="3113"/>
      <c r="AU144" s="3114"/>
      <c r="AV144" s="1580">
        <f t="shared" si="62"/>
        <v>0</v>
      </c>
      <c r="AW144" s="1580">
        <f t="shared" si="63"/>
        <v>0</v>
      </c>
      <c r="AX144" s="1580">
        <f t="shared" si="64"/>
        <v>0</v>
      </c>
      <c r="AY144" s="3128">
        <f t="shared" si="68"/>
        <v>0</v>
      </c>
      <c r="AZ144" s="3083">
        <f t="shared" si="69"/>
        <v>0</v>
      </c>
      <c r="BA144" s="3083">
        <f t="shared" si="70"/>
        <v>0</v>
      </c>
      <c r="BB144" s="3083">
        <f t="shared" si="71"/>
        <v>0</v>
      </c>
      <c r="BC144" s="3083">
        <f t="shared" si="72"/>
        <v>0</v>
      </c>
      <c r="BD144" s="3083">
        <f t="shared" si="73"/>
        <v>0</v>
      </c>
      <c r="BE144" s="3083">
        <f t="shared" si="74"/>
        <v>0</v>
      </c>
      <c r="BF144" s="3083">
        <f t="shared" si="75"/>
        <v>0</v>
      </c>
      <c r="BG144" s="3083">
        <f t="shared" si="76"/>
        <v>0</v>
      </c>
      <c r="BH144" s="3083">
        <f t="shared" si="77"/>
        <v>0</v>
      </c>
      <c r="BI144" s="3083">
        <f t="shared" si="78"/>
        <v>0</v>
      </c>
      <c r="BJ144" s="3083">
        <f t="shared" si="79"/>
        <v>0</v>
      </c>
      <c r="BK144" s="3083">
        <f t="shared" si="80"/>
        <v>0</v>
      </c>
      <c r="BL144" s="3083">
        <f t="shared" si="81"/>
        <v>0</v>
      </c>
      <c r="BM144" s="3083">
        <f t="shared" si="82"/>
        <v>0</v>
      </c>
      <c r="BN144" s="3083">
        <f t="shared" si="83"/>
        <v>0</v>
      </c>
      <c r="BO144" s="3083">
        <f t="shared" si="84"/>
        <v>0</v>
      </c>
      <c r="BP144" s="3083">
        <f t="shared" si="85"/>
        <v>0</v>
      </c>
      <c r="BQ144" s="3083">
        <f t="shared" si="86"/>
        <v>0</v>
      </c>
      <c r="BR144" s="3083">
        <f t="shared" si="87"/>
        <v>0</v>
      </c>
      <c r="BS144" s="3083">
        <f t="shared" si="88"/>
        <v>0</v>
      </c>
      <c r="BT144" s="3135">
        <f t="shared" si="89"/>
        <v>0</v>
      </c>
    </row>
    <row r="145" spans="1:72">
      <c r="A145" s="3080"/>
      <c r="B145" s="3081"/>
      <c r="C145" s="3081"/>
      <c r="D145" s="3082"/>
      <c r="E145" s="3083">
        <f t="shared" ref="E145:E176" si="90">IF($C$3="是",ROUND($A$3*G145/$B$3,2),ROUND($A$3*(G145-AT145)/$B$3,2))</f>
        <v>0</v>
      </c>
      <c r="F145" s="3084"/>
      <c r="G145" s="3085">
        <f t="shared" si="65"/>
        <v>0</v>
      </c>
      <c r="H145" s="3086">
        <f t="shared" si="66"/>
        <v>0</v>
      </c>
      <c r="I145" s="3093"/>
      <c r="J145" s="3093"/>
      <c r="K145" s="3093"/>
      <c r="L145" s="3093"/>
      <c r="M145" s="3093"/>
      <c r="N145" s="3093"/>
      <c r="O145" s="3093"/>
      <c r="P145" s="3093"/>
      <c r="Q145" s="3093"/>
      <c r="R145" s="3093"/>
      <c r="S145" s="3093"/>
      <c r="T145" s="3093"/>
      <c r="U145" s="3093"/>
      <c r="V145" s="3093"/>
      <c r="W145" s="3093"/>
      <c r="X145" s="3093"/>
      <c r="Y145" s="3093"/>
      <c r="Z145" s="3093"/>
      <c r="AA145" s="3093"/>
      <c r="AB145" s="3093"/>
      <c r="AC145" s="3083">
        <f t="shared" si="67"/>
        <v>0</v>
      </c>
      <c r="AD145" s="3103"/>
      <c r="AE145" s="3103"/>
      <c r="AF145" s="3103"/>
      <c r="AG145" s="3103"/>
      <c r="AH145" s="3103"/>
      <c r="AI145" s="3103"/>
      <c r="AJ145" s="3103"/>
      <c r="AK145" s="3103"/>
      <c r="AL145" s="3103"/>
      <c r="AM145" s="3103"/>
      <c r="AN145" s="3103"/>
      <c r="AO145" s="3103"/>
      <c r="AP145" s="3103"/>
      <c r="AQ145" s="3103"/>
      <c r="AR145" s="3103"/>
      <c r="AS145" s="3103"/>
      <c r="AT145" s="3113"/>
      <c r="AU145" s="3114"/>
      <c r="AV145" s="1580">
        <f t="shared" ref="AV145:AV176" si="91">A145</f>
        <v>0</v>
      </c>
      <c r="AW145" s="1580">
        <f t="shared" ref="AW145:AW176" si="92">B145</f>
        <v>0</v>
      </c>
      <c r="AX145" s="1580">
        <f t="shared" ref="AX145:AX176" si="93">C145</f>
        <v>0</v>
      </c>
      <c r="AY145" s="3128">
        <f t="shared" si="68"/>
        <v>0</v>
      </c>
      <c r="AZ145" s="3083">
        <f t="shared" si="69"/>
        <v>0</v>
      </c>
      <c r="BA145" s="3083">
        <f t="shared" si="70"/>
        <v>0</v>
      </c>
      <c r="BB145" s="3083">
        <f t="shared" si="71"/>
        <v>0</v>
      </c>
      <c r="BC145" s="3083">
        <f t="shared" si="72"/>
        <v>0</v>
      </c>
      <c r="BD145" s="3083">
        <f t="shared" si="73"/>
        <v>0</v>
      </c>
      <c r="BE145" s="3083">
        <f t="shared" si="74"/>
        <v>0</v>
      </c>
      <c r="BF145" s="3083">
        <f t="shared" si="75"/>
        <v>0</v>
      </c>
      <c r="BG145" s="3083">
        <f t="shared" si="76"/>
        <v>0</v>
      </c>
      <c r="BH145" s="3083">
        <f t="shared" si="77"/>
        <v>0</v>
      </c>
      <c r="BI145" s="3083">
        <f t="shared" si="78"/>
        <v>0</v>
      </c>
      <c r="BJ145" s="3083">
        <f t="shared" si="79"/>
        <v>0</v>
      </c>
      <c r="BK145" s="3083">
        <f t="shared" si="80"/>
        <v>0</v>
      </c>
      <c r="BL145" s="3083">
        <f t="shared" si="81"/>
        <v>0</v>
      </c>
      <c r="BM145" s="3083">
        <f t="shared" si="82"/>
        <v>0</v>
      </c>
      <c r="BN145" s="3083">
        <f t="shared" si="83"/>
        <v>0</v>
      </c>
      <c r="BO145" s="3083">
        <f t="shared" si="84"/>
        <v>0</v>
      </c>
      <c r="BP145" s="3083">
        <f t="shared" si="85"/>
        <v>0</v>
      </c>
      <c r="BQ145" s="3083">
        <f t="shared" si="86"/>
        <v>0</v>
      </c>
      <c r="BR145" s="3083">
        <f t="shared" si="87"/>
        <v>0</v>
      </c>
      <c r="BS145" s="3083">
        <f t="shared" si="88"/>
        <v>0</v>
      </c>
      <c r="BT145" s="3135">
        <f t="shared" si="89"/>
        <v>0</v>
      </c>
    </row>
    <row r="146" spans="1:72">
      <c r="A146" s="3080"/>
      <c r="B146" s="3081"/>
      <c r="C146" s="3081"/>
      <c r="D146" s="3082"/>
      <c r="E146" s="3083">
        <f t="shared" si="90"/>
        <v>0</v>
      </c>
      <c r="F146" s="3084"/>
      <c r="G146" s="3085">
        <f t="shared" si="65"/>
        <v>0</v>
      </c>
      <c r="H146" s="3086">
        <f t="shared" si="66"/>
        <v>0</v>
      </c>
      <c r="I146" s="3093"/>
      <c r="J146" s="3093"/>
      <c r="K146" s="3093"/>
      <c r="L146" s="3093"/>
      <c r="M146" s="3093"/>
      <c r="N146" s="3093"/>
      <c r="O146" s="3093"/>
      <c r="P146" s="3093"/>
      <c r="Q146" s="3093"/>
      <c r="R146" s="3093"/>
      <c r="S146" s="3093"/>
      <c r="T146" s="3093"/>
      <c r="U146" s="3093"/>
      <c r="V146" s="3093"/>
      <c r="W146" s="3093"/>
      <c r="X146" s="3093"/>
      <c r="Y146" s="3093"/>
      <c r="Z146" s="3093"/>
      <c r="AA146" s="3093"/>
      <c r="AB146" s="3093"/>
      <c r="AC146" s="3083">
        <f t="shared" si="67"/>
        <v>0</v>
      </c>
      <c r="AD146" s="3103"/>
      <c r="AE146" s="3103"/>
      <c r="AF146" s="3103"/>
      <c r="AG146" s="3103"/>
      <c r="AH146" s="3103"/>
      <c r="AI146" s="3103"/>
      <c r="AJ146" s="3103"/>
      <c r="AK146" s="3103"/>
      <c r="AL146" s="3103"/>
      <c r="AM146" s="3103"/>
      <c r="AN146" s="3103"/>
      <c r="AO146" s="3103"/>
      <c r="AP146" s="3103"/>
      <c r="AQ146" s="3103"/>
      <c r="AR146" s="3103"/>
      <c r="AS146" s="3103"/>
      <c r="AT146" s="3113"/>
      <c r="AU146" s="3114"/>
      <c r="AV146" s="1580">
        <f t="shared" si="91"/>
        <v>0</v>
      </c>
      <c r="AW146" s="1580">
        <f t="shared" si="92"/>
        <v>0</v>
      </c>
      <c r="AX146" s="1580">
        <f t="shared" si="93"/>
        <v>0</v>
      </c>
      <c r="AY146" s="3128">
        <f t="shared" si="68"/>
        <v>0</v>
      </c>
      <c r="AZ146" s="3083">
        <f t="shared" si="69"/>
        <v>0</v>
      </c>
      <c r="BA146" s="3083">
        <f t="shared" si="70"/>
        <v>0</v>
      </c>
      <c r="BB146" s="3083">
        <f t="shared" si="71"/>
        <v>0</v>
      </c>
      <c r="BC146" s="3083">
        <f t="shared" si="72"/>
        <v>0</v>
      </c>
      <c r="BD146" s="3083">
        <f t="shared" si="73"/>
        <v>0</v>
      </c>
      <c r="BE146" s="3083">
        <f t="shared" si="74"/>
        <v>0</v>
      </c>
      <c r="BF146" s="3083">
        <f t="shared" si="75"/>
        <v>0</v>
      </c>
      <c r="BG146" s="3083">
        <f t="shared" si="76"/>
        <v>0</v>
      </c>
      <c r="BH146" s="3083">
        <f t="shared" si="77"/>
        <v>0</v>
      </c>
      <c r="BI146" s="3083">
        <f t="shared" si="78"/>
        <v>0</v>
      </c>
      <c r="BJ146" s="3083">
        <f t="shared" si="79"/>
        <v>0</v>
      </c>
      <c r="BK146" s="3083">
        <f t="shared" si="80"/>
        <v>0</v>
      </c>
      <c r="BL146" s="3083">
        <f t="shared" si="81"/>
        <v>0</v>
      </c>
      <c r="BM146" s="3083">
        <f t="shared" si="82"/>
        <v>0</v>
      </c>
      <c r="BN146" s="3083">
        <f t="shared" si="83"/>
        <v>0</v>
      </c>
      <c r="BO146" s="3083">
        <f t="shared" si="84"/>
        <v>0</v>
      </c>
      <c r="BP146" s="3083">
        <f t="shared" si="85"/>
        <v>0</v>
      </c>
      <c r="BQ146" s="3083">
        <f t="shared" si="86"/>
        <v>0</v>
      </c>
      <c r="BR146" s="3083">
        <f t="shared" si="87"/>
        <v>0</v>
      </c>
      <c r="BS146" s="3083">
        <f t="shared" si="88"/>
        <v>0</v>
      </c>
      <c r="BT146" s="3135">
        <f t="shared" si="89"/>
        <v>0</v>
      </c>
    </row>
    <row r="147" spans="1:72">
      <c r="A147" s="3080"/>
      <c r="B147" s="3081"/>
      <c r="C147" s="3081"/>
      <c r="D147" s="3082"/>
      <c r="E147" s="3083">
        <f t="shared" si="90"/>
        <v>0</v>
      </c>
      <c r="F147" s="3084"/>
      <c r="G147" s="3085">
        <f t="shared" si="65"/>
        <v>0</v>
      </c>
      <c r="H147" s="3086">
        <f t="shared" si="66"/>
        <v>0</v>
      </c>
      <c r="I147" s="3093"/>
      <c r="J147" s="3093"/>
      <c r="K147" s="3093"/>
      <c r="L147" s="3093"/>
      <c r="M147" s="3093"/>
      <c r="N147" s="3093"/>
      <c r="O147" s="3093"/>
      <c r="P147" s="3093"/>
      <c r="Q147" s="3093"/>
      <c r="R147" s="3093"/>
      <c r="S147" s="3093"/>
      <c r="T147" s="3093"/>
      <c r="U147" s="3093"/>
      <c r="V147" s="3093"/>
      <c r="W147" s="3093"/>
      <c r="X147" s="3093"/>
      <c r="Y147" s="3093"/>
      <c r="Z147" s="3093"/>
      <c r="AA147" s="3093"/>
      <c r="AB147" s="3093"/>
      <c r="AC147" s="3083">
        <f t="shared" si="67"/>
        <v>0</v>
      </c>
      <c r="AD147" s="3103"/>
      <c r="AE147" s="3103"/>
      <c r="AF147" s="3103"/>
      <c r="AG147" s="3103"/>
      <c r="AH147" s="3103"/>
      <c r="AI147" s="3103"/>
      <c r="AJ147" s="3103"/>
      <c r="AK147" s="3103"/>
      <c r="AL147" s="3103"/>
      <c r="AM147" s="3103"/>
      <c r="AN147" s="3103"/>
      <c r="AO147" s="3103"/>
      <c r="AP147" s="3103"/>
      <c r="AQ147" s="3103"/>
      <c r="AR147" s="3103"/>
      <c r="AS147" s="3103"/>
      <c r="AT147" s="3113"/>
      <c r="AU147" s="3114"/>
      <c r="AV147" s="1580">
        <f t="shared" si="91"/>
        <v>0</v>
      </c>
      <c r="AW147" s="1580">
        <f t="shared" si="92"/>
        <v>0</v>
      </c>
      <c r="AX147" s="1580">
        <f t="shared" si="93"/>
        <v>0</v>
      </c>
      <c r="AY147" s="3128">
        <f t="shared" si="68"/>
        <v>0</v>
      </c>
      <c r="AZ147" s="3083">
        <f t="shared" si="69"/>
        <v>0</v>
      </c>
      <c r="BA147" s="3083">
        <f t="shared" si="70"/>
        <v>0</v>
      </c>
      <c r="BB147" s="3083">
        <f t="shared" si="71"/>
        <v>0</v>
      </c>
      <c r="BC147" s="3083">
        <f t="shared" si="72"/>
        <v>0</v>
      </c>
      <c r="BD147" s="3083">
        <f t="shared" si="73"/>
        <v>0</v>
      </c>
      <c r="BE147" s="3083">
        <f t="shared" si="74"/>
        <v>0</v>
      </c>
      <c r="BF147" s="3083">
        <f t="shared" si="75"/>
        <v>0</v>
      </c>
      <c r="BG147" s="3083">
        <f t="shared" si="76"/>
        <v>0</v>
      </c>
      <c r="BH147" s="3083">
        <f t="shared" si="77"/>
        <v>0</v>
      </c>
      <c r="BI147" s="3083">
        <f t="shared" si="78"/>
        <v>0</v>
      </c>
      <c r="BJ147" s="3083">
        <f t="shared" si="79"/>
        <v>0</v>
      </c>
      <c r="BK147" s="3083">
        <f t="shared" si="80"/>
        <v>0</v>
      </c>
      <c r="BL147" s="3083">
        <f t="shared" si="81"/>
        <v>0</v>
      </c>
      <c r="BM147" s="3083">
        <f t="shared" si="82"/>
        <v>0</v>
      </c>
      <c r="BN147" s="3083">
        <f t="shared" si="83"/>
        <v>0</v>
      </c>
      <c r="BO147" s="3083">
        <f t="shared" si="84"/>
        <v>0</v>
      </c>
      <c r="BP147" s="3083">
        <f t="shared" si="85"/>
        <v>0</v>
      </c>
      <c r="BQ147" s="3083">
        <f t="shared" si="86"/>
        <v>0</v>
      </c>
      <c r="BR147" s="3083">
        <f t="shared" si="87"/>
        <v>0</v>
      </c>
      <c r="BS147" s="3083">
        <f t="shared" si="88"/>
        <v>0</v>
      </c>
      <c r="BT147" s="3135">
        <f t="shared" si="89"/>
        <v>0</v>
      </c>
    </row>
    <row r="148" spans="1:72">
      <c r="A148" s="3080"/>
      <c r="B148" s="3081"/>
      <c r="C148" s="3081"/>
      <c r="D148" s="3082"/>
      <c r="E148" s="3083">
        <f t="shared" si="90"/>
        <v>0</v>
      </c>
      <c r="F148" s="3084"/>
      <c r="G148" s="3085">
        <f t="shared" si="65"/>
        <v>0</v>
      </c>
      <c r="H148" s="3086">
        <f t="shared" si="66"/>
        <v>0</v>
      </c>
      <c r="I148" s="3093"/>
      <c r="J148" s="3093"/>
      <c r="K148" s="3093"/>
      <c r="L148" s="3093"/>
      <c r="M148" s="3093"/>
      <c r="N148" s="3093"/>
      <c r="O148" s="3093"/>
      <c r="P148" s="3093"/>
      <c r="Q148" s="3093"/>
      <c r="R148" s="3093"/>
      <c r="S148" s="3093"/>
      <c r="T148" s="3093"/>
      <c r="U148" s="3093"/>
      <c r="V148" s="3093"/>
      <c r="W148" s="3093"/>
      <c r="X148" s="3093"/>
      <c r="Y148" s="3093"/>
      <c r="Z148" s="3093"/>
      <c r="AA148" s="3093"/>
      <c r="AB148" s="3093"/>
      <c r="AC148" s="3083">
        <f t="shared" si="67"/>
        <v>0</v>
      </c>
      <c r="AD148" s="3103"/>
      <c r="AE148" s="3103"/>
      <c r="AF148" s="3103"/>
      <c r="AG148" s="3103"/>
      <c r="AH148" s="3103"/>
      <c r="AI148" s="3103"/>
      <c r="AJ148" s="3103"/>
      <c r="AK148" s="3103"/>
      <c r="AL148" s="3103"/>
      <c r="AM148" s="3103"/>
      <c r="AN148" s="3103"/>
      <c r="AO148" s="3103"/>
      <c r="AP148" s="3103"/>
      <c r="AQ148" s="3103"/>
      <c r="AR148" s="3103"/>
      <c r="AS148" s="3103"/>
      <c r="AT148" s="3113"/>
      <c r="AU148" s="3114"/>
      <c r="AV148" s="1580">
        <f t="shared" si="91"/>
        <v>0</v>
      </c>
      <c r="AW148" s="1580">
        <f t="shared" si="92"/>
        <v>0</v>
      </c>
      <c r="AX148" s="1580">
        <f t="shared" si="93"/>
        <v>0</v>
      </c>
      <c r="AY148" s="3128">
        <f t="shared" si="68"/>
        <v>0</v>
      </c>
      <c r="AZ148" s="3083">
        <f t="shared" si="69"/>
        <v>0</v>
      </c>
      <c r="BA148" s="3083">
        <f t="shared" si="70"/>
        <v>0</v>
      </c>
      <c r="BB148" s="3083">
        <f t="shared" si="71"/>
        <v>0</v>
      </c>
      <c r="BC148" s="3083">
        <f t="shared" si="72"/>
        <v>0</v>
      </c>
      <c r="BD148" s="3083">
        <f t="shared" si="73"/>
        <v>0</v>
      </c>
      <c r="BE148" s="3083">
        <f t="shared" si="74"/>
        <v>0</v>
      </c>
      <c r="BF148" s="3083">
        <f t="shared" si="75"/>
        <v>0</v>
      </c>
      <c r="BG148" s="3083">
        <f t="shared" si="76"/>
        <v>0</v>
      </c>
      <c r="BH148" s="3083">
        <f t="shared" si="77"/>
        <v>0</v>
      </c>
      <c r="BI148" s="3083">
        <f t="shared" si="78"/>
        <v>0</v>
      </c>
      <c r="BJ148" s="3083">
        <f t="shared" si="79"/>
        <v>0</v>
      </c>
      <c r="BK148" s="3083">
        <f t="shared" si="80"/>
        <v>0</v>
      </c>
      <c r="BL148" s="3083">
        <f t="shared" si="81"/>
        <v>0</v>
      </c>
      <c r="BM148" s="3083">
        <f t="shared" si="82"/>
        <v>0</v>
      </c>
      <c r="BN148" s="3083">
        <f t="shared" si="83"/>
        <v>0</v>
      </c>
      <c r="BO148" s="3083">
        <f t="shared" si="84"/>
        <v>0</v>
      </c>
      <c r="BP148" s="3083">
        <f t="shared" si="85"/>
        <v>0</v>
      </c>
      <c r="BQ148" s="3083">
        <f t="shared" si="86"/>
        <v>0</v>
      </c>
      <c r="BR148" s="3083">
        <f t="shared" si="87"/>
        <v>0</v>
      </c>
      <c r="BS148" s="3083">
        <f t="shared" si="88"/>
        <v>0</v>
      </c>
      <c r="BT148" s="3135">
        <f t="shared" si="89"/>
        <v>0</v>
      </c>
    </row>
    <row r="149" spans="1:72">
      <c r="A149" s="3080"/>
      <c r="B149" s="3081"/>
      <c r="C149" s="3081"/>
      <c r="D149" s="3082"/>
      <c r="E149" s="3083">
        <f t="shared" si="90"/>
        <v>0</v>
      </c>
      <c r="F149" s="3084"/>
      <c r="G149" s="3085">
        <f t="shared" si="65"/>
        <v>0</v>
      </c>
      <c r="H149" s="3086">
        <f t="shared" si="66"/>
        <v>0</v>
      </c>
      <c r="I149" s="3093"/>
      <c r="J149" s="3093"/>
      <c r="K149" s="3093"/>
      <c r="L149" s="3093"/>
      <c r="M149" s="3093"/>
      <c r="N149" s="3093"/>
      <c r="O149" s="3093"/>
      <c r="P149" s="3093"/>
      <c r="Q149" s="3093"/>
      <c r="R149" s="3093"/>
      <c r="S149" s="3093"/>
      <c r="T149" s="3093"/>
      <c r="U149" s="3093"/>
      <c r="V149" s="3093"/>
      <c r="W149" s="3093"/>
      <c r="X149" s="3093"/>
      <c r="Y149" s="3093"/>
      <c r="Z149" s="3093"/>
      <c r="AA149" s="3093"/>
      <c r="AB149" s="3093"/>
      <c r="AC149" s="3083">
        <f t="shared" si="67"/>
        <v>0</v>
      </c>
      <c r="AD149" s="3103"/>
      <c r="AE149" s="3103"/>
      <c r="AF149" s="3103"/>
      <c r="AG149" s="3103"/>
      <c r="AH149" s="3103"/>
      <c r="AI149" s="3103"/>
      <c r="AJ149" s="3103"/>
      <c r="AK149" s="3103"/>
      <c r="AL149" s="3103"/>
      <c r="AM149" s="3103"/>
      <c r="AN149" s="3103"/>
      <c r="AO149" s="3103"/>
      <c r="AP149" s="3103"/>
      <c r="AQ149" s="3103"/>
      <c r="AR149" s="3103"/>
      <c r="AS149" s="3103"/>
      <c r="AT149" s="3113"/>
      <c r="AU149" s="3114"/>
      <c r="AV149" s="1580">
        <f t="shared" si="91"/>
        <v>0</v>
      </c>
      <c r="AW149" s="1580">
        <f t="shared" si="92"/>
        <v>0</v>
      </c>
      <c r="AX149" s="1580">
        <f t="shared" si="93"/>
        <v>0</v>
      </c>
      <c r="AY149" s="3128">
        <f t="shared" si="68"/>
        <v>0</v>
      </c>
      <c r="AZ149" s="3083">
        <f t="shared" si="69"/>
        <v>0</v>
      </c>
      <c r="BA149" s="3083">
        <f t="shared" si="70"/>
        <v>0</v>
      </c>
      <c r="BB149" s="3083">
        <f t="shared" si="71"/>
        <v>0</v>
      </c>
      <c r="BC149" s="3083">
        <f t="shared" si="72"/>
        <v>0</v>
      </c>
      <c r="BD149" s="3083">
        <f t="shared" si="73"/>
        <v>0</v>
      </c>
      <c r="BE149" s="3083">
        <f t="shared" si="74"/>
        <v>0</v>
      </c>
      <c r="BF149" s="3083">
        <f t="shared" si="75"/>
        <v>0</v>
      </c>
      <c r="BG149" s="3083">
        <f t="shared" si="76"/>
        <v>0</v>
      </c>
      <c r="BH149" s="3083">
        <f t="shared" si="77"/>
        <v>0</v>
      </c>
      <c r="BI149" s="3083">
        <f t="shared" si="78"/>
        <v>0</v>
      </c>
      <c r="BJ149" s="3083">
        <f t="shared" si="79"/>
        <v>0</v>
      </c>
      <c r="BK149" s="3083">
        <f t="shared" si="80"/>
        <v>0</v>
      </c>
      <c r="BL149" s="3083">
        <f t="shared" si="81"/>
        <v>0</v>
      </c>
      <c r="BM149" s="3083">
        <f t="shared" si="82"/>
        <v>0</v>
      </c>
      <c r="BN149" s="3083">
        <f t="shared" si="83"/>
        <v>0</v>
      </c>
      <c r="BO149" s="3083">
        <f t="shared" si="84"/>
        <v>0</v>
      </c>
      <c r="BP149" s="3083">
        <f t="shared" si="85"/>
        <v>0</v>
      </c>
      <c r="BQ149" s="3083">
        <f t="shared" si="86"/>
        <v>0</v>
      </c>
      <c r="BR149" s="3083">
        <f t="shared" si="87"/>
        <v>0</v>
      </c>
      <c r="BS149" s="3083">
        <f t="shared" si="88"/>
        <v>0</v>
      </c>
      <c r="BT149" s="3135">
        <f t="shared" si="89"/>
        <v>0</v>
      </c>
    </row>
    <row r="150" spans="1:72">
      <c r="A150" s="3080"/>
      <c r="B150" s="3081"/>
      <c r="C150" s="3081"/>
      <c r="D150" s="3082"/>
      <c r="E150" s="3083">
        <f t="shared" si="90"/>
        <v>0</v>
      </c>
      <c r="F150" s="3084"/>
      <c r="G150" s="3085">
        <f t="shared" si="65"/>
        <v>0</v>
      </c>
      <c r="H150" s="3086">
        <f t="shared" si="66"/>
        <v>0</v>
      </c>
      <c r="I150" s="3093"/>
      <c r="J150" s="3093"/>
      <c r="K150" s="3093"/>
      <c r="L150" s="3093"/>
      <c r="M150" s="3093"/>
      <c r="N150" s="3093"/>
      <c r="O150" s="3093"/>
      <c r="P150" s="3093"/>
      <c r="Q150" s="3093"/>
      <c r="R150" s="3093"/>
      <c r="S150" s="3093"/>
      <c r="T150" s="3093"/>
      <c r="U150" s="3093"/>
      <c r="V150" s="3093"/>
      <c r="W150" s="3093"/>
      <c r="X150" s="3093"/>
      <c r="Y150" s="3093"/>
      <c r="Z150" s="3093"/>
      <c r="AA150" s="3093"/>
      <c r="AB150" s="3093"/>
      <c r="AC150" s="3083">
        <f t="shared" si="67"/>
        <v>0</v>
      </c>
      <c r="AD150" s="3103"/>
      <c r="AE150" s="3103"/>
      <c r="AF150" s="3103"/>
      <c r="AG150" s="3103"/>
      <c r="AH150" s="3103"/>
      <c r="AI150" s="3103"/>
      <c r="AJ150" s="3103"/>
      <c r="AK150" s="3103"/>
      <c r="AL150" s="3103"/>
      <c r="AM150" s="3103"/>
      <c r="AN150" s="3103"/>
      <c r="AO150" s="3103"/>
      <c r="AP150" s="3103"/>
      <c r="AQ150" s="3103"/>
      <c r="AR150" s="3103"/>
      <c r="AS150" s="3103"/>
      <c r="AT150" s="3113"/>
      <c r="AU150" s="3114"/>
      <c r="AV150" s="1580">
        <f t="shared" si="91"/>
        <v>0</v>
      </c>
      <c r="AW150" s="1580">
        <f t="shared" si="92"/>
        <v>0</v>
      </c>
      <c r="AX150" s="1580">
        <f t="shared" si="93"/>
        <v>0</v>
      </c>
      <c r="AY150" s="3128">
        <f t="shared" si="68"/>
        <v>0</v>
      </c>
      <c r="AZ150" s="3083">
        <f t="shared" si="69"/>
        <v>0</v>
      </c>
      <c r="BA150" s="3083">
        <f t="shared" si="70"/>
        <v>0</v>
      </c>
      <c r="BB150" s="3083">
        <f t="shared" si="71"/>
        <v>0</v>
      </c>
      <c r="BC150" s="3083">
        <f t="shared" si="72"/>
        <v>0</v>
      </c>
      <c r="BD150" s="3083">
        <f t="shared" si="73"/>
        <v>0</v>
      </c>
      <c r="BE150" s="3083">
        <f t="shared" si="74"/>
        <v>0</v>
      </c>
      <c r="BF150" s="3083">
        <f t="shared" si="75"/>
        <v>0</v>
      </c>
      <c r="BG150" s="3083">
        <f t="shared" si="76"/>
        <v>0</v>
      </c>
      <c r="BH150" s="3083">
        <f t="shared" si="77"/>
        <v>0</v>
      </c>
      <c r="BI150" s="3083">
        <f t="shared" si="78"/>
        <v>0</v>
      </c>
      <c r="BJ150" s="3083">
        <f t="shared" si="79"/>
        <v>0</v>
      </c>
      <c r="BK150" s="3083">
        <f t="shared" si="80"/>
        <v>0</v>
      </c>
      <c r="BL150" s="3083">
        <f t="shared" si="81"/>
        <v>0</v>
      </c>
      <c r="BM150" s="3083">
        <f t="shared" si="82"/>
        <v>0</v>
      </c>
      <c r="BN150" s="3083">
        <f t="shared" si="83"/>
        <v>0</v>
      </c>
      <c r="BO150" s="3083">
        <f t="shared" si="84"/>
        <v>0</v>
      </c>
      <c r="BP150" s="3083">
        <f t="shared" si="85"/>
        <v>0</v>
      </c>
      <c r="BQ150" s="3083">
        <f t="shared" si="86"/>
        <v>0</v>
      </c>
      <c r="BR150" s="3083">
        <f t="shared" si="87"/>
        <v>0</v>
      </c>
      <c r="BS150" s="3083">
        <f t="shared" si="88"/>
        <v>0</v>
      </c>
      <c r="BT150" s="3135">
        <f t="shared" si="89"/>
        <v>0</v>
      </c>
    </row>
    <row r="151" spans="1:72">
      <c r="A151" s="3080"/>
      <c r="B151" s="3081"/>
      <c r="C151" s="3081"/>
      <c r="D151" s="3082"/>
      <c r="E151" s="3083">
        <f t="shared" si="90"/>
        <v>0</v>
      </c>
      <c r="F151" s="3084"/>
      <c r="G151" s="3085">
        <f t="shared" si="65"/>
        <v>0</v>
      </c>
      <c r="H151" s="3086">
        <f t="shared" si="66"/>
        <v>0</v>
      </c>
      <c r="I151" s="3093"/>
      <c r="J151" s="3093"/>
      <c r="K151" s="3093"/>
      <c r="L151" s="3093"/>
      <c r="M151" s="3093"/>
      <c r="N151" s="3093"/>
      <c r="O151" s="3093"/>
      <c r="P151" s="3093"/>
      <c r="Q151" s="3093"/>
      <c r="R151" s="3093"/>
      <c r="S151" s="3093"/>
      <c r="T151" s="3093"/>
      <c r="U151" s="3093"/>
      <c r="V151" s="3093"/>
      <c r="W151" s="3093"/>
      <c r="X151" s="3093"/>
      <c r="Y151" s="3093"/>
      <c r="Z151" s="3093"/>
      <c r="AA151" s="3093"/>
      <c r="AB151" s="3093"/>
      <c r="AC151" s="3083">
        <f t="shared" si="67"/>
        <v>0</v>
      </c>
      <c r="AD151" s="3103"/>
      <c r="AE151" s="3103"/>
      <c r="AF151" s="3103"/>
      <c r="AG151" s="3103"/>
      <c r="AH151" s="3103"/>
      <c r="AI151" s="3103"/>
      <c r="AJ151" s="3103"/>
      <c r="AK151" s="3103"/>
      <c r="AL151" s="3103"/>
      <c r="AM151" s="3103"/>
      <c r="AN151" s="3103"/>
      <c r="AO151" s="3103"/>
      <c r="AP151" s="3103"/>
      <c r="AQ151" s="3103"/>
      <c r="AR151" s="3103"/>
      <c r="AS151" s="3103"/>
      <c r="AT151" s="3113"/>
      <c r="AU151" s="3114"/>
      <c r="AV151" s="1580">
        <f t="shared" si="91"/>
        <v>0</v>
      </c>
      <c r="AW151" s="1580">
        <f t="shared" si="92"/>
        <v>0</v>
      </c>
      <c r="AX151" s="1580">
        <f t="shared" si="93"/>
        <v>0</v>
      </c>
      <c r="AY151" s="3128">
        <f t="shared" si="68"/>
        <v>0</v>
      </c>
      <c r="AZ151" s="3083">
        <f t="shared" si="69"/>
        <v>0</v>
      </c>
      <c r="BA151" s="3083">
        <f t="shared" si="70"/>
        <v>0</v>
      </c>
      <c r="BB151" s="3083">
        <f t="shared" si="71"/>
        <v>0</v>
      </c>
      <c r="BC151" s="3083">
        <f t="shared" si="72"/>
        <v>0</v>
      </c>
      <c r="BD151" s="3083">
        <f t="shared" si="73"/>
        <v>0</v>
      </c>
      <c r="BE151" s="3083">
        <f t="shared" si="74"/>
        <v>0</v>
      </c>
      <c r="BF151" s="3083">
        <f t="shared" si="75"/>
        <v>0</v>
      </c>
      <c r="BG151" s="3083">
        <f t="shared" si="76"/>
        <v>0</v>
      </c>
      <c r="BH151" s="3083">
        <f t="shared" si="77"/>
        <v>0</v>
      </c>
      <c r="BI151" s="3083">
        <f t="shared" si="78"/>
        <v>0</v>
      </c>
      <c r="BJ151" s="3083">
        <f t="shared" si="79"/>
        <v>0</v>
      </c>
      <c r="BK151" s="3083">
        <f t="shared" si="80"/>
        <v>0</v>
      </c>
      <c r="BL151" s="3083">
        <f t="shared" si="81"/>
        <v>0</v>
      </c>
      <c r="BM151" s="3083">
        <f t="shared" si="82"/>
        <v>0</v>
      </c>
      <c r="BN151" s="3083">
        <f t="shared" si="83"/>
        <v>0</v>
      </c>
      <c r="BO151" s="3083">
        <f t="shared" si="84"/>
        <v>0</v>
      </c>
      <c r="BP151" s="3083">
        <f t="shared" si="85"/>
        <v>0</v>
      </c>
      <c r="BQ151" s="3083">
        <f t="shared" si="86"/>
        <v>0</v>
      </c>
      <c r="BR151" s="3083">
        <f t="shared" si="87"/>
        <v>0</v>
      </c>
      <c r="BS151" s="3083">
        <f t="shared" si="88"/>
        <v>0</v>
      </c>
      <c r="BT151" s="3135">
        <f t="shared" si="89"/>
        <v>0</v>
      </c>
    </row>
    <row r="152" spans="1:72">
      <c r="A152" s="3080"/>
      <c r="B152" s="3081"/>
      <c r="C152" s="3081"/>
      <c r="D152" s="3082"/>
      <c r="E152" s="3083">
        <f t="shared" si="90"/>
        <v>0</v>
      </c>
      <c r="F152" s="3084"/>
      <c r="G152" s="3085">
        <f t="shared" si="65"/>
        <v>0</v>
      </c>
      <c r="H152" s="3086">
        <f t="shared" si="66"/>
        <v>0</v>
      </c>
      <c r="I152" s="3093"/>
      <c r="J152" s="3093"/>
      <c r="K152" s="3093"/>
      <c r="L152" s="3093"/>
      <c r="M152" s="3093"/>
      <c r="N152" s="3093"/>
      <c r="O152" s="3093"/>
      <c r="P152" s="3093"/>
      <c r="Q152" s="3093"/>
      <c r="R152" s="3093"/>
      <c r="S152" s="3093"/>
      <c r="T152" s="3093"/>
      <c r="U152" s="3093"/>
      <c r="V152" s="3093"/>
      <c r="W152" s="3093"/>
      <c r="X152" s="3093"/>
      <c r="Y152" s="3093"/>
      <c r="Z152" s="3093"/>
      <c r="AA152" s="3093"/>
      <c r="AB152" s="3093"/>
      <c r="AC152" s="3083">
        <f t="shared" si="67"/>
        <v>0</v>
      </c>
      <c r="AD152" s="3103"/>
      <c r="AE152" s="3103"/>
      <c r="AF152" s="3103"/>
      <c r="AG152" s="3103"/>
      <c r="AH152" s="3103"/>
      <c r="AI152" s="3103"/>
      <c r="AJ152" s="3103"/>
      <c r="AK152" s="3103"/>
      <c r="AL152" s="3103"/>
      <c r="AM152" s="3103"/>
      <c r="AN152" s="3103"/>
      <c r="AO152" s="3103"/>
      <c r="AP152" s="3103"/>
      <c r="AQ152" s="3103"/>
      <c r="AR152" s="3103"/>
      <c r="AS152" s="3103"/>
      <c r="AT152" s="3113"/>
      <c r="AU152" s="3114"/>
      <c r="AV152" s="1580">
        <f t="shared" si="91"/>
        <v>0</v>
      </c>
      <c r="AW152" s="1580">
        <f t="shared" si="92"/>
        <v>0</v>
      </c>
      <c r="AX152" s="1580">
        <f t="shared" si="93"/>
        <v>0</v>
      </c>
      <c r="AY152" s="3128">
        <f t="shared" si="68"/>
        <v>0</v>
      </c>
      <c r="AZ152" s="3083">
        <f t="shared" si="69"/>
        <v>0</v>
      </c>
      <c r="BA152" s="3083">
        <f t="shared" si="70"/>
        <v>0</v>
      </c>
      <c r="BB152" s="3083">
        <f t="shared" si="71"/>
        <v>0</v>
      </c>
      <c r="BC152" s="3083">
        <f t="shared" si="72"/>
        <v>0</v>
      </c>
      <c r="BD152" s="3083">
        <f t="shared" si="73"/>
        <v>0</v>
      </c>
      <c r="BE152" s="3083">
        <f t="shared" si="74"/>
        <v>0</v>
      </c>
      <c r="BF152" s="3083">
        <f t="shared" si="75"/>
        <v>0</v>
      </c>
      <c r="BG152" s="3083">
        <f t="shared" si="76"/>
        <v>0</v>
      </c>
      <c r="BH152" s="3083">
        <f t="shared" si="77"/>
        <v>0</v>
      </c>
      <c r="BI152" s="3083">
        <f t="shared" si="78"/>
        <v>0</v>
      </c>
      <c r="BJ152" s="3083">
        <f t="shared" si="79"/>
        <v>0</v>
      </c>
      <c r="BK152" s="3083">
        <f t="shared" si="80"/>
        <v>0</v>
      </c>
      <c r="BL152" s="3083">
        <f t="shared" si="81"/>
        <v>0</v>
      </c>
      <c r="BM152" s="3083">
        <f t="shared" si="82"/>
        <v>0</v>
      </c>
      <c r="BN152" s="3083">
        <f t="shared" si="83"/>
        <v>0</v>
      </c>
      <c r="BO152" s="3083">
        <f t="shared" si="84"/>
        <v>0</v>
      </c>
      <c r="BP152" s="3083">
        <f t="shared" si="85"/>
        <v>0</v>
      </c>
      <c r="BQ152" s="3083">
        <f t="shared" si="86"/>
        <v>0</v>
      </c>
      <c r="BR152" s="3083">
        <f t="shared" si="87"/>
        <v>0</v>
      </c>
      <c r="BS152" s="3083">
        <f t="shared" si="88"/>
        <v>0</v>
      </c>
      <c r="BT152" s="3135">
        <f t="shared" si="89"/>
        <v>0</v>
      </c>
    </row>
    <row r="153" spans="1:72">
      <c r="A153" s="3080"/>
      <c r="B153" s="3081"/>
      <c r="C153" s="3081"/>
      <c r="D153" s="3082"/>
      <c r="E153" s="3083">
        <f t="shared" si="90"/>
        <v>0</v>
      </c>
      <c r="F153" s="3084"/>
      <c r="G153" s="3085">
        <f t="shared" si="65"/>
        <v>0</v>
      </c>
      <c r="H153" s="3086">
        <f t="shared" si="66"/>
        <v>0</v>
      </c>
      <c r="I153" s="3093"/>
      <c r="J153" s="3093"/>
      <c r="K153" s="3093"/>
      <c r="L153" s="3093"/>
      <c r="M153" s="3093"/>
      <c r="N153" s="3093"/>
      <c r="O153" s="3093"/>
      <c r="P153" s="3093"/>
      <c r="Q153" s="3093"/>
      <c r="R153" s="3093"/>
      <c r="S153" s="3093"/>
      <c r="T153" s="3093"/>
      <c r="U153" s="3093"/>
      <c r="V153" s="3093"/>
      <c r="W153" s="3093"/>
      <c r="X153" s="3093"/>
      <c r="Y153" s="3093"/>
      <c r="Z153" s="3093"/>
      <c r="AA153" s="3093"/>
      <c r="AB153" s="3093"/>
      <c r="AC153" s="3083">
        <f t="shared" si="67"/>
        <v>0</v>
      </c>
      <c r="AD153" s="3103"/>
      <c r="AE153" s="3103"/>
      <c r="AF153" s="3103"/>
      <c r="AG153" s="3103"/>
      <c r="AH153" s="3103"/>
      <c r="AI153" s="3103"/>
      <c r="AJ153" s="3103"/>
      <c r="AK153" s="3103"/>
      <c r="AL153" s="3103"/>
      <c r="AM153" s="3103"/>
      <c r="AN153" s="3103"/>
      <c r="AO153" s="3103"/>
      <c r="AP153" s="3103"/>
      <c r="AQ153" s="3103"/>
      <c r="AR153" s="3103"/>
      <c r="AS153" s="3103"/>
      <c r="AT153" s="3113"/>
      <c r="AU153" s="3114"/>
      <c r="AV153" s="1580">
        <f t="shared" si="91"/>
        <v>0</v>
      </c>
      <c r="AW153" s="1580">
        <f t="shared" si="92"/>
        <v>0</v>
      </c>
      <c r="AX153" s="1580">
        <f t="shared" si="93"/>
        <v>0</v>
      </c>
      <c r="AY153" s="3128">
        <f t="shared" si="68"/>
        <v>0</v>
      </c>
      <c r="AZ153" s="3083">
        <f t="shared" si="69"/>
        <v>0</v>
      </c>
      <c r="BA153" s="3083">
        <f t="shared" si="70"/>
        <v>0</v>
      </c>
      <c r="BB153" s="3083">
        <f t="shared" si="71"/>
        <v>0</v>
      </c>
      <c r="BC153" s="3083">
        <f t="shared" si="72"/>
        <v>0</v>
      </c>
      <c r="BD153" s="3083">
        <f t="shared" si="73"/>
        <v>0</v>
      </c>
      <c r="BE153" s="3083">
        <f t="shared" si="74"/>
        <v>0</v>
      </c>
      <c r="BF153" s="3083">
        <f t="shared" si="75"/>
        <v>0</v>
      </c>
      <c r="BG153" s="3083">
        <f t="shared" si="76"/>
        <v>0</v>
      </c>
      <c r="BH153" s="3083">
        <f t="shared" si="77"/>
        <v>0</v>
      </c>
      <c r="BI153" s="3083">
        <f t="shared" si="78"/>
        <v>0</v>
      </c>
      <c r="BJ153" s="3083">
        <f t="shared" si="79"/>
        <v>0</v>
      </c>
      <c r="BK153" s="3083">
        <f t="shared" si="80"/>
        <v>0</v>
      </c>
      <c r="BL153" s="3083">
        <f t="shared" si="81"/>
        <v>0</v>
      </c>
      <c r="BM153" s="3083">
        <f t="shared" si="82"/>
        <v>0</v>
      </c>
      <c r="BN153" s="3083">
        <f t="shared" si="83"/>
        <v>0</v>
      </c>
      <c r="BO153" s="3083">
        <f t="shared" si="84"/>
        <v>0</v>
      </c>
      <c r="BP153" s="3083">
        <f t="shared" si="85"/>
        <v>0</v>
      </c>
      <c r="BQ153" s="3083">
        <f t="shared" si="86"/>
        <v>0</v>
      </c>
      <c r="BR153" s="3083">
        <f t="shared" si="87"/>
        <v>0</v>
      </c>
      <c r="BS153" s="3083">
        <f t="shared" si="88"/>
        <v>0</v>
      </c>
      <c r="BT153" s="3135">
        <f t="shared" si="89"/>
        <v>0</v>
      </c>
    </row>
    <row r="154" spans="1:72">
      <c r="A154" s="3080"/>
      <c r="B154" s="3081"/>
      <c r="C154" s="3081"/>
      <c r="D154" s="3082"/>
      <c r="E154" s="3083">
        <f t="shared" si="90"/>
        <v>0</v>
      </c>
      <c r="F154" s="3084"/>
      <c r="G154" s="3085">
        <f t="shared" si="65"/>
        <v>0</v>
      </c>
      <c r="H154" s="3086">
        <f t="shared" si="66"/>
        <v>0</v>
      </c>
      <c r="I154" s="3093"/>
      <c r="J154" s="3093"/>
      <c r="K154" s="3093"/>
      <c r="L154" s="3093"/>
      <c r="M154" s="3093"/>
      <c r="N154" s="3093"/>
      <c r="O154" s="3093"/>
      <c r="P154" s="3093"/>
      <c r="Q154" s="3093"/>
      <c r="R154" s="3093"/>
      <c r="S154" s="3093"/>
      <c r="T154" s="3093"/>
      <c r="U154" s="3093"/>
      <c r="V154" s="3093"/>
      <c r="W154" s="3093"/>
      <c r="X154" s="3093"/>
      <c r="Y154" s="3093"/>
      <c r="Z154" s="3093"/>
      <c r="AA154" s="3093"/>
      <c r="AB154" s="3093"/>
      <c r="AC154" s="3083">
        <f t="shared" si="67"/>
        <v>0</v>
      </c>
      <c r="AD154" s="3103"/>
      <c r="AE154" s="3103"/>
      <c r="AF154" s="3103"/>
      <c r="AG154" s="3103"/>
      <c r="AH154" s="3103"/>
      <c r="AI154" s="3103"/>
      <c r="AJ154" s="3103"/>
      <c r="AK154" s="3103"/>
      <c r="AL154" s="3103"/>
      <c r="AM154" s="3103"/>
      <c r="AN154" s="3103"/>
      <c r="AO154" s="3103"/>
      <c r="AP154" s="3103"/>
      <c r="AQ154" s="3103"/>
      <c r="AR154" s="3103"/>
      <c r="AS154" s="3103"/>
      <c r="AT154" s="3113"/>
      <c r="AU154" s="3114"/>
      <c r="AV154" s="1580">
        <f t="shared" si="91"/>
        <v>0</v>
      </c>
      <c r="AW154" s="1580">
        <f t="shared" si="92"/>
        <v>0</v>
      </c>
      <c r="AX154" s="1580">
        <f t="shared" si="93"/>
        <v>0</v>
      </c>
      <c r="AY154" s="3128">
        <f t="shared" si="68"/>
        <v>0</v>
      </c>
      <c r="AZ154" s="3083">
        <f t="shared" si="69"/>
        <v>0</v>
      </c>
      <c r="BA154" s="3083">
        <f t="shared" si="70"/>
        <v>0</v>
      </c>
      <c r="BB154" s="3083">
        <f t="shared" si="71"/>
        <v>0</v>
      </c>
      <c r="BC154" s="3083">
        <f t="shared" si="72"/>
        <v>0</v>
      </c>
      <c r="BD154" s="3083">
        <f t="shared" si="73"/>
        <v>0</v>
      </c>
      <c r="BE154" s="3083">
        <f t="shared" si="74"/>
        <v>0</v>
      </c>
      <c r="BF154" s="3083">
        <f t="shared" si="75"/>
        <v>0</v>
      </c>
      <c r="BG154" s="3083">
        <f t="shared" si="76"/>
        <v>0</v>
      </c>
      <c r="BH154" s="3083">
        <f t="shared" si="77"/>
        <v>0</v>
      </c>
      <c r="BI154" s="3083">
        <f t="shared" si="78"/>
        <v>0</v>
      </c>
      <c r="BJ154" s="3083">
        <f t="shared" si="79"/>
        <v>0</v>
      </c>
      <c r="BK154" s="3083">
        <f t="shared" si="80"/>
        <v>0</v>
      </c>
      <c r="BL154" s="3083">
        <f t="shared" si="81"/>
        <v>0</v>
      </c>
      <c r="BM154" s="3083">
        <f t="shared" si="82"/>
        <v>0</v>
      </c>
      <c r="BN154" s="3083">
        <f t="shared" si="83"/>
        <v>0</v>
      </c>
      <c r="BO154" s="3083">
        <f t="shared" si="84"/>
        <v>0</v>
      </c>
      <c r="BP154" s="3083">
        <f t="shared" si="85"/>
        <v>0</v>
      </c>
      <c r="BQ154" s="3083">
        <f t="shared" si="86"/>
        <v>0</v>
      </c>
      <c r="BR154" s="3083">
        <f t="shared" si="87"/>
        <v>0</v>
      </c>
      <c r="BS154" s="3083">
        <f t="shared" si="88"/>
        <v>0</v>
      </c>
      <c r="BT154" s="3135">
        <f t="shared" si="89"/>
        <v>0</v>
      </c>
    </row>
    <row r="155" spans="1:72">
      <c r="A155" s="3080"/>
      <c r="B155" s="3081"/>
      <c r="C155" s="3081"/>
      <c r="D155" s="3082"/>
      <c r="E155" s="3083">
        <f t="shared" si="90"/>
        <v>0</v>
      </c>
      <c r="F155" s="3084"/>
      <c r="G155" s="3085">
        <f t="shared" si="65"/>
        <v>0</v>
      </c>
      <c r="H155" s="3086">
        <f t="shared" si="66"/>
        <v>0</v>
      </c>
      <c r="I155" s="3093"/>
      <c r="J155" s="3093"/>
      <c r="K155" s="3093"/>
      <c r="L155" s="3093"/>
      <c r="M155" s="3093"/>
      <c r="N155" s="3093"/>
      <c r="O155" s="3093"/>
      <c r="P155" s="3093"/>
      <c r="Q155" s="3093"/>
      <c r="R155" s="3093"/>
      <c r="S155" s="3093"/>
      <c r="T155" s="3093"/>
      <c r="U155" s="3093"/>
      <c r="V155" s="3093"/>
      <c r="W155" s="3093"/>
      <c r="X155" s="3093"/>
      <c r="Y155" s="3093"/>
      <c r="Z155" s="3093"/>
      <c r="AA155" s="3093"/>
      <c r="AB155" s="3093"/>
      <c r="AC155" s="3083">
        <f t="shared" si="67"/>
        <v>0</v>
      </c>
      <c r="AD155" s="3103"/>
      <c r="AE155" s="3103"/>
      <c r="AF155" s="3103"/>
      <c r="AG155" s="3103"/>
      <c r="AH155" s="3103"/>
      <c r="AI155" s="3103"/>
      <c r="AJ155" s="3103"/>
      <c r="AK155" s="3103"/>
      <c r="AL155" s="3103"/>
      <c r="AM155" s="3103"/>
      <c r="AN155" s="3103"/>
      <c r="AO155" s="3103"/>
      <c r="AP155" s="3103"/>
      <c r="AQ155" s="3103"/>
      <c r="AR155" s="3103"/>
      <c r="AS155" s="3103"/>
      <c r="AT155" s="3113"/>
      <c r="AU155" s="3114"/>
      <c r="AV155" s="1580">
        <f t="shared" si="91"/>
        <v>0</v>
      </c>
      <c r="AW155" s="1580">
        <f t="shared" si="92"/>
        <v>0</v>
      </c>
      <c r="AX155" s="1580">
        <f t="shared" si="93"/>
        <v>0</v>
      </c>
      <c r="AY155" s="3128">
        <f t="shared" si="68"/>
        <v>0</v>
      </c>
      <c r="AZ155" s="3083">
        <f t="shared" si="69"/>
        <v>0</v>
      </c>
      <c r="BA155" s="3083">
        <f t="shared" si="70"/>
        <v>0</v>
      </c>
      <c r="BB155" s="3083">
        <f t="shared" si="71"/>
        <v>0</v>
      </c>
      <c r="BC155" s="3083">
        <f t="shared" si="72"/>
        <v>0</v>
      </c>
      <c r="BD155" s="3083">
        <f t="shared" si="73"/>
        <v>0</v>
      </c>
      <c r="BE155" s="3083">
        <f t="shared" si="74"/>
        <v>0</v>
      </c>
      <c r="BF155" s="3083">
        <f t="shared" si="75"/>
        <v>0</v>
      </c>
      <c r="BG155" s="3083">
        <f t="shared" si="76"/>
        <v>0</v>
      </c>
      <c r="BH155" s="3083">
        <f t="shared" si="77"/>
        <v>0</v>
      </c>
      <c r="BI155" s="3083">
        <f t="shared" si="78"/>
        <v>0</v>
      </c>
      <c r="BJ155" s="3083">
        <f t="shared" si="79"/>
        <v>0</v>
      </c>
      <c r="BK155" s="3083">
        <f t="shared" si="80"/>
        <v>0</v>
      </c>
      <c r="BL155" s="3083">
        <f t="shared" si="81"/>
        <v>0</v>
      </c>
      <c r="BM155" s="3083">
        <f t="shared" si="82"/>
        <v>0</v>
      </c>
      <c r="BN155" s="3083">
        <f t="shared" si="83"/>
        <v>0</v>
      </c>
      <c r="BO155" s="3083">
        <f t="shared" si="84"/>
        <v>0</v>
      </c>
      <c r="BP155" s="3083">
        <f t="shared" si="85"/>
        <v>0</v>
      </c>
      <c r="BQ155" s="3083">
        <f t="shared" si="86"/>
        <v>0</v>
      </c>
      <c r="BR155" s="3083">
        <f t="shared" si="87"/>
        <v>0</v>
      </c>
      <c r="BS155" s="3083">
        <f t="shared" si="88"/>
        <v>0</v>
      </c>
      <c r="BT155" s="3135">
        <f t="shared" si="89"/>
        <v>0</v>
      </c>
    </row>
    <row r="156" spans="1:72">
      <c r="A156" s="3080"/>
      <c r="B156" s="3081"/>
      <c r="C156" s="3081"/>
      <c r="D156" s="3082"/>
      <c r="E156" s="3083">
        <f t="shared" si="90"/>
        <v>0</v>
      </c>
      <c r="F156" s="3084"/>
      <c r="G156" s="3085">
        <f t="shared" si="65"/>
        <v>0</v>
      </c>
      <c r="H156" s="3086">
        <f t="shared" si="66"/>
        <v>0</v>
      </c>
      <c r="I156" s="3093"/>
      <c r="J156" s="3093"/>
      <c r="K156" s="3093"/>
      <c r="L156" s="3093"/>
      <c r="M156" s="3093"/>
      <c r="N156" s="3093"/>
      <c r="O156" s="3093"/>
      <c r="P156" s="3093"/>
      <c r="Q156" s="3093"/>
      <c r="R156" s="3093"/>
      <c r="S156" s="3093"/>
      <c r="T156" s="3093"/>
      <c r="U156" s="3093"/>
      <c r="V156" s="3093"/>
      <c r="W156" s="3093"/>
      <c r="X156" s="3093"/>
      <c r="Y156" s="3093"/>
      <c r="Z156" s="3093"/>
      <c r="AA156" s="3093"/>
      <c r="AB156" s="3093"/>
      <c r="AC156" s="3083">
        <f t="shared" si="67"/>
        <v>0</v>
      </c>
      <c r="AD156" s="3103"/>
      <c r="AE156" s="3103"/>
      <c r="AF156" s="3103"/>
      <c r="AG156" s="3103"/>
      <c r="AH156" s="3103"/>
      <c r="AI156" s="3103"/>
      <c r="AJ156" s="3103"/>
      <c r="AK156" s="3103"/>
      <c r="AL156" s="3103"/>
      <c r="AM156" s="3103"/>
      <c r="AN156" s="3103"/>
      <c r="AO156" s="3103"/>
      <c r="AP156" s="3103"/>
      <c r="AQ156" s="3103"/>
      <c r="AR156" s="3103"/>
      <c r="AS156" s="3103"/>
      <c r="AT156" s="3113"/>
      <c r="AU156" s="3114"/>
      <c r="AV156" s="1580">
        <f t="shared" si="91"/>
        <v>0</v>
      </c>
      <c r="AW156" s="1580">
        <f t="shared" si="92"/>
        <v>0</v>
      </c>
      <c r="AX156" s="1580">
        <f t="shared" si="93"/>
        <v>0</v>
      </c>
      <c r="AY156" s="3128">
        <f t="shared" si="68"/>
        <v>0</v>
      </c>
      <c r="AZ156" s="3083">
        <f t="shared" si="69"/>
        <v>0</v>
      </c>
      <c r="BA156" s="3083">
        <f t="shared" si="70"/>
        <v>0</v>
      </c>
      <c r="BB156" s="3083">
        <f t="shared" si="71"/>
        <v>0</v>
      </c>
      <c r="BC156" s="3083">
        <f t="shared" si="72"/>
        <v>0</v>
      </c>
      <c r="BD156" s="3083">
        <f t="shared" si="73"/>
        <v>0</v>
      </c>
      <c r="BE156" s="3083">
        <f t="shared" si="74"/>
        <v>0</v>
      </c>
      <c r="BF156" s="3083">
        <f t="shared" si="75"/>
        <v>0</v>
      </c>
      <c r="BG156" s="3083">
        <f t="shared" si="76"/>
        <v>0</v>
      </c>
      <c r="BH156" s="3083">
        <f t="shared" si="77"/>
        <v>0</v>
      </c>
      <c r="BI156" s="3083">
        <f t="shared" si="78"/>
        <v>0</v>
      </c>
      <c r="BJ156" s="3083">
        <f t="shared" si="79"/>
        <v>0</v>
      </c>
      <c r="BK156" s="3083">
        <f t="shared" si="80"/>
        <v>0</v>
      </c>
      <c r="BL156" s="3083">
        <f t="shared" si="81"/>
        <v>0</v>
      </c>
      <c r="BM156" s="3083">
        <f t="shared" si="82"/>
        <v>0</v>
      </c>
      <c r="BN156" s="3083">
        <f t="shared" si="83"/>
        <v>0</v>
      </c>
      <c r="BO156" s="3083">
        <f t="shared" si="84"/>
        <v>0</v>
      </c>
      <c r="BP156" s="3083">
        <f t="shared" si="85"/>
        <v>0</v>
      </c>
      <c r="BQ156" s="3083">
        <f t="shared" si="86"/>
        <v>0</v>
      </c>
      <c r="BR156" s="3083">
        <f t="shared" si="87"/>
        <v>0</v>
      </c>
      <c r="BS156" s="3083">
        <f t="shared" si="88"/>
        <v>0</v>
      </c>
      <c r="BT156" s="3135">
        <f t="shared" si="89"/>
        <v>0</v>
      </c>
    </row>
    <row r="157" spans="1:72">
      <c r="A157" s="3080"/>
      <c r="B157" s="3081"/>
      <c r="C157" s="3081"/>
      <c r="D157" s="3082"/>
      <c r="E157" s="3083">
        <f t="shared" si="90"/>
        <v>0</v>
      </c>
      <c r="F157" s="3084"/>
      <c r="G157" s="3085">
        <f t="shared" si="65"/>
        <v>0</v>
      </c>
      <c r="H157" s="3086">
        <f t="shared" si="66"/>
        <v>0</v>
      </c>
      <c r="I157" s="3093"/>
      <c r="J157" s="3093"/>
      <c r="K157" s="3093"/>
      <c r="L157" s="3093"/>
      <c r="M157" s="3093"/>
      <c r="N157" s="3093"/>
      <c r="O157" s="3093"/>
      <c r="P157" s="3093"/>
      <c r="Q157" s="3093"/>
      <c r="R157" s="3093"/>
      <c r="S157" s="3093"/>
      <c r="T157" s="3093"/>
      <c r="U157" s="3093"/>
      <c r="V157" s="3093"/>
      <c r="W157" s="3093"/>
      <c r="X157" s="3093"/>
      <c r="Y157" s="3093"/>
      <c r="Z157" s="3093"/>
      <c r="AA157" s="3093"/>
      <c r="AB157" s="3093"/>
      <c r="AC157" s="3083">
        <f t="shared" si="67"/>
        <v>0</v>
      </c>
      <c r="AD157" s="3103"/>
      <c r="AE157" s="3103"/>
      <c r="AF157" s="3103"/>
      <c r="AG157" s="3103"/>
      <c r="AH157" s="3103"/>
      <c r="AI157" s="3103"/>
      <c r="AJ157" s="3103"/>
      <c r="AK157" s="3103"/>
      <c r="AL157" s="3103"/>
      <c r="AM157" s="3103"/>
      <c r="AN157" s="3103"/>
      <c r="AO157" s="3103"/>
      <c r="AP157" s="3103"/>
      <c r="AQ157" s="3103"/>
      <c r="AR157" s="3103"/>
      <c r="AS157" s="3103"/>
      <c r="AT157" s="3113"/>
      <c r="AU157" s="3114"/>
      <c r="AV157" s="1580">
        <f t="shared" si="91"/>
        <v>0</v>
      </c>
      <c r="AW157" s="1580">
        <f t="shared" si="92"/>
        <v>0</v>
      </c>
      <c r="AX157" s="1580">
        <f t="shared" si="93"/>
        <v>0</v>
      </c>
      <c r="AY157" s="3128">
        <f t="shared" si="68"/>
        <v>0</v>
      </c>
      <c r="AZ157" s="3083">
        <f t="shared" si="69"/>
        <v>0</v>
      </c>
      <c r="BA157" s="3083">
        <f t="shared" si="70"/>
        <v>0</v>
      </c>
      <c r="BB157" s="3083">
        <f t="shared" si="71"/>
        <v>0</v>
      </c>
      <c r="BC157" s="3083">
        <f t="shared" si="72"/>
        <v>0</v>
      </c>
      <c r="BD157" s="3083">
        <f t="shared" si="73"/>
        <v>0</v>
      </c>
      <c r="BE157" s="3083">
        <f t="shared" si="74"/>
        <v>0</v>
      </c>
      <c r="BF157" s="3083">
        <f t="shared" si="75"/>
        <v>0</v>
      </c>
      <c r="BG157" s="3083">
        <f t="shared" si="76"/>
        <v>0</v>
      </c>
      <c r="BH157" s="3083">
        <f t="shared" si="77"/>
        <v>0</v>
      </c>
      <c r="BI157" s="3083">
        <f t="shared" si="78"/>
        <v>0</v>
      </c>
      <c r="BJ157" s="3083">
        <f t="shared" si="79"/>
        <v>0</v>
      </c>
      <c r="BK157" s="3083">
        <f t="shared" si="80"/>
        <v>0</v>
      </c>
      <c r="BL157" s="3083">
        <f t="shared" si="81"/>
        <v>0</v>
      </c>
      <c r="BM157" s="3083">
        <f t="shared" si="82"/>
        <v>0</v>
      </c>
      <c r="BN157" s="3083">
        <f t="shared" si="83"/>
        <v>0</v>
      </c>
      <c r="BO157" s="3083">
        <f t="shared" si="84"/>
        <v>0</v>
      </c>
      <c r="BP157" s="3083">
        <f t="shared" si="85"/>
        <v>0</v>
      </c>
      <c r="BQ157" s="3083">
        <f t="shared" si="86"/>
        <v>0</v>
      </c>
      <c r="BR157" s="3083">
        <f t="shared" si="87"/>
        <v>0</v>
      </c>
      <c r="BS157" s="3083">
        <f t="shared" si="88"/>
        <v>0</v>
      </c>
      <c r="BT157" s="3135">
        <f t="shared" si="89"/>
        <v>0</v>
      </c>
    </row>
    <row r="158" spans="1:72">
      <c r="A158" s="3080"/>
      <c r="B158" s="3081"/>
      <c r="C158" s="3081"/>
      <c r="D158" s="3082"/>
      <c r="E158" s="3083">
        <f t="shared" si="90"/>
        <v>0</v>
      </c>
      <c r="F158" s="3084"/>
      <c r="G158" s="3085">
        <f t="shared" si="65"/>
        <v>0</v>
      </c>
      <c r="H158" s="3086">
        <f t="shared" si="66"/>
        <v>0</v>
      </c>
      <c r="I158" s="3093"/>
      <c r="J158" s="3093"/>
      <c r="K158" s="3093"/>
      <c r="L158" s="3093"/>
      <c r="M158" s="3093"/>
      <c r="N158" s="3093"/>
      <c r="O158" s="3093"/>
      <c r="P158" s="3093"/>
      <c r="Q158" s="3093"/>
      <c r="R158" s="3093"/>
      <c r="S158" s="3093"/>
      <c r="T158" s="3093"/>
      <c r="U158" s="3093"/>
      <c r="V158" s="3093"/>
      <c r="W158" s="3093"/>
      <c r="X158" s="3093"/>
      <c r="Y158" s="3093"/>
      <c r="Z158" s="3093"/>
      <c r="AA158" s="3093"/>
      <c r="AB158" s="3093"/>
      <c r="AC158" s="3083">
        <f t="shared" si="67"/>
        <v>0</v>
      </c>
      <c r="AD158" s="3103"/>
      <c r="AE158" s="3103"/>
      <c r="AF158" s="3103"/>
      <c r="AG158" s="3103"/>
      <c r="AH158" s="3103"/>
      <c r="AI158" s="3103"/>
      <c r="AJ158" s="3103"/>
      <c r="AK158" s="3103"/>
      <c r="AL158" s="3103"/>
      <c r="AM158" s="3103"/>
      <c r="AN158" s="3103"/>
      <c r="AO158" s="3103"/>
      <c r="AP158" s="3103"/>
      <c r="AQ158" s="3103"/>
      <c r="AR158" s="3103"/>
      <c r="AS158" s="3103"/>
      <c r="AT158" s="3113"/>
      <c r="AU158" s="3114"/>
      <c r="AV158" s="1580">
        <f t="shared" si="91"/>
        <v>0</v>
      </c>
      <c r="AW158" s="1580">
        <f t="shared" si="92"/>
        <v>0</v>
      </c>
      <c r="AX158" s="1580">
        <f t="shared" si="93"/>
        <v>0</v>
      </c>
      <c r="AY158" s="3128">
        <f t="shared" si="68"/>
        <v>0</v>
      </c>
      <c r="AZ158" s="3083">
        <f t="shared" si="69"/>
        <v>0</v>
      </c>
      <c r="BA158" s="3083">
        <f t="shared" si="70"/>
        <v>0</v>
      </c>
      <c r="BB158" s="3083">
        <f t="shared" si="71"/>
        <v>0</v>
      </c>
      <c r="BC158" s="3083">
        <f t="shared" si="72"/>
        <v>0</v>
      </c>
      <c r="BD158" s="3083">
        <f t="shared" si="73"/>
        <v>0</v>
      </c>
      <c r="BE158" s="3083">
        <f t="shared" si="74"/>
        <v>0</v>
      </c>
      <c r="BF158" s="3083">
        <f t="shared" si="75"/>
        <v>0</v>
      </c>
      <c r="BG158" s="3083">
        <f t="shared" si="76"/>
        <v>0</v>
      </c>
      <c r="BH158" s="3083">
        <f t="shared" si="77"/>
        <v>0</v>
      </c>
      <c r="BI158" s="3083">
        <f t="shared" si="78"/>
        <v>0</v>
      </c>
      <c r="BJ158" s="3083">
        <f t="shared" si="79"/>
        <v>0</v>
      </c>
      <c r="BK158" s="3083">
        <f t="shared" si="80"/>
        <v>0</v>
      </c>
      <c r="BL158" s="3083">
        <f t="shared" si="81"/>
        <v>0</v>
      </c>
      <c r="BM158" s="3083">
        <f t="shared" si="82"/>
        <v>0</v>
      </c>
      <c r="BN158" s="3083">
        <f t="shared" si="83"/>
        <v>0</v>
      </c>
      <c r="BO158" s="3083">
        <f t="shared" si="84"/>
        <v>0</v>
      </c>
      <c r="BP158" s="3083">
        <f t="shared" si="85"/>
        <v>0</v>
      </c>
      <c r="BQ158" s="3083">
        <f t="shared" si="86"/>
        <v>0</v>
      </c>
      <c r="BR158" s="3083">
        <f t="shared" si="87"/>
        <v>0</v>
      </c>
      <c r="BS158" s="3083">
        <f t="shared" si="88"/>
        <v>0</v>
      </c>
      <c r="BT158" s="3135">
        <f t="shared" si="89"/>
        <v>0</v>
      </c>
    </row>
    <row r="159" spans="1:72">
      <c r="A159" s="3080"/>
      <c r="B159" s="3081"/>
      <c r="C159" s="3081"/>
      <c r="D159" s="3082"/>
      <c r="E159" s="3083">
        <f t="shared" si="90"/>
        <v>0</v>
      </c>
      <c r="F159" s="3084"/>
      <c r="G159" s="3085">
        <f t="shared" si="65"/>
        <v>0</v>
      </c>
      <c r="H159" s="3086">
        <f t="shared" si="66"/>
        <v>0</v>
      </c>
      <c r="I159" s="3093"/>
      <c r="J159" s="3093"/>
      <c r="K159" s="3093"/>
      <c r="L159" s="3093"/>
      <c r="M159" s="3093"/>
      <c r="N159" s="3093"/>
      <c r="O159" s="3093"/>
      <c r="P159" s="3093"/>
      <c r="Q159" s="3093"/>
      <c r="R159" s="3093"/>
      <c r="S159" s="3093"/>
      <c r="T159" s="3093"/>
      <c r="U159" s="3093"/>
      <c r="V159" s="3093"/>
      <c r="W159" s="3093"/>
      <c r="X159" s="3093"/>
      <c r="Y159" s="3093"/>
      <c r="Z159" s="3093"/>
      <c r="AA159" s="3093"/>
      <c r="AB159" s="3093"/>
      <c r="AC159" s="3083">
        <f t="shared" si="67"/>
        <v>0</v>
      </c>
      <c r="AD159" s="3103"/>
      <c r="AE159" s="3103"/>
      <c r="AF159" s="3103"/>
      <c r="AG159" s="3103"/>
      <c r="AH159" s="3103"/>
      <c r="AI159" s="3103"/>
      <c r="AJ159" s="3103"/>
      <c r="AK159" s="3103"/>
      <c r="AL159" s="3103"/>
      <c r="AM159" s="3103"/>
      <c r="AN159" s="3103"/>
      <c r="AO159" s="3103"/>
      <c r="AP159" s="3103"/>
      <c r="AQ159" s="3103"/>
      <c r="AR159" s="3103"/>
      <c r="AS159" s="3103"/>
      <c r="AT159" s="3113"/>
      <c r="AU159" s="3114"/>
      <c r="AV159" s="1580">
        <f t="shared" si="91"/>
        <v>0</v>
      </c>
      <c r="AW159" s="1580">
        <f t="shared" si="92"/>
        <v>0</v>
      </c>
      <c r="AX159" s="1580">
        <f t="shared" si="93"/>
        <v>0</v>
      </c>
      <c r="AY159" s="3128">
        <f t="shared" si="68"/>
        <v>0</v>
      </c>
      <c r="AZ159" s="3083">
        <f t="shared" si="69"/>
        <v>0</v>
      </c>
      <c r="BA159" s="3083">
        <f t="shared" si="70"/>
        <v>0</v>
      </c>
      <c r="BB159" s="3083">
        <f t="shared" si="71"/>
        <v>0</v>
      </c>
      <c r="BC159" s="3083">
        <f t="shared" si="72"/>
        <v>0</v>
      </c>
      <c r="BD159" s="3083">
        <f t="shared" si="73"/>
        <v>0</v>
      </c>
      <c r="BE159" s="3083">
        <f t="shared" si="74"/>
        <v>0</v>
      </c>
      <c r="BF159" s="3083">
        <f t="shared" si="75"/>
        <v>0</v>
      </c>
      <c r="BG159" s="3083">
        <f t="shared" si="76"/>
        <v>0</v>
      </c>
      <c r="BH159" s="3083">
        <f t="shared" si="77"/>
        <v>0</v>
      </c>
      <c r="BI159" s="3083">
        <f t="shared" si="78"/>
        <v>0</v>
      </c>
      <c r="BJ159" s="3083">
        <f t="shared" si="79"/>
        <v>0</v>
      </c>
      <c r="BK159" s="3083">
        <f t="shared" si="80"/>
        <v>0</v>
      </c>
      <c r="BL159" s="3083">
        <f t="shared" si="81"/>
        <v>0</v>
      </c>
      <c r="BM159" s="3083">
        <f t="shared" si="82"/>
        <v>0</v>
      </c>
      <c r="BN159" s="3083">
        <f t="shared" si="83"/>
        <v>0</v>
      </c>
      <c r="BO159" s="3083">
        <f t="shared" si="84"/>
        <v>0</v>
      </c>
      <c r="BP159" s="3083">
        <f t="shared" si="85"/>
        <v>0</v>
      </c>
      <c r="BQ159" s="3083">
        <f t="shared" si="86"/>
        <v>0</v>
      </c>
      <c r="BR159" s="3083">
        <f t="shared" si="87"/>
        <v>0</v>
      </c>
      <c r="BS159" s="3083">
        <f t="shared" si="88"/>
        <v>0</v>
      </c>
      <c r="BT159" s="3135">
        <f t="shared" si="89"/>
        <v>0</v>
      </c>
    </row>
    <row r="160" spans="1:72">
      <c r="A160" s="3080"/>
      <c r="B160" s="3081"/>
      <c r="C160" s="3081"/>
      <c r="D160" s="3082"/>
      <c r="E160" s="3083">
        <f t="shared" si="90"/>
        <v>0</v>
      </c>
      <c r="F160" s="3084"/>
      <c r="G160" s="3085">
        <f t="shared" si="65"/>
        <v>0</v>
      </c>
      <c r="H160" s="3086">
        <f t="shared" si="66"/>
        <v>0</v>
      </c>
      <c r="I160" s="3093"/>
      <c r="J160" s="3093"/>
      <c r="K160" s="3093"/>
      <c r="L160" s="3093"/>
      <c r="M160" s="3093"/>
      <c r="N160" s="3093"/>
      <c r="O160" s="3093"/>
      <c r="P160" s="3093"/>
      <c r="Q160" s="3093"/>
      <c r="R160" s="3093"/>
      <c r="S160" s="3093"/>
      <c r="T160" s="3093"/>
      <c r="U160" s="3093"/>
      <c r="V160" s="3093"/>
      <c r="W160" s="3093"/>
      <c r="X160" s="3093"/>
      <c r="Y160" s="3093"/>
      <c r="Z160" s="3093"/>
      <c r="AA160" s="3093"/>
      <c r="AB160" s="3093"/>
      <c r="AC160" s="3083">
        <f t="shared" si="67"/>
        <v>0</v>
      </c>
      <c r="AD160" s="3103"/>
      <c r="AE160" s="3103"/>
      <c r="AF160" s="3103"/>
      <c r="AG160" s="3103"/>
      <c r="AH160" s="3103"/>
      <c r="AI160" s="3103"/>
      <c r="AJ160" s="3103"/>
      <c r="AK160" s="3103"/>
      <c r="AL160" s="3103"/>
      <c r="AM160" s="3103"/>
      <c r="AN160" s="3103"/>
      <c r="AO160" s="3103"/>
      <c r="AP160" s="3103"/>
      <c r="AQ160" s="3103"/>
      <c r="AR160" s="3103"/>
      <c r="AS160" s="3103"/>
      <c r="AT160" s="3113"/>
      <c r="AU160" s="3114"/>
      <c r="AV160" s="1580">
        <f t="shared" si="91"/>
        <v>0</v>
      </c>
      <c r="AW160" s="1580">
        <f t="shared" si="92"/>
        <v>0</v>
      </c>
      <c r="AX160" s="1580">
        <f t="shared" si="93"/>
        <v>0</v>
      </c>
      <c r="AY160" s="3128">
        <f t="shared" si="68"/>
        <v>0</v>
      </c>
      <c r="AZ160" s="3083">
        <f t="shared" si="69"/>
        <v>0</v>
      </c>
      <c r="BA160" s="3083">
        <f t="shared" si="70"/>
        <v>0</v>
      </c>
      <c r="BB160" s="3083">
        <f t="shared" si="71"/>
        <v>0</v>
      </c>
      <c r="BC160" s="3083">
        <f t="shared" si="72"/>
        <v>0</v>
      </c>
      <c r="BD160" s="3083">
        <f t="shared" si="73"/>
        <v>0</v>
      </c>
      <c r="BE160" s="3083">
        <f t="shared" si="74"/>
        <v>0</v>
      </c>
      <c r="BF160" s="3083">
        <f t="shared" si="75"/>
        <v>0</v>
      </c>
      <c r="BG160" s="3083">
        <f t="shared" si="76"/>
        <v>0</v>
      </c>
      <c r="BH160" s="3083">
        <f t="shared" si="77"/>
        <v>0</v>
      </c>
      <c r="BI160" s="3083">
        <f t="shared" si="78"/>
        <v>0</v>
      </c>
      <c r="BJ160" s="3083">
        <f t="shared" si="79"/>
        <v>0</v>
      </c>
      <c r="BK160" s="3083">
        <f t="shared" si="80"/>
        <v>0</v>
      </c>
      <c r="BL160" s="3083">
        <f t="shared" si="81"/>
        <v>0</v>
      </c>
      <c r="BM160" s="3083">
        <f t="shared" si="82"/>
        <v>0</v>
      </c>
      <c r="BN160" s="3083">
        <f t="shared" si="83"/>
        <v>0</v>
      </c>
      <c r="BO160" s="3083">
        <f t="shared" si="84"/>
        <v>0</v>
      </c>
      <c r="BP160" s="3083">
        <f t="shared" si="85"/>
        <v>0</v>
      </c>
      <c r="BQ160" s="3083">
        <f t="shared" si="86"/>
        <v>0</v>
      </c>
      <c r="BR160" s="3083">
        <f t="shared" si="87"/>
        <v>0</v>
      </c>
      <c r="BS160" s="3083">
        <f t="shared" si="88"/>
        <v>0</v>
      </c>
      <c r="BT160" s="3135">
        <f t="shared" si="89"/>
        <v>0</v>
      </c>
    </row>
    <row r="161" spans="1:72">
      <c r="A161" s="3080"/>
      <c r="B161" s="3081"/>
      <c r="C161" s="3081"/>
      <c r="D161" s="3082"/>
      <c r="E161" s="3083">
        <f t="shared" si="90"/>
        <v>0</v>
      </c>
      <c r="F161" s="3084"/>
      <c r="G161" s="3085">
        <f t="shared" si="65"/>
        <v>0</v>
      </c>
      <c r="H161" s="3086">
        <f t="shared" si="66"/>
        <v>0</v>
      </c>
      <c r="I161" s="3093"/>
      <c r="J161" s="3093"/>
      <c r="K161" s="3093"/>
      <c r="L161" s="3093"/>
      <c r="M161" s="3093"/>
      <c r="N161" s="3093"/>
      <c r="O161" s="3093"/>
      <c r="P161" s="3093"/>
      <c r="Q161" s="3093"/>
      <c r="R161" s="3093"/>
      <c r="S161" s="3093"/>
      <c r="T161" s="3093"/>
      <c r="U161" s="3093"/>
      <c r="V161" s="3093"/>
      <c r="W161" s="3093"/>
      <c r="X161" s="3093"/>
      <c r="Y161" s="3093"/>
      <c r="Z161" s="3093"/>
      <c r="AA161" s="3093"/>
      <c r="AB161" s="3093"/>
      <c r="AC161" s="3083">
        <f t="shared" si="67"/>
        <v>0</v>
      </c>
      <c r="AD161" s="3103"/>
      <c r="AE161" s="3103"/>
      <c r="AF161" s="3103"/>
      <c r="AG161" s="3103"/>
      <c r="AH161" s="3103"/>
      <c r="AI161" s="3103"/>
      <c r="AJ161" s="3103"/>
      <c r="AK161" s="3103"/>
      <c r="AL161" s="3103"/>
      <c r="AM161" s="3103"/>
      <c r="AN161" s="3103"/>
      <c r="AO161" s="3103"/>
      <c r="AP161" s="3103"/>
      <c r="AQ161" s="3103"/>
      <c r="AR161" s="3103"/>
      <c r="AS161" s="3103"/>
      <c r="AT161" s="3113"/>
      <c r="AU161" s="3114"/>
      <c r="AV161" s="1580">
        <f t="shared" si="91"/>
        <v>0</v>
      </c>
      <c r="AW161" s="1580">
        <f t="shared" si="92"/>
        <v>0</v>
      </c>
      <c r="AX161" s="1580">
        <f t="shared" si="93"/>
        <v>0</v>
      </c>
      <c r="AY161" s="3128">
        <f t="shared" si="68"/>
        <v>0</v>
      </c>
      <c r="AZ161" s="3083">
        <f t="shared" si="69"/>
        <v>0</v>
      </c>
      <c r="BA161" s="3083">
        <f t="shared" si="70"/>
        <v>0</v>
      </c>
      <c r="BB161" s="3083">
        <f t="shared" si="71"/>
        <v>0</v>
      </c>
      <c r="BC161" s="3083">
        <f t="shared" si="72"/>
        <v>0</v>
      </c>
      <c r="BD161" s="3083">
        <f t="shared" si="73"/>
        <v>0</v>
      </c>
      <c r="BE161" s="3083">
        <f t="shared" si="74"/>
        <v>0</v>
      </c>
      <c r="BF161" s="3083">
        <f t="shared" si="75"/>
        <v>0</v>
      </c>
      <c r="BG161" s="3083">
        <f t="shared" si="76"/>
        <v>0</v>
      </c>
      <c r="BH161" s="3083">
        <f t="shared" si="77"/>
        <v>0</v>
      </c>
      <c r="BI161" s="3083">
        <f t="shared" si="78"/>
        <v>0</v>
      </c>
      <c r="BJ161" s="3083">
        <f t="shared" si="79"/>
        <v>0</v>
      </c>
      <c r="BK161" s="3083">
        <f t="shared" si="80"/>
        <v>0</v>
      </c>
      <c r="BL161" s="3083">
        <f t="shared" si="81"/>
        <v>0</v>
      </c>
      <c r="BM161" s="3083">
        <f t="shared" si="82"/>
        <v>0</v>
      </c>
      <c r="BN161" s="3083">
        <f t="shared" si="83"/>
        <v>0</v>
      </c>
      <c r="BO161" s="3083">
        <f t="shared" si="84"/>
        <v>0</v>
      </c>
      <c r="BP161" s="3083">
        <f t="shared" si="85"/>
        <v>0</v>
      </c>
      <c r="BQ161" s="3083">
        <f t="shared" si="86"/>
        <v>0</v>
      </c>
      <c r="BR161" s="3083">
        <f t="shared" si="87"/>
        <v>0</v>
      </c>
      <c r="BS161" s="3083">
        <f t="shared" si="88"/>
        <v>0</v>
      </c>
      <c r="BT161" s="3135">
        <f t="shared" si="89"/>
        <v>0</v>
      </c>
    </row>
    <row r="162" spans="1:72">
      <c r="A162" s="3080"/>
      <c r="B162" s="3081"/>
      <c r="C162" s="3081"/>
      <c r="D162" s="3082"/>
      <c r="E162" s="3083">
        <f t="shared" si="90"/>
        <v>0</v>
      </c>
      <c r="F162" s="3084"/>
      <c r="G162" s="3085">
        <f t="shared" si="65"/>
        <v>0</v>
      </c>
      <c r="H162" s="3086">
        <f t="shared" si="66"/>
        <v>0</v>
      </c>
      <c r="I162" s="3093"/>
      <c r="J162" s="3093"/>
      <c r="K162" s="3093"/>
      <c r="L162" s="3093"/>
      <c r="M162" s="3093"/>
      <c r="N162" s="3093"/>
      <c r="O162" s="3093"/>
      <c r="P162" s="3093"/>
      <c r="Q162" s="3093"/>
      <c r="R162" s="3093"/>
      <c r="S162" s="3093"/>
      <c r="T162" s="3093"/>
      <c r="U162" s="3093"/>
      <c r="V162" s="3093"/>
      <c r="W162" s="3093"/>
      <c r="X162" s="3093"/>
      <c r="Y162" s="3093"/>
      <c r="Z162" s="3093"/>
      <c r="AA162" s="3093"/>
      <c r="AB162" s="3093"/>
      <c r="AC162" s="3083">
        <f t="shared" si="67"/>
        <v>0</v>
      </c>
      <c r="AD162" s="3103"/>
      <c r="AE162" s="3103"/>
      <c r="AF162" s="3103"/>
      <c r="AG162" s="3103"/>
      <c r="AH162" s="3103"/>
      <c r="AI162" s="3103"/>
      <c r="AJ162" s="3103"/>
      <c r="AK162" s="3103"/>
      <c r="AL162" s="3103"/>
      <c r="AM162" s="3103"/>
      <c r="AN162" s="3103"/>
      <c r="AO162" s="3103"/>
      <c r="AP162" s="3103"/>
      <c r="AQ162" s="3103"/>
      <c r="AR162" s="3103"/>
      <c r="AS162" s="3103"/>
      <c r="AT162" s="3113"/>
      <c r="AU162" s="3114"/>
      <c r="AV162" s="1580">
        <f t="shared" si="91"/>
        <v>0</v>
      </c>
      <c r="AW162" s="1580">
        <f t="shared" si="92"/>
        <v>0</v>
      </c>
      <c r="AX162" s="1580">
        <f t="shared" si="93"/>
        <v>0</v>
      </c>
      <c r="AY162" s="3128">
        <f t="shared" si="68"/>
        <v>0</v>
      </c>
      <c r="AZ162" s="3083">
        <f t="shared" si="69"/>
        <v>0</v>
      </c>
      <c r="BA162" s="3083">
        <f t="shared" si="70"/>
        <v>0</v>
      </c>
      <c r="BB162" s="3083">
        <f t="shared" si="71"/>
        <v>0</v>
      </c>
      <c r="BC162" s="3083">
        <f t="shared" si="72"/>
        <v>0</v>
      </c>
      <c r="BD162" s="3083">
        <f t="shared" si="73"/>
        <v>0</v>
      </c>
      <c r="BE162" s="3083">
        <f t="shared" si="74"/>
        <v>0</v>
      </c>
      <c r="BF162" s="3083">
        <f t="shared" si="75"/>
        <v>0</v>
      </c>
      <c r="BG162" s="3083">
        <f t="shared" si="76"/>
        <v>0</v>
      </c>
      <c r="BH162" s="3083">
        <f t="shared" si="77"/>
        <v>0</v>
      </c>
      <c r="BI162" s="3083">
        <f t="shared" si="78"/>
        <v>0</v>
      </c>
      <c r="BJ162" s="3083">
        <f t="shared" si="79"/>
        <v>0</v>
      </c>
      <c r="BK162" s="3083">
        <f t="shared" si="80"/>
        <v>0</v>
      </c>
      <c r="BL162" s="3083">
        <f t="shared" si="81"/>
        <v>0</v>
      </c>
      <c r="BM162" s="3083">
        <f t="shared" si="82"/>
        <v>0</v>
      </c>
      <c r="BN162" s="3083">
        <f t="shared" si="83"/>
        <v>0</v>
      </c>
      <c r="BO162" s="3083">
        <f t="shared" si="84"/>
        <v>0</v>
      </c>
      <c r="BP162" s="3083">
        <f t="shared" si="85"/>
        <v>0</v>
      </c>
      <c r="BQ162" s="3083">
        <f t="shared" si="86"/>
        <v>0</v>
      </c>
      <c r="BR162" s="3083">
        <f t="shared" si="87"/>
        <v>0</v>
      </c>
      <c r="BS162" s="3083">
        <f t="shared" si="88"/>
        <v>0</v>
      </c>
      <c r="BT162" s="3135">
        <f t="shared" si="89"/>
        <v>0</v>
      </c>
    </row>
    <row r="163" spans="1:72">
      <c r="A163" s="3080"/>
      <c r="B163" s="3081"/>
      <c r="C163" s="3081"/>
      <c r="D163" s="3082"/>
      <c r="E163" s="3083">
        <f t="shared" si="90"/>
        <v>0</v>
      </c>
      <c r="F163" s="3084"/>
      <c r="G163" s="3085">
        <f t="shared" si="65"/>
        <v>0</v>
      </c>
      <c r="H163" s="3086">
        <f t="shared" si="66"/>
        <v>0</v>
      </c>
      <c r="I163" s="3093"/>
      <c r="J163" s="3093"/>
      <c r="K163" s="3093"/>
      <c r="L163" s="3093"/>
      <c r="M163" s="3093"/>
      <c r="N163" s="3093"/>
      <c r="O163" s="3093"/>
      <c r="P163" s="3093"/>
      <c r="Q163" s="3093"/>
      <c r="R163" s="3093"/>
      <c r="S163" s="3093"/>
      <c r="T163" s="3093"/>
      <c r="U163" s="3093"/>
      <c r="V163" s="3093"/>
      <c r="W163" s="3093"/>
      <c r="X163" s="3093"/>
      <c r="Y163" s="3093"/>
      <c r="Z163" s="3093"/>
      <c r="AA163" s="3093"/>
      <c r="AB163" s="3093"/>
      <c r="AC163" s="3083">
        <f t="shared" si="67"/>
        <v>0</v>
      </c>
      <c r="AD163" s="3103"/>
      <c r="AE163" s="3103"/>
      <c r="AF163" s="3103"/>
      <c r="AG163" s="3103"/>
      <c r="AH163" s="3103"/>
      <c r="AI163" s="3103"/>
      <c r="AJ163" s="3103"/>
      <c r="AK163" s="3103"/>
      <c r="AL163" s="3103"/>
      <c r="AM163" s="3103"/>
      <c r="AN163" s="3103"/>
      <c r="AO163" s="3103"/>
      <c r="AP163" s="3103"/>
      <c r="AQ163" s="3103"/>
      <c r="AR163" s="3103"/>
      <c r="AS163" s="3103"/>
      <c r="AT163" s="3113"/>
      <c r="AU163" s="3114"/>
      <c r="AV163" s="1580">
        <f t="shared" si="91"/>
        <v>0</v>
      </c>
      <c r="AW163" s="1580">
        <f t="shared" si="92"/>
        <v>0</v>
      </c>
      <c r="AX163" s="1580">
        <f t="shared" si="93"/>
        <v>0</v>
      </c>
      <c r="AY163" s="3128">
        <f t="shared" si="68"/>
        <v>0</v>
      </c>
      <c r="AZ163" s="3083">
        <f t="shared" si="69"/>
        <v>0</v>
      </c>
      <c r="BA163" s="3083">
        <f t="shared" si="70"/>
        <v>0</v>
      </c>
      <c r="BB163" s="3083">
        <f t="shared" si="71"/>
        <v>0</v>
      </c>
      <c r="BC163" s="3083">
        <f t="shared" si="72"/>
        <v>0</v>
      </c>
      <c r="BD163" s="3083">
        <f t="shared" si="73"/>
        <v>0</v>
      </c>
      <c r="BE163" s="3083">
        <f t="shared" si="74"/>
        <v>0</v>
      </c>
      <c r="BF163" s="3083">
        <f t="shared" si="75"/>
        <v>0</v>
      </c>
      <c r="BG163" s="3083">
        <f t="shared" si="76"/>
        <v>0</v>
      </c>
      <c r="BH163" s="3083">
        <f t="shared" si="77"/>
        <v>0</v>
      </c>
      <c r="BI163" s="3083">
        <f t="shared" si="78"/>
        <v>0</v>
      </c>
      <c r="BJ163" s="3083">
        <f t="shared" si="79"/>
        <v>0</v>
      </c>
      <c r="BK163" s="3083">
        <f t="shared" si="80"/>
        <v>0</v>
      </c>
      <c r="BL163" s="3083">
        <f t="shared" si="81"/>
        <v>0</v>
      </c>
      <c r="BM163" s="3083">
        <f t="shared" si="82"/>
        <v>0</v>
      </c>
      <c r="BN163" s="3083">
        <f t="shared" si="83"/>
        <v>0</v>
      </c>
      <c r="BO163" s="3083">
        <f t="shared" si="84"/>
        <v>0</v>
      </c>
      <c r="BP163" s="3083">
        <f t="shared" si="85"/>
        <v>0</v>
      </c>
      <c r="BQ163" s="3083">
        <f t="shared" si="86"/>
        <v>0</v>
      </c>
      <c r="BR163" s="3083">
        <f t="shared" si="87"/>
        <v>0</v>
      </c>
      <c r="BS163" s="3083">
        <f t="shared" si="88"/>
        <v>0</v>
      </c>
      <c r="BT163" s="3135">
        <f t="shared" si="89"/>
        <v>0</v>
      </c>
    </row>
    <row r="164" spans="1:72">
      <c r="A164" s="3080"/>
      <c r="B164" s="3081"/>
      <c r="C164" s="3081"/>
      <c r="D164" s="3082"/>
      <c r="E164" s="3083">
        <f t="shared" si="90"/>
        <v>0</v>
      </c>
      <c r="F164" s="3084"/>
      <c r="G164" s="3085">
        <f t="shared" si="65"/>
        <v>0</v>
      </c>
      <c r="H164" s="3086">
        <f t="shared" si="66"/>
        <v>0</v>
      </c>
      <c r="I164" s="3093"/>
      <c r="J164" s="3093"/>
      <c r="K164" s="3093"/>
      <c r="L164" s="3093"/>
      <c r="M164" s="3093"/>
      <c r="N164" s="3093"/>
      <c r="O164" s="3093"/>
      <c r="P164" s="3093"/>
      <c r="Q164" s="3093"/>
      <c r="R164" s="3093"/>
      <c r="S164" s="3093"/>
      <c r="T164" s="3093"/>
      <c r="U164" s="3093"/>
      <c r="V164" s="3093"/>
      <c r="W164" s="3093"/>
      <c r="X164" s="3093"/>
      <c r="Y164" s="3093"/>
      <c r="Z164" s="3093"/>
      <c r="AA164" s="3093"/>
      <c r="AB164" s="3093"/>
      <c r="AC164" s="3083">
        <f t="shared" si="67"/>
        <v>0</v>
      </c>
      <c r="AD164" s="3103"/>
      <c r="AE164" s="3103"/>
      <c r="AF164" s="3103"/>
      <c r="AG164" s="3103"/>
      <c r="AH164" s="3103"/>
      <c r="AI164" s="3103"/>
      <c r="AJ164" s="3103"/>
      <c r="AK164" s="3103"/>
      <c r="AL164" s="3103"/>
      <c r="AM164" s="3103"/>
      <c r="AN164" s="3103"/>
      <c r="AO164" s="3103"/>
      <c r="AP164" s="3103"/>
      <c r="AQ164" s="3103"/>
      <c r="AR164" s="3103"/>
      <c r="AS164" s="3103"/>
      <c r="AT164" s="3113"/>
      <c r="AU164" s="3114"/>
      <c r="AV164" s="1580">
        <f t="shared" si="91"/>
        <v>0</v>
      </c>
      <c r="AW164" s="1580">
        <f t="shared" si="92"/>
        <v>0</v>
      </c>
      <c r="AX164" s="1580">
        <f t="shared" si="93"/>
        <v>0</v>
      </c>
      <c r="AY164" s="3128">
        <f t="shared" si="68"/>
        <v>0</v>
      </c>
      <c r="AZ164" s="3083">
        <f t="shared" si="69"/>
        <v>0</v>
      </c>
      <c r="BA164" s="3083">
        <f t="shared" si="70"/>
        <v>0</v>
      </c>
      <c r="BB164" s="3083">
        <f t="shared" si="71"/>
        <v>0</v>
      </c>
      <c r="BC164" s="3083">
        <f t="shared" si="72"/>
        <v>0</v>
      </c>
      <c r="BD164" s="3083">
        <f t="shared" si="73"/>
        <v>0</v>
      </c>
      <c r="BE164" s="3083">
        <f t="shared" si="74"/>
        <v>0</v>
      </c>
      <c r="BF164" s="3083">
        <f t="shared" si="75"/>
        <v>0</v>
      </c>
      <c r="BG164" s="3083">
        <f t="shared" si="76"/>
        <v>0</v>
      </c>
      <c r="BH164" s="3083">
        <f t="shared" si="77"/>
        <v>0</v>
      </c>
      <c r="BI164" s="3083">
        <f t="shared" si="78"/>
        <v>0</v>
      </c>
      <c r="BJ164" s="3083">
        <f t="shared" si="79"/>
        <v>0</v>
      </c>
      <c r="BK164" s="3083">
        <f t="shared" si="80"/>
        <v>0</v>
      </c>
      <c r="BL164" s="3083">
        <f t="shared" si="81"/>
        <v>0</v>
      </c>
      <c r="BM164" s="3083">
        <f t="shared" si="82"/>
        <v>0</v>
      </c>
      <c r="BN164" s="3083">
        <f t="shared" si="83"/>
        <v>0</v>
      </c>
      <c r="BO164" s="3083">
        <f t="shared" si="84"/>
        <v>0</v>
      </c>
      <c r="BP164" s="3083">
        <f t="shared" si="85"/>
        <v>0</v>
      </c>
      <c r="BQ164" s="3083">
        <f t="shared" si="86"/>
        <v>0</v>
      </c>
      <c r="BR164" s="3083">
        <f t="shared" si="87"/>
        <v>0</v>
      </c>
      <c r="BS164" s="3083">
        <f t="shared" si="88"/>
        <v>0</v>
      </c>
      <c r="BT164" s="3135">
        <f t="shared" si="89"/>
        <v>0</v>
      </c>
    </row>
    <row r="165" spans="1:72">
      <c r="A165" s="3080"/>
      <c r="B165" s="3081"/>
      <c r="C165" s="3081"/>
      <c r="D165" s="3082"/>
      <c r="E165" s="3083">
        <f t="shared" si="90"/>
        <v>0</v>
      </c>
      <c r="F165" s="3084"/>
      <c r="G165" s="3085">
        <f t="shared" si="65"/>
        <v>0</v>
      </c>
      <c r="H165" s="3086">
        <f t="shared" si="66"/>
        <v>0</v>
      </c>
      <c r="I165" s="3093"/>
      <c r="J165" s="3093"/>
      <c r="K165" s="3093"/>
      <c r="L165" s="3093"/>
      <c r="M165" s="3093"/>
      <c r="N165" s="3093"/>
      <c r="O165" s="3093"/>
      <c r="P165" s="3093"/>
      <c r="Q165" s="3093"/>
      <c r="R165" s="3093"/>
      <c r="S165" s="3093"/>
      <c r="T165" s="3093"/>
      <c r="U165" s="3093"/>
      <c r="V165" s="3093"/>
      <c r="W165" s="3093"/>
      <c r="X165" s="3093"/>
      <c r="Y165" s="3093"/>
      <c r="Z165" s="3093"/>
      <c r="AA165" s="3093"/>
      <c r="AB165" s="3093"/>
      <c r="AC165" s="3083">
        <f t="shared" si="67"/>
        <v>0</v>
      </c>
      <c r="AD165" s="3103"/>
      <c r="AE165" s="3103"/>
      <c r="AF165" s="3103"/>
      <c r="AG165" s="3103"/>
      <c r="AH165" s="3103"/>
      <c r="AI165" s="3103"/>
      <c r="AJ165" s="3103"/>
      <c r="AK165" s="3103"/>
      <c r="AL165" s="3103"/>
      <c r="AM165" s="3103"/>
      <c r="AN165" s="3103"/>
      <c r="AO165" s="3103"/>
      <c r="AP165" s="3103"/>
      <c r="AQ165" s="3103"/>
      <c r="AR165" s="3103"/>
      <c r="AS165" s="3103"/>
      <c r="AT165" s="3113"/>
      <c r="AU165" s="3114"/>
      <c r="AV165" s="1580">
        <f t="shared" si="91"/>
        <v>0</v>
      </c>
      <c r="AW165" s="1580">
        <f t="shared" si="92"/>
        <v>0</v>
      </c>
      <c r="AX165" s="1580">
        <f t="shared" si="93"/>
        <v>0</v>
      </c>
      <c r="AY165" s="3128">
        <f t="shared" si="68"/>
        <v>0</v>
      </c>
      <c r="AZ165" s="3083">
        <f t="shared" si="69"/>
        <v>0</v>
      </c>
      <c r="BA165" s="3083">
        <f t="shared" si="70"/>
        <v>0</v>
      </c>
      <c r="BB165" s="3083">
        <f t="shared" si="71"/>
        <v>0</v>
      </c>
      <c r="BC165" s="3083">
        <f t="shared" si="72"/>
        <v>0</v>
      </c>
      <c r="BD165" s="3083">
        <f t="shared" si="73"/>
        <v>0</v>
      </c>
      <c r="BE165" s="3083">
        <f t="shared" si="74"/>
        <v>0</v>
      </c>
      <c r="BF165" s="3083">
        <f t="shared" si="75"/>
        <v>0</v>
      </c>
      <c r="BG165" s="3083">
        <f t="shared" si="76"/>
        <v>0</v>
      </c>
      <c r="BH165" s="3083">
        <f t="shared" si="77"/>
        <v>0</v>
      </c>
      <c r="BI165" s="3083">
        <f t="shared" si="78"/>
        <v>0</v>
      </c>
      <c r="BJ165" s="3083">
        <f t="shared" si="79"/>
        <v>0</v>
      </c>
      <c r="BK165" s="3083">
        <f t="shared" si="80"/>
        <v>0</v>
      </c>
      <c r="BL165" s="3083">
        <f t="shared" si="81"/>
        <v>0</v>
      </c>
      <c r="BM165" s="3083">
        <f t="shared" si="82"/>
        <v>0</v>
      </c>
      <c r="BN165" s="3083">
        <f t="shared" si="83"/>
        <v>0</v>
      </c>
      <c r="BO165" s="3083">
        <f t="shared" si="84"/>
        <v>0</v>
      </c>
      <c r="BP165" s="3083">
        <f t="shared" si="85"/>
        <v>0</v>
      </c>
      <c r="BQ165" s="3083">
        <f t="shared" si="86"/>
        <v>0</v>
      </c>
      <c r="BR165" s="3083">
        <f t="shared" si="87"/>
        <v>0</v>
      </c>
      <c r="BS165" s="3083">
        <f t="shared" si="88"/>
        <v>0</v>
      </c>
      <c r="BT165" s="3135">
        <f t="shared" si="89"/>
        <v>0</v>
      </c>
    </row>
    <row r="166" spans="1:72">
      <c r="A166" s="3080"/>
      <c r="B166" s="3081"/>
      <c r="C166" s="3081"/>
      <c r="D166" s="3082"/>
      <c r="E166" s="3083">
        <f t="shared" si="90"/>
        <v>0</v>
      </c>
      <c r="F166" s="3084"/>
      <c r="G166" s="3085">
        <f t="shared" si="65"/>
        <v>0</v>
      </c>
      <c r="H166" s="3086">
        <f t="shared" si="66"/>
        <v>0</v>
      </c>
      <c r="I166" s="3093"/>
      <c r="J166" s="3093"/>
      <c r="K166" s="3093"/>
      <c r="L166" s="3093"/>
      <c r="M166" s="3093"/>
      <c r="N166" s="3093"/>
      <c r="O166" s="3093"/>
      <c r="P166" s="3093"/>
      <c r="Q166" s="3093"/>
      <c r="R166" s="3093"/>
      <c r="S166" s="3093"/>
      <c r="T166" s="3093"/>
      <c r="U166" s="3093"/>
      <c r="V166" s="3093"/>
      <c r="W166" s="3093"/>
      <c r="X166" s="3093"/>
      <c r="Y166" s="3093"/>
      <c r="Z166" s="3093"/>
      <c r="AA166" s="3093"/>
      <c r="AB166" s="3093"/>
      <c r="AC166" s="3083">
        <f t="shared" si="67"/>
        <v>0</v>
      </c>
      <c r="AD166" s="3103"/>
      <c r="AE166" s="3103"/>
      <c r="AF166" s="3103"/>
      <c r="AG166" s="3103"/>
      <c r="AH166" s="3103"/>
      <c r="AI166" s="3103"/>
      <c r="AJ166" s="3103"/>
      <c r="AK166" s="3103"/>
      <c r="AL166" s="3103"/>
      <c r="AM166" s="3103"/>
      <c r="AN166" s="3103"/>
      <c r="AO166" s="3103"/>
      <c r="AP166" s="3103"/>
      <c r="AQ166" s="3103"/>
      <c r="AR166" s="3103"/>
      <c r="AS166" s="3103"/>
      <c r="AT166" s="3113"/>
      <c r="AU166" s="3114"/>
      <c r="AV166" s="1580">
        <f t="shared" si="91"/>
        <v>0</v>
      </c>
      <c r="AW166" s="1580">
        <f t="shared" si="92"/>
        <v>0</v>
      </c>
      <c r="AX166" s="1580">
        <f t="shared" si="93"/>
        <v>0</v>
      </c>
      <c r="AY166" s="3128">
        <f t="shared" si="68"/>
        <v>0</v>
      </c>
      <c r="AZ166" s="3083">
        <f t="shared" si="69"/>
        <v>0</v>
      </c>
      <c r="BA166" s="3083">
        <f t="shared" si="70"/>
        <v>0</v>
      </c>
      <c r="BB166" s="3083">
        <f t="shared" si="71"/>
        <v>0</v>
      </c>
      <c r="BC166" s="3083">
        <f t="shared" si="72"/>
        <v>0</v>
      </c>
      <c r="BD166" s="3083">
        <f t="shared" si="73"/>
        <v>0</v>
      </c>
      <c r="BE166" s="3083">
        <f t="shared" si="74"/>
        <v>0</v>
      </c>
      <c r="BF166" s="3083">
        <f t="shared" si="75"/>
        <v>0</v>
      </c>
      <c r="BG166" s="3083">
        <f t="shared" si="76"/>
        <v>0</v>
      </c>
      <c r="BH166" s="3083">
        <f t="shared" si="77"/>
        <v>0</v>
      </c>
      <c r="BI166" s="3083">
        <f t="shared" si="78"/>
        <v>0</v>
      </c>
      <c r="BJ166" s="3083">
        <f t="shared" si="79"/>
        <v>0</v>
      </c>
      <c r="BK166" s="3083">
        <f t="shared" si="80"/>
        <v>0</v>
      </c>
      <c r="BL166" s="3083">
        <f t="shared" si="81"/>
        <v>0</v>
      </c>
      <c r="BM166" s="3083">
        <f t="shared" si="82"/>
        <v>0</v>
      </c>
      <c r="BN166" s="3083">
        <f t="shared" si="83"/>
        <v>0</v>
      </c>
      <c r="BO166" s="3083">
        <f t="shared" si="84"/>
        <v>0</v>
      </c>
      <c r="BP166" s="3083">
        <f t="shared" si="85"/>
        <v>0</v>
      </c>
      <c r="BQ166" s="3083">
        <f t="shared" si="86"/>
        <v>0</v>
      </c>
      <c r="BR166" s="3083">
        <f t="shared" si="87"/>
        <v>0</v>
      </c>
      <c r="BS166" s="3083">
        <f t="shared" si="88"/>
        <v>0</v>
      </c>
      <c r="BT166" s="3135">
        <f t="shared" si="89"/>
        <v>0</v>
      </c>
    </row>
    <row r="167" spans="1:72">
      <c r="A167" s="3080"/>
      <c r="B167" s="3081"/>
      <c r="C167" s="3081"/>
      <c r="D167" s="3082"/>
      <c r="E167" s="3083">
        <f t="shared" si="90"/>
        <v>0</v>
      </c>
      <c r="F167" s="3084"/>
      <c r="G167" s="3085">
        <f t="shared" si="65"/>
        <v>0</v>
      </c>
      <c r="H167" s="3086">
        <f t="shared" si="66"/>
        <v>0</v>
      </c>
      <c r="I167" s="3093"/>
      <c r="J167" s="3093"/>
      <c r="K167" s="3093"/>
      <c r="L167" s="3093"/>
      <c r="M167" s="3093"/>
      <c r="N167" s="3093"/>
      <c r="O167" s="3093"/>
      <c r="P167" s="3093"/>
      <c r="Q167" s="3093"/>
      <c r="R167" s="3093"/>
      <c r="S167" s="3093"/>
      <c r="T167" s="3093"/>
      <c r="U167" s="3093"/>
      <c r="V167" s="3093"/>
      <c r="W167" s="3093"/>
      <c r="X167" s="3093"/>
      <c r="Y167" s="3093"/>
      <c r="Z167" s="3093"/>
      <c r="AA167" s="3093"/>
      <c r="AB167" s="3093"/>
      <c r="AC167" s="3083">
        <f t="shared" si="67"/>
        <v>0</v>
      </c>
      <c r="AD167" s="3103"/>
      <c r="AE167" s="3103"/>
      <c r="AF167" s="3103"/>
      <c r="AG167" s="3103"/>
      <c r="AH167" s="3103"/>
      <c r="AI167" s="3103"/>
      <c r="AJ167" s="3103"/>
      <c r="AK167" s="3103"/>
      <c r="AL167" s="3103"/>
      <c r="AM167" s="3103"/>
      <c r="AN167" s="3103"/>
      <c r="AO167" s="3103"/>
      <c r="AP167" s="3103"/>
      <c r="AQ167" s="3103"/>
      <c r="AR167" s="3103"/>
      <c r="AS167" s="3103"/>
      <c r="AT167" s="3113"/>
      <c r="AU167" s="3114"/>
      <c r="AV167" s="1580">
        <f t="shared" si="91"/>
        <v>0</v>
      </c>
      <c r="AW167" s="1580">
        <f t="shared" si="92"/>
        <v>0</v>
      </c>
      <c r="AX167" s="1580">
        <f t="shared" si="93"/>
        <v>0</v>
      </c>
      <c r="AY167" s="3128">
        <f t="shared" si="68"/>
        <v>0</v>
      </c>
      <c r="AZ167" s="3083">
        <f t="shared" si="69"/>
        <v>0</v>
      </c>
      <c r="BA167" s="3083">
        <f t="shared" si="70"/>
        <v>0</v>
      </c>
      <c r="BB167" s="3083">
        <f t="shared" si="71"/>
        <v>0</v>
      </c>
      <c r="BC167" s="3083">
        <f t="shared" si="72"/>
        <v>0</v>
      </c>
      <c r="BD167" s="3083">
        <f t="shared" si="73"/>
        <v>0</v>
      </c>
      <c r="BE167" s="3083">
        <f t="shared" si="74"/>
        <v>0</v>
      </c>
      <c r="BF167" s="3083">
        <f t="shared" si="75"/>
        <v>0</v>
      </c>
      <c r="BG167" s="3083">
        <f t="shared" si="76"/>
        <v>0</v>
      </c>
      <c r="BH167" s="3083">
        <f t="shared" si="77"/>
        <v>0</v>
      </c>
      <c r="BI167" s="3083">
        <f t="shared" si="78"/>
        <v>0</v>
      </c>
      <c r="BJ167" s="3083">
        <f t="shared" si="79"/>
        <v>0</v>
      </c>
      <c r="BK167" s="3083">
        <f t="shared" si="80"/>
        <v>0</v>
      </c>
      <c r="BL167" s="3083">
        <f t="shared" si="81"/>
        <v>0</v>
      </c>
      <c r="BM167" s="3083">
        <f t="shared" si="82"/>
        <v>0</v>
      </c>
      <c r="BN167" s="3083">
        <f t="shared" si="83"/>
        <v>0</v>
      </c>
      <c r="BO167" s="3083">
        <f t="shared" si="84"/>
        <v>0</v>
      </c>
      <c r="BP167" s="3083">
        <f t="shared" si="85"/>
        <v>0</v>
      </c>
      <c r="BQ167" s="3083">
        <f t="shared" si="86"/>
        <v>0</v>
      </c>
      <c r="BR167" s="3083">
        <f t="shared" si="87"/>
        <v>0</v>
      </c>
      <c r="BS167" s="3083">
        <f t="shared" si="88"/>
        <v>0</v>
      </c>
      <c r="BT167" s="3135">
        <f t="shared" si="89"/>
        <v>0</v>
      </c>
    </row>
    <row r="168" spans="1:72">
      <c r="A168" s="3080"/>
      <c r="B168" s="3081"/>
      <c r="C168" s="3081"/>
      <c r="D168" s="3082"/>
      <c r="E168" s="3083">
        <f t="shared" si="90"/>
        <v>0</v>
      </c>
      <c r="F168" s="3084"/>
      <c r="G168" s="3085">
        <f t="shared" si="65"/>
        <v>0</v>
      </c>
      <c r="H168" s="3086">
        <f t="shared" si="66"/>
        <v>0</v>
      </c>
      <c r="I168" s="3093"/>
      <c r="J168" s="3093"/>
      <c r="K168" s="3093"/>
      <c r="L168" s="3093"/>
      <c r="M168" s="3093"/>
      <c r="N168" s="3093"/>
      <c r="O168" s="3093"/>
      <c r="P168" s="3093"/>
      <c r="Q168" s="3093"/>
      <c r="R168" s="3093"/>
      <c r="S168" s="3093"/>
      <c r="T168" s="3093"/>
      <c r="U168" s="3093"/>
      <c r="V168" s="3093"/>
      <c r="W168" s="3093"/>
      <c r="X168" s="3093"/>
      <c r="Y168" s="3093"/>
      <c r="Z168" s="3093"/>
      <c r="AA168" s="3093"/>
      <c r="AB168" s="3093"/>
      <c r="AC168" s="3083">
        <f t="shared" si="67"/>
        <v>0</v>
      </c>
      <c r="AD168" s="3103"/>
      <c r="AE168" s="3103"/>
      <c r="AF168" s="3103"/>
      <c r="AG168" s="3103"/>
      <c r="AH168" s="3103"/>
      <c r="AI168" s="3103"/>
      <c r="AJ168" s="3103"/>
      <c r="AK168" s="3103"/>
      <c r="AL168" s="3103"/>
      <c r="AM168" s="3103"/>
      <c r="AN168" s="3103"/>
      <c r="AO168" s="3103"/>
      <c r="AP168" s="3103"/>
      <c r="AQ168" s="3103"/>
      <c r="AR168" s="3103"/>
      <c r="AS168" s="3103"/>
      <c r="AT168" s="3113"/>
      <c r="AU168" s="3114"/>
      <c r="AV168" s="1580">
        <f t="shared" si="91"/>
        <v>0</v>
      </c>
      <c r="AW168" s="1580">
        <f t="shared" si="92"/>
        <v>0</v>
      </c>
      <c r="AX168" s="1580">
        <f t="shared" si="93"/>
        <v>0</v>
      </c>
      <c r="AY168" s="3128">
        <f t="shared" si="68"/>
        <v>0</v>
      </c>
      <c r="AZ168" s="3083">
        <f t="shared" si="69"/>
        <v>0</v>
      </c>
      <c r="BA168" s="3083">
        <f t="shared" si="70"/>
        <v>0</v>
      </c>
      <c r="BB168" s="3083">
        <f t="shared" si="71"/>
        <v>0</v>
      </c>
      <c r="BC168" s="3083">
        <f t="shared" si="72"/>
        <v>0</v>
      </c>
      <c r="BD168" s="3083">
        <f t="shared" si="73"/>
        <v>0</v>
      </c>
      <c r="BE168" s="3083">
        <f t="shared" si="74"/>
        <v>0</v>
      </c>
      <c r="BF168" s="3083">
        <f t="shared" si="75"/>
        <v>0</v>
      </c>
      <c r="BG168" s="3083">
        <f t="shared" si="76"/>
        <v>0</v>
      </c>
      <c r="BH168" s="3083">
        <f t="shared" si="77"/>
        <v>0</v>
      </c>
      <c r="BI168" s="3083">
        <f t="shared" si="78"/>
        <v>0</v>
      </c>
      <c r="BJ168" s="3083">
        <f t="shared" si="79"/>
        <v>0</v>
      </c>
      <c r="BK168" s="3083">
        <f t="shared" si="80"/>
        <v>0</v>
      </c>
      <c r="BL168" s="3083">
        <f t="shared" si="81"/>
        <v>0</v>
      </c>
      <c r="BM168" s="3083">
        <f t="shared" si="82"/>
        <v>0</v>
      </c>
      <c r="BN168" s="3083">
        <f t="shared" si="83"/>
        <v>0</v>
      </c>
      <c r="BO168" s="3083">
        <f t="shared" si="84"/>
        <v>0</v>
      </c>
      <c r="BP168" s="3083">
        <f t="shared" si="85"/>
        <v>0</v>
      </c>
      <c r="BQ168" s="3083">
        <f t="shared" si="86"/>
        <v>0</v>
      </c>
      <c r="BR168" s="3083">
        <f t="shared" si="87"/>
        <v>0</v>
      </c>
      <c r="BS168" s="3083">
        <f t="shared" si="88"/>
        <v>0</v>
      </c>
      <c r="BT168" s="3135">
        <f t="shared" si="89"/>
        <v>0</v>
      </c>
    </row>
    <row r="169" spans="1:72">
      <c r="A169" s="3080"/>
      <c r="B169" s="3081"/>
      <c r="C169" s="3081"/>
      <c r="D169" s="3082"/>
      <c r="E169" s="3083">
        <f t="shared" si="90"/>
        <v>0</v>
      </c>
      <c r="F169" s="3084"/>
      <c r="G169" s="3085">
        <f t="shared" si="65"/>
        <v>0</v>
      </c>
      <c r="H169" s="3086">
        <f t="shared" si="66"/>
        <v>0</v>
      </c>
      <c r="I169" s="3093"/>
      <c r="J169" s="3093"/>
      <c r="K169" s="3093"/>
      <c r="L169" s="3093"/>
      <c r="M169" s="3093"/>
      <c r="N169" s="3093"/>
      <c r="O169" s="3093"/>
      <c r="P169" s="3093"/>
      <c r="Q169" s="3093"/>
      <c r="R169" s="3093"/>
      <c r="S169" s="3093"/>
      <c r="T169" s="3093"/>
      <c r="U169" s="3093"/>
      <c r="V169" s="3093"/>
      <c r="W169" s="3093"/>
      <c r="X169" s="3093"/>
      <c r="Y169" s="3093"/>
      <c r="Z169" s="3093"/>
      <c r="AA169" s="3093"/>
      <c r="AB169" s="3093"/>
      <c r="AC169" s="3083">
        <f t="shared" si="67"/>
        <v>0</v>
      </c>
      <c r="AD169" s="3103"/>
      <c r="AE169" s="3103"/>
      <c r="AF169" s="3103"/>
      <c r="AG169" s="3103"/>
      <c r="AH169" s="3103"/>
      <c r="AI169" s="3103"/>
      <c r="AJ169" s="3103"/>
      <c r="AK169" s="3103"/>
      <c r="AL169" s="3103"/>
      <c r="AM169" s="3103"/>
      <c r="AN169" s="3103"/>
      <c r="AO169" s="3103"/>
      <c r="AP169" s="3103"/>
      <c r="AQ169" s="3103"/>
      <c r="AR169" s="3103"/>
      <c r="AS169" s="3103"/>
      <c r="AT169" s="3113"/>
      <c r="AU169" s="3114"/>
      <c r="AV169" s="1580">
        <f t="shared" si="91"/>
        <v>0</v>
      </c>
      <c r="AW169" s="1580">
        <f t="shared" si="92"/>
        <v>0</v>
      </c>
      <c r="AX169" s="1580">
        <f t="shared" si="93"/>
        <v>0</v>
      </c>
      <c r="AY169" s="3128">
        <f t="shared" si="68"/>
        <v>0</v>
      </c>
      <c r="AZ169" s="3083">
        <f t="shared" si="69"/>
        <v>0</v>
      </c>
      <c r="BA169" s="3083">
        <f t="shared" si="70"/>
        <v>0</v>
      </c>
      <c r="BB169" s="3083">
        <f t="shared" si="71"/>
        <v>0</v>
      </c>
      <c r="BC169" s="3083">
        <f t="shared" si="72"/>
        <v>0</v>
      </c>
      <c r="BD169" s="3083">
        <f t="shared" si="73"/>
        <v>0</v>
      </c>
      <c r="BE169" s="3083">
        <f t="shared" si="74"/>
        <v>0</v>
      </c>
      <c r="BF169" s="3083">
        <f t="shared" si="75"/>
        <v>0</v>
      </c>
      <c r="BG169" s="3083">
        <f t="shared" si="76"/>
        <v>0</v>
      </c>
      <c r="BH169" s="3083">
        <f t="shared" si="77"/>
        <v>0</v>
      </c>
      <c r="BI169" s="3083">
        <f t="shared" si="78"/>
        <v>0</v>
      </c>
      <c r="BJ169" s="3083">
        <f t="shared" si="79"/>
        <v>0</v>
      </c>
      <c r="BK169" s="3083">
        <f t="shared" si="80"/>
        <v>0</v>
      </c>
      <c r="BL169" s="3083">
        <f t="shared" si="81"/>
        <v>0</v>
      </c>
      <c r="BM169" s="3083">
        <f t="shared" si="82"/>
        <v>0</v>
      </c>
      <c r="BN169" s="3083">
        <f t="shared" si="83"/>
        <v>0</v>
      </c>
      <c r="BO169" s="3083">
        <f t="shared" si="84"/>
        <v>0</v>
      </c>
      <c r="BP169" s="3083">
        <f t="shared" si="85"/>
        <v>0</v>
      </c>
      <c r="BQ169" s="3083">
        <f t="shared" si="86"/>
        <v>0</v>
      </c>
      <c r="BR169" s="3083">
        <f t="shared" si="87"/>
        <v>0</v>
      </c>
      <c r="BS169" s="3083">
        <f t="shared" si="88"/>
        <v>0</v>
      </c>
      <c r="BT169" s="3135">
        <f t="shared" si="89"/>
        <v>0</v>
      </c>
    </row>
    <row r="170" spans="1:72">
      <c r="A170" s="3080"/>
      <c r="B170" s="3081"/>
      <c r="C170" s="3081"/>
      <c r="D170" s="3082"/>
      <c r="E170" s="3083">
        <f t="shared" si="90"/>
        <v>0</v>
      </c>
      <c r="F170" s="3084"/>
      <c r="G170" s="3085">
        <f t="shared" si="65"/>
        <v>0</v>
      </c>
      <c r="H170" s="3086">
        <f t="shared" si="66"/>
        <v>0</v>
      </c>
      <c r="I170" s="3093"/>
      <c r="J170" s="3093"/>
      <c r="K170" s="3093"/>
      <c r="L170" s="3093"/>
      <c r="M170" s="3093"/>
      <c r="N170" s="3093"/>
      <c r="O170" s="3093"/>
      <c r="P170" s="3093"/>
      <c r="Q170" s="3093"/>
      <c r="R170" s="3093"/>
      <c r="S170" s="3093"/>
      <c r="T170" s="3093"/>
      <c r="U170" s="3093"/>
      <c r="V170" s="3093"/>
      <c r="W170" s="3093"/>
      <c r="X170" s="3093"/>
      <c r="Y170" s="3093"/>
      <c r="Z170" s="3093"/>
      <c r="AA170" s="3093"/>
      <c r="AB170" s="3093"/>
      <c r="AC170" s="3083">
        <f t="shared" si="67"/>
        <v>0</v>
      </c>
      <c r="AD170" s="3103"/>
      <c r="AE170" s="3103"/>
      <c r="AF170" s="3103"/>
      <c r="AG170" s="3103"/>
      <c r="AH170" s="3103"/>
      <c r="AI170" s="3103"/>
      <c r="AJ170" s="3103"/>
      <c r="AK170" s="3103"/>
      <c r="AL170" s="3103"/>
      <c r="AM170" s="3103"/>
      <c r="AN170" s="3103"/>
      <c r="AO170" s="3103"/>
      <c r="AP170" s="3103"/>
      <c r="AQ170" s="3103"/>
      <c r="AR170" s="3103"/>
      <c r="AS170" s="3103"/>
      <c r="AT170" s="3113"/>
      <c r="AU170" s="3114"/>
      <c r="AV170" s="1580">
        <f t="shared" si="91"/>
        <v>0</v>
      </c>
      <c r="AW170" s="1580">
        <f t="shared" si="92"/>
        <v>0</v>
      </c>
      <c r="AX170" s="1580">
        <f t="shared" si="93"/>
        <v>0</v>
      </c>
      <c r="AY170" s="3128">
        <f t="shared" si="68"/>
        <v>0</v>
      </c>
      <c r="AZ170" s="3083">
        <f t="shared" si="69"/>
        <v>0</v>
      </c>
      <c r="BA170" s="3083">
        <f t="shared" si="70"/>
        <v>0</v>
      </c>
      <c r="BB170" s="3083">
        <f t="shared" si="71"/>
        <v>0</v>
      </c>
      <c r="BC170" s="3083">
        <f t="shared" si="72"/>
        <v>0</v>
      </c>
      <c r="BD170" s="3083">
        <f t="shared" si="73"/>
        <v>0</v>
      </c>
      <c r="BE170" s="3083">
        <f t="shared" si="74"/>
        <v>0</v>
      </c>
      <c r="BF170" s="3083">
        <f t="shared" si="75"/>
        <v>0</v>
      </c>
      <c r="BG170" s="3083">
        <f t="shared" si="76"/>
        <v>0</v>
      </c>
      <c r="BH170" s="3083">
        <f t="shared" si="77"/>
        <v>0</v>
      </c>
      <c r="BI170" s="3083">
        <f t="shared" si="78"/>
        <v>0</v>
      </c>
      <c r="BJ170" s="3083">
        <f t="shared" si="79"/>
        <v>0</v>
      </c>
      <c r="BK170" s="3083">
        <f t="shared" si="80"/>
        <v>0</v>
      </c>
      <c r="BL170" s="3083">
        <f t="shared" si="81"/>
        <v>0</v>
      </c>
      <c r="BM170" s="3083">
        <f t="shared" si="82"/>
        <v>0</v>
      </c>
      <c r="BN170" s="3083">
        <f t="shared" si="83"/>
        <v>0</v>
      </c>
      <c r="BO170" s="3083">
        <f t="shared" si="84"/>
        <v>0</v>
      </c>
      <c r="BP170" s="3083">
        <f t="shared" si="85"/>
        <v>0</v>
      </c>
      <c r="BQ170" s="3083">
        <f t="shared" si="86"/>
        <v>0</v>
      </c>
      <c r="BR170" s="3083">
        <f t="shared" si="87"/>
        <v>0</v>
      </c>
      <c r="BS170" s="3083">
        <f t="shared" si="88"/>
        <v>0</v>
      </c>
      <c r="BT170" s="3135">
        <f t="shared" si="89"/>
        <v>0</v>
      </c>
    </row>
    <row r="171" spans="1:72">
      <c r="A171" s="3080"/>
      <c r="B171" s="3081"/>
      <c r="C171" s="3081"/>
      <c r="D171" s="3082"/>
      <c r="E171" s="3083">
        <f t="shared" si="90"/>
        <v>0</v>
      </c>
      <c r="F171" s="3084"/>
      <c r="G171" s="3085">
        <f t="shared" si="65"/>
        <v>0</v>
      </c>
      <c r="H171" s="3086">
        <f t="shared" si="66"/>
        <v>0</v>
      </c>
      <c r="I171" s="3093"/>
      <c r="J171" s="3093"/>
      <c r="K171" s="3093"/>
      <c r="L171" s="3093"/>
      <c r="M171" s="3093"/>
      <c r="N171" s="3093"/>
      <c r="O171" s="3093"/>
      <c r="P171" s="3093"/>
      <c r="Q171" s="3093"/>
      <c r="R171" s="3093"/>
      <c r="S171" s="3093"/>
      <c r="T171" s="3093"/>
      <c r="U171" s="3093"/>
      <c r="V171" s="3093"/>
      <c r="W171" s="3093"/>
      <c r="X171" s="3093"/>
      <c r="Y171" s="3093"/>
      <c r="Z171" s="3093"/>
      <c r="AA171" s="3093"/>
      <c r="AB171" s="3093"/>
      <c r="AC171" s="3083">
        <f t="shared" si="67"/>
        <v>0</v>
      </c>
      <c r="AD171" s="3103"/>
      <c r="AE171" s="3103"/>
      <c r="AF171" s="3103"/>
      <c r="AG171" s="3103"/>
      <c r="AH171" s="3103"/>
      <c r="AI171" s="3103"/>
      <c r="AJ171" s="3103"/>
      <c r="AK171" s="3103"/>
      <c r="AL171" s="3103"/>
      <c r="AM171" s="3103"/>
      <c r="AN171" s="3103"/>
      <c r="AO171" s="3103"/>
      <c r="AP171" s="3103"/>
      <c r="AQ171" s="3103"/>
      <c r="AR171" s="3103"/>
      <c r="AS171" s="3103"/>
      <c r="AT171" s="3113"/>
      <c r="AU171" s="3114"/>
      <c r="AV171" s="1580">
        <f t="shared" si="91"/>
        <v>0</v>
      </c>
      <c r="AW171" s="1580">
        <f t="shared" si="92"/>
        <v>0</v>
      </c>
      <c r="AX171" s="1580">
        <f t="shared" si="93"/>
        <v>0</v>
      </c>
      <c r="AY171" s="3128">
        <f t="shared" si="68"/>
        <v>0</v>
      </c>
      <c r="AZ171" s="3083">
        <f t="shared" si="69"/>
        <v>0</v>
      </c>
      <c r="BA171" s="3083">
        <f t="shared" si="70"/>
        <v>0</v>
      </c>
      <c r="BB171" s="3083">
        <f t="shared" si="71"/>
        <v>0</v>
      </c>
      <c r="BC171" s="3083">
        <f t="shared" si="72"/>
        <v>0</v>
      </c>
      <c r="BD171" s="3083">
        <f t="shared" si="73"/>
        <v>0</v>
      </c>
      <c r="BE171" s="3083">
        <f t="shared" si="74"/>
        <v>0</v>
      </c>
      <c r="BF171" s="3083">
        <f t="shared" si="75"/>
        <v>0</v>
      </c>
      <c r="BG171" s="3083">
        <f t="shared" si="76"/>
        <v>0</v>
      </c>
      <c r="BH171" s="3083">
        <f t="shared" si="77"/>
        <v>0</v>
      </c>
      <c r="BI171" s="3083">
        <f t="shared" si="78"/>
        <v>0</v>
      </c>
      <c r="BJ171" s="3083">
        <f t="shared" si="79"/>
        <v>0</v>
      </c>
      <c r="BK171" s="3083">
        <f t="shared" si="80"/>
        <v>0</v>
      </c>
      <c r="BL171" s="3083">
        <f t="shared" si="81"/>
        <v>0</v>
      </c>
      <c r="BM171" s="3083">
        <f t="shared" si="82"/>
        <v>0</v>
      </c>
      <c r="BN171" s="3083">
        <f t="shared" si="83"/>
        <v>0</v>
      </c>
      <c r="BO171" s="3083">
        <f t="shared" si="84"/>
        <v>0</v>
      </c>
      <c r="BP171" s="3083">
        <f t="shared" si="85"/>
        <v>0</v>
      </c>
      <c r="BQ171" s="3083">
        <f t="shared" si="86"/>
        <v>0</v>
      </c>
      <c r="BR171" s="3083">
        <f t="shared" si="87"/>
        <v>0</v>
      </c>
      <c r="BS171" s="3083">
        <f t="shared" si="88"/>
        <v>0</v>
      </c>
      <c r="BT171" s="3135">
        <f t="shared" si="89"/>
        <v>0</v>
      </c>
    </row>
    <row r="172" spans="1:72">
      <c r="A172" s="3080"/>
      <c r="B172" s="3081"/>
      <c r="C172" s="3081"/>
      <c r="D172" s="3082"/>
      <c r="E172" s="3083">
        <f t="shared" si="90"/>
        <v>0</v>
      </c>
      <c r="F172" s="3084"/>
      <c r="G172" s="3085">
        <f t="shared" si="65"/>
        <v>0</v>
      </c>
      <c r="H172" s="3086">
        <f t="shared" si="66"/>
        <v>0</v>
      </c>
      <c r="I172" s="3093"/>
      <c r="J172" s="3093"/>
      <c r="K172" s="3093"/>
      <c r="L172" s="3093"/>
      <c r="M172" s="3093"/>
      <c r="N172" s="3093"/>
      <c r="O172" s="3093"/>
      <c r="P172" s="3093"/>
      <c r="Q172" s="3093"/>
      <c r="R172" s="3093"/>
      <c r="S172" s="3093"/>
      <c r="T172" s="3093"/>
      <c r="U172" s="3093"/>
      <c r="V172" s="3093"/>
      <c r="W172" s="3093"/>
      <c r="X172" s="3093"/>
      <c r="Y172" s="3093"/>
      <c r="Z172" s="3093"/>
      <c r="AA172" s="3093"/>
      <c r="AB172" s="3093"/>
      <c r="AC172" s="3083">
        <f t="shared" si="67"/>
        <v>0</v>
      </c>
      <c r="AD172" s="3103"/>
      <c r="AE172" s="3103"/>
      <c r="AF172" s="3103"/>
      <c r="AG172" s="3103"/>
      <c r="AH172" s="3103"/>
      <c r="AI172" s="3103"/>
      <c r="AJ172" s="3103"/>
      <c r="AK172" s="3103"/>
      <c r="AL172" s="3103"/>
      <c r="AM172" s="3103"/>
      <c r="AN172" s="3103"/>
      <c r="AO172" s="3103"/>
      <c r="AP172" s="3103"/>
      <c r="AQ172" s="3103"/>
      <c r="AR172" s="3103"/>
      <c r="AS172" s="3103"/>
      <c r="AT172" s="3113"/>
      <c r="AU172" s="3114"/>
      <c r="AV172" s="1580">
        <f t="shared" si="91"/>
        <v>0</v>
      </c>
      <c r="AW172" s="1580">
        <f t="shared" si="92"/>
        <v>0</v>
      </c>
      <c r="AX172" s="1580">
        <f t="shared" si="93"/>
        <v>0</v>
      </c>
      <c r="AY172" s="3128">
        <f t="shared" si="68"/>
        <v>0</v>
      </c>
      <c r="AZ172" s="3083">
        <f t="shared" si="69"/>
        <v>0</v>
      </c>
      <c r="BA172" s="3083">
        <f t="shared" si="70"/>
        <v>0</v>
      </c>
      <c r="BB172" s="3083">
        <f t="shared" si="71"/>
        <v>0</v>
      </c>
      <c r="BC172" s="3083">
        <f t="shared" si="72"/>
        <v>0</v>
      </c>
      <c r="BD172" s="3083">
        <f t="shared" si="73"/>
        <v>0</v>
      </c>
      <c r="BE172" s="3083">
        <f t="shared" si="74"/>
        <v>0</v>
      </c>
      <c r="BF172" s="3083">
        <f t="shared" si="75"/>
        <v>0</v>
      </c>
      <c r="BG172" s="3083">
        <f t="shared" si="76"/>
        <v>0</v>
      </c>
      <c r="BH172" s="3083">
        <f t="shared" si="77"/>
        <v>0</v>
      </c>
      <c r="BI172" s="3083">
        <f t="shared" si="78"/>
        <v>0</v>
      </c>
      <c r="BJ172" s="3083">
        <f t="shared" si="79"/>
        <v>0</v>
      </c>
      <c r="BK172" s="3083">
        <f t="shared" si="80"/>
        <v>0</v>
      </c>
      <c r="BL172" s="3083">
        <f t="shared" si="81"/>
        <v>0</v>
      </c>
      <c r="BM172" s="3083">
        <f t="shared" si="82"/>
        <v>0</v>
      </c>
      <c r="BN172" s="3083">
        <f t="shared" si="83"/>
        <v>0</v>
      </c>
      <c r="BO172" s="3083">
        <f t="shared" si="84"/>
        <v>0</v>
      </c>
      <c r="BP172" s="3083">
        <f t="shared" si="85"/>
        <v>0</v>
      </c>
      <c r="BQ172" s="3083">
        <f t="shared" si="86"/>
        <v>0</v>
      </c>
      <c r="BR172" s="3083">
        <f t="shared" si="87"/>
        <v>0</v>
      </c>
      <c r="BS172" s="3083">
        <f t="shared" si="88"/>
        <v>0</v>
      </c>
      <c r="BT172" s="3135">
        <f t="shared" si="89"/>
        <v>0</v>
      </c>
    </row>
    <row r="173" spans="1:72">
      <c r="A173" s="3080"/>
      <c r="B173" s="3081"/>
      <c r="C173" s="3081"/>
      <c r="D173" s="3082"/>
      <c r="E173" s="3083">
        <f t="shared" si="90"/>
        <v>0</v>
      </c>
      <c r="F173" s="3084"/>
      <c r="G173" s="3085">
        <f t="shared" si="65"/>
        <v>0</v>
      </c>
      <c r="H173" s="3086">
        <f t="shared" si="66"/>
        <v>0</v>
      </c>
      <c r="I173" s="3093"/>
      <c r="J173" s="3093"/>
      <c r="K173" s="3093"/>
      <c r="L173" s="3093"/>
      <c r="M173" s="3093"/>
      <c r="N173" s="3093"/>
      <c r="O173" s="3093"/>
      <c r="P173" s="3093"/>
      <c r="Q173" s="3093"/>
      <c r="R173" s="3093"/>
      <c r="S173" s="3093"/>
      <c r="T173" s="3093"/>
      <c r="U173" s="3093"/>
      <c r="V173" s="3093"/>
      <c r="W173" s="3093"/>
      <c r="X173" s="3093"/>
      <c r="Y173" s="3093"/>
      <c r="Z173" s="3093"/>
      <c r="AA173" s="3093"/>
      <c r="AB173" s="3093"/>
      <c r="AC173" s="3083">
        <f t="shared" si="67"/>
        <v>0</v>
      </c>
      <c r="AD173" s="3103"/>
      <c r="AE173" s="3103"/>
      <c r="AF173" s="3103"/>
      <c r="AG173" s="3103"/>
      <c r="AH173" s="3103"/>
      <c r="AI173" s="3103"/>
      <c r="AJ173" s="3103"/>
      <c r="AK173" s="3103"/>
      <c r="AL173" s="3103"/>
      <c r="AM173" s="3103"/>
      <c r="AN173" s="3103"/>
      <c r="AO173" s="3103"/>
      <c r="AP173" s="3103"/>
      <c r="AQ173" s="3103"/>
      <c r="AR173" s="3103"/>
      <c r="AS173" s="3103"/>
      <c r="AT173" s="3113"/>
      <c r="AU173" s="3114"/>
      <c r="AV173" s="1580">
        <f t="shared" si="91"/>
        <v>0</v>
      </c>
      <c r="AW173" s="1580">
        <f t="shared" si="92"/>
        <v>0</v>
      </c>
      <c r="AX173" s="1580">
        <f t="shared" si="93"/>
        <v>0</v>
      </c>
      <c r="AY173" s="3128">
        <f t="shared" si="68"/>
        <v>0</v>
      </c>
      <c r="AZ173" s="3083">
        <f t="shared" si="69"/>
        <v>0</v>
      </c>
      <c r="BA173" s="3083">
        <f t="shared" si="70"/>
        <v>0</v>
      </c>
      <c r="BB173" s="3083">
        <f t="shared" si="71"/>
        <v>0</v>
      </c>
      <c r="BC173" s="3083">
        <f t="shared" si="72"/>
        <v>0</v>
      </c>
      <c r="BD173" s="3083">
        <f t="shared" si="73"/>
        <v>0</v>
      </c>
      <c r="BE173" s="3083">
        <f t="shared" si="74"/>
        <v>0</v>
      </c>
      <c r="BF173" s="3083">
        <f t="shared" si="75"/>
        <v>0</v>
      </c>
      <c r="BG173" s="3083">
        <f t="shared" si="76"/>
        <v>0</v>
      </c>
      <c r="BH173" s="3083">
        <f t="shared" si="77"/>
        <v>0</v>
      </c>
      <c r="BI173" s="3083">
        <f t="shared" si="78"/>
        <v>0</v>
      </c>
      <c r="BJ173" s="3083">
        <f t="shared" si="79"/>
        <v>0</v>
      </c>
      <c r="BK173" s="3083">
        <f t="shared" si="80"/>
        <v>0</v>
      </c>
      <c r="BL173" s="3083">
        <f t="shared" si="81"/>
        <v>0</v>
      </c>
      <c r="BM173" s="3083">
        <f t="shared" si="82"/>
        <v>0</v>
      </c>
      <c r="BN173" s="3083">
        <f t="shared" si="83"/>
        <v>0</v>
      </c>
      <c r="BO173" s="3083">
        <f t="shared" si="84"/>
        <v>0</v>
      </c>
      <c r="BP173" s="3083">
        <f t="shared" si="85"/>
        <v>0</v>
      </c>
      <c r="BQ173" s="3083">
        <f t="shared" si="86"/>
        <v>0</v>
      </c>
      <c r="BR173" s="3083">
        <f t="shared" si="87"/>
        <v>0</v>
      </c>
      <c r="BS173" s="3083">
        <f t="shared" si="88"/>
        <v>0</v>
      </c>
      <c r="BT173" s="3135">
        <f t="shared" si="89"/>
        <v>0</v>
      </c>
    </row>
    <row r="174" spans="1:72">
      <c r="A174" s="3080"/>
      <c r="B174" s="3081"/>
      <c r="C174" s="3081"/>
      <c r="D174" s="3082"/>
      <c r="E174" s="3083">
        <f t="shared" si="90"/>
        <v>0</v>
      </c>
      <c r="F174" s="3084"/>
      <c r="G174" s="3085">
        <f t="shared" ref="G174:G207" si="94">H174+AC174+AT174</f>
        <v>0</v>
      </c>
      <c r="H174" s="3086">
        <f t="shared" ref="H174:H207" si="95">SUMIF(I$12:AB$12,"总值",I174:AB174)</f>
        <v>0</v>
      </c>
      <c r="I174" s="3093"/>
      <c r="J174" s="3093"/>
      <c r="K174" s="3093"/>
      <c r="L174" s="3093"/>
      <c r="M174" s="3093"/>
      <c r="N174" s="3093"/>
      <c r="O174" s="3093"/>
      <c r="P174" s="3093"/>
      <c r="Q174" s="3093"/>
      <c r="R174" s="3093"/>
      <c r="S174" s="3093"/>
      <c r="T174" s="3093"/>
      <c r="U174" s="3093"/>
      <c r="V174" s="3093"/>
      <c r="W174" s="3093"/>
      <c r="X174" s="3093"/>
      <c r="Y174" s="3093"/>
      <c r="Z174" s="3093"/>
      <c r="AA174" s="3093"/>
      <c r="AB174" s="3093"/>
      <c r="AC174" s="3083">
        <f t="shared" ref="AC174:AC207" si="96">SUMIF(AD$12:AS$12,"总值",AD174:AS174)</f>
        <v>0</v>
      </c>
      <c r="AD174" s="3103"/>
      <c r="AE174" s="3103"/>
      <c r="AF174" s="3103"/>
      <c r="AG174" s="3103"/>
      <c r="AH174" s="3103"/>
      <c r="AI174" s="3103"/>
      <c r="AJ174" s="3103"/>
      <c r="AK174" s="3103"/>
      <c r="AL174" s="3103"/>
      <c r="AM174" s="3103"/>
      <c r="AN174" s="3103"/>
      <c r="AO174" s="3103"/>
      <c r="AP174" s="3103"/>
      <c r="AQ174" s="3103"/>
      <c r="AR174" s="3103"/>
      <c r="AS174" s="3103"/>
      <c r="AT174" s="3113"/>
      <c r="AU174" s="3114"/>
      <c r="AV174" s="1580">
        <f t="shared" si="91"/>
        <v>0</v>
      </c>
      <c r="AW174" s="1580">
        <f t="shared" si="92"/>
        <v>0</v>
      </c>
      <c r="AX174" s="1580">
        <f t="shared" si="93"/>
        <v>0</v>
      </c>
      <c r="AY174" s="3128">
        <f t="shared" ref="AY174:AY207" si="97">ROUND($AY$6*AZ174/$AZ$5,2)</f>
        <v>0</v>
      </c>
      <c r="AZ174" s="3083">
        <f t="shared" ref="AZ174:AZ207" si="98">BA174+BL174</f>
        <v>0</v>
      </c>
      <c r="BA174" s="3083">
        <f t="shared" ref="BA174:BA207" si="99">SUM(BB174:BK174)</f>
        <v>0</v>
      </c>
      <c r="BB174" s="3083">
        <f t="shared" ref="BB174:BB207" si="100">IF($D174="是",I174-J174,0)</f>
        <v>0</v>
      </c>
      <c r="BC174" s="3083">
        <f t="shared" ref="BC174:BC207" si="101">IF($D174="是",K174-L174,0)</f>
        <v>0</v>
      </c>
      <c r="BD174" s="3083">
        <f t="shared" ref="BD174:BD207" si="102">IF($D174="是",M174-N174,0)</f>
        <v>0</v>
      </c>
      <c r="BE174" s="3083">
        <f t="shared" ref="BE174:BE207" si="103">IF($D174="是",O174-P174,0)</f>
        <v>0</v>
      </c>
      <c r="BF174" s="3083">
        <f t="shared" ref="BF174:BF207" si="104">IF($D174="是",Q174-R174,0)</f>
        <v>0</v>
      </c>
      <c r="BG174" s="3083">
        <f t="shared" ref="BG174:BG207" si="105">IF($D174="是",S174-T174,0)</f>
        <v>0</v>
      </c>
      <c r="BH174" s="3083">
        <f t="shared" ref="BH174:BH207" si="106">IF($D174="是",U174-V174,0)</f>
        <v>0</v>
      </c>
      <c r="BI174" s="3083">
        <f t="shared" ref="BI174:BI207" si="107">IF($D174="是",W174-X174,0)</f>
        <v>0</v>
      </c>
      <c r="BJ174" s="3083">
        <f t="shared" ref="BJ174:BJ207" si="108">IF($D174="是",Y174-Z174,0)</f>
        <v>0</v>
      </c>
      <c r="BK174" s="3083">
        <f t="shared" ref="BK174:BK207" si="109">IF($D174="是",AA174-AB174,0)</f>
        <v>0</v>
      </c>
      <c r="BL174" s="3083">
        <f t="shared" ref="BL174:BL207" si="110">SUM(BM174:BT174)</f>
        <v>0</v>
      </c>
      <c r="BM174" s="3083">
        <f t="shared" ref="BM174:BM207" si="111">IF($D174="是",AD174-AE174,0)</f>
        <v>0</v>
      </c>
      <c r="BN174" s="3083">
        <f t="shared" ref="BN174:BN207" si="112">IF($D174="是",AF174-AG174,0)</f>
        <v>0</v>
      </c>
      <c r="BO174" s="3083">
        <f t="shared" ref="BO174:BO207" si="113">IF($D174="是",AH174-AI174,0)</f>
        <v>0</v>
      </c>
      <c r="BP174" s="3083">
        <f t="shared" ref="BP174:BP207" si="114">IF($D174="是",AJ174-AK174,0)</f>
        <v>0</v>
      </c>
      <c r="BQ174" s="3083">
        <f t="shared" ref="BQ174:BQ207" si="115">IF($D174="是",AL174-AM174,0)</f>
        <v>0</v>
      </c>
      <c r="BR174" s="3083">
        <f t="shared" ref="BR174:BR207" si="116">IF($D174="是",AN174-AO174,0)</f>
        <v>0</v>
      </c>
      <c r="BS174" s="3083">
        <f t="shared" ref="BS174:BS207" si="117">IF($D174="是",AP174-AQ174,0)</f>
        <v>0</v>
      </c>
      <c r="BT174" s="3135">
        <f t="shared" ref="BT174:BT207" si="118">IF($D174="是",AR174-AS174,0)</f>
        <v>0</v>
      </c>
    </row>
    <row r="175" spans="1:72">
      <c r="A175" s="3080"/>
      <c r="B175" s="3081"/>
      <c r="C175" s="3081"/>
      <c r="D175" s="3082"/>
      <c r="E175" s="3083">
        <f t="shared" si="90"/>
        <v>0</v>
      </c>
      <c r="F175" s="3084"/>
      <c r="G175" s="3085">
        <f t="shared" si="94"/>
        <v>0</v>
      </c>
      <c r="H175" s="3086">
        <f t="shared" si="95"/>
        <v>0</v>
      </c>
      <c r="I175" s="3093"/>
      <c r="J175" s="3093"/>
      <c r="K175" s="3093"/>
      <c r="L175" s="3093"/>
      <c r="M175" s="3093"/>
      <c r="N175" s="3093"/>
      <c r="O175" s="3093"/>
      <c r="P175" s="3093"/>
      <c r="Q175" s="3093"/>
      <c r="R175" s="3093"/>
      <c r="S175" s="3093"/>
      <c r="T175" s="3093"/>
      <c r="U175" s="3093"/>
      <c r="V175" s="3093"/>
      <c r="W175" s="3093"/>
      <c r="X175" s="3093"/>
      <c r="Y175" s="3093"/>
      <c r="Z175" s="3093"/>
      <c r="AA175" s="3093"/>
      <c r="AB175" s="3093"/>
      <c r="AC175" s="3083">
        <f t="shared" si="96"/>
        <v>0</v>
      </c>
      <c r="AD175" s="3103"/>
      <c r="AE175" s="3103"/>
      <c r="AF175" s="3103"/>
      <c r="AG175" s="3103"/>
      <c r="AH175" s="3103"/>
      <c r="AI175" s="3103"/>
      <c r="AJ175" s="3103"/>
      <c r="AK175" s="3103"/>
      <c r="AL175" s="3103"/>
      <c r="AM175" s="3103"/>
      <c r="AN175" s="3103"/>
      <c r="AO175" s="3103"/>
      <c r="AP175" s="3103"/>
      <c r="AQ175" s="3103"/>
      <c r="AR175" s="3103"/>
      <c r="AS175" s="3103"/>
      <c r="AT175" s="3113"/>
      <c r="AU175" s="3114"/>
      <c r="AV175" s="1580">
        <f t="shared" si="91"/>
        <v>0</v>
      </c>
      <c r="AW175" s="1580">
        <f t="shared" si="92"/>
        <v>0</v>
      </c>
      <c r="AX175" s="1580">
        <f t="shared" si="93"/>
        <v>0</v>
      </c>
      <c r="AY175" s="3128">
        <f t="shared" si="97"/>
        <v>0</v>
      </c>
      <c r="AZ175" s="3083">
        <f t="shared" si="98"/>
        <v>0</v>
      </c>
      <c r="BA175" s="3083">
        <f t="shared" si="99"/>
        <v>0</v>
      </c>
      <c r="BB175" s="3083">
        <f t="shared" si="100"/>
        <v>0</v>
      </c>
      <c r="BC175" s="3083">
        <f t="shared" si="101"/>
        <v>0</v>
      </c>
      <c r="BD175" s="3083">
        <f t="shared" si="102"/>
        <v>0</v>
      </c>
      <c r="BE175" s="3083">
        <f t="shared" si="103"/>
        <v>0</v>
      </c>
      <c r="BF175" s="3083">
        <f t="shared" si="104"/>
        <v>0</v>
      </c>
      <c r="BG175" s="3083">
        <f t="shared" si="105"/>
        <v>0</v>
      </c>
      <c r="BH175" s="3083">
        <f t="shared" si="106"/>
        <v>0</v>
      </c>
      <c r="BI175" s="3083">
        <f t="shared" si="107"/>
        <v>0</v>
      </c>
      <c r="BJ175" s="3083">
        <f t="shared" si="108"/>
        <v>0</v>
      </c>
      <c r="BK175" s="3083">
        <f t="shared" si="109"/>
        <v>0</v>
      </c>
      <c r="BL175" s="3083">
        <f t="shared" si="110"/>
        <v>0</v>
      </c>
      <c r="BM175" s="3083">
        <f t="shared" si="111"/>
        <v>0</v>
      </c>
      <c r="BN175" s="3083">
        <f t="shared" si="112"/>
        <v>0</v>
      </c>
      <c r="BO175" s="3083">
        <f t="shared" si="113"/>
        <v>0</v>
      </c>
      <c r="BP175" s="3083">
        <f t="shared" si="114"/>
        <v>0</v>
      </c>
      <c r="BQ175" s="3083">
        <f t="shared" si="115"/>
        <v>0</v>
      </c>
      <c r="BR175" s="3083">
        <f t="shared" si="116"/>
        <v>0</v>
      </c>
      <c r="BS175" s="3083">
        <f t="shared" si="117"/>
        <v>0</v>
      </c>
      <c r="BT175" s="3135">
        <f t="shared" si="118"/>
        <v>0</v>
      </c>
    </row>
    <row r="176" spans="1:72">
      <c r="A176" s="3080"/>
      <c r="B176" s="3081"/>
      <c r="C176" s="3081"/>
      <c r="D176" s="3082"/>
      <c r="E176" s="3083">
        <f t="shared" si="90"/>
        <v>0</v>
      </c>
      <c r="F176" s="3084"/>
      <c r="G176" s="3085">
        <f t="shared" si="94"/>
        <v>0</v>
      </c>
      <c r="H176" s="3086">
        <f t="shared" si="95"/>
        <v>0</v>
      </c>
      <c r="I176" s="3093"/>
      <c r="J176" s="3093"/>
      <c r="K176" s="3093"/>
      <c r="L176" s="3093"/>
      <c r="M176" s="3093"/>
      <c r="N176" s="3093"/>
      <c r="O176" s="3093"/>
      <c r="P176" s="3093"/>
      <c r="Q176" s="3093"/>
      <c r="R176" s="3093"/>
      <c r="S176" s="3093"/>
      <c r="T176" s="3093"/>
      <c r="U176" s="3093"/>
      <c r="V176" s="3093"/>
      <c r="W176" s="3093"/>
      <c r="X176" s="3093"/>
      <c r="Y176" s="3093"/>
      <c r="Z176" s="3093"/>
      <c r="AA176" s="3093"/>
      <c r="AB176" s="3093"/>
      <c r="AC176" s="3083">
        <f t="shared" si="96"/>
        <v>0</v>
      </c>
      <c r="AD176" s="3103"/>
      <c r="AE176" s="3103"/>
      <c r="AF176" s="3103"/>
      <c r="AG176" s="3103"/>
      <c r="AH176" s="3103"/>
      <c r="AI176" s="3103"/>
      <c r="AJ176" s="3103"/>
      <c r="AK176" s="3103"/>
      <c r="AL176" s="3103"/>
      <c r="AM176" s="3103"/>
      <c r="AN176" s="3103"/>
      <c r="AO176" s="3103"/>
      <c r="AP176" s="3103"/>
      <c r="AQ176" s="3103"/>
      <c r="AR176" s="3103"/>
      <c r="AS176" s="3103"/>
      <c r="AT176" s="3113"/>
      <c r="AU176" s="3114"/>
      <c r="AV176" s="1580">
        <f t="shared" si="91"/>
        <v>0</v>
      </c>
      <c r="AW176" s="1580">
        <f t="shared" si="92"/>
        <v>0</v>
      </c>
      <c r="AX176" s="1580">
        <f t="shared" si="93"/>
        <v>0</v>
      </c>
      <c r="AY176" s="3128">
        <f t="shared" si="97"/>
        <v>0</v>
      </c>
      <c r="AZ176" s="3083">
        <f t="shared" si="98"/>
        <v>0</v>
      </c>
      <c r="BA176" s="3083">
        <f t="shared" si="99"/>
        <v>0</v>
      </c>
      <c r="BB176" s="3083">
        <f t="shared" si="100"/>
        <v>0</v>
      </c>
      <c r="BC176" s="3083">
        <f t="shared" si="101"/>
        <v>0</v>
      </c>
      <c r="BD176" s="3083">
        <f t="shared" si="102"/>
        <v>0</v>
      </c>
      <c r="BE176" s="3083">
        <f t="shared" si="103"/>
        <v>0</v>
      </c>
      <c r="BF176" s="3083">
        <f t="shared" si="104"/>
        <v>0</v>
      </c>
      <c r="BG176" s="3083">
        <f t="shared" si="105"/>
        <v>0</v>
      </c>
      <c r="BH176" s="3083">
        <f t="shared" si="106"/>
        <v>0</v>
      </c>
      <c r="BI176" s="3083">
        <f t="shared" si="107"/>
        <v>0</v>
      </c>
      <c r="BJ176" s="3083">
        <f t="shared" si="108"/>
        <v>0</v>
      </c>
      <c r="BK176" s="3083">
        <f t="shared" si="109"/>
        <v>0</v>
      </c>
      <c r="BL176" s="3083">
        <f t="shared" si="110"/>
        <v>0</v>
      </c>
      <c r="BM176" s="3083">
        <f t="shared" si="111"/>
        <v>0</v>
      </c>
      <c r="BN176" s="3083">
        <f t="shared" si="112"/>
        <v>0</v>
      </c>
      <c r="BO176" s="3083">
        <f t="shared" si="113"/>
        <v>0</v>
      </c>
      <c r="BP176" s="3083">
        <f t="shared" si="114"/>
        <v>0</v>
      </c>
      <c r="BQ176" s="3083">
        <f t="shared" si="115"/>
        <v>0</v>
      </c>
      <c r="BR176" s="3083">
        <f t="shared" si="116"/>
        <v>0</v>
      </c>
      <c r="BS176" s="3083">
        <f t="shared" si="117"/>
        <v>0</v>
      </c>
      <c r="BT176" s="3135">
        <f t="shared" si="118"/>
        <v>0</v>
      </c>
    </row>
    <row r="177" spans="1:72">
      <c r="A177" s="3080"/>
      <c r="B177" s="3081"/>
      <c r="C177" s="3081"/>
      <c r="D177" s="3082"/>
      <c r="E177" s="3083">
        <f t="shared" ref="E177:E207" si="119">IF($C$3="是",ROUND($A$3*G177/$B$3,2),ROUND($A$3*(G177-AT177)/$B$3,2))</f>
        <v>0</v>
      </c>
      <c r="F177" s="3084"/>
      <c r="G177" s="3085">
        <f t="shared" si="94"/>
        <v>0</v>
      </c>
      <c r="H177" s="3086">
        <f t="shared" si="95"/>
        <v>0</v>
      </c>
      <c r="I177" s="3093"/>
      <c r="J177" s="3093"/>
      <c r="K177" s="3093"/>
      <c r="L177" s="3093"/>
      <c r="M177" s="3093"/>
      <c r="N177" s="3093"/>
      <c r="O177" s="3093"/>
      <c r="P177" s="3093"/>
      <c r="Q177" s="3093"/>
      <c r="R177" s="3093"/>
      <c r="S177" s="3093"/>
      <c r="T177" s="3093"/>
      <c r="U177" s="3093"/>
      <c r="V177" s="3093"/>
      <c r="W177" s="3093"/>
      <c r="X177" s="3093"/>
      <c r="Y177" s="3093"/>
      <c r="Z177" s="3093"/>
      <c r="AA177" s="3093"/>
      <c r="AB177" s="3093"/>
      <c r="AC177" s="3083">
        <f t="shared" si="96"/>
        <v>0</v>
      </c>
      <c r="AD177" s="3103"/>
      <c r="AE177" s="3103"/>
      <c r="AF177" s="3103"/>
      <c r="AG177" s="3103"/>
      <c r="AH177" s="3103"/>
      <c r="AI177" s="3103"/>
      <c r="AJ177" s="3103"/>
      <c r="AK177" s="3103"/>
      <c r="AL177" s="3103"/>
      <c r="AM177" s="3103"/>
      <c r="AN177" s="3103"/>
      <c r="AO177" s="3103"/>
      <c r="AP177" s="3103"/>
      <c r="AQ177" s="3103"/>
      <c r="AR177" s="3103"/>
      <c r="AS177" s="3103"/>
      <c r="AT177" s="3113"/>
      <c r="AU177" s="3114"/>
      <c r="AV177" s="1580">
        <f t="shared" ref="AV177:AV207" si="120">A177</f>
        <v>0</v>
      </c>
      <c r="AW177" s="1580">
        <f t="shared" ref="AW177:AW207" si="121">B177</f>
        <v>0</v>
      </c>
      <c r="AX177" s="1580">
        <f t="shared" ref="AX177:AX207" si="122">C177</f>
        <v>0</v>
      </c>
      <c r="AY177" s="3128">
        <f t="shared" si="97"/>
        <v>0</v>
      </c>
      <c r="AZ177" s="3083">
        <f t="shared" si="98"/>
        <v>0</v>
      </c>
      <c r="BA177" s="3083">
        <f t="shared" si="99"/>
        <v>0</v>
      </c>
      <c r="BB177" s="3083">
        <f t="shared" si="100"/>
        <v>0</v>
      </c>
      <c r="BC177" s="3083">
        <f t="shared" si="101"/>
        <v>0</v>
      </c>
      <c r="BD177" s="3083">
        <f t="shared" si="102"/>
        <v>0</v>
      </c>
      <c r="BE177" s="3083">
        <f t="shared" si="103"/>
        <v>0</v>
      </c>
      <c r="BF177" s="3083">
        <f t="shared" si="104"/>
        <v>0</v>
      </c>
      <c r="BG177" s="3083">
        <f t="shared" si="105"/>
        <v>0</v>
      </c>
      <c r="BH177" s="3083">
        <f t="shared" si="106"/>
        <v>0</v>
      </c>
      <c r="BI177" s="3083">
        <f t="shared" si="107"/>
        <v>0</v>
      </c>
      <c r="BJ177" s="3083">
        <f t="shared" si="108"/>
        <v>0</v>
      </c>
      <c r="BK177" s="3083">
        <f t="shared" si="109"/>
        <v>0</v>
      </c>
      <c r="BL177" s="3083">
        <f t="shared" si="110"/>
        <v>0</v>
      </c>
      <c r="BM177" s="3083">
        <f t="shared" si="111"/>
        <v>0</v>
      </c>
      <c r="BN177" s="3083">
        <f t="shared" si="112"/>
        <v>0</v>
      </c>
      <c r="BO177" s="3083">
        <f t="shared" si="113"/>
        <v>0</v>
      </c>
      <c r="BP177" s="3083">
        <f t="shared" si="114"/>
        <v>0</v>
      </c>
      <c r="BQ177" s="3083">
        <f t="shared" si="115"/>
        <v>0</v>
      </c>
      <c r="BR177" s="3083">
        <f t="shared" si="116"/>
        <v>0</v>
      </c>
      <c r="BS177" s="3083">
        <f t="shared" si="117"/>
        <v>0</v>
      </c>
      <c r="BT177" s="3135">
        <f t="shared" si="118"/>
        <v>0</v>
      </c>
    </row>
    <row r="178" spans="1:72">
      <c r="A178" s="3080"/>
      <c r="B178" s="3081"/>
      <c r="C178" s="3081"/>
      <c r="D178" s="3082"/>
      <c r="E178" s="3083">
        <f t="shared" si="119"/>
        <v>0</v>
      </c>
      <c r="F178" s="3084"/>
      <c r="G178" s="3085">
        <f t="shared" si="94"/>
        <v>0</v>
      </c>
      <c r="H178" s="3086">
        <f t="shared" si="95"/>
        <v>0</v>
      </c>
      <c r="I178" s="3093"/>
      <c r="J178" s="3093"/>
      <c r="K178" s="3093"/>
      <c r="L178" s="3093"/>
      <c r="M178" s="3093"/>
      <c r="N178" s="3093"/>
      <c r="O178" s="3093"/>
      <c r="P178" s="3093"/>
      <c r="Q178" s="3093"/>
      <c r="R178" s="3093"/>
      <c r="S178" s="3093"/>
      <c r="T178" s="3093"/>
      <c r="U178" s="3093"/>
      <c r="V178" s="3093"/>
      <c r="W178" s="3093"/>
      <c r="X178" s="3093"/>
      <c r="Y178" s="3093"/>
      <c r="Z178" s="3093"/>
      <c r="AA178" s="3093"/>
      <c r="AB178" s="3093"/>
      <c r="AC178" s="3083">
        <f t="shared" si="96"/>
        <v>0</v>
      </c>
      <c r="AD178" s="3103"/>
      <c r="AE178" s="3103"/>
      <c r="AF178" s="3103"/>
      <c r="AG178" s="3103"/>
      <c r="AH178" s="3103"/>
      <c r="AI178" s="3103"/>
      <c r="AJ178" s="3103"/>
      <c r="AK178" s="3103"/>
      <c r="AL178" s="3103"/>
      <c r="AM178" s="3103"/>
      <c r="AN178" s="3103"/>
      <c r="AO178" s="3103"/>
      <c r="AP178" s="3103"/>
      <c r="AQ178" s="3103"/>
      <c r="AR178" s="3103"/>
      <c r="AS178" s="3103"/>
      <c r="AT178" s="3113"/>
      <c r="AU178" s="3114"/>
      <c r="AV178" s="1580">
        <f t="shared" si="120"/>
        <v>0</v>
      </c>
      <c r="AW178" s="1580">
        <f t="shared" si="121"/>
        <v>0</v>
      </c>
      <c r="AX178" s="1580">
        <f t="shared" si="122"/>
        <v>0</v>
      </c>
      <c r="AY178" s="3128">
        <f t="shared" si="97"/>
        <v>0</v>
      </c>
      <c r="AZ178" s="3083">
        <f t="shared" si="98"/>
        <v>0</v>
      </c>
      <c r="BA178" s="3083">
        <f t="shared" si="99"/>
        <v>0</v>
      </c>
      <c r="BB178" s="3083">
        <f t="shared" si="100"/>
        <v>0</v>
      </c>
      <c r="BC178" s="3083">
        <f t="shared" si="101"/>
        <v>0</v>
      </c>
      <c r="BD178" s="3083">
        <f t="shared" si="102"/>
        <v>0</v>
      </c>
      <c r="BE178" s="3083">
        <f t="shared" si="103"/>
        <v>0</v>
      </c>
      <c r="BF178" s="3083">
        <f t="shared" si="104"/>
        <v>0</v>
      </c>
      <c r="BG178" s="3083">
        <f t="shared" si="105"/>
        <v>0</v>
      </c>
      <c r="BH178" s="3083">
        <f t="shared" si="106"/>
        <v>0</v>
      </c>
      <c r="BI178" s="3083">
        <f t="shared" si="107"/>
        <v>0</v>
      </c>
      <c r="BJ178" s="3083">
        <f t="shared" si="108"/>
        <v>0</v>
      </c>
      <c r="BK178" s="3083">
        <f t="shared" si="109"/>
        <v>0</v>
      </c>
      <c r="BL178" s="3083">
        <f t="shared" si="110"/>
        <v>0</v>
      </c>
      <c r="BM178" s="3083">
        <f t="shared" si="111"/>
        <v>0</v>
      </c>
      <c r="BN178" s="3083">
        <f t="shared" si="112"/>
        <v>0</v>
      </c>
      <c r="BO178" s="3083">
        <f t="shared" si="113"/>
        <v>0</v>
      </c>
      <c r="BP178" s="3083">
        <f t="shared" si="114"/>
        <v>0</v>
      </c>
      <c r="BQ178" s="3083">
        <f t="shared" si="115"/>
        <v>0</v>
      </c>
      <c r="BR178" s="3083">
        <f t="shared" si="116"/>
        <v>0</v>
      </c>
      <c r="BS178" s="3083">
        <f t="shared" si="117"/>
        <v>0</v>
      </c>
      <c r="BT178" s="3135">
        <f t="shared" si="118"/>
        <v>0</v>
      </c>
    </row>
    <row r="179" spans="1:72">
      <c r="A179" s="3080"/>
      <c r="B179" s="3081"/>
      <c r="C179" s="3081"/>
      <c r="D179" s="3082"/>
      <c r="E179" s="3083">
        <f t="shared" si="119"/>
        <v>0</v>
      </c>
      <c r="F179" s="3084"/>
      <c r="G179" s="3085">
        <f t="shared" si="94"/>
        <v>0</v>
      </c>
      <c r="H179" s="3086">
        <f t="shared" si="95"/>
        <v>0</v>
      </c>
      <c r="I179" s="3093"/>
      <c r="J179" s="3093"/>
      <c r="K179" s="3093"/>
      <c r="L179" s="3093"/>
      <c r="M179" s="3093"/>
      <c r="N179" s="3093"/>
      <c r="O179" s="3093"/>
      <c r="P179" s="3093"/>
      <c r="Q179" s="3093"/>
      <c r="R179" s="3093"/>
      <c r="S179" s="3093"/>
      <c r="T179" s="3093"/>
      <c r="U179" s="3093"/>
      <c r="V179" s="3093"/>
      <c r="W179" s="3093"/>
      <c r="X179" s="3093"/>
      <c r="Y179" s="3093"/>
      <c r="Z179" s="3093"/>
      <c r="AA179" s="3093"/>
      <c r="AB179" s="3093"/>
      <c r="AC179" s="3083">
        <f t="shared" si="96"/>
        <v>0</v>
      </c>
      <c r="AD179" s="3103"/>
      <c r="AE179" s="3103"/>
      <c r="AF179" s="3103"/>
      <c r="AG179" s="3103"/>
      <c r="AH179" s="3103"/>
      <c r="AI179" s="3103"/>
      <c r="AJ179" s="3103"/>
      <c r="AK179" s="3103"/>
      <c r="AL179" s="3103"/>
      <c r="AM179" s="3103"/>
      <c r="AN179" s="3103"/>
      <c r="AO179" s="3103"/>
      <c r="AP179" s="3103"/>
      <c r="AQ179" s="3103"/>
      <c r="AR179" s="3103"/>
      <c r="AS179" s="3103"/>
      <c r="AT179" s="3113"/>
      <c r="AU179" s="3114"/>
      <c r="AV179" s="1580">
        <f t="shared" si="120"/>
        <v>0</v>
      </c>
      <c r="AW179" s="1580">
        <f t="shared" si="121"/>
        <v>0</v>
      </c>
      <c r="AX179" s="1580">
        <f t="shared" si="122"/>
        <v>0</v>
      </c>
      <c r="AY179" s="3128">
        <f t="shared" si="97"/>
        <v>0</v>
      </c>
      <c r="AZ179" s="3083">
        <f t="shared" si="98"/>
        <v>0</v>
      </c>
      <c r="BA179" s="3083">
        <f t="shared" si="99"/>
        <v>0</v>
      </c>
      <c r="BB179" s="3083">
        <f t="shared" si="100"/>
        <v>0</v>
      </c>
      <c r="BC179" s="3083">
        <f t="shared" si="101"/>
        <v>0</v>
      </c>
      <c r="BD179" s="3083">
        <f t="shared" si="102"/>
        <v>0</v>
      </c>
      <c r="BE179" s="3083">
        <f t="shared" si="103"/>
        <v>0</v>
      </c>
      <c r="BF179" s="3083">
        <f t="shared" si="104"/>
        <v>0</v>
      </c>
      <c r="BG179" s="3083">
        <f t="shared" si="105"/>
        <v>0</v>
      </c>
      <c r="BH179" s="3083">
        <f t="shared" si="106"/>
        <v>0</v>
      </c>
      <c r="BI179" s="3083">
        <f t="shared" si="107"/>
        <v>0</v>
      </c>
      <c r="BJ179" s="3083">
        <f t="shared" si="108"/>
        <v>0</v>
      </c>
      <c r="BK179" s="3083">
        <f t="shared" si="109"/>
        <v>0</v>
      </c>
      <c r="BL179" s="3083">
        <f t="shared" si="110"/>
        <v>0</v>
      </c>
      <c r="BM179" s="3083">
        <f t="shared" si="111"/>
        <v>0</v>
      </c>
      <c r="BN179" s="3083">
        <f t="shared" si="112"/>
        <v>0</v>
      </c>
      <c r="BO179" s="3083">
        <f t="shared" si="113"/>
        <v>0</v>
      </c>
      <c r="BP179" s="3083">
        <f t="shared" si="114"/>
        <v>0</v>
      </c>
      <c r="BQ179" s="3083">
        <f t="shared" si="115"/>
        <v>0</v>
      </c>
      <c r="BR179" s="3083">
        <f t="shared" si="116"/>
        <v>0</v>
      </c>
      <c r="BS179" s="3083">
        <f t="shared" si="117"/>
        <v>0</v>
      </c>
      <c r="BT179" s="3135">
        <f t="shared" si="118"/>
        <v>0</v>
      </c>
    </row>
    <row r="180" spans="1:72">
      <c r="A180" s="3080"/>
      <c r="B180" s="3081"/>
      <c r="C180" s="3081"/>
      <c r="D180" s="3082"/>
      <c r="E180" s="3083">
        <f t="shared" si="119"/>
        <v>0</v>
      </c>
      <c r="F180" s="3084"/>
      <c r="G180" s="3085">
        <f t="shared" si="94"/>
        <v>0</v>
      </c>
      <c r="H180" s="3086">
        <f t="shared" si="95"/>
        <v>0</v>
      </c>
      <c r="I180" s="3093"/>
      <c r="J180" s="3093"/>
      <c r="K180" s="3093"/>
      <c r="L180" s="3093"/>
      <c r="M180" s="3093"/>
      <c r="N180" s="3093"/>
      <c r="O180" s="3093"/>
      <c r="P180" s="3093"/>
      <c r="Q180" s="3093"/>
      <c r="R180" s="3093"/>
      <c r="S180" s="3093"/>
      <c r="T180" s="3093"/>
      <c r="U180" s="3093"/>
      <c r="V180" s="3093"/>
      <c r="W180" s="3093"/>
      <c r="X180" s="3093"/>
      <c r="Y180" s="3093"/>
      <c r="Z180" s="3093"/>
      <c r="AA180" s="3093"/>
      <c r="AB180" s="3093"/>
      <c r="AC180" s="3083">
        <f t="shared" si="96"/>
        <v>0</v>
      </c>
      <c r="AD180" s="3103"/>
      <c r="AE180" s="3103"/>
      <c r="AF180" s="3103"/>
      <c r="AG180" s="3103"/>
      <c r="AH180" s="3103"/>
      <c r="AI180" s="3103"/>
      <c r="AJ180" s="3103"/>
      <c r="AK180" s="3103"/>
      <c r="AL180" s="3103"/>
      <c r="AM180" s="3103"/>
      <c r="AN180" s="3103"/>
      <c r="AO180" s="3103"/>
      <c r="AP180" s="3103"/>
      <c r="AQ180" s="3103"/>
      <c r="AR180" s="3103"/>
      <c r="AS180" s="3103"/>
      <c r="AT180" s="3113"/>
      <c r="AU180" s="3114"/>
      <c r="AV180" s="1580">
        <f t="shared" si="120"/>
        <v>0</v>
      </c>
      <c r="AW180" s="1580">
        <f t="shared" si="121"/>
        <v>0</v>
      </c>
      <c r="AX180" s="1580">
        <f t="shared" si="122"/>
        <v>0</v>
      </c>
      <c r="AY180" s="3128">
        <f t="shared" si="97"/>
        <v>0</v>
      </c>
      <c r="AZ180" s="3083">
        <f t="shared" si="98"/>
        <v>0</v>
      </c>
      <c r="BA180" s="3083">
        <f t="shared" si="99"/>
        <v>0</v>
      </c>
      <c r="BB180" s="3083">
        <f t="shared" si="100"/>
        <v>0</v>
      </c>
      <c r="BC180" s="3083">
        <f t="shared" si="101"/>
        <v>0</v>
      </c>
      <c r="BD180" s="3083">
        <f t="shared" si="102"/>
        <v>0</v>
      </c>
      <c r="BE180" s="3083">
        <f t="shared" si="103"/>
        <v>0</v>
      </c>
      <c r="BF180" s="3083">
        <f t="shared" si="104"/>
        <v>0</v>
      </c>
      <c r="BG180" s="3083">
        <f t="shared" si="105"/>
        <v>0</v>
      </c>
      <c r="BH180" s="3083">
        <f t="shared" si="106"/>
        <v>0</v>
      </c>
      <c r="BI180" s="3083">
        <f t="shared" si="107"/>
        <v>0</v>
      </c>
      <c r="BJ180" s="3083">
        <f t="shared" si="108"/>
        <v>0</v>
      </c>
      <c r="BK180" s="3083">
        <f t="shared" si="109"/>
        <v>0</v>
      </c>
      <c r="BL180" s="3083">
        <f t="shared" si="110"/>
        <v>0</v>
      </c>
      <c r="BM180" s="3083">
        <f t="shared" si="111"/>
        <v>0</v>
      </c>
      <c r="BN180" s="3083">
        <f t="shared" si="112"/>
        <v>0</v>
      </c>
      <c r="BO180" s="3083">
        <f t="shared" si="113"/>
        <v>0</v>
      </c>
      <c r="BP180" s="3083">
        <f t="shared" si="114"/>
        <v>0</v>
      </c>
      <c r="BQ180" s="3083">
        <f t="shared" si="115"/>
        <v>0</v>
      </c>
      <c r="BR180" s="3083">
        <f t="shared" si="116"/>
        <v>0</v>
      </c>
      <c r="BS180" s="3083">
        <f t="shared" si="117"/>
        <v>0</v>
      </c>
      <c r="BT180" s="3135">
        <f t="shared" si="118"/>
        <v>0</v>
      </c>
    </row>
    <row r="181" spans="1:72">
      <c r="A181" s="3080"/>
      <c r="B181" s="3081"/>
      <c r="C181" s="3081"/>
      <c r="D181" s="3082"/>
      <c r="E181" s="3083">
        <f t="shared" si="119"/>
        <v>0</v>
      </c>
      <c r="F181" s="3084"/>
      <c r="G181" s="3085">
        <f t="shared" si="94"/>
        <v>0</v>
      </c>
      <c r="H181" s="3086">
        <f t="shared" si="95"/>
        <v>0</v>
      </c>
      <c r="I181" s="3093"/>
      <c r="J181" s="3093"/>
      <c r="K181" s="3093"/>
      <c r="L181" s="3093"/>
      <c r="M181" s="3093"/>
      <c r="N181" s="3093"/>
      <c r="O181" s="3093"/>
      <c r="P181" s="3093"/>
      <c r="Q181" s="3093"/>
      <c r="R181" s="3093"/>
      <c r="S181" s="3093"/>
      <c r="T181" s="3093"/>
      <c r="U181" s="3093"/>
      <c r="V181" s="3093"/>
      <c r="W181" s="3093"/>
      <c r="X181" s="3093"/>
      <c r="Y181" s="3093"/>
      <c r="Z181" s="3093"/>
      <c r="AA181" s="3093"/>
      <c r="AB181" s="3093"/>
      <c r="AC181" s="3083">
        <f t="shared" si="96"/>
        <v>0</v>
      </c>
      <c r="AD181" s="3103"/>
      <c r="AE181" s="3103"/>
      <c r="AF181" s="3103"/>
      <c r="AG181" s="3103"/>
      <c r="AH181" s="3103"/>
      <c r="AI181" s="3103"/>
      <c r="AJ181" s="3103"/>
      <c r="AK181" s="3103"/>
      <c r="AL181" s="3103"/>
      <c r="AM181" s="3103"/>
      <c r="AN181" s="3103"/>
      <c r="AO181" s="3103"/>
      <c r="AP181" s="3103"/>
      <c r="AQ181" s="3103"/>
      <c r="AR181" s="3103"/>
      <c r="AS181" s="3103"/>
      <c r="AT181" s="3113"/>
      <c r="AU181" s="3114"/>
      <c r="AV181" s="1580">
        <f t="shared" si="120"/>
        <v>0</v>
      </c>
      <c r="AW181" s="1580">
        <f t="shared" si="121"/>
        <v>0</v>
      </c>
      <c r="AX181" s="1580">
        <f t="shared" si="122"/>
        <v>0</v>
      </c>
      <c r="AY181" s="3128">
        <f t="shared" si="97"/>
        <v>0</v>
      </c>
      <c r="AZ181" s="3083">
        <f t="shared" si="98"/>
        <v>0</v>
      </c>
      <c r="BA181" s="3083">
        <f t="shared" si="99"/>
        <v>0</v>
      </c>
      <c r="BB181" s="3083">
        <f t="shared" si="100"/>
        <v>0</v>
      </c>
      <c r="BC181" s="3083">
        <f t="shared" si="101"/>
        <v>0</v>
      </c>
      <c r="BD181" s="3083">
        <f t="shared" si="102"/>
        <v>0</v>
      </c>
      <c r="BE181" s="3083">
        <f t="shared" si="103"/>
        <v>0</v>
      </c>
      <c r="BF181" s="3083">
        <f t="shared" si="104"/>
        <v>0</v>
      </c>
      <c r="BG181" s="3083">
        <f t="shared" si="105"/>
        <v>0</v>
      </c>
      <c r="BH181" s="3083">
        <f t="shared" si="106"/>
        <v>0</v>
      </c>
      <c r="BI181" s="3083">
        <f t="shared" si="107"/>
        <v>0</v>
      </c>
      <c r="BJ181" s="3083">
        <f t="shared" si="108"/>
        <v>0</v>
      </c>
      <c r="BK181" s="3083">
        <f t="shared" si="109"/>
        <v>0</v>
      </c>
      <c r="BL181" s="3083">
        <f t="shared" si="110"/>
        <v>0</v>
      </c>
      <c r="BM181" s="3083">
        <f t="shared" si="111"/>
        <v>0</v>
      </c>
      <c r="BN181" s="3083">
        <f t="shared" si="112"/>
        <v>0</v>
      </c>
      <c r="BO181" s="3083">
        <f t="shared" si="113"/>
        <v>0</v>
      </c>
      <c r="BP181" s="3083">
        <f t="shared" si="114"/>
        <v>0</v>
      </c>
      <c r="BQ181" s="3083">
        <f t="shared" si="115"/>
        <v>0</v>
      </c>
      <c r="BR181" s="3083">
        <f t="shared" si="116"/>
        <v>0</v>
      </c>
      <c r="BS181" s="3083">
        <f t="shared" si="117"/>
        <v>0</v>
      </c>
      <c r="BT181" s="3135">
        <f t="shared" si="118"/>
        <v>0</v>
      </c>
    </row>
    <row r="182" spans="1:72">
      <c r="A182" s="3080"/>
      <c r="B182" s="3081"/>
      <c r="C182" s="3081"/>
      <c r="D182" s="3082"/>
      <c r="E182" s="3083">
        <f t="shared" si="119"/>
        <v>0</v>
      </c>
      <c r="F182" s="3084"/>
      <c r="G182" s="3085">
        <f t="shared" si="94"/>
        <v>0</v>
      </c>
      <c r="H182" s="3086">
        <f t="shared" si="95"/>
        <v>0</v>
      </c>
      <c r="I182" s="3093"/>
      <c r="J182" s="3093"/>
      <c r="K182" s="3093"/>
      <c r="L182" s="3093"/>
      <c r="M182" s="3093"/>
      <c r="N182" s="3093"/>
      <c r="O182" s="3093"/>
      <c r="P182" s="3093"/>
      <c r="Q182" s="3093"/>
      <c r="R182" s="3093"/>
      <c r="S182" s="3093"/>
      <c r="T182" s="3093"/>
      <c r="U182" s="3093"/>
      <c r="V182" s="3093"/>
      <c r="W182" s="3093"/>
      <c r="X182" s="3093"/>
      <c r="Y182" s="3093"/>
      <c r="Z182" s="3093"/>
      <c r="AA182" s="3093"/>
      <c r="AB182" s="3093"/>
      <c r="AC182" s="3083">
        <f t="shared" si="96"/>
        <v>0</v>
      </c>
      <c r="AD182" s="3103"/>
      <c r="AE182" s="3103"/>
      <c r="AF182" s="3103"/>
      <c r="AG182" s="3103"/>
      <c r="AH182" s="3103"/>
      <c r="AI182" s="3103"/>
      <c r="AJ182" s="3103"/>
      <c r="AK182" s="3103"/>
      <c r="AL182" s="3103"/>
      <c r="AM182" s="3103"/>
      <c r="AN182" s="3103"/>
      <c r="AO182" s="3103"/>
      <c r="AP182" s="3103"/>
      <c r="AQ182" s="3103"/>
      <c r="AR182" s="3103"/>
      <c r="AS182" s="3103"/>
      <c r="AT182" s="3113"/>
      <c r="AU182" s="3114"/>
      <c r="AV182" s="1580">
        <f t="shared" si="120"/>
        <v>0</v>
      </c>
      <c r="AW182" s="1580">
        <f t="shared" si="121"/>
        <v>0</v>
      </c>
      <c r="AX182" s="1580">
        <f t="shared" si="122"/>
        <v>0</v>
      </c>
      <c r="AY182" s="3128">
        <f t="shared" si="97"/>
        <v>0</v>
      </c>
      <c r="AZ182" s="3083">
        <f t="shared" si="98"/>
        <v>0</v>
      </c>
      <c r="BA182" s="3083">
        <f t="shared" si="99"/>
        <v>0</v>
      </c>
      <c r="BB182" s="3083">
        <f t="shared" si="100"/>
        <v>0</v>
      </c>
      <c r="BC182" s="3083">
        <f t="shared" si="101"/>
        <v>0</v>
      </c>
      <c r="BD182" s="3083">
        <f t="shared" si="102"/>
        <v>0</v>
      </c>
      <c r="BE182" s="3083">
        <f t="shared" si="103"/>
        <v>0</v>
      </c>
      <c r="BF182" s="3083">
        <f t="shared" si="104"/>
        <v>0</v>
      </c>
      <c r="BG182" s="3083">
        <f t="shared" si="105"/>
        <v>0</v>
      </c>
      <c r="BH182" s="3083">
        <f t="shared" si="106"/>
        <v>0</v>
      </c>
      <c r="BI182" s="3083">
        <f t="shared" si="107"/>
        <v>0</v>
      </c>
      <c r="BJ182" s="3083">
        <f t="shared" si="108"/>
        <v>0</v>
      </c>
      <c r="BK182" s="3083">
        <f t="shared" si="109"/>
        <v>0</v>
      </c>
      <c r="BL182" s="3083">
        <f t="shared" si="110"/>
        <v>0</v>
      </c>
      <c r="BM182" s="3083">
        <f t="shared" si="111"/>
        <v>0</v>
      </c>
      <c r="BN182" s="3083">
        <f t="shared" si="112"/>
        <v>0</v>
      </c>
      <c r="BO182" s="3083">
        <f t="shared" si="113"/>
        <v>0</v>
      </c>
      <c r="BP182" s="3083">
        <f t="shared" si="114"/>
        <v>0</v>
      </c>
      <c r="BQ182" s="3083">
        <f t="shared" si="115"/>
        <v>0</v>
      </c>
      <c r="BR182" s="3083">
        <f t="shared" si="116"/>
        <v>0</v>
      </c>
      <c r="BS182" s="3083">
        <f t="shared" si="117"/>
        <v>0</v>
      </c>
      <c r="BT182" s="3135">
        <f t="shared" si="118"/>
        <v>0</v>
      </c>
    </row>
    <row r="183" spans="1:72">
      <c r="A183" s="3080"/>
      <c r="B183" s="3081"/>
      <c r="C183" s="3081"/>
      <c r="D183" s="3082"/>
      <c r="E183" s="3083">
        <f t="shared" si="119"/>
        <v>0</v>
      </c>
      <c r="F183" s="3084"/>
      <c r="G183" s="3085">
        <f t="shared" si="94"/>
        <v>0</v>
      </c>
      <c r="H183" s="3086">
        <f t="shared" si="95"/>
        <v>0</v>
      </c>
      <c r="I183" s="3093"/>
      <c r="J183" s="3093"/>
      <c r="K183" s="3093"/>
      <c r="L183" s="3093"/>
      <c r="M183" s="3093"/>
      <c r="N183" s="3093"/>
      <c r="O183" s="3093"/>
      <c r="P183" s="3093"/>
      <c r="Q183" s="3093"/>
      <c r="R183" s="3093"/>
      <c r="S183" s="3093"/>
      <c r="T183" s="3093"/>
      <c r="U183" s="3093"/>
      <c r="V183" s="3093"/>
      <c r="W183" s="3093"/>
      <c r="X183" s="3093"/>
      <c r="Y183" s="3093"/>
      <c r="Z183" s="3093"/>
      <c r="AA183" s="3093"/>
      <c r="AB183" s="3093"/>
      <c r="AC183" s="3083">
        <f t="shared" si="96"/>
        <v>0</v>
      </c>
      <c r="AD183" s="3103"/>
      <c r="AE183" s="3103"/>
      <c r="AF183" s="3103"/>
      <c r="AG183" s="3103"/>
      <c r="AH183" s="3103"/>
      <c r="AI183" s="3103"/>
      <c r="AJ183" s="3103"/>
      <c r="AK183" s="3103"/>
      <c r="AL183" s="3103"/>
      <c r="AM183" s="3103"/>
      <c r="AN183" s="3103"/>
      <c r="AO183" s="3103"/>
      <c r="AP183" s="3103"/>
      <c r="AQ183" s="3103"/>
      <c r="AR183" s="3103"/>
      <c r="AS183" s="3103"/>
      <c r="AT183" s="3113"/>
      <c r="AU183" s="3114"/>
      <c r="AV183" s="1580">
        <f t="shared" si="120"/>
        <v>0</v>
      </c>
      <c r="AW183" s="1580">
        <f t="shared" si="121"/>
        <v>0</v>
      </c>
      <c r="AX183" s="1580">
        <f t="shared" si="122"/>
        <v>0</v>
      </c>
      <c r="AY183" s="3128">
        <f t="shared" si="97"/>
        <v>0</v>
      </c>
      <c r="AZ183" s="3083">
        <f t="shared" si="98"/>
        <v>0</v>
      </c>
      <c r="BA183" s="3083">
        <f t="shared" si="99"/>
        <v>0</v>
      </c>
      <c r="BB183" s="3083">
        <f t="shared" si="100"/>
        <v>0</v>
      </c>
      <c r="BC183" s="3083">
        <f t="shared" si="101"/>
        <v>0</v>
      </c>
      <c r="BD183" s="3083">
        <f t="shared" si="102"/>
        <v>0</v>
      </c>
      <c r="BE183" s="3083">
        <f t="shared" si="103"/>
        <v>0</v>
      </c>
      <c r="BF183" s="3083">
        <f t="shared" si="104"/>
        <v>0</v>
      </c>
      <c r="BG183" s="3083">
        <f t="shared" si="105"/>
        <v>0</v>
      </c>
      <c r="BH183" s="3083">
        <f t="shared" si="106"/>
        <v>0</v>
      </c>
      <c r="BI183" s="3083">
        <f t="shared" si="107"/>
        <v>0</v>
      </c>
      <c r="BJ183" s="3083">
        <f t="shared" si="108"/>
        <v>0</v>
      </c>
      <c r="BK183" s="3083">
        <f t="shared" si="109"/>
        <v>0</v>
      </c>
      <c r="BL183" s="3083">
        <f t="shared" si="110"/>
        <v>0</v>
      </c>
      <c r="BM183" s="3083">
        <f t="shared" si="111"/>
        <v>0</v>
      </c>
      <c r="BN183" s="3083">
        <f t="shared" si="112"/>
        <v>0</v>
      </c>
      <c r="BO183" s="3083">
        <f t="shared" si="113"/>
        <v>0</v>
      </c>
      <c r="BP183" s="3083">
        <f t="shared" si="114"/>
        <v>0</v>
      </c>
      <c r="BQ183" s="3083">
        <f t="shared" si="115"/>
        <v>0</v>
      </c>
      <c r="BR183" s="3083">
        <f t="shared" si="116"/>
        <v>0</v>
      </c>
      <c r="BS183" s="3083">
        <f t="shared" si="117"/>
        <v>0</v>
      </c>
      <c r="BT183" s="3135">
        <f t="shared" si="118"/>
        <v>0</v>
      </c>
    </row>
    <row r="184" spans="1:72">
      <c r="A184" s="3080"/>
      <c r="B184" s="3081"/>
      <c r="C184" s="3081"/>
      <c r="D184" s="3082"/>
      <c r="E184" s="3083">
        <f t="shared" si="119"/>
        <v>0</v>
      </c>
      <c r="F184" s="3084"/>
      <c r="G184" s="3085">
        <f t="shared" si="94"/>
        <v>0</v>
      </c>
      <c r="H184" s="3086">
        <f t="shared" si="95"/>
        <v>0</v>
      </c>
      <c r="I184" s="3093"/>
      <c r="J184" s="3093"/>
      <c r="K184" s="3093"/>
      <c r="L184" s="3093"/>
      <c r="M184" s="3093"/>
      <c r="N184" s="3093"/>
      <c r="O184" s="3093"/>
      <c r="P184" s="3093"/>
      <c r="Q184" s="3093"/>
      <c r="R184" s="3093"/>
      <c r="S184" s="3093"/>
      <c r="T184" s="3093"/>
      <c r="U184" s="3093"/>
      <c r="V184" s="3093"/>
      <c r="W184" s="3093"/>
      <c r="X184" s="3093"/>
      <c r="Y184" s="3093"/>
      <c r="Z184" s="3093"/>
      <c r="AA184" s="3093"/>
      <c r="AB184" s="3093"/>
      <c r="AC184" s="3083">
        <f t="shared" si="96"/>
        <v>0</v>
      </c>
      <c r="AD184" s="3103"/>
      <c r="AE184" s="3103"/>
      <c r="AF184" s="3103"/>
      <c r="AG184" s="3103"/>
      <c r="AH184" s="3103"/>
      <c r="AI184" s="3103"/>
      <c r="AJ184" s="3103"/>
      <c r="AK184" s="3103"/>
      <c r="AL184" s="3103"/>
      <c r="AM184" s="3103"/>
      <c r="AN184" s="3103"/>
      <c r="AO184" s="3103"/>
      <c r="AP184" s="3103"/>
      <c r="AQ184" s="3103"/>
      <c r="AR184" s="3103"/>
      <c r="AS184" s="3103"/>
      <c r="AT184" s="3113"/>
      <c r="AU184" s="3114"/>
      <c r="AV184" s="1580">
        <f t="shared" si="120"/>
        <v>0</v>
      </c>
      <c r="AW184" s="1580">
        <f t="shared" si="121"/>
        <v>0</v>
      </c>
      <c r="AX184" s="1580">
        <f t="shared" si="122"/>
        <v>0</v>
      </c>
      <c r="AY184" s="3128">
        <f t="shared" si="97"/>
        <v>0</v>
      </c>
      <c r="AZ184" s="3083">
        <f t="shared" si="98"/>
        <v>0</v>
      </c>
      <c r="BA184" s="3083">
        <f t="shared" si="99"/>
        <v>0</v>
      </c>
      <c r="BB184" s="3083">
        <f t="shared" si="100"/>
        <v>0</v>
      </c>
      <c r="BC184" s="3083">
        <f t="shared" si="101"/>
        <v>0</v>
      </c>
      <c r="BD184" s="3083">
        <f t="shared" si="102"/>
        <v>0</v>
      </c>
      <c r="BE184" s="3083">
        <f t="shared" si="103"/>
        <v>0</v>
      </c>
      <c r="BF184" s="3083">
        <f t="shared" si="104"/>
        <v>0</v>
      </c>
      <c r="BG184" s="3083">
        <f t="shared" si="105"/>
        <v>0</v>
      </c>
      <c r="BH184" s="3083">
        <f t="shared" si="106"/>
        <v>0</v>
      </c>
      <c r="BI184" s="3083">
        <f t="shared" si="107"/>
        <v>0</v>
      </c>
      <c r="BJ184" s="3083">
        <f t="shared" si="108"/>
        <v>0</v>
      </c>
      <c r="BK184" s="3083">
        <f t="shared" si="109"/>
        <v>0</v>
      </c>
      <c r="BL184" s="3083">
        <f t="shared" si="110"/>
        <v>0</v>
      </c>
      <c r="BM184" s="3083">
        <f t="shared" si="111"/>
        <v>0</v>
      </c>
      <c r="BN184" s="3083">
        <f t="shared" si="112"/>
        <v>0</v>
      </c>
      <c r="BO184" s="3083">
        <f t="shared" si="113"/>
        <v>0</v>
      </c>
      <c r="BP184" s="3083">
        <f t="shared" si="114"/>
        <v>0</v>
      </c>
      <c r="BQ184" s="3083">
        <f t="shared" si="115"/>
        <v>0</v>
      </c>
      <c r="BR184" s="3083">
        <f t="shared" si="116"/>
        <v>0</v>
      </c>
      <c r="BS184" s="3083">
        <f t="shared" si="117"/>
        <v>0</v>
      </c>
      <c r="BT184" s="3135">
        <f t="shared" si="118"/>
        <v>0</v>
      </c>
    </row>
    <row r="185" spans="1:72">
      <c r="A185" s="3080"/>
      <c r="B185" s="3081"/>
      <c r="C185" s="3081"/>
      <c r="D185" s="3082"/>
      <c r="E185" s="3083">
        <f t="shared" si="119"/>
        <v>0</v>
      </c>
      <c r="F185" s="3084"/>
      <c r="G185" s="3085">
        <f t="shared" si="94"/>
        <v>0</v>
      </c>
      <c r="H185" s="3086">
        <f t="shared" si="95"/>
        <v>0</v>
      </c>
      <c r="I185" s="3093"/>
      <c r="J185" s="3093"/>
      <c r="K185" s="3093"/>
      <c r="L185" s="3093"/>
      <c r="M185" s="3093"/>
      <c r="N185" s="3093"/>
      <c r="O185" s="3093"/>
      <c r="P185" s="3093"/>
      <c r="Q185" s="3093"/>
      <c r="R185" s="3093"/>
      <c r="S185" s="3093"/>
      <c r="T185" s="3093"/>
      <c r="U185" s="3093"/>
      <c r="V185" s="3093"/>
      <c r="W185" s="3093"/>
      <c r="X185" s="3093"/>
      <c r="Y185" s="3093"/>
      <c r="Z185" s="3093"/>
      <c r="AA185" s="3093"/>
      <c r="AB185" s="3093"/>
      <c r="AC185" s="3083">
        <f t="shared" si="96"/>
        <v>0</v>
      </c>
      <c r="AD185" s="3103"/>
      <c r="AE185" s="3103"/>
      <c r="AF185" s="3103"/>
      <c r="AG185" s="3103"/>
      <c r="AH185" s="3103"/>
      <c r="AI185" s="3103"/>
      <c r="AJ185" s="3103"/>
      <c r="AK185" s="3103"/>
      <c r="AL185" s="3103"/>
      <c r="AM185" s="3103"/>
      <c r="AN185" s="3103"/>
      <c r="AO185" s="3103"/>
      <c r="AP185" s="3103"/>
      <c r="AQ185" s="3103"/>
      <c r="AR185" s="3103"/>
      <c r="AS185" s="3103"/>
      <c r="AT185" s="3113"/>
      <c r="AU185" s="3114"/>
      <c r="AV185" s="1580">
        <f t="shared" si="120"/>
        <v>0</v>
      </c>
      <c r="AW185" s="1580">
        <f t="shared" si="121"/>
        <v>0</v>
      </c>
      <c r="AX185" s="1580">
        <f t="shared" si="122"/>
        <v>0</v>
      </c>
      <c r="AY185" s="3128">
        <f t="shared" si="97"/>
        <v>0</v>
      </c>
      <c r="AZ185" s="3083">
        <f t="shared" si="98"/>
        <v>0</v>
      </c>
      <c r="BA185" s="3083">
        <f t="shared" si="99"/>
        <v>0</v>
      </c>
      <c r="BB185" s="3083">
        <f t="shared" si="100"/>
        <v>0</v>
      </c>
      <c r="BC185" s="3083">
        <f t="shared" si="101"/>
        <v>0</v>
      </c>
      <c r="BD185" s="3083">
        <f t="shared" si="102"/>
        <v>0</v>
      </c>
      <c r="BE185" s="3083">
        <f t="shared" si="103"/>
        <v>0</v>
      </c>
      <c r="BF185" s="3083">
        <f t="shared" si="104"/>
        <v>0</v>
      </c>
      <c r="BG185" s="3083">
        <f t="shared" si="105"/>
        <v>0</v>
      </c>
      <c r="BH185" s="3083">
        <f t="shared" si="106"/>
        <v>0</v>
      </c>
      <c r="BI185" s="3083">
        <f t="shared" si="107"/>
        <v>0</v>
      </c>
      <c r="BJ185" s="3083">
        <f t="shared" si="108"/>
        <v>0</v>
      </c>
      <c r="BK185" s="3083">
        <f t="shared" si="109"/>
        <v>0</v>
      </c>
      <c r="BL185" s="3083">
        <f t="shared" si="110"/>
        <v>0</v>
      </c>
      <c r="BM185" s="3083">
        <f t="shared" si="111"/>
        <v>0</v>
      </c>
      <c r="BN185" s="3083">
        <f t="shared" si="112"/>
        <v>0</v>
      </c>
      <c r="BO185" s="3083">
        <f t="shared" si="113"/>
        <v>0</v>
      </c>
      <c r="BP185" s="3083">
        <f t="shared" si="114"/>
        <v>0</v>
      </c>
      <c r="BQ185" s="3083">
        <f t="shared" si="115"/>
        <v>0</v>
      </c>
      <c r="BR185" s="3083">
        <f t="shared" si="116"/>
        <v>0</v>
      </c>
      <c r="BS185" s="3083">
        <f t="shared" si="117"/>
        <v>0</v>
      </c>
      <c r="BT185" s="3135">
        <f t="shared" si="118"/>
        <v>0</v>
      </c>
    </row>
    <row r="186" spans="1:72">
      <c r="A186" s="3080"/>
      <c r="B186" s="3081"/>
      <c r="C186" s="3081"/>
      <c r="D186" s="3082"/>
      <c r="E186" s="3083">
        <f t="shared" si="119"/>
        <v>0</v>
      </c>
      <c r="F186" s="3084"/>
      <c r="G186" s="3085">
        <f t="shared" si="94"/>
        <v>0</v>
      </c>
      <c r="H186" s="3086">
        <f t="shared" si="95"/>
        <v>0</v>
      </c>
      <c r="I186" s="3093"/>
      <c r="J186" s="3093"/>
      <c r="K186" s="3093"/>
      <c r="L186" s="3093"/>
      <c r="M186" s="3093"/>
      <c r="N186" s="3093"/>
      <c r="O186" s="3093"/>
      <c r="P186" s="3093"/>
      <c r="Q186" s="3093"/>
      <c r="R186" s="3093"/>
      <c r="S186" s="3093"/>
      <c r="T186" s="3093"/>
      <c r="U186" s="3093"/>
      <c r="V186" s="3093"/>
      <c r="W186" s="3093"/>
      <c r="X186" s="3093"/>
      <c r="Y186" s="3093"/>
      <c r="Z186" s="3093"/>
      <c r="AA186" s="3093"/>
      <c r="AB186" s="3093"/>
      <c r="AC186" s="3083">
        <f t="shared" si="96"/>
        <v>0</v>
      </c>
      <c r="AD186" s="3103"/>
      <c r="AE186" s="3103"/>
      <c r="AF186" s="3103"/>
      <c r="AG186" s="3103"/>
      <c r="AH186" s="3103"/>
      <c r="AI186" s="3103"/>
      <c r="AJ186" s="3103"/>
      <c r="AK186" s="3103"/>
      <c r="AL186" s="3103"/>
      <c r="AM186" s="3103"/>
      <c r="AN186" s="3103"/>
      <c r="AO186" s="3103"/>
      <c r="AP186" s="3103"/>
      <c r="AQ186" s="3103"/>
      <c r="AR186" s="3103"/>
      <c r="AS186" s="3103"/>
      <c r="AT186" s="3113"/>
      <c r="AU186" s="3114"/>
      <c r="AV186" s="1580">
        <f t="shared" si="120"/>
        <v>0</v>
      </c>
      <c r="AW186" s="1580">
        <f t="shared" si="121"/>
        <v>0</v>
      </c>
      <c r="AX186" s="1580">
        <f t="shared" si="122"/>
        <v>0</v>
      </c>
      <c r="AY186" s="3128">
        <f t="shared" si="97"/>
        <v>0</v>
      </c>
      <c r="AZ186" s="3083">
        <f t="shared" si="98"/>
        <v>0</v>
      </c>
      <c r="BA186" s="3083">
        <f t="shared" si="99"/>
        <v>0</v>
      </c>
      <c r="BB186" s="3083">
        <f t="shared" si="100"/>
        <v>0</v>
      </c>
      <c r="BC186" s="3083">
        <f t="shared" si="101"/>
        <v>0</v>
      </c>
      <c r="BD186" s="3083">
        <f t="shared" si="102"/>
        <v>0</v>
      </c>
      <c r="BE186" s="3083">
        <f t="shared" si="103"/>
        <v>0</v>
      </c>
      <c r="BF186" s="3083">
        <f t="shared" si="104"/>
        <v>0</v>
      </c>
      <c r="BG186" s="3083">
        <f t="shared" si="105"/>
        <v>0</v>
      </c>
      <c r="BH186" s="3083">
        <f t="shared" si="106"/>
        <v>0</v>
      </c>
      <c r="BI186" s="3083">
        <f t="shared" si="107"/>
        <v>0</v>
      </c>
      <c r="BJ186" s="3083">
        <f t="shared" si="108"/>
        <v>0</v>
      </c>
      <c r="BK186" s="3083">
        <f t="shared" si="109"/>
        <v>0</v>
      </c>
      <c r="BL186" s="3083">
        <f t="shared" si="110"/>
        <v>0</v>
      </c>
      <c r="BM186" s="3083">
        <f t="shared" si="111"/>
        <v>0</v>
      </c>
      <c r="BN186" s="3083">
        <f t="shared" si="112"/>
        <v>0</v>
      </c>
      <c r="BO186" s="3083">
        <f t="shared" si="113"/>
        <v>0</v>
      </c>
      <c r="BP186" s="3083">
        <f t="shared" si="114"/>
        <v>0</v>
      </c>
      <c r="BQ186" s="3083">
        <f t="shared" si="115"/>
        <v>0</v>
      </c>
      <c r="BR186" s="3083">
        <f t="shared" si="116"/>
        <v>0</v>
      </c>
      <c r="BS186" s="3083">
        <f t="shared" si="117"/>
        <v>0</v>
      </c>
      <c r="BT186" s="3135">
        <f t="shared" si="118"/>
        <v>0</v>
      </c>
    </row>
    <row r="187" spans="1:72">
      <c r="A187" s="3080"/>
      <c r="B187" s="3081"/>
      <c r="C187" s="3081"/>
      <c r="D187" s="3082"/>
      <c r="E187" s="3083">
        <f t="shared" si="119"/>
        <v>0</v>
      </c>
      <c r="F187" s="3084"/>
      <c r="G187" s="3085">
        <f t="shared" si="94"/>
        <v>0</v>
      </c>
      <c r="H187" s="3086">
        <f t="shared" si="95"/>
        <v>0</v>
      </c>
      <c r="I187" s="3093"/>
      <c r="J187" s="3093"/>
      <c r="K187" s="3093"/>
      <c r="L187" s="3093"/>
      <c r="M187" s="3093"/>
      <c r="N187" s="3093"/>
      <c r="O187" s="3093"/>
      <c r="P187" s="3093"/>
      <c r="Q187" s="3093"/>
      <c r="R187" s="3093"/>
      <c r="S187" s="3093"/>
      <c r="T187" s="3093"/>
      <c r="U187" s="3093"/>
      <c r="V187" s="3093"/>
      <c r="W187" s="3093"/>
      <c r="X187" s="3093"/>
      <c r="Y187" s="3093"/>
      <c r="Z187" s="3093"/>
      <c r="AA187" s="3093"/>
      <c r="AB187" s="3093"/>
      <c r="AC187" s="3083">
        <f t="shared" si="96"/>
        <v>0</v>
      </c>
      <c r="AD187" s="3103"/>
      <c r="AE187" s="3103"/>
      <c r="AF187" s="3103"/>
      <c r="AG187" s="3103"/>
      <c r="AH187" s="3103"/>
      <c r="AI187" s="3103"/>
      <c r="AJ187" s="3103"/>
      <c r="AK187" s="3103"/>
      <c r="AL187" s="3103"/>
      <c r="AM187" s="3103"/>
      <c r="AN187" s="3103"/>
      <c r="AO187" s="3103"/>
      <c r="AP187" s="3103"/>
      <c r="AQ187" s="3103"/>
      <c r="AR187" s="3103"/>
      <c r="AS187" s="3103"/>
      <c r="AT187" s="3113"/>
      <c r="AU187" s="3114"/>
      <c r="AV187" s="1580">
        <f t="shared" si="120"/>
        <v>0</v>
      </c>
      <c r="AW187" s="1580">
        <f t="shared" si="121"/>
        <v>0</v>
      </c>
      <c r="AX187" s="1580">
        <f t="shared" si="122"/>
        <v>0</v>
      </c>
      <c r="AY187" s="3128">
        <f t="shared" si="97"/>
        <v>0</v>
      </c>
      <c r="AZ187" s="3083">
        <f t="shared" si="98"/>
        <v>0</v>
      </c>
      <c r="BA187" s="3083">
        <f t="shared" si="99"/>
        <v>0</v>
      </c>
      <c r="BB187" s="3083">
        <f t="shared" si="100"/>
        <v>0</v>
      </c>
      <c r="BC187" s="3083">
        <f t="shared" si="101"/>
        <v>0</v>
      </c>
      <c r="BD187" s="3083">
        <f t="shared" si="102"/>
        <v>0</v>
      </c>
      <c r="BE187" s="3083">
        <f t="shared" si="103"/>
        <v>0</v>
      </c>
      <c r="BF187" s="3083">
        <f t="shared" si="104"/>
        <v>0</v>
      </c>
      <c r="BG187" s="3083">
        <f t="shared" si="105"/>
        <v>0</v>
      </c>
      <c r="BH187" s="3083">
        <f t="shared" si="106"/>
        <v>0</v>
      </c>
      <c r="BI187" s="3083">
        <f t="shared" si="107"/>
        <v>0</v>
      </c>
      <c r="BJ187" s="3083">
        <f t="shared" si="108"/>
        <v>0</v>
      </c>
      <c r="BK187" s="3083">
        <f t="shared" si="109"/>
        <v>0</v>
      </c>
      <c r="BL187" s="3083">
        <f t="shared" si="110"/>
        <v>0</v>
      </c>
      <c r="BM187" s="3083">
        <f t="shared" si="111"/>
        <v>0</v>
      </c>
      <c r="BN187" s="3083">
        <f t="shared" si="112"/>
        <v>0</v>
      </c>
      <c r="BO187" s="3083">
        <f t="shared" si="113"/>
        <v>0</v>
      </c>
      <c r="BP187" s="3083">
        <f t="shared" si="114"/>
        <v>0</v>
      </c>
      <c r="BQ187" s="3083">
        <f t="shared" si="115"/>
        <v>0</v>
      </c>
      <c r="BR187" s="3083">
        <f t="shared" si="116"/>
        <v>0</v>
      </c>
      <c r="BS187" s="3083">
        <f t="shared" si="117"/>
        <v>0</v>
      </c>
      <c r="BT187" s="3135">
        <f t="shared" si="118"/>
        <v>0</v>
      </c>
    </row>
    <row r="188" spans="1:72">
      <c r="A188" s="3080"/>
      <c r="B188" s="3081"/>
      <c r="C188" s="3081"/>
      <c r="D188" s="3082"/>
      <c r="E188" s="3083">
        <f t="shared" si="119"/>
        <v>0</v>
      </c>
      <c r="F188" s="3084"/>
      <c r="G188" s="3085">
        <f t="shared" si="94"/>
        <v>0</v>
      </c>
      <c r="H188" s="3086">
        <f t="shared" si="95"/>
        <v>0</v>
      </c>
      <c r="I188" s="3093"/>
      <c r="J188" s="3093"/>
      <c r="K188" s="3093"/>
      <c r="L188" s="3093"/>
      <c r="M188" s="3093"/>
      <c r="N188" s="3093"/>
      <c r="O188" s="3093"/>
      <c r="P188" s="3093"/>
      <c r="Q188" s="3093"/>
      <c r="R188" s="3093"/>
      <c r="S188" s="3093"/>
      <c r="T188" s="3093"/>
      <c r="U188" s="3093"/>
      <c r="V188" s="3093"/>
      <c r="W188" s="3093"/>
      <c r="X188" s="3093"/>
      <c r="Y188" s="3093"/>
      <c r="Z188" s="3093"/>
      <c r="AA188" s="3093"/>
      <c r="AB188" s="3093"/>
      <c r="AC188" s="3083">
        <f t="shared" si="96"/>
        <v>0</v>
      </c>
      <c r="AD188" s="3103"/>
      <c r="AE188" s="3103"/>
      <c r="AF188" s="3103"/>
      <c r="AG188" s="3103"/>
      <c r="AH188" s="3103"/>
      <c r="AI188" s="3103"/>
      <c r="AJ188" s="3103"/>
      <c r="AK188" s="3103"/>
      <c r="AL188" s="3103"/>
      <c r="AM188" s="3103"/>
      <c r="AN188" s="3103"/>
      <c r="AO188" s="3103"/>
      <c r="AP188" s="3103"/>
      <c r="AQ188" s="3103"/>
      <c r="AR188" s="3103"/>
      <c r="AS188" s="3103"/>
      <c r="AT188" s="3113"/>
      <c r="AU188" s="3114"/>
      <c r="AV188" s="1580">
        <f t="shared" si="120"/>
        <v>0</v>
      </c>
      <c r="AW188" s="1580">
        <f t="shared" si="121"/>
        <v>0</v>
      </c>
      <c r="AX188" s="1580">
        <f t="shared" si="122"/>
        <v>0</v>
      </c>
      <c r="AY188" s="3128">
        <f t="shared" si="97"/>
        <v>0</v>
      </c>
      <c r="AZ188" s="3083">
        <f t="shared" si="98"/>
        <v>0</v>
      </c>
      <c r="BA188" s="3083">
        <f t="shared" si="99"/>
        <v>0</v>
      </c>
      <c r="BB188" s="3083">
        <f t="shared" si="100"/>
        <v>0</v>
      </c>
      <c r="BC188" s="3083">
        <f t="shared" si="101"/>
        <v>0</v>
      </c>
      <c r="BD188" s="3083">
        <f t="shared" si="102"/>
        <v>0</v>
      </c>
      <c r="BE188" s="3083">
        <f t="shared" si="103"/>
        <v>0</v>
      </c>
      <c r="BF188" s="3083">
        <f t="shared" si="104"/>
        <v>0</v>
      </c>
      <c r="BG188" s="3083">
        <f t="shared" si="105"/>
        <v>0</v>
      </c>
      <c r="BH188" s="3083">
        <f t="shared" si="106"/>
        <v>0</v>
      </c>
      <c r="BI188" s="3083">
        <f t="shared" si="107"/>
        <v>0</v>
      </c>
      <c r="BJ188" s="3083">
        <f t="shared" si="108"/>
        <v>0</v>
      </c>
      <c r="BK188" s="3083">
        <f t="shared" si="109"/>
        <v>0</v>
      </c>
      <c r="BL188" s="3083">
        <f t="shared" si="110"/>
        <v>0</v>
      </c>
      <c r="BM188" s="3083">
        <f t="shared" si="111"/>
        <v>0</v>
      </c>
      <c r="BN188" s="3083">
        <f t="shared" si="112"/>
        <v>0</v>
      </c>
      <c r="BO188" s="3083">
        <f t="shared" si="113"/>
        <v>0</v>
      </c>
      <c r="BP188" s="3083">
        <f t="shared" si="114"/>
        <v>0</v>
      </c>
      <c r="BQ188" s="3083">
        <f t="shared" si="115"/>
        <v>0</v>
      </c>
      <c r="BR188" s="3083">
        <f t="shared" si="116"/>
        <v>0</v>
      </c>
      <c r="BS188" s="3083">
        <f t="shared" si="117"/>
        <v>0</v>
      </c>
      <c r="BT188" s="3135">
        <f t="shared" si="118"/>
        <v>0</v>
      </c>
    </row>
    <row r="189" spans="1:72">
      <c r="A189" s="3080"/>
      <c r="B189" s="3081"/>
      <c r="C189" s="3081"/>
      <c r="D189" s="3082"/>
      <c r="E189" s="3083">
        <f t="shared" si="119"/>
        <v>0</v>
      </c>
      <c r="F189" s="3084"/>
      <c r="G189" s="3085">
        <f t="shared" si="94"/>
        <v>0</v>
      </c>
      <c r="H189" s="3086">
        <f t="shared" si="95"/>
        <v>0</v>
      </c>
      <c r="I189" s="3093"/>
      <c r="J189" s="3093"/>
      <c r="K189" s="3093"/>
      <c r="L189" s="3093"/>
      <c r="M189" s="3093"/>
      <c r="N189" s="3093"/>
      <c r="O189" s="3093"/>
      <c r="P189" s="3093"/>
      <c r="Q189" s="3093"/>
      <c r="R189" s="3093"/>
      <c r="S189" s="3093"/>
      <c r="T189" s="3093"/>
      <c r="U189" s="3093"/>
      <c r="V189" s="3093"/>
      <c r="W189" s="3093"/>
      <c r="X189" s="3093"/>
      <c r="Y189" s="3093"/>
      <c r="Z189" s="3093"/>
      <c r="AA189" s="3093"/>
      <c r="AB189" s="3093"/>
      <c r="AC189" s="3083">
        <f t="shared" si="96"/>
        <v>0</v>
      </c>
      <c r="AD189" s="3103"/>
      <c r="AE189" s="3103"/>
      <c r="AF189" s="3103"/>
      <c r="AG189" s="3103"/>
      <c r="AH189" s="3103"/>
      <c r="AI189" s="3103"/>
      <c r="AJ189" s="3103"/>
      <c r="AK189" s="3103"/>
      <c r="AL189" s="3103"/>
      <c r="AM189" s="3103"/>
      <c r="AN189" s="3103"/>
      <c r="AO189" s="3103"/>
      <c r="AP189" s="3103"/>
      <c r="AQ189" s="3103"/>
      <c r="AR189" s="3103"/>
      <c r="AS189" s="3103"/>
      <c r="AT189" s="3113"/>
      <c r="AU189" s="3114"/>
      <c r="AV189" s="1580">
        <f t="shared" si="120"/>
        <v>0</v>
      </c>
      <c r="AW189" s="1580">
        <f t="shared" si="121"/>
        <v>0</v>
      </c>
      <c r="AX189" s="1580">
        <f t="shared" si="122"/>
        <v>0</v>
      </c>
      <c r="AY189" s="3128">
        <f t="shared" si="97"/>
        <v>0</v>
      </c>
      <c r="AZ189" s="3083">
        <f t="shared" si="98"/>
        <v>0</v>
      </c>
      <c r="BA189" s="3083">
        <f t="shared" si="99"/>
        <v>0</v>
      </c>
      <c r="BB189" s="3083">
        <f t="shared" si="100"/>
        <v>0</v>
      </c>
      <c r="BC189" s="3083">
        <f t="shared" si="101"/>
        <v>0</v>
      </c>
      <c r="BD189" s="3083">
        <f t="shared" si="102"/>
        <v>0</v>
      </c>
      <c r="BE189" s="3083">
        <f t="shared" si="103"/>
        <v>0</v>
      </c>
      <c r="BF189" s="3083">
        <f t="shared" si="104"/>
        <v>0</v>
      </c>
      <c r="BG189" s="3083">
        <f t="shared" si="105"/>
        <v>0</v>
      </c>
      <c r="BH189" s="3083">
        <f t="shared" si="106"/>
        <v>0</v>
      </c>
      <c r="BI189" s="3083">
        <f t="shared" si="107"/>
        <v>0</v>
      </c>
      <c r="BJ189" s="3083">
        <f t="shared" si="108"/>
        <v>0</v>
      </c>
      <c r="BK189" s="3083">
        <f t="shared" si="109"/>
        <v>0</v>
      </c>
      <c r="BL189" s="3083">
        <f t="shared" si="110"/>
        <v>0</v>
      </c>
      <c r="BM189" s="3083">
        <f t="shared" si="111"/>
        <v>0</v>
      </c>
      <c r="BN189" s="3083">
        <f t="shared" si="112"/>
        <v>0</v>
      </c>
      <c r="BO189" s="3083">
        <f t="shared" si="113"/>
        <v>0</v>
      </c>
      <c r="BP189" s="3083">
        <f t="shared" si="114"/>
        <v>0</v>
      </c>
      <c r="BQ189" s="3083">
        <f t="shared" si="115"/>
        <v>0</v>
      </c>
      <c r="BR189" s="3083">
        <f t="shared" si="116"/>
        <v>0</v>
      </c>
      <c r="BS189" s="3083">
        <f t="shared" si="117"/>
        <v>0</v>
      </c>
      <c r="BT189" s="3135">
        <f t="shared" si="118"/>
        <v>0</v>
      </c>
    </row>
    <row r="190" spans="1:72">
      <c r="A190" s="3080"/>
      <c r="B190" s="3081"/>
      <c r="C190" s="3081"/>
      <c r="D190" s="3082"/>
      <c r="E190" s="3083">
        <f t="shared" si="119"/>
        <v>0</v>
      </c>
      <c r="F190" s="3084"/>
      <c r="G190" s="3085">
        <f t="shared" si="94"/>
        <v>0</v>
      </c>
      <c r="H190" s="3086">
        <f t="shared" si="95"/>
        <v>0</v>
      </c>
      <c r="I190" s="3093"/>
      <c r="J190" s="3093"/>
      <c r="K190" s="3093"/>
      <c r="L190" s="3093"/>
      <c r="M190" s="3093"/>
      <c r="N190" s="3093"/>
      <c r="O190" s="3093"/>
      <c r="P190" s="3093"/>
      <c r="Q190" s="3093"/>
      <c r="R190" s="3093"/>
      <c r="S190" s="3093"/>
      <c r="T190" s="3093"/>
      <c r="U190" s="3093"/>
      <c r="V190" s="3093"/>
      <c r="W190" s="3093"/>
      <c r="X190" s="3093"/>
      <c r="Y190" s="3093"/>
      <c r="Z190" s="3093"/>
      <c r="AA190" s="3093"/>
      <c r="AB190" s="3093"/>
      <c r="AC190" s="3083">
        <f t="shared" si="96"/>
        <v>0</v>
      </c>
      <c r="AD190" s="3103"/>
      <c r="AE190" s="3103"/>
      <c r="AF190" s="3103"/>
      <c r="AG190" s="3103"/>
      <c r="AH190" s="3103"/>
      <c r="AI190" s="3103"/>
      <c r="AJ190" s="3103"/>
      <c r="AK190" s="3103"/>
      <c r="AL190" s="3103"/>
      <c r="AM190" s="3103"/>
      <c r="AN190" s="3103"/>
      <c r="AO190" s="3103"/>
      <c r="AP190" s="3103"/>
      <c r="AQ190" s="3103"/>
      <c r="AR190" s="3103"/>
      <c r="AS190" s="3103"/>
      <c r="AT190" s="3113"/>
      <c r="AU190" s="3114"/>
      <c r="AV190" s="1580">
        <f t="shared" si="120"/>
        <v>0</v>
      </c>
      <c r="AW190" s="1580">
        <f t="shared" si="121"/>
        <v>0</v>
      </c>
      <c r="AX190" s="1580">
        <f t="shared" si="122"/>
        <v>0</v>
      </c>
      <c r="AY190" s="3128">
        <f t="shared" si="97"/>
        <v>0</v>
      </c>
      <c r="AZ190" s="3083">
        <f t="shared" si="98"/>
        <v>0</v>
      </c>
      <c r="BA190" s="3083">
        <f t="shared" si="99"/>
        <v>0</v>
      </c>
      <c r="BB190" s="3083">
        <f t="shared" si="100"/>
        <v>0</v>
      </c>
      <c r="BC190" s="3083">
        <f t="shared" si="101"/>
        <v>0</v>
      </c>
      <c r="BD190" s="3083">
        <f t="shared" si="102"/>
        <v>0</v>
      </c>
      <c r="BE190" s="3083">
        <f t="shared" si="103"/>
        <v>0</v>
      </c>
      <c r="BF190" s="3083">
        <f t="shared" si="104"/>
        <v>0</v>
      </c>
      <c r="BG190" s="3083">
        <f t="shared" si="105"/>
        <v>0</v>
      </c>
      <c r="BH190" s="3083">
        <f t="shared" si="106"/>
        <v>0</v>
      </c>
      <c r="BI190" s="3083">
        <f t="shared" si="107"/>
        <v>0</v>
      </c>
      <c r="BJ190" s="3083">
        <f t="shared" si="108"/>
        <v>0</v>
      </c>
      <c r="BK190" s="3083">
        <f t="shared" si="109"/>
        <v>0</v>
      </c>
      <c r="BL190" s="3083">
        <f t="shared" si="110"/>
        <v>0</v>
      </c>
      <c r="BM190" s="3083">
        <f t="shared" si="111"/>
        <v>0</v>
      </c>
      <c r="BN190" s="3083">
        <f t="shared" si="112"/>
        <v>0</v>
      </c>
      <c r="BO190" s="3083">
        <f t="shared" si="113"/>
        <v>0</v>
      </c>
      <c r="BP190" s="3083">
        <f t="shared" si="114"/>
        <v>0</v>
      </c>
      <c r="BQ190" s="3083">
        <f t="shared" si="115"/>
        <v>0</v>
      </c>
      <c r="BR190" s="3083">
        <f t="shared" si="116"/>
        <v>0</v>
      </c>
      <c r="BS190" s="3083">
        <f t="shared" si="117"/>
        <v>0</v>
      </c>
      <c r="BT190" s="3135">
        <f t="shared" si="118"/>
        <v>0</v>
      </c>
    </row>
    <row r="191" spans="1:72">
      <c r="A191" s="3080"/>
      <c r="B191" s="3081"/>
      <c r="C191" s="3081"/>
      <c r="D191" s="3082"/>
      <c r="E191" s="3083">
        <f t="shared" si="119"/>
        <v>0</v>
      </c>
      <c r="F191" s="3084"/>
      <c r="G191" s="3085">
        <f t="shared" si="94"/>
        <v>0</v>
      </c>
      <c r="H191" s="3086">
        <f t="shared" si="95"/>
        <v>0</v>
      </c>
      <c r="I191" s="3093"/>
      <c r="J191" s="3093"/>
      <c r="K191" s="3093"/>
      <c r="L191" s="3093"/>
      <c r="M191" s="3093"/>
      <c r="N191" s="3093"/>
      <c r="O191" s="3093"/>
      <c r="P191" s="3093"/>
      <c r="Q191" s="3093"/>
      <c r="R191" s="3093"/>
      <c r="S191" s="3093"/>
      <c r="T191" s="3093"/>
      <c r="U191" s="3093"/>
      <c r="V191" s="3093"/>
      <c r="W191" s="3093"/>
      <c r="X191" s="3093"/>
      <c r="Y191" s="3093"/>
      <c r="Z191" s="3093"/>
      <c r="AA191" s="3093"/>
      <c r="AB191" s="3093"/>
      <c r="AC191" s="3083">
        <f t="shared" si="96"/>
        <v>0</v>
      </c>
      <c r="AD191" s="3103"/>
      <c r="AE191" s="3103"/>
      <c r="AF191" s="3103"/>
      <c r="AG191" s="3103"/>
      <c r="AH191" s="3103"/>
      <c r="AI191" s="3103"/>
      <c r="AJ191" s="3103"/>
      <c r="AK191" s="3103"/>
      <c r="AL191" s="3103"/>
      <c r="AM191" s="3103"/>
      <c r="AN191" s="3103"/>
      <c r="AO191" s="3103"/>
      <c r="AP191" s="3103"/>
      <c r="AQ191" s="3103"/>
      <c r="AR191" s="3103"/>
      <c r="AS191" s="3103"/>
      <c r="AT191" s="3113"/>
      <c r="AU191" s="3114"/>
      <c r="AV191" s="1580">
        <f t="shared" si="120"/>
        <v>0</v>
      </c>
      <c r="AW191" s="1580">
        <f t="shared" si="121"/>
        <v>0</v>
      </c>
      <c r="AX191" s="1580">
        <f t="shared" si="122"/>
        <v>0</v>
      </c>
      <c r="AY191" s="3128">
        <f t="shared" si="97"/>
        <v>0</v>
      </c>
      <c r="AZ191" s="3083">
        <f t="shared" si="98"/>
        <v>0</v>
      </c>
      <c r="BA191" s="3083">
        <f t="shared" si="99"/>
        <v>0</v>
      </c>
      <c r="BB191" s="3083">
        <f t="shared" si="100"/>
        <v>0</v>
      </c>
      <c r="BC191" s="3083">
        <f t="shared" si="101"/>
        <v>0</v>
      </c>
      <c r="BD191" s="3083">
        <f t="shared" si="102"/>
        <v>0</v>
      </c>
      <c r="BE191" s="3083">
        <f t="shared" si="103"/>
        <v>0</v>
      </c>
      <c r="BF191" s="3083">
        <f t="shared" si="104"/>
        <v>0</v>
      </c>
      <c r="BG191" s="3083">
        <f t="shared" si="105"/>
        <v>0</v>
      </c>
      <c r="BH191" s="3083">
        <f t="shared" si="106"/>
        <v>0</v>
      </c>
      <c r="BI191" s="3083">
        <f t="shared" si="107"/>
        <v>0</v>
      </c>
      <c r="BJ191" s="3083">
        <f t="shared" si="108"/>
        <v>0</v>
      </c>
      <c r="BK191" s="3083">
        <f t="shared" si="109"/>
        <v>0</v>
      </c>
      <c r="BL191" s="3083">
        <f t="shared" si="110"/>
        <v>0</v>
      </c>
      <c r="BM191" s="3083">
        <f t="shared" si="111"/>
        <v>0</v>
      </c>
      <c r="BN191" s="3083">
        <f t="shared" si="112"/>
        <v>0</v>
      </c>
      <c r="BO191" s="3083">
        <f t="shared" si="113"/>
        <v>0</v>
      </c>
      <c r="BP191" s="3083">
        <f t="shared" si="114"/>
        <v>0</v>
      </c>
      <c r="BQ191" s="3083">
        <f t="shared" si="115"/>
        <v>0</v>
      </c>
      <c r="BR191" s="3083">
        <f t="shared" si="116"/>
        <v>0</v>
      </c>
      <c r="BS191" s="3083">
        <f t="shared" si="117"/>
        <v>0</v>
      </c>
      <c r="BT191" s="3135">
        <f t="shared" si="118"/>
        <v>0</v>
      </c>
    </row>
    <row r="192" spans="1:72">
      <c r="A192" s="3080"/>
      <c r="B192" s="3081"/>
      <c r="C192" s="3081"/>
      <c r="D192" s="3082"/>
      <c r="E192" s="3083">
        <f t="shared" si="119"/>
        <v>0</v>
      </c>
      <c r="F192" s="3084"/>
      <c r="G192" s="3085">
        <f t="shared" si="94"/>
        <v>0</v>
      </c>
      <c r="H192" s="3086">
        <f t="shared" si="95"/>
        <v>0</v>
      </c>
      <c r="I192" s="3093"/>
      <c r="J192" s="3093"/>
      <c r="K192" s="3093"/>
      <c r="L192" s="3093"/>
      <c r="M192" s="3093"/>
      <c r="N192" s="3093"/>
      <c r="O192" s="3093"/>
      <c r="P192" s="3093"/>
      <c r="Q192" s="3093"/>
      <c r="R192" s="3093"/>
      <c r="S192" s="3093"/>
      <c r="T192" s="3093"/>
      <c r="U192" s="3093"/>
      <c r="V192" s="3093"/>
      <c r="W192" s="3093"/>
      <c r="X192" s="3093"/>
      <c r="Y192" s="3093"/>
      <c r="Z192" s="3093"/>
      <c r="AA192" s="3093"/>
      <c r="AB192" s="3093"/>
      <c r="AC192" s="3083">
        <f t="shared" si="96"/>
        <v>0</v>
      </c>
      <c r="AD192" s="3103"/>
      <c r="AE192" s="3103"/>
      <c r="AF192" s="3103"/>
      <c r="AG192" s="3103"/>
      <c r="AH192" s="3103"/>
      <c r="AI192" s="3103"/>
      <c r="AJ192" s="3103"/>
      <c r="AK192" s="3103"/>
      <c r="AL192" s="3103"/>
      <c r="AM192" s="3103"/>
      <c r="AN192" s="3103"/>
      <c r="AO192" s="3103"/>
      <c r="AP192" s="3103"/>
      <c r="AQ192" s="3103"/>
      <c r="AR192" s="3103"/>
      <c r="AS192" s="3103"/>
      <c r="AT192" s="3113"/>
      <c r="AU192" s="3114"/>
      <c r="AV192" s="1580">
        <f t="shared" si="120"/>
        <v>0</v>
      </c>
      <c r="AW192" s="1580">
        <f t="shared" si="121"/>
        <v>0</v>
      </c>
      <c r="AX192" s="1580">
        <f t="shared" si="122"/>
        <v>0</v>
      </c>
      <c r="AY192" s="3128">
        <f t="shared" si="97"/>
        <v>0</v>
      </c>
      <c r="AZ192" s="3083">
        <f t="shared" si="98"/>
        <v>0</v>
      </c>
      <c r="BA192" s="3083">
        <f t="shared" si="99"/>
        <v>0</v>
      </c>
      <c r="BB192" s="3083">
        <f t="shared" si="100"/>
        <v>0</v>
      </c>
      <c r="BC192" s="3083">
        <f t="shared" si="101"/>
        <v>0</v>
      </c>
      <c r="BD192" s="3083">
        <f t="shared" si="102"/>
        <v>0</v>
      </c>
      <c r="BE192" s="3083">
        <f t="shared" si="103"/>
        <v>0</v>
      </c>
      <c r="BF192" s="3083">
        <f t="shared" si="104"/>
        <v>0</v>
      </c>
      <c r="BG192" s="3083">
        <f t="shared" si="105"/>
        <v>0</v>
      </c>
      <c r="BH192" s="3083">
        <f t="shared" si="106"/>
        <v>0</v>
      </c>
      <c r="BI192" s="3083">
        <f t="shared" si="107"/>
        <v>0</v>
      </c>
      <c r="BJ192" s="3083">
        <f t="shared" si="108"/>
        <v>0</v>
      </c>
      <c r="BK192" s="3083">
        <f t="shared" si="109"/>
        <v>0</v>
      </c>
      <c r="BL192" s="3083">
        <f t="shared" si="110"/>
        <v>0</v>
      </c>
      <c r="BM192" s="3083">
        <f t="shared" si="111"/>
        <v>0</v>
      </c>
      <c r="BN192" s="3083">
        <f t="shared" si="112"/>
        <v>0</v>
      </c>
      <c r="BO192" s="3083">
        <f t="shared" si="113"/>
        <v>0</v>
      </c>
      <c r="BP192" s="3083">
        <f t="shared" si="114"/>
        <v>0</v>
      </c>
      <c r="BQ192" s="3083">
        <f t="shared" si="115"/>
        <v>0</v>
      </c>
      <c r="BR192" s="3083">
        <f t="shared" si="116"/>
        <v>0</v>
      </c>
      <c r="BS192" s="3083">
        <f t="shared" si="117"/>
        <v>0</v>
      </c>
      <c r="BT192" s="3135">
        <f t="shared" si="118"/>
        <v>0</v>
      </c>
    </row>
    <row r="193" spans="1:72">
      <c r="A193" s="3080"/>
      <c r="B193" s="3081"/>
      <c r="C193" s="3081"/>
      <c r="D193" s="3082"/>
      <c r="E193" s="3083">
        <f t="shared" si="119"/>
        <v>0</v>
      </c>
      <c r="F193" s="3084"/>
      <c r="G193" s="3085">
        <f t="shared" si="94"/>
        <v>0</v>
      </c>
      <c r="H193" s="3086">
        <f t="shared" si="95"/>
        <v>0</v>
      </c>
      <c r="I193" s="3093"/>
      <c r="J193" s="3093"/>
      <c r="K193" s="3093"/>
      <c r="L193" s="3093"/>
      <c r="M193" s="3093"/>
      <c r="N193" s="3093"/>
      <c r="O193" s="3093"/>
      <c r="P193" s="3093"/>
      <c r="Q193" s="3093"/>
      <c r="R193" s="3093"/>
      <c r="S193" s="3093"/>
      <c r="T193" s="3093"/>
      <c r="U193" s="3093"/>
      <c r="V193" s="3093"/>
      <c r="W193" s="3093"/>
      <c r="X193" s="3093"/>
      <c r="Y193" s="3093"/>
      <c r="Z193" s="3093"/>
      <c r="AA193" s="3093"/>
      <c r="AB193" s="3093"/>
      <c r="AC193" s="3083">
        <f t="shared" si="96"/>
        <v>0</v>
      </c>
      <c r="AD193" s="3103"/>
      <c r="AE193" s="3103"/>
      <c r="AF193" s="3103"/>
      <c r="AG193" s="3103"/>
      <c r="AH193" s="3103"/>
      <c r="AI193" s="3103"/>
      <c r="AJ193" s="3103"/>
      <c r="AK193" s="3103"/>
      <c r="AL193" s="3103"/>
      <c r="AM193" s="3103"/>
      <c r="AN193" s="3103"/>
      <c r="AO193" s="3103"/>
      <c r="AP193" s="3103"/>
      <c r="AQ193" s="3103"/>
      <c r="AR193" s="3103"/>
      <c r="AS193" s="3103"/>
      <c r="AT193" s="3113"/>
      <c r="AU193" s="3114"/>
      <c r="AV193" s="1580">
        <f t="shared" si="120"/>
        <v>0</v>
      </c>
      <c r="AW193" s="1580">
        <f t="shared" si="121"/>
        <v>0</v>
      </c>
      <c r="AX193" s="1580">
        <f t="shared" si="122"/>
        <v>0</v>
      </c>
      <c r="AY193" s="3128">
        <f t="shared" si="97"/>
        <v>0</v>
      </c>
      <c r="AZ193" s="3083">
        <f t="shared" si="98"/>
        <v>0</v>
      </c>
      <c r="BA193" s="3083">
        <f t="shared" si="99"/>
        <v>0</v>
      </c>
      <c r="BB193" s="3083">
        <f t="shared" si="100"/>
        <v>0</v>
      </c>
      <c r="BC193" s="3083">
        <f t="shared" si="101"/>
        <v>0</v>
      </c>
      <c r="BD193" s="3083">
        <f t="shared" si="102"/>
        <v>0</v>
      </c>
      <c r="BE193" s="3083">
        <f t="shared" si="103"/>
        <v>0</v>
      </c>
      <c r="BF193" s="3083">
        <f t="shared" si="104"/>
        <v>0</v>
      </c>
      <c r="BG193" s="3083">
        <f t="shared" si="105"/>
        <v>0</v>
      </c>
      <c r="BH193" s="3083">
        <f t="shared" si="106"/>
        <v>0</v>
      </c>
      <c r="BI193" s="3083">
        <f t="shared" si="107"/>
        <v>0</v>
      </c>
      <c r="BJ193" s="3083">
        <f t="shared" si="108"/>
        <v>0</v>
      </c>
      <c r="BK193" s="3083">
        <f t="shared" si="109"/>
        <v>0</v>
      </c>
      <c r="BL193" s="3083">
        <f t="shared" si="110"/>
        <v>0</v>
      </c>
      <c r="BM193" s="3083">
        <f t="shared" si="111"/>
        <v>0</v>
      </c>
      <c r="BN193" s="3083">
        <f t="shared" si="112"/>
        <v>0</v>
      </c>
      <c r="BO193" s="3083">
        <f t="shared" si="113"/>
        <v>0</v>
      </c>
      <c r="BP193" s="3083">
        <f t="shared" si="114"/>
        <v>0</v>
      </c>
      <c r="BQ193" s="3083">
        <f t="shared" si="115"/>
        <v>0</v>
      </c>
      <c r="BR193" s="3083">
        <f t="shared" si="116"/>
        <v>0</v>
      </c>
      <c r="BS193" s="3083">
        <f t="shared" si="117"/>
        <v>0</v>
      </c>
      <c r="BT193" s="3135">
        <f t="shared" si="118"/>
        <v>0</v>
      </c>
    </row>
    <row r="194" spans="1:72">
      <c r="A194" s="3080"/>
      <c r="B194" s="3081"/>
      <c r="C194" s="3081"/>
      <c r="D194" s="3082"/>
      <c r="E194" s="3083">
        <f t="shared" si="119"/>
        <v>0</v>
      </c>
      <c r="F194" s="3084"/>
      <c r="G194" s="3085">
        <f t="shared" si="94"/>
        <v>0</v>
      </c>
      <c r="H194" s="3086">
        <f t="shared" si="95"/>
        <v>0</v>
      </c>
      <c r="I194" s="3093"/>
      <c r="J194" s="3093"/>
      <c r="K194" s="3093"/>
      <c r="L194" s="3093"/>
      <c r="M194" s="3093"/>
      <c r="N194" s="3093"/>
      <c r="O194" s="3093"/>
      <c r="P194" s="3093"/>
      <c r="Q194" s="3093"/>
      <c r="R194" s="3093"/>
      <c r="S194" s="3093"/>
      <c r="T194" s="3093"/>
      <c r="U194" s="3093"/>
      <c r="V194" s="3093"/>
      <c r="W194" s="3093"/>
      <c r="X194" s="3093"/>
      <c r="Y194" s="3093"/>
      <c r="Z194" s="3093"/>
      <c r="AA194" s="3093"/>
      <c r="AB194" s="3093"/>
      <c r="AC194" s="3083">
        <f t="shared" si="96"/>
        <v>0</v>
      </c>
      <c r="AD194" s="3103"/>
      <c r="AE194" s="3103"/>
      <c r="AF194" s="3103"/>
      <c r="AG194" s="3103"/>
      <c r="AH194" s="3103"/>
      <c r="AI194" s="3103"/>
      <c r="AJ194" s="3103"/>
      <c r="AK194" s="3103"/>
      <c r="AL194" s="3103"/>
      <c r="AM194" s="3103"/>
      <c r="AN194" s="3103"/>
      <c r="AO194" s="3103"/>
      <c r="AP194" s="3103"/>
      <c r="AQ194" s="3103"/>
      <c r="AR194" s="3103"/>
      <c r="AS194" s="3103"/>
      <c r="AT194" s="3113"/>
      <c r="AU194" s="3114"/>
      <c r="AV194" s="1580">
        <f t="shared" si="120"/>
        <v>0</v>
      </c>
      <c r="AW194" s="1580">
        <f t="shared" si="121"/>
        <v>0</v>
      </c>
      <c r="AX194" s="1580">
        <f t="shared" si="122"/>
        <v>0</v>
      </c>
      <c r="AY194" s="3128">
        <f t="shared" si="97"/>
        <v>0</v>
      </c>
      <c r="AZ194" s="3083">
        <f t="shared" si="98"/>
        <v>0</v>
      </c>
      <c r="BA194" s="3083">
        <f t="shared" si="99"/>
        <v>0</v>
      </c>
      <c r="BB194" s="3083">
        <f t="shared" si="100"/>
        <v>0</v>
      </c>
      <c r="BC194" s="3083">
        <f t="shared" si="101"/>
        <v>0</v>
      </c>
      <c r="BD194" s="3083">
        <f t="shared" si="102"/>
        <v>0</v>
      </c>
      <c r="BE194" s="3083">
        <f t="shared" si="103"/>
        <v>0</v>
      </c>
      <c r="BF194" s="3083">
        <f t="shared" si="104"/>
        <v>0</v>
      </c>
      <c r="BG194" s="3083">
        <f t="shared" si="105"/>
        <v>0</v>
      </c>
      <c r="BH194" s="3083">
        <f t="shared" si="106"/>
        <v>0</v>
      </c>
      <c r="BI194" s="3083">
        <f t="shared" si="107"/>
        <v>0</v>
      </c>
      <c r="BJ194" s="3083">
        <f t="shared" si="108"/>
        <v>0</v>
      </c>
      <c r="BK194" s="3083">
        <f t="shared" si="109"/>
        <v>0</v>
      </c>
      <c r="BL194" s="3083">
        <f t="shared" si="110"/>
        <v>0</v>
      </c>
      <c r="BM194" s="3083">
        <f t="shared" si="111"/>
        <v>0</v>
      </c>
      <c r="BN194" s="3083">
        <f t="shared" si="112"/>
        <v>0</v>
      </c>
      <c r="BO194" s="3083">
        <f t="shared" si="113"/>
        <v>0</v>
      </c>
      <c r="BP194" s="3083">
        <f t="shared" si="114"/>
        <v>0</v>
      </c>
      <c r="BQ194" s="3083">
        <f t="shared" si="115"/>
        <v>0</v>
      </c>
      <c r="BR194" s="3083">
        <f t="shared" si="116"/>
        <v>0</v>
      </c>
      <c r="BS194" s="3083">
        <f t="shared" si="117"/>
        <v>0</v>
      </c>
      <c r="BT194" s="3135">
        <f t="shared" si="118"/>
        <v>0</v>
      </c>
    </row>
    <row r="195" spans="1:72">
      <c r="A195" s="3080"/>
      <c r="B195" s="3081"/>
      <c r="C195" s="3081"/>
      <c r="D195" s="3082"/>
      <c r="E195" s="3083">
        <f t="shared" si="119"/>
        <v>0</v>
      </c>
      <c r="F195" s="3084"/>
      <c r="G195" s="3085">
        <f t="shared" si="94"/>
        <v>0</v>
      </c>
      <c r="H195" s="3086">
        <f t="shared" si="95"/>
        <v>0</v>
      </c>
      <c r="I195" s="3093"/>
      <c r="J195" s="3093"/>
      <c r="K195" s="3093"/>
      <c r="L195" s="3093"/>
      <c r="M195" s="3093"/>
      <c r="N195" s="3093"/>
      <c r="O195" s="3093"/>
      <c r="P195" s="3093"/>
      <c r="Q195" s="3093"/>
      <c r="R195" s="3093"/>
      <c r="S195" s="3093"/>
      <c r="T195" s="3093"/>
      <c r="U195" s="3093"/>
      <c r="V195" s="3093"/>
      <c r="W195" s="3093"/>
      <c r="X195" s="3093"/>
      <c r="Y195" s="3093"/>
      <c r="Z195" s="3093"/>
      <c r="AA195" s="3093"/>
      <c r="AB195" s="3093"/>
      <c r="AC195" s="3083">
        <f t="shared" si="96"/>
        <v>0</v>
      </c>
      <c r="AD195" s="3103"/>
      <c r="AE195" s="3103"/>
      <c r="AF195" s="3103"/>
      <c r="AG195" s="3103"/>
      <c r="AH195" s="3103"/>
      <c r="AI195" s="3103"/>
      <c r="AJ195" s="3103"/>
      <c r="AK195" s="3103"/>
      <c r="AL195" s="3103"/>
      <c r="AM195" s="3103"/>
      <c r="AN195" s="3103"/>
      <c r="AO195" s="3103"/>
      <c r="AP195" s="3103"/>
      <c r="AQ195" s="3103"/>
      <c r="AR195" s="3103"/>
      <c r="AS195" s="3103"/>
      <c r="AT195" s="3113"/>
      <c r="AU195" s="3114"/>
      <c r="AV195" s="1580">
        <f t="shared" si="120"/>
        <v>0</v>
      </c>
      <c r="AW195" s="1580">
        <f t="shared" si="121"/>
        <v>0</v>
      </c>
      <c r="AX195" s="1580">
        <f t="shared" si="122"/>
        <v>0</v>
      </c>
      <c r="AY195" s="3128">
        <f t="shared" si="97"/>
        <v>0</v>
      </c>
      <c r="AZ195" s="3083">
        <f t="shared" si="98"/>
        <v>0</v>
      </c>
      <c r="BA195" s="3083">
        <f t="shared" si="99"/>
        <v>0</v>
      </c>
      <c r="BB195" s="3083">
        <f t="shared" si="100"/>
        <v>0</v>
      </c>
      <c r="BC195" s="3083">
        <f t="shared" si="101"/>
        <v>0</v>
      </c>
      <c r="BD195" s="3083">
        <f t="shared" si="102"/>
        <v>0</v>
      </c>
      <c r="BE195" s="3083">
        <f t="shared" si="103"/>
        <v>0</v>
      </c>
      <c r="BF195" s="3083">
        <f t="shared" si="104"/>
        <v>0</v>
      </c>
      <c r="BG195" s="3083">
        <f t="shared" si="105"/>
        <v>0</v>
      </c>
      <c r="BH195" s="3083">
        <f t="shared" si="106"/>
        <v>0</v>
      </c>
      <c r="BI195" s="3083">
        <f t="shared" si="107"/>
        <v>0</v>
      </c>
      <c r="BJ195" s="3083">
        <f t="shared" si="108"/>
        <v>0</v>
      </c>
      <c r="BK195" s="3083">
        <f t="shared" si="109"/>
        <v>0</v>
      </c>
      <c r="BL195" s="3083">
        <f t="shared" si="110"/>
        <v>0</v>
      </c>
      <c r="BM195" s="3083">
        <f t="shared" si="111"/>
        <v>0</v>
      </c>
      <c r="BN195" s="3083">
        <f t="shared" si="112"/>
        <v>0</v>
      </c>
      <c r="BO195" s="3083">
        <f t="shared" si="113"/>
        <v>0</v>
      </c>
      <c r="BP195" s="3083">
        <f t="shared" si="114"/>
        <v>0</v>
      </c>
      <c r="BQ195" s="3083">
        <f t="shared" si="115"/>
        <v>0</v>
      </c>
      <c r="BR195" s="3083">
        <f t="shared" si="116"/>
        <v>0</v>
      </c>
      <c r="BS195" s="3083">
        <f t="shared" si="117"/>
        <v>0</v>
      </c>
      <c r="BT195" s="3135">
        <f t="shared" si="118"/>
        <v>0</v>
      </c>
    </row>
    <row r="196" spans="1:72">
      <c r="A196" s="3080"/>
      <c r="B196" s="3081"/>
      <c r="C196" s="3081"/>
      <c r="D196" s="3082"/>
      <c r="E196" s="3083">
        <f t="shared" si="119"/>
        <v>0</v>
      </c>
      <c r="F196" s="3084"/>
      <c r="G196" s="3085">
        <f t="shared" si="94"/>
        <v>0</v>
      </c>
      <c r="H196" s="3086">
        <f t="shared" si="95"/>
        <v>0</v>
      </c>
      <c r="I196" s="3093"/>
      <c r="J196" s="3093"/>
      <c r="K196" s="3093"/>
      <c r="L196" s="3093"/>
      <c r="M196" s="3093"/>
      <c r="N196" s="3093"/>
      <c r="O196" s="3093"/>
      <c r="P196" s="3093"/>
      <c r="Q196" s="3093"/>
      <c r="R196" s="3093"/>
      <c r="S196" s="3093"/>
      <c r="T196" s="3093"/>
      <c r="U196" s="3093"/>
      <c r="V196" s="3093"/>
      <c r="W196" s="3093"/>
      <c r="X196" s="3093"/>
      <c r="Y196" s="3093"/>
      <c r="Z196" s="3093"/>
      <c r="AA196" s="3093"/>
      <c r="AB196" s="3093"/>
      <c r="AC196" s="3083">
        <f t="shared" si="96"/>
        <v>0</v>
      </c>
      <c r="AD196" s="3103"/>
      <c r="AE196" s="3103"/>
      <c r="AF196" s="3103"/>
      <c r="AG196" s="3103"/>
      <c r="AH196" s="3103"/>
      <c r="AI196" s="3103"/>
      <c r="AJ196" s="3103"/>
      <c r="AK196" s="3103"/>
      <c r="AL196" s="3103"/>
      <c r="AM196" s="3103"/>
      <c r="AN196" s="3103"/>
      <c r="AO196" s="3103"/>
      <c r="AP196" s="3103"/>
      <c r="AQ196" s="3103"/>
      <c r="AR196" s="3103"/>
      <c r="AS196" s="3103"/>
      <c r="AT196" s="3113"/>
      <c r="AU196" s="3114"/>
      <c r="AV196" s="1580">
        <f t="shared" si="120"/>
        <v>0</v>
      </c>
      <c r="AW196" s="1580">
        <f t="shared" si="121"/>
        <v>0</v>
      </c>
      <c r="AX196" s="1580">
        <f t="shared" si="122"/>
        <v>0</v>
      </c>
      <c r="AY196" s="3128">
        <f t="shared" si="97"/>
        <v>0</v>
      </c>
      <c r="AZ196" s="3083">
        <f t="shared" si="98"/>
        <v>0</v>
      </c>
      <c r="BA196" s="3083">
        <f t="shared" si="99"/>
        <v>0</v>
      </c>
      <c r="BB196" s="3083">
        <f t="shared" si="100"/>
        <v>0</v>
      </c>
      <c r="BC196" s="3083">
        <f t="shared" si="101"/>
        <v>0</v>
      </c>
      <c r="BD196" s="3083">
        <f t="shared" si="102"/>
        <v>0</v>
      </c>
      <c r="BE196" s="3083">
        <f t="shared" si="103"/>
        <v>0</v>
      </c>
      <c r="BF196" s="3083">
        <f t="shared" si="104"/>
        <v>0</v>
      </c>
      <c r="BG196" s="3083">
        <f t="shared" si="105"/>
        <v>0</v>
      </c>
      <c r="BH196" s="3083">
        <f t="shared" si="106"/>
        <v>0</v>
      </c>
      <c r="BI196" s="3083">
        <f t="shared" si="107"/>
        <v>0</v>
      </c>
      <c r="BJ196" s="3083">
        <f t="shared" si="108"/>
        <v>0</v>
      </c>
      <c r="BK196" s="3083">
        <f t="shared" si="109"/>
        <v>0</v>
      </c>
      <c r="BL196" s="3083">
        <f t="shared" si="110"/>
        <v>0</v>
      </c>
      <c r="BM196" s="3083">
        <f t="shared" si="111"/>
        <v>0</v>
      </c>
      <c r="BN196" s="3083">
        <f t="shared" si="112"/>
        <v>0</v>
      </c>
      <c r="BO196" s="3083">
        <f t="shared" si="113"/>
        <v>0</v>
      </c>
      <c r="BP196" s="3083">
        <f t="shared" si="114"/>
        <v>0</v>
      </c>
      <c r="BQ196" s="3083">
        <f t="shared" si="115"/>
        <v>0</v>
      </c>
      <c r="BR196" s="3083">
        <f t="shared" si="116"/>
        <v>0</v>
      </c>
      <c r="BS196" s="3083">
        <f t="shared" si="117"/>
        <v>0</v>
      </c>
      <c r="BT196" s="3135">
        <f t="shared" si="118"/>
        <v>0</v>
      </c>
    </row>
    <row r="197" spans="1:72">
      <c r="A197" s="3080"/>
      <c r="B197" s="3081"/>
      <c r="C197" s="3081"/>
      <c r="D197" s="3082"/>
      <c r="E197" s="3083">
        <f t="shared" si="119"/>
        <v>0</v>
      </c>
      <c r="F197" s="3084"/>
      <c r="G197" s="3085">
        <f t="shared" si="94"/>
        <v>0</v>
      </c>
      <c r="H197" s="3086">
        <f t="shared" si="95"/>
        <v>0</v>
      </c>
      <c r="I197" s="3093"/>
      <c r="J197" s="3093"/>
      <c r="K197" s="3093"/>
      <c r="L197" s="3093"/>
      <c r="M197" s="3093"/>
      <c r="N197" s="3093"/>
      <c r="O197" s="3093"/>
      <c r="P197" s="3093"/>
      <c r="Q197" s="3093"/>
      <c r="R197" s="3093"/>
      <c r="S197" s="3093"/>
      <c r="T197" s="3093"/>
      <c r="U197" s="3093"/>
      <c r="V197" s="3093"/>
      <c r="W197" s="3093"/>
      <c r="X197" s="3093"/>
      <c r="Y197" s="3093"/>
      <c r="Z197" s="3093"/>
      <c r="AA197" s="3093"/>
      <c r="AB197" s="3093"/>
      <c r="AC197" s="3083">
        <f t="shared" si="96"/>
        <v>0</v>
      </c>
      <c r="AD197" s="3103"/>
      <c r="AE197" s="3103"/>
      <c r="AF197" s="3103"/>
      <c r="AG197" s="3103"/>
      <c r="AH197" s="3103"/>
      <c r="AI197" s="3103"/>
      <c r="AJ197" s="3103"/>
      <c r="AK197" s="3103"/>
      <c r="AL197" s="3103"/>
      <c r="AM197" s="3103"/>
      <c r="AN197" s="3103"/>
      <c r="AO197" s="3103"/>
      <c r="AP197" s="3103"/>
      <c r="AQ197" s="3103"/>
      <c r="AR197" s="3103"/>
      <c r="AS197" s="3103"/>
      <c r="AT197" s="3113"/>
      <c r="AU197" s="3114"/>
      <c r="AV197" s="1580">
        <f t="shared" si="120"/>
        <v>0</v>
      </c>
      <c r="AW197" s="1580">
        <f t="shared" si="121"/>
        <v>0</v>
      </c>
      <c r="AX197" s="1580">
        <f t="shared" si="122"/>
        <v>0</v>
      </c>
      <c r="AY197" s="3128">
        <f t="shared" si="97"/>
        <v>0</v>
      </c>
      <c r="AZ197" s="3083">
        <f t="shared" si="98"/>
        <v>0</v>
      </c>
      <c r="BA197" s="3083">
        <f t="shared" si="99"/>
        <v>0</v>
      </c>
      <c r="BB197" s="3083">
        <f t="shared" si="100"/>
        <v>0</v>
      </c>
      <c r="BC197" s="3083">
        <f t="shared" si="101"/>
        <v>0</v>
      </c>
      <c r="BD197" s="3083">
        <f t="shared" si="102"/>
        <v>0</v>
      </c>
      <c r="BE197" s="3083">
        <f t="shared" si="103"/>
        <v>0</v>
      </c>
      <c r="BF197" s="3083">
        <f t="shared" si="104"/>
        <v>0</v>
      </c>
      <c r="BG197" s="3083">
        <f t="shared" si="105"/>
        <v>0</v>
      </c>
      <c r="BH197" s="3083">
        <f t="shared" si="106"/>
        <v>0</v>
      </c>
      <c r="BI197" s="3083">
        <f t="shared" si="107"/>
        <v>0</v>
      </c>
      <c r="BJ197" s="3083">
        <f t="shared" si="108"/>
        <v>0</v>
      </c>
      <c r="BK197" s="3083">
        <f t="shared" si="109"/>
        <v>0</v>
      </c>
      <c r="BL197" s="3083">
        <f t="shared" si="110"/>
        <v>0</v>
      </c>
      <c r="BM197" s="3083">
        <f t="shared" si="111"/>
        <v>0</v>
      </c>
      <c r="BN197" s="3083">
        <f t="shared" si="112"/>
        <v>0</v>
      </c>
      <c r="BO197" s="3083">
        <f t="shared" si="113"/>
        <v>0</v>
      </c>
      <c r="BP197" s="3083">
        <f t="shared" si="114"/>
        <v>0</v>
      </c>
      <c r="BQ197" s="3083">
        <f t="shared" si="115"/>
        <v>0</v>
      </c>
      <c r="BR197" s="3083">
        <f t="shared" si="116"/>
        <v>0</v>
      </c>
      <c r="BS197" s="3083">
        <f t="shared" si="117"/>
        <v>0</v>
      </c>
      <c r="BT197" s="3135">
        <f t="shared" si="118"/>
        <v>0</v>
      </c>
    </row>
    <row r="198" spans="1:72">
      <c r="A198" s="3080"/>
      <c r="B198" s="3081"/>
      <c r="C198" s="3081"/>
      <c r="D198" s="3082"/>
      <c r="E198" s="3083">
        <f t="shared" si="119"/>
        <v>0</v>
      </c>
      <c r="F198" s="3084"/>
      <c r="G198" s="3085">
        <f t="shared" si="94"/>
        <v>0</v>
      </c>
      <c r="H198" s="3086">
        <f t="shared" si="95"/>
        <v>0</v>
      </c>
      <c r="I198" s="3093"/>
      <c r="J198" s="3093"/>
      <c r="K198" s="3093"/>
      <c r="L198" s="3093"/>
      <c r="M198" s="3093"/>
      <c r="N198" s="3093"/>
      <c r="O198" s="3093"/>
      <c r="P198" s="3093"/>
      <c r="Q198" s="3093"/>
      <c r="R198" s="3093"/>
      <c r="S198" s="3093"/>
      <c r="T198" s="3093"/>
      <c r="U198" s="3093"/>
      <c r="V198" s="3093"/>
      <c r="W198" s="3093"/>
      <c r="X198" s="3093"/>
      <c r="Y198" s="3093"/>
      <c r="Z198" s="3093"/>
      <c r="AA198" s="3093"/>
      <c r="AB198" s="3093"/>
      <c r="AC198" s="3083">
        <f t="shared" si="96"/>
        <v>0</v>
      </c>
      <c r="AD198" s="3103"/>
      <c r="AE198" s="3103"/>
      <c r="AF198" s="3103"/>
      <c r="AG198" s="3103"/>
      <c r="AH198" s="3103"/>
      <c r="AI198" s="3103"/>
      <c r="AJ198" s="3103"/>
      <c r="AK198" s="3103"/>
      <c r="AL198" s="3103"/>
      <c r="AM198" s="3103"/>
      <c r="AN198" s="3103"/>
      <c r="AO198" s="3103"/>
      <c r="AP198" s="3103"/>
      <c r="AQ198" s="3103"/>
      <c r="AR198" s="3103"/>
      <c r="AS198" s="3103"/>
      <c r="AT198" s="3113"/>
      <c r="AU198" s="3114"/>
      <c r="AV198" s="1580">
        <f t="shared" si="120"/>
        <v>0</v>
      </c>
      <c r="AW198" s="1580">
        <f t="shared" si="121"/>
        <v>0</v>
      </c>
      <c r="AX198" s="1580">
        <f t="shared" si="122"/>
        <v>0</v>
      </c>
      <c r="AY198" s="3128">
        <f t="shared" si="97"/>
        <v>0</v>
      </c>
      <c r="AZ198" s="3083">
        <f t="shared" si="98"/>
        <v>0</v>
      </c>
      <c r="BA198" s="3083">
        <f t="shared" si="99"/>
        <v>0</v>
      </c>
      <c r="BB198" s="3083">
        <f t="shared" si="100"/>
        <v>0</v>
      </c>
      <c r="BC198" s="3083">
        <f t="shared" si="101"/>
        <v>0</v>
      </c>
      <c r="BD198" s="3083">
        <f t="shared" si="102"/>
        <v>0</v>
      </c>
      <c r="BE198" s="3083">
        <f t="shared" si="103"/>
        <v>0</v>
      </c>
      <c r="BF198" s="3083">
        <f t="shared" si="104"/>
        <v>0</v>
      </c>
      <c r="BG198" s="3083">
        <f t="shared" si="105"/>
        <v>0</v>
      </c>
      <c r="BH198" s="3083">
        <f t="shared" si="106"/>
        <v>0</v>
      </c>
      <c r="BI198" s="3083">
        <f t="shared" si="107"/>
        <v>0</v>
      </c>
      <c r="BJ198" s="3083">
        <f t="shared" si="108"/>
        <v>0</v>
      </c>
      <c r="BK198" s="3083">
        <f t="shared" si="109"/>
        <v>0</v>
      </c>
      <c r="BL198" s="3083">
        <f t="shared" si="110"/>
        <v>0</v>
      </c>
      <c r="BM198" s="3083">
        <f t="shared" si="111"/>
        <v>0</v>
      </c>
      <c r="BN198" s="3083">
        <f t="shared" si="112"/>
        <v>0</v>
      </c>
      <c r="BO198" s="3083">
        <f t="shared" si="113"/>
        <v>0</v>
      </c>
      <c r="BP198" s="3083">
        <f t="shared" si="114"/>
        <v>0</v>
      </c>
      <c r="BQ198" s="3083">
        <f t="shared" si="115"/>
        <v>0</v>
      </c>
      <c r="BR198" s="3083">
        <f t="shared" si="116"/>
        <v>0</v>
      </c>
      <c r="BS198" s="3083">
        <f t="shared" si="117"/>
        <v>0</v>
      </c>
      <c r="BT198" s="3135">
        <f t="shared" si="118"/>
        <v>0</v>
      </c>
    </row>
    <row r="199" spans="1:72">
      <c r="A199" s="3080"/>
      <c r="B199" s="3081"/>
      <c r="C199" s="3081"/>
      <c r="D199" s="3082"/>
      <c r="E199" s="3083">
        <f t="shared" si="119"/>
        <v>0</v>
      </c>
      <c r="F199" s="3084"/>
      <c r="G199" s="3085">
        <f t="shared" si="94"/>
        <v>0</v>
      </c>
      <c r="H199" s="3086">
        <f t="shared" si="95"/>
        <v>0</v>
      </c>
      <c r="I199" s="3093"/>
      <c r="J199" s="3093"/>
      <c r="K199" s="3093"/>
      <c r="L199" s="3093"/>
      <c r="M199" s="3093"/>
      <c r="N199" s="3093"/>
      <c r="O199" s="3093"/>
      <c r="P199" s="3093"/>
      <c r="Q199" s="3093"/>
      <c r="R199" s="3093"/>
      <c r="S199" s="3093"/>
      <c r="T199" s="3093"/>
      <c r="U199" s="3093"/>
      <c r="V199" s="3093"/>
      <c r="W199" s="3093"/>
      <c r="X199" s="3093"/>
      <c r="Y199" s="3093"/>
      <c r="Z199" s="3093"/>
      <c r="AA199" s="3093"/>
      <c r="AB199" s="3093"/>
      <c r="AC199" s="3083">
        <f t="shared" si="96"/>
        <v>0</v>
      </c>
      <c r="AD199" s="3103"/>
      <c r="AE199" s="3103"/>
      <c r="AF199" s="3103"/>
      <c r="AG199" s="3103"/>
      <c r="AH199" s="3103"/>
      <c r="AI199" s="3103"/>
      <c r="AJ199" s="3103"/>
      <c r="AK199" s="3103"/>
      <c r="AL199" s="3103"/>
      <c r="AM199" s="3103"/>
      <c r="AN199" s="3103"/>
      <c r="AO199" s="3103"/>
      <c r="AP199" s="3103"/>
      <c r="AQ199" s="3103"/>
      <c r="AR199" s="3103"/>
      <c r="AS199" s="3103"/>
      <c r="AT199" s="3113"/>
      <c r="AU199" s="3114"/>
      <c r="AV199" s="1580">
        <f t="shared" si="120"/>
        <v>0</v>
      </c>
      <c r="AW199" s="1580">
        <f t="shared" si="121"/>
        <v>0</v>
      </c>
      <c r="AX199" s="1580">
        <f t="shared" si="122"/>
        <v>0</v>
      </c>
      <c r="AY199" s="3128">
        <f t="shared" si="97"/>
        <v>0</v>
      </c>
      <c r="AZ199" s="3083">
        <f t="shared" si="98"/>
        <v>0</v>
      </c>
      <c r="BA199" s="3083">
        <f t="shared" si="99"/>
        <v>0</v>
      </c>
      <c r="BB199" s="3083">
        <f t="shared" si="100"/>
        <v>0</v>
      </c>
      <c r="BC199" s="3083">
        <f t="shared" si="101"/>
        <v>0</v>
      </c>
      <c r="BD199" s="3083">
        <f t="shared" si="102"/>
        <v>0</v>
      </c>
      <c r="BE199" s="3083">
        <f t="shared" si="103"/>
        <v>0</v>
      </c>
      <c r="BF199" s="3083">
        <f t="shared" si="104"/>
        <v>0</v>
      </c>
      <c r="BG199" s="3083">
        <f t="shared" si="105"/>
        <v>0</v>
      </c>
      <c r="BH199" s="3083">
        <f t="shared" si="106"/>
        <v>0</v>
      </c>
      <c r="BI199" s="3083">
        <f t="shared" si="107"/>
        <v>0</v>
      </c>
      <c r="BJ199" s="3083">
        <f t="shared" si="108"/>
        <v>0</v>
      </c>
      <c r="BK199" s="3083">
        <f t="shared" si="109"/>
        <v>0</v>
      </c>
      <c r="BL199" s="3083">
        <f t="shared" si="110"/>
        <v>0</v>
      </c>
      <c r="BM199" s="3083">
        <f t="shared" si="111"/>
        <v>0</v>
      </c>
      <c r="BN199" s="3083">
        <f t="shared" si="112"/>
        <v>0</v>
      </c>
      <c r="BO199" s="3083">
        <f t="shared" si="113"/>
        <v>0</v>
      </c>
      <c r="BP199" s="3083">
        <f t="shared" si="114"/>
        <v>0</v>
      </c>
      <c r="BQ199" s="3083">
        <f t="shared" si="115"/>
        <v>0</v>
      </c>
      <c r="BR199" s="3083">
        <f t="shared" si="116"/>
        <v>0</v>
      </c>
      <c r="BS199" s="3083">
        <f t="shared" si="117"/>
        <v>0</v>
      </c>
      <c r="BT199" s="3135">
        <f t="shared" si="118"/>
        <v>0</v>
      </c>
    </row>
    <row r="200" spans="1:72">
      <c r="A200" s="3080"/>
      <c r="B200" s="3081"/>
      <c r="C200" s="3081"/>
      <c r="D200" s="3082"/>
      <c r="E200" s="3083">
        <f t="shared" si="119"/>
        <v>0</v>
      </c>
      <c r="F200" s="3084"/>
      <c r="G200" s="3085">
        <f t="shared" si="94"/>
        <v>0</v>
      </c>
      <c r="H200" s="3086">
        <f t="shared" si="95"/>
        <v>0</v>
      </c>
      <c r="I200" s="3093"/>
      <c r="J200" s="3093"/>
      <c r="K200" s="3093"/>
      <c r="L200" s="3093"/>
      <c r="M200" s="3093"/>
      <c r="N200" s="3093"/>
      <c r="O200" s="3093"/>
      <c r="P200" s="3093"/>
      <c r="Q200" s="3093"/>
      <c r="R200" s="3093"/>
      <c r="S200" s="3093"/>
      <c r="T200" s="3093"/>
      <c r="U200" s="3093"/>
      <c r="V200" s="3093"/>
      <c r="W200" s="3093"/>
      <c r="X200" s="3093"/>
      <c r="Y200" s="3093"/>
      <c r="Z200" s="3093"/>
      <c r="AA200" s="3093"/>
      <c r="AB200" s="3093"/>
      <c r="AC200" s="3083">
        <f t="shared" si="96"/>
        <v>0</v>
      </c>
      <c r="AD200" s="3103"/>
      <c r="AE200" s="3103"/>
      <c r="AF200" s="3103"/>
      <c r="AG200" s="3103"/>
      <c r="AH200" s="3103"/>
      <c r="AI200" s="3103"/>
      <c r="AJ200" s="3103"/>
      <c r="AK200" s="3103"/>
      <c r="AL200" s="3103"/>
      <c r="AM200" s="3103"/>
      <c r="AN200" s="3103"/>
      <c r="AO200" s="3103"/>
      <c r="AP200" s="3103"/>
      <c r="AQ200" s="3103"/>
      <c r="AR200" s="3103"/>
      <c r="AS200" s="3103"/>
      <c r="AT200" s="3113"/>
      <c r="AU200" s="3114"/>
      <c r="AV200" s="1580">
        <f t="shared" si="120"/>
        <v>0</v>
      </c>
      <c r="AW200" s="1580">
        <f t="shared" si="121"/>
        <v>0</v>
      </c>
      <c r="AX200" s="1580">
        <f t="shared" si="122"/>
        <v>0</v>
      </c>
      <c r="AY200" s="3128">
        <f t="shared" si="97"/>
        <v>0</v>
      </c>
      <c r="AZ200" s="3083">
        <f t="shared" si="98"/>
        <v>0</v>
      </c>
      <c r="BA200" s="3083">
        <f t="shared" si="99"/>
        <v>0</v>
      </c>
      <c r="BB200" s="3083">
        <f t="shared" si="100"/>
        <v>0</v>
      </c>
      <c r="BC200" s="3083">
        <f t="shared" si="101"/>
        <v>0</v>
      </c>
      <c r="BD200" s="3083">
        <f t="shared" si="102"/>
        <v>0</v>
      </c>
      <c r="BE200" s="3083">
        <f t="shared" si="103"/>
        <v>0</v>
      </c>
      <c r="BF200" s="3083">
        <f t="shared" si="104"/>
        <v>0</v>
      </c>
      <c r="BG200" s="3083">
        <f t="shared" si="105"/>
        <v>0</v>
      </c>
      <c r="BH200" s="3083">
        <f t="shared" si="106"/>
        <v>0</v>
      </c>
      <c r="BI200" s="3083">
        <f t="shared" si="107"/>
        <v>0</v>
      </c>
      <c r="BJ200" s="3083">
        <f t="shared" si="108"/>
        <v>0</v>
      </c>
      <c r="BK200" s="3083">
        <f t="shared" si="109"/>
        <v>0</v>
      </c>
      <c r="BL200" s="3083">
        <f t="shared" si="110"/>
        <v>0</v>
      </c>
      <c r="BM200" s="3083">
        <f t="shared" si="111"/>
        <v>0</v>
      </c>
      <c r="BN200" s="3083">
        <f t="shared" si="112"/>
        <v>0</v>
      </c>
      <c r="BO200" s="3083">
        <f t="shared" si="113"/>
        <v>0</v>
      </c>
      <c r="BP200" s="3083">
        <f t="shared" si="114"/>
        <v>0</v>
      </c>
      <c r="BQ200" s="3083">
        <f t="shared" si="115"/>
        <v>0</v>
      </c>
      <c r="BR200" s="3083">
        <f t="shared" si="116"/>
        <v>0</v>
      </c>
      <c r="BS200" s="3083">
        <f t="shared" si="117"/>
        <v>0</v>
      </c>
      <c r="BT200" s="3135">
        <f t="shared" si="118"/>
        <v>0</v>
      </c>
    </row>
    <row r="201" spans="1:72">
      <c r="A201" s="3080"/>
      <c r="B201" s="3081"/>
      <c r="C201" s="3081"/>
      <c r="D201" s="3082"/>
      <c r="E201" s="3083">
        <f t="shared" si="119"/>
        <v>0</v>
      </c>
      <c r="F201" s="3084"/>
      <c r="G201" s="3085">
        <f t="shared" si="94"/>
        <v>0</v>
      </c>
      <c r="H201" s="3086">
        <f t="shared" si="95"/>
        <v>0</v>
      </c>
      <c r="I201" s="3093"/>
      <c r="J201" s="3093"/>
      <c r="K201" s="3093"/>
      <c r="L201" s="3093"/>
      <c r="M201" s="3093"/>
      <c r="N201" s="3093"/>
      <c r="O201" s="3093"/>
      <c r="P201" s="3093"/>
      <c r="Q201" s="3093"/>
      <c r="R201" s="3093"/>
      <c r="S201" s="3093"/>
      <c r="T201" s="3093"/>
      <c r="U201" s="3093"/>
      <c r="V201" s="3093"/>
      <c r="W201" s="3093"/>
      <c r="X201" s="3093"/>
      <c r="Y201" s="3093"/>
      <c r="Z201" s="3093"/>
      <c r="AA201" s="3093"/>
      <c r="AB201" s="3093"/>
      <c r="AC201" s="3083">
        <f t="shared" si="96"/>
        <v>0</v>
      </c>
      <c r="AD201" s="3103"/>
      <c r="AE201" s="3103"/>
      <c r="AF201" s="3103"/>
      <c r="AG201" s="3103"/>
      <c r="AH201" s="3103"/>
      <c r="AI201" s="3103"/>
      <c r="AJ201" s="3103"/>
      <c r="AK201" s="3103"/>
      <c r="AL201" s="3103"/>
      <c r="AM201" s="3103"/>
      <c r="AN201" s="3103"/>
      <c r="AO201" s="3103"/>
      <c r="AP201" s="3103"/>
      <c r="AQ201" s="3103"/>
      <c r="AR201" s="3103"/>
      <c r="AS201" s="3103"/>
      <c r="AT201" s="3113"/>
      <c r="AU201" s="3114"/>
      <c r="AV201" s="1580">
        <f t="shared" si="120"/>
        <v>0</v>
      </c>
      <c r="AW201" s="1580">
        <f t="shared" si="121"/>
        <v>0</v>
      </c>
      <c r="AX201" s="1580">
        <f t="shared" si="122"/>
        <v>0</v>
      </c>
      <c r="AY201" s="3128">
        <f t="shared" si="97"/>
        <v>0</v>
      </c>
      <c r="AZ201" s="3083">
        <f t="shared" si="98"/>
        <v>0</v>
      </c>
      <c r="BA201" s="3083">
        <f t="shared" si="99"/>
        <v>0</v>
      </c>
      <c r="BB201" s="3083">
        <f t="shared" si="100"/>
        <v>0</v>
      </c>
      <c r="BC201" s="3083">
        <f t="shared" si="101"/>
        <v>0</v>
      </c>
      <c r="BD201" s="3083">
        <f t="shared" si="102"/>
        <v>0</v>
      </c>
      <c r="BE201" s="3083">
        <f t="shared" si="103"/>
        <v>0</v>
      </c>
      <c r="BF201" s="3083">
        <f t="shared" si="104"/>
        <v>0</v>
      </c>
      <c r="BG201" s="3083">
        <f t="shared" si="105"/>
        <v>0</v>
      </c>
      <c r="BH201" s="3083">
        <f t="shared" si="106"/>
        <v>0</v>
      </c>
      <c r="BI201" s="3083">
        <f t="shared" si="107"/>
        <v>0</v>
      </c>
      <c r="BJ201" s="3083">
        <f t="shared" si="108"/>
        <v>0</v>
      </c>
      <c r="BK201" s="3083">
        <f t="shared" si="109"/>
        <v>0</v>
      </c>
      <c r="BL201" s="3083">
        <f t="shared" si="110"/>
        <v>0</v>
      </c>
      <c r="BM201" s="3083">
        <f t="shared" si="111"/>
        <v>0</v>
      </c>
      <c r="BN201" s="3083">
        <f t="shared" si="112"/>
        <v>0</v>
      </c>
      <c r="BO201" s="3083">
        <f t="shared" si="113"/>
        <v>0</v>
      </c>
      <c r="BP201" s="3083">
        <f t="shared" si="114"/>
        <v>0</v>
      </c>
      <c r="BQ201" s="3083">
        <f t="shared" si="115"/>
        <v>0</v>
      </c>
      <c r="BR201" s="3083">
        <f t="shared" si="116"/>
        <v>0</v>
      </c>
      <c r="BS201" s="3083">
        <f t="shared" si="117"/>
        <v>0</v>
      </c>
      <c r="BT201" s="3135">
        <f t="shared" si="118"/>
        <v>0</v>
      </c>
    </row>
    <row r="202" spans="1:72">
      <c r="A202" s="3080"/>
      <c r="B202" s="3081"/>
      <c r="C202" s="3081"/>
      <c r="D202" s="3082"/>
      <c r="E202" s="3083">
        <f t="shared" si="119"/>
        <v>0</v>
      </c>
      <c r="F202" s="3084"/>
      <c r="G202" s="3085">
        <f t="shared" si="94"/>
        <v>0</v>
      </c>
      <c r="H202" s="3086">
        <f t="shared" si="95"/>
        <v>0</v>
      </c>
      <c r="I202" s="3093"/>
      <c r="J202" s="3093"/>
      <c r="K202" s="3093"/>
      <c r="L202" s="3093"/>
      <c r="M202" s="3093"/>
      <c r="N202" s="3093"/>
      <c r="O202" s="3093"/>
      <c r="P202" s="3093"/>
      <c r="Q202" s="3093"/>
      <c r="R202" s="3093"/>
      <c r="S202" s="3093"/>
      <c r="T202" s="3093"/>
      <c r="U202" s="3093"/>
      <c r="V202" s="3093"/>
      <c r="W202" s="3093"/>
      <c r="X202" s="3093"/>
      <c r="Y202" s="3093"/>
      <c r="Z202" s="3093"/>
      <c r="AA202" s="3093"/>
      <c r="AB202" s="3093"/>
      <c r="AC202" s="3083">
        <f t="shared" si="96"/>
        <v>0</v>
      </c>
      <c r="AD202" s="3103"/>
      <c r="AE202" s="3103"/>
      <c r="AF202" s="3103"/>
      <c r="AG202" s="3103"/>
      <c r="AH202" s="3103"/>
      <c r="AI202" s="3103"/>
      <c r="AJ202" s="3103"/>
      <c r="AK202" s="3103"/>
      <c r="AL202" s="3103"/>
      <c r="AM202" s="3103"/>
      <c r="AN202" s="3103"/>
      <c r="AO202" s="3103"/>
      <c r="AP202" s="3103"/>
      <c r="AQ202" s="3103"/>
      <c r="AR202" s="3103"/>
      <c r="AS202" s="3103"/>
      <c r="AT202" s="3113"/>
      <c r="AU202" s="3114"/>
      <c r="AV202" s="1580">
        <f t="shared" si="120"/>
        <v>0</v>
      </c>
      <c r="AW202" s="1580">
        <f t="shared" si="121"/>
        <v>0</v>
      </c>
      <c r="AX202" s="1580">
        <f t="shared" si="122"/>
        <v>0</v>
      </c>
      <c r="AY202" s="3128">
        <f t="shared" si="97"/>
        <v>0</v>
      </c>
      <c r="AZ202" s="3083">
        <f t="shared" si="98"/>
        <v>0</v>
      </c>
      <c r="BA202" s="3083">
        <f t="shared" si="99"/>
        <v>0</v>
      </c>
      <c r="BB202" s="3083">
        <f t="shared" si="100"/>
        <v>0</v>
      </c>
      <c r="BC202" s="3083">
        <f t="shared" si="101"/>
        <v>0</v>
      </c>
      <c r="BD202" s="3083">
        <f t="shared" si="102"/>
        <v>0</v>
      </c>
      <c r="BE202" s="3083">
        <f t="shared" si="103"/>
        <v>0</v>
      </c>
      <c r="BF202" s="3083">
        <f t="shared" si="104"/>
        <v>0</v>
      </c>
      <c r="BG202" s="3083">
        <f t="shared" si="105"/>
        <v>0</v>
      </c>
      <c r="BH202" s="3083">
        <f t="shared" si="106"/>
        <v>0</v>
      </c>
      <c r="BI202" s="3083">
        <f t="shared" si="107"/>
        <v>0</v>
      </c>
      <c r="BJ202" s="3083">
        <f t="shared" si="108"/>
        <v>0</v>
      </c>
      <c r="BK202" s="3083">
        <f t="shared" si="109"/>
        <v>0</v>
      </c>
      <c r="BL202" s="3083">
        <f t="shared" si="110"/>
        <v>0</v>
      </c>
      <c r="BM202" s="3083">
        <f t="shared" si="111"/>
        <v>0</v>
      </c>
      <c r="BN202" s="3083">
        <f t="shared" si="112"/>
        <v>0</v>
      </c>
      <c r="BO202" s="3083">
        <f t="shared" si="113"/>
        <v>0</v>
      </c>
      <c r="BP202" s="3083">
        <f t="shared" si="114"/>
        <v>0</v>
      </c>
      <c r="BQ202" s="3083">
        <f t="shared" si="115"/>
        <v>0</v>
      </c>
      <c r="BR202" s="3083">
        <f t="shared" si="116"/>
        <v>0</v>
      </c>
      <c r="BS202" s="3083">
        <f t="shared" si="117"/>
        <v>0</v>
      </c>
      <c r="BT202" s="3135">
        <f t="shared" si="118"/>
        <v>0</v>
      </c>
    </row>
    <row r="203" spans="1:72">
      <c r="A203" s="3080"/>
      <c r="B203" s="3081"/>
      <c r="C203" s="3081"/>
      <c r="D203" s="3082"/>
      <c r="E203" s="3083">
        <f t="shared" si="119"/>
        <v>0</v>
      </c>
      <c r="F203" s="3084"/>
      <c r="G203" s="3085">
        <f t="shared" si="94"/>
        <v>0</v>
      </c>
      <c r="H203" s="3086">
        <f t="shared" si="95"/>
        <v>0</v>
      </c>
      <c r="I203" s="3093"/>
      <c r="J203" s="3093"/>
      <c r="K203" s="3093"/>
      <c r="L203" s="3093"/>
      <c r="M203" s="3093"/>
      <c r="N203" s="3093"/>
      <c r="O203" s="3093"/>
      <c r="P203" s="3093"/>
      <c r="Q203" s="3093"/>
      <c r="R203" s="3093"/>
      <c r="S203" s="3093"/>
      <c r="T203" s="3093"/>
      <c r="U203" s="3093"/>
      <c r="V203" s="3093"/>
      <c r="W203" s="3093"/>
      <c r="X203" s="3093"/>
      <c r="Y203" s="3093"/>
      <c r="Z203" s="3093"/>
      <c r="AA203" s="3093"/>
      <c r="AB203" s="3093"/>
      <c r="AC203" s="3083">
        <f t="shared" si="96"/>
        <v>0</v>
      </c>
      <c r="AD203" s="3103"/>
      <c r="AE203" s="3103"/>
      <c r="AF203" s="3103"/>
      <c r="AG203" s="3103"/>
      <c r="AH203" s="3103"/>
      <c r="AI203" s="3103"/>
      <c r="AJ203" s="3103"/>
      <c r="AK203" s="3103"/>
      <c r="AL203" s="3103"/>
      <c r="AM203" s="3103"/>
      <c r="AN203" s="3103"/>
      <c r="AO203" s="3103"/>
      <c r="AP203" s="3103"/>
      <c r="AQ203" s="3103"/>
      <c r="AR203" s="3103"/>
      <c r="AS203" s="3103"/>
      <c r="AT203" s="3113"/>
      <c r="AU203" s="3114"/>
      <c r="AV203" s="1580">
        <f t="shared" si="120"/>
        <v>0</v>
      </c>
      <c r="AW203" s="1580">
        <f t="shared" si="121"/>
        <v>0</v>
      </c>
      <c r="AX203" s="1580">
        <f t="shared" si="122"/>
        <v>0</v>
      </c>
      <c r="AY203" s="3128">
        <f t="shared" si="97"/>
        <v>0</v>
      </c>
      <c r="AZ203" s="3083">
        <f t="shared" si="98"/>
        <v>0</v>
      </c>
      <c r="BA203" s="3083">
        <f t="shared" si="99"/>
        <v>0</v>
      </c>
      <c r="BB203" s="3083">
        <f t="shared" si="100"/>
        <v>0</v>
      </c>
      <c r="BC203" s="3083">
        <f t="shared" si="101"/>
        <v>0</v>
      </c>
      <c r="BD203" s="3083">
        <f t="shared" si="102"/>
        <v>0</v>
      </c>
      <c r="BE203" s="3083">
        <f t="shared" si="103"/>
        <v>0</v>
      </c>
      <c r="BF203" s="3083">
        <f t="shared" si="104"/>
        <v>0</v>
      </c>
      <c r="BG203" s="3083">
        <f t="shared" si="105"/>
        <v>0</v>
      </c>
      <c r="BH203" s="3083">
        <f t="shared" si="106"/>
        <v>0</v>
      </c>
      <c r="BI203" s="3083">
        <f t="shared" si="107"/>
        <v>0</v>
      </c>
      <c r="BJ203" s="3083">
        <f t="shared" si="108"/>
        <v>0</v>
      </c>
      <c r="BK203" s="3083">
        <f t="shared" si="109"/>
        <v>0</v>
      </c>
      <c r="BL203" s="3083">
        <f t="shared" si="110"/>
        <v>0</v>
      </c>
      <c r="BM203" s="3083">
        <f t="shared" si="111"/>
        <v>0</v>
      </c>
      <c r="BN203" s="3083">
        <f t="shared" si="112"/>
        <v>0</v>
      </c>
      <c r="BO203" s="3083">
        <f t="shared" si="113"/>
        <v>0</v>
      </c>
      <c r="BP203" s="3083">
        <f t="shared" si="114"/>
        <v>0</v>
      </c>
      <c r="BQ203" s="3083">
        <f t="shared" si="115"/>
        <v>0</v>
      </c>
      <c r="BR203" s="3083">
        <f t="shared" si="116"/>
        <v>0</v>
      </c>
      <c r="BS203" s="3083">
        <f t="shared" si="117"/>
        <v>0</v>
      </c>
      <c r="BT203" s="3135">
        <f t="shared" si="118"/>
        <v>0</v>
      </c>
    </row>
    <row r="204" spans="1:72">
      <c r="A204" s="3080"/>
      <c r="B204" s="3081"/>
      <c r="C204" s="3081"/>
      <c r="D204" s="3082"/>
      <c r="E204" s="3083">
        <f t="shared" si="119"/>
        <v>0</v>
      </c>
      <c r="F204" s="3084"/>
      <c r="G204" s="3085">
        <f t="shared" si="94"/>
        <v>0</v>
      </c>
      <c r="H204" s="3086">
        <f t="shared" si="95"/>
        <v>0</v>
      </c>
      <c r="I204" s="3093"/>
      <c r="J204" s="3093"/>
      <c r="K204" s="3093"/>
      <c r="L204" s="3093"/>
      <c r="M204" s="3093"/>
      <c r="N204" s="3093"/>
      <c r="O204" s="3093"/>
      <c r="P204" s="3093"/>
      <c r="Q204" s="3093"/>
      <c r="R204" s="3093"/>
      <c r="S204" s="3093"/>
      <c r="T204" s="3093"/>
      <c r="U204" s="3093"/>
      <c r="V204" s="3093"/>
      <c r="W204" s="3093"/>
      <c r="X204" s="3093"/>
      <c r="Y204" s="3093"/>
      <c r="Z204" s="3093"/>
      <c r="AA204" s="3093"/>
      <c r="AB204" s="3093"/>
      <c r="AC204" s="3083">
        <f t="shared" si="96"/>
        <v>0</v>
      </c>
      <c r="AD204" s="3103"/>
      <c r="AE204" s="3103"/>
      <c r="AF204" s="3103"/>
      <c r="AG204" s="3103"/>
      <c r="AH204" s="3103"/>
      <c r="AI204" s="3103"/>
      <c r="AJ204" s="3103"/>
      <c r="AK204" s="3103"/>
      <c r="AL204" s="3103"/>
      <c r="AM204" s="3103"/>
      <c r="AN204" s="3103"/>
      <c r="AO204" s="3103"/>
      <c r="AP204" s="3103"/>
      <c r="AQ204" s="3103"/>
      <c r="AR204" s="3103"/>
      <c r="AS204" s="3103"/>
      <c r="AT204" s="3113"/>
      <c r="AU204" s="3114"/>
      <c r="AV204" s="1580">
        <f t="shared" si="120"/>
        <v>0</v>
      </c>
      <c r="AW204" s="1580">
        <f t="shared" si="121"/>
        <v>0</v>
      </c>
      <c r="AX204" s="1580">
        <f t="shared" si="122"/>
        <v>0</v>
      </c>
      <c r="AY204" s="3128">
        <f t="shared" si="97"/>
        <v>0</v>
      </c>
      <c r="AZ204" s="3083">
        <f t="shared" si="98"/>
        <v>0</v>
      </c>
      <c r="BA204" s="3083">
        <f t="shared" si="99"/>
        <v>0</v>
      </c>
      <c r="BB204" s="3083">
        <f t="shared" si="100"/>
        <v>0</v>
      </c>
      <c r="BC204" s="3083">
        <f t="shared" si="101"/>
        <v>0</v>
      </c>
      <c r="BD204" s="3083">
        <f t="shared" si="102"/>
        <v>0</v>
      </c>
      <c r="BE204" s="3083">
        <f t="shared" si="103"/>
        <v>0</v>
      </c>
      <c r="BF204" s="3083">
        <f t="shared" si="104"/>
        <v>0</v>
      </c>
      <c r="BG204" s="3083">
        <f t="shared" si="105"/>
        <v>0</v>
      </c>
      <c r="BH204" s="3083">
        <f t="shared" si="106"/>
        <v>0</v>
      </c>
      <c r="BI204" s="3083">
        <f t="shared" si="107"/>
        <v>0</v>
      </c>
      <c r="BJ204" s="3083">
        <f t="shared" si="108"/>
        <v>0</v>
      </c>
      <c r="BK204" s="3083">
        <f t="shared" si="109"/>
        <v>0</v>
      </c>
      <c r="BL204" s="3083">
        <f t="shared" si="110"/>
        <v>0</v>
      </c>
      <c r="BM204" s="3083">
        <f t="shared" si="111"/>
        <v>0</v>
      </c>
      <c r="BN204" s="3083">
        <f t="shared" si="112"/>
        <v>0</v>
      </c>
      <c r="BO204" s="3083">
        <f t="shared" si="113"/>
        <v>0</v>
      </c>
      <c r="BP204" s="3083">
        <f t="shared" si="114"/>
        <v>0</v>
      </c>
      <c r="BQ204" s="3083">
        <f t="shared" si="115"/>
        <v>0</v>
      </c>
      <c r="BR204" s="3083">
        <f t="shared" si="116"/>
        <v>0</v>
      </c>
      <c r="BS204" s="3083">
        <f t="shared" si="117"/>
        <v>0</v>
      </c>
      <c r="BT204" s="3135">
        <f t="shared" si="118"/>
        <v>0</v>
      </c>
    </row>
    <row r="205" spans="1:72">
      <c r="A205" s="3080"/>
      <c r="B205" s="3080"/>
      <c r="C205" s="3080"/>
      <c r="D205" s="3082"/>
      <c r="E205" s="3083">
        <f t="shared" si="119"/>
        <v>0</v>
      </c>
      <c r="F205" s="3136"/>
      <c r="G205" s="3085">
        <f t="shared" si="94"/>
        <v>0</v>
      </c>
      <c r="H205" s="3086">
        <f t="shared" si="95"/>
        <v>0</v>
      </c>
      <c r="I205" s="3137"/>
      <c r="J205" s="3137"/>
      <c r="K205" s="3093"/>
      <c r="L205" s="3093"/>
      <c r="M205" s="3093"/>
      <c r="N205" s="3093"/>
      <c r="O205" s="3093"/>
      <c r="P205" s="3093"/>
      <c r="Q205" s="3093"/>
      <c r="R205" s="3093"/>
      <c r="S205" s="3093"/>
      <c r="T205" s="3093"/>
      <c r="U205" s="3093"/>
      <c r="V205" s="3093"/>
      <c r="W205" s="3093"/>
      <c r="X205" s="3093"/>
      <c r="Y205" s="3093"/>
      <c r="Z205" s="3093"/>
      <c r="AA205" s="3093"/>
      <c r="AB205" s="3093"/>
      <c r="AC205" s="3083">
        <f t="shared" si="96"/>
        <v>0</v>
      </c>
      <c r="AD205" s="3103"/>
      <c r="AE205" s="3103"/>
      <c r="AF205" s="3103"/>
      <c r="AG205" s="3103"/>
      <c r="AH205" s="3103"/>
      <c r="AI205" s="3103"/>
      <c r="AJ205" s="3103"/>
      <c r="AK205" s="3103"/>
      <c r="AL205" s="3103"/>
      <c r="AM205" s="3103"/>
      <c r="AN205" s="3103"/>
      <c r="AO205" s="3103"/>
      <c r="AP205" s="3103"/>
      <c r="AQ205" s="3103"/>
      <c r="AR205" s="3103"/>
      <c r="AS205" s="3103"/>
      <c r="AT205" s="3103"/>
      <c r="AU205" s="3138"/>
      <c r="AV205" s="1580">
        <f t="shared" si="120"/>
        <v>0</v>
      </c>
      <c r="AW205" s="1580">
        <f t="shared" si="121"/>
        <v>0</v>
      </c>
      <c r="AX205" s="1580">
        <f t="shared" si="122"/>
        <v>0</v>
      </c>
      <c r="AY205" s="3128">
        <f t="shared" si="97"/>
        <v>0</v>
      </c>
      <c r="AZ205" s="3083">
        <f t="shared" si="98"/>
        <v>0</v>
      </c>
      <c r="BA205" s="3083">
        <f t="shared" si="99"/>
        <v>0</v>
      </c>
      <c r="BB205" s="3083">
        <f t="shared" si="100"/>
        <v>0</v>
      </c>
      <c r="BC205" s="3083">
        <f t="shared" si="101"/>
        <v>0</v>
      </c>
      <c r="BD205" s="3083">
        <f t="shared" si="102"/>
        <v>0</v>
      </c>
      <c r="BE205" s="3083">
        <f t="shared" si="103"/>
        <v>0</v>
      </c>
      <c r="BF205" s="3083">
        <f t="shared" si="104"/>
        <v>0</v>
      </c>
      <c r="BG205" s="3083">
        <f t="shared" si="105"/>
        <v>0</v>
      </c>
      <c r="BH205" s="3083">
        <f t="shared" si="106"/>
        <v>0</v>
      </c>
      <c r="BI205" s="3083">
        <f t="shared" si="107"/>
        <v>0</v>
      </c>
      <c r="BJ205" s="3083">
        <f t="shared" si="108"/>
        <v>0</v>
      </c>
      <c r="BK205" s="3083">
        <f t="shared" si="109"/>
        <v>0</v>
      </c>
      <c r="BL205" s="3083">
        <f t="shared" si="110"/>
        <v>0</v>
      </c>
      <c r="BM205" s="3083">
        <f t="shared" si="111"/>
        <v>0</v>
      </c>
      <c r="BN205" s="3083">
        <f t="shared" si="112"/>
        <v>0</v>
      </c>
      <c r="BO205" s="3083">
        <f t="shared" si="113"/>
        <v>0</v>
      </c>
      <c r="BP205" s="3083">
        <f t="shared" si="114"/>
        <v>0</v>
      </c>
      <c r="BQ205" s="3083">
        <f t="shared" si="115"/>
        <v>0</v>
      </c>
      <c r="BR205" s="3083">
        <f t="shared" si="116"/>
        <v>0</v>
      </c>
      <c r="BS205" s="3083">
        <f t="shared" si="117"/>
        <v>0</v>
      </c>
      <c r="BT205" s="3135">
        <f t="shared" si="118"/>
        <v>0</v>
      </c>
    </row>
    <row r="206" spans="1:72">
      <c r="A206" s="3080"/>
      <c r="B206" s="3080"/>
      <c r="C206" s="3080"/>
      <c r="D206" s="3082"/>
      <c r="E206" s="3083">
        <f t="shared" si="119"/>
        <v>0</v>
      </c>
      <c r="F206" s="3136"/>
      <c r="G206" s="3085">
        <f t="shared" si="94"/>
        <v>0</v>
      </c>
      <c r="H206" s="3086">
        <f t="shared" si="95"/>
        <v>0</v>
      </c>
      <c r="I206" s="3093"/>
      <c r="J206" s="3093"/>
      <c r="K206" s="3093"/>
      <c r="L206" s="3093"/>
      <c r="M206" s="3093"/>
      <c r="N206" s="3093"/>
      <c r="O206" s="3093"/>
      <c r="P206" s="3093"/>
      <c r="Q206" s="3093"/>
      <c r="R206" s="3093"/>
      <c r="S206" s="3093"/>
      <c r="T206" s="3093"/>
      <c r="U206" s="3093"/>
      <c r="V206" s="3093"/>
      <c r="W206" s="3093"/>
      <c r="X206" s="3093"/>
      <c r="Y206" s="3093"/>
      <c r="Z206" s="3093"/>
      <c r="AA206" s="3093"/>
      <c r="AB206" s="3093"/>
      <c r="AC206" s="3083">
        <f t="shared" si="96"/>
        <v>0</v>
      </c>
      <c r="AD206" s="3103"/>
      <c r="AE206" s="3103"/>
      <c r="AF206" s="3103"/>
      <c r="AG206" s="3103"/>
      <c r="AH206" s="3103"/>
      <c r="AI206" s="3103"/>
      <c r="AJ206" s="3103"/>
      <c r="AK206" s="3103"/>
      <c r="AL206" s="3103"/>
      <c r="AM206" s="3103"/>
      <c r="AN206" s="3103"/>
      <c r="AO206" s="3103"/>
      <c r="AP206" s="3103"/>
      <c r="AQ206" s="3103"/>
      <c r="AR206" s="3103"/>
      <c r="AS206" s="3103"/>
      <c r="AT206" s="3103"/>
      <c r="AU206" s="3138"/>
      <c r="AV206" s="1580">
        <f t="shared" si="120"/>
        <v>0</v>
      </c>
      <c r="AW206" s="1580">
        <f t="shared" si="121"/>
        <v>0</v>
      </c>
      <c r="AX206" s="1580">
        <f t="shared" si="122"/>
        <v>0</v>
      </c>
      <c r="AY206" s="3128">
        <f t="shared" si="97"/>
        <v>0</v>
      </c>
      <c r="AZ206" s="3083">
        <f t="shared" si="98"/>
        <v>0</v>
      </c>
      <c r="BA206" s="3083">
        <f t="shared" si="99"/>
        <v>0</v>
      </c>
      <c r="BB206" s="3083">
        <f t="shared" si="100"/>
        <v>0</v>
      </c>
      <c r="BC206" s="3083">
        <f t="shared" si="101"/>
        <v>0</v>
      </c>
      <c r="BD206" s="3083">
        <f t="shared" si="102"/>
        <v>0</v>
      </c>
      <c r="BE206" s="3083">
        <f t="shared" si="103"/>
        <v>0</v>
      </c>
      <c r="BF206" s="3083">
        <f t="shared" si="104"/>
        <v>0</v>
      </c>
      <c r="BG206" s="3083">
        <f t="shared" si="105"/>
        <v>0</v>
      </c>
      <c r="BH206" s="3083">
        <f t="shared" si="106"/>
        <v>0</v>
      </c>
      <c r="BI206" s="3083">
        <f t="shared" si="107"/>
        <v>0</v>
      </c>
      <c r="BJ206" s="3083">
        <f t="shared" si="108"/>
        <v>0</v>
      </c>
      <c r="BK206" s="3083">
        <f t="shared" si="109"/>
        <v>0</v>
      </c>
      <c r="BL206" s="3083">
        <f t="shared" si="110"/>
        <v>0</v>
      </c>
      <c r="BM206" s="3083">
        <f t="shared" si="111"/>
        <v>0</v>
      </c>
      <c r="BN206" s="3083">
        <f t="shared" si="112"/>
        <v>0</v>
      </c>
      <c r="BO206" s="3083">
        <f t="shared" si="113"/>
        <v>0</v>
      </c>
      <c r="BP206" s="3083">
        <f t="shared" si="114"/>
        <v>0</v>
      </c>
      <c r="BQ206" s="3083">
        <f t="shared" si="115"/>
        <v>0</v>
      </c>
      <c r="BR206" s="3083">
        <f t="shared" si="116"/>
        <v>0</v>
      </c>
      <c r="BS206" s="3083">
        <f t="shared" si="117"/>
        <v>0</v>
      </c>
      <c r="BT206" s="3135">
        <f t="shared" si="118"/>
        <v>0</v>
      </c>
    </row>
    <row r="207" spans="1:72">
      <c r="A207" s="3080"/>
      <c r="B207" s="3080"/>
      <c r="C207" s="3080"/>
      <c r="D207" s="3082"/>
      <c r="E207" s="3083">
        <f t="shared" si="119"/>
        <v>0</v>
      </c>
      <c r="F207" s="3136"/>
      <c r="G207" s="3085">
        <f t="shared" si="94"/>
        <v>0</v>
      </c>
      <c r="H207" s="3086">
        <f t="shared" si="95"/>
        <v>0</v>
      </c>
      <c r="I207" s="3093"/>
      <c r="J207" s="3093"/>
      <c r="K207" s="3093"/>
      <c r="L207" s="3093"/>
      <c r="M207" s="3093"/>
      <c r="N207" s="3093"/>
      <c r="O207" s="3093"/>
      <c r="P207" s="3093"/>
      <c r="Q207" s="3093"/>
      <c r="R207" s="3093"/>
      <c r="S207" s="3093"/>
      <c r="T207" s="3093"/>
      <c r="U207" s="3093"/>
      <c r="V207" s="3093"/>
      <c r="W207" s="3093"/>
      <c r="X207" s="3093"/>
      <c r="Y207" s="3093"/>
      <c r="Z207" s="3093"/>
      <c r="AA207" s="3093"/>
      <c r="AB207" s="3093"/>
      <c r="AC207" s="3083">
        <f t="shared" si="96"/>
        <v>0</v>
      </c>
      <c r="AD207" s="3103"/>
      <c r="AE207" s="3103"/>
      <c r="AF207" s="3103"/>
      <c r="AG207" s="3103"/>
      <c r="AH207" s="3103"/>
      <c r="AI207" s="3103"/>
      <c r="AJ207" s="3103"/>
      <c r="AK207" s="3103"/>
      <c r="AL207" s="3103"/>
      <c r="AM207" s="3103"/>
      <c r="AN207" s="3103"/>
      <c r="AO207" s="3103"/>
      <c r="AP207" s="3103"/>
      <c r="AQ207" s="3103"/>
      <c r="AR207" s="3103"/>
      <c r="AS207" s="3103"/>
      <c r="AT207" s="3103"/>
      <c r="AU207" s="3138"/>
      <c r="AV207" s="1580">
        <f t="shared" si="120"/>
        <v>0</v>
      </c>
      <c r="AW207" s="1580">
        <f t="shared" si="121"/>
        <v>0</v>
      </c>
      <c r="AX207" s="1580">
        <f t="shared" si="122"/>
        <v>0</v>
      </c>
      <c r="AY207" s="3128">
        <f t="shared" si="97"/>
        <v>0</v>
      </c>
      <c r="AZ207" s="3083">
        <f t="shared" si="98"/>
        <v>0</v>
      </c>
      <c r="BA207" s="3083">
        <f t="shared" si="99"/>
        <v>0</v>
      </c>
      <c r="BB207" s="3083">
        <f t="shared" si="100"/>
        <v>0</v>
      </c>
      <c r="BC207" s="3083">
        <f t="shared" si="101"/>
        <v>0</v>
      </c>
      <c r="BD207" s="3083">
        <f t="shared" si="102"/>
        <v>0</v>
      </c>
      <c r="BE207" s="3083">
        <f t="shared" si="103"/>
        <v>0</v>
      </c>
      <c r="BF207" s="3083">
        <f t="shared" si="104"/>
        <v>0</v>
      </c>
      <c r="BG207" s="3083">
        <f t="shared" si="105"/>
        <v>0</v>
      </c>
      <c r="BH207" s="3083">
        <f t="shared" si="106"/>
        <v>0</v>
      </c>
      <c r="BI207" s="3083">
        <f t="shared" si="107"/>
        <v>0</v>
      </c>
      <c r="BJ207" s="3083">
        <f t="shared" si="108"/>
        <v>0</v>
      </c>
      <c r="BK207" s="3083">
        <f t="shared" si="109"/>
        <v>0</v>
      </c>
      <c r="BL207" s="3083">
        <f t="shared" si="110"/>
        <v>0</v>
      </c>
      <c r="BM207" s="3083">
        <f t="shared" si="111"/>
        <v>0</v>
      </c>
      <c r="BN207" s="3083">
        <f t="shared" si="112"/>
        <v>0</v>
      </c>
      <c r="BO207" s="3083">
        <f t="shared" si="113"/>
        <v>0</v>
      </c>
      <c r="BP207" s="3083">
        <f t="shared" si="114"/>
        <v>0</v>
      </c>
      <c r="BQ207" s="3083">
        <f t="shared" si="115"/>
        <v>0</v>
      </c>
      <c r="BR207" s="3083">
        <f t="shared" si="116"/>
        <v>0</v>
      </c>
      <c r="BS207" s="3083">
        <f t="shared" si="117"/>
        <v>0</v>
      </c>
      <c r="BT207" s="3135">
        <f t="shared" si="118"/>
        <v>0</v>
      </c>
    </row>
    <row r="208" spans="1:72">
      <c r="A208" s="3080"/>
      <c r="B208" s="3081"/>
      <c r="C208" s="3081"/>
      <c r="D208" s="3082"/>
      <c r="E208" s="3083">
        <f t="shared" ref="E208:E302" si="123">IF($C$3="是",ROUND($A$3*G208/$B$3,2),ROUND($A$3*(G208-AT208)/$B$3,2))</f>
        <v>0</v>
      </c>
      <c r="F208" s="3084"/>
      <c r="G208" s="3085">
        <f t="shared" ref="G208:G299" si="124">H208+AC208+AT208</f>
        <v>0</v>
      </c>
      <c r="H208" s="3086">
        <f t="shared" ref="H208:H299" si="125">SUMIF(I$12:AB$12,"总值",I208:AB208)</f>
        <v>0</v>
      </c>
      <c r="I208" s="3093"/>
      <c r="J208" s="3093"/>
      <c r="K208" s="3093"/>
      <c r="L208" s="3093"/>
      <c r="M208" s="3093"/>
      <c r="N208" s="3093"/>
      <c r="O208" s="3093"/>
      <c r="P208" s="3093"/>
      <c r="Q208" s="3093"/>
      <c r="R208" s="3093"/>
      <c r="S208" s="3093"/>
      <c r="T208" s="3093"/>
      <c r="U208" s="3093"/>
      <c r="V208" s="3093"/>
      <c r="W208" s="3093"/>
      <c r="X208" s="3093"/>
      <c r="Y208" s="3093"/>
      <c r="Z208" s="3093"/>
      <c r="AA208" s="3093"/>
      <c r="AB208" s="3093"/>
      <c r="AC208" s="3083">
        <f t="shared" ref="AC208:AC299" si="126">SUMIF(AD$12:AS$12,"总值",AD208:AS208)</f>
        <v>0</v>
      </c>
      <c r="AD208" s="3103"/>
      <c r="AE208" s="3103"/>
      <c r="AF208" s="3103"/>
      <c r="AG208" s="3103"/>
      <c r="AH208" s="3103"/>
      <c r="AI208" s="3103"/>
      <c r="AJ208" s="3103"/>
      <c r="AK208" s="3103"/>
      <c r="AL208" s="3103"/>
      <c r="AM208" s="3103"/>
      <c r="AN208" s="3103"/>
      <c r="AO208" s="3103"/>
      <c r="AP208" s="3103"/>
      <c r="AQ208" s="3103"/>
      <c r="AR208" s="3103"/>
      <c r="AS208" s="3103"/>
      <c r="AT208" s="3113"/>
      <c r="AU208" s="3114"/>
      <c r="AV208" s="1580">
        <f t="shared" ref="AV208:AV302" si="127">A208</f>
        <v>0</v>
      </c>
      <c r="AW208" s="1580">
        <f t="shared" ref="AW208:AW302" si="128">B208</f>
        <v>0</v>
      </c>
      <c r="AX208" s="1580">
        <f t="shared" ref="AX208:AX302" si="129">C208</f>
        <v>0</v>
      </c>
      <c r="AY208" s="3128">
        <f t="shared" ref="AY208:AY299" si="130">ROUND($AY$6*AZ208/$AZ$5,2)</f>
        <v>0</v>
      </c>
      <c r="AZ208" s="3083">
        <f t="shared" ref="AZ208:AZ299" si="131">BA208+BL208</f>
        <v>0</v>
      </c>
      <c r="BA208" s="3083">
        <f t="shared" ref="BA208:BA299" si="132">SUM(BB208:BK208)</f>
        <v>0</v>
      </c>
      <c r="BB208" s="3083">
        <f t="shared" ref="BB208:BB299" si="133">IF($D208="是",I208-J208,0)</f>
        <v>0</v>
      </c>
      <c r="BC208" s="3083">
        <f t="shared" ref="BC208:BC299" si="134">IF($D208="是",K208-L208,0)</f>
        <v>0</v>
      </c>
      <c r="BD208" s="3083">
        <f t="shared" ref="BD208:BD299" si="135">IF($D208="是",M208-N208,0)</f>
        <v>0</v>
      </c>
      <c r="BE208" s="3083">
        <f t="shared" ref="BE208:BE299" si="136">IF($D208="是",O208-P208,0)</f>
        <v>0</v>
      </c>
      <c r="BF208" s="3083">
        <f t="shared" ref="BF208:BF299" si="137">IF($D208="是",Q208-R208,0)</f>
        <v>0</v>
      </c>
      <c r="BG208" s="3083">
        <f t="shared" ref="BG208:BG299" si="138">IF($D208="是",S208-T208,0)</f>
        <v>0</v>
      </c>
      <c r="BH208" s="3083">
        <f t="shared" ref="BH208:BH299" si="139">IF($D208="是",U208-V208,0)</f>
        <v>0</v>
      </c>
      <c r="BI208" s="3083">
        <f t="shared" ref="BI208:BI299" si="140">IF($D208="是",W208-X208,0)</f>
        <v>0</v>
      </c>
      <c r="BJ208" s="3083">
        <f t="shared" ref="BJ208:BJ299" si="141">IF($D208="是",Y208-Z208,0)</f>
        <v>0</v>
      </c>
      <c r="BK208" s="3083">
        <f t="shared" ref="BK208:BK299" si="142">IF($D208="是",AA208-AB208,0)</f>
        <v>0</v>
      </c>
      <c r="BL208" s="3083">
        <f t="shared" ref="BL208:BL299" si="143">SUM(BM208:BT208)</f>
        <v>0</v>
      </c>
      <c r="BM208" s="3083">
        <f t="shared" ref="BM208:BM299" si="144">IF($D208="是",AD208-AE208,0)</f>
        <v>0</v>
      </c>
      <c r="BN208" s="3083">
        <f t="shared" ref="BN208:BN299" si="145">IF($D208="是",AF208-AG208,0)</f>
        <v>0</v>
      </c>
      <c r="BO208" s="3083">
        <f t="shared" ref="BO208:BO299" si="146">IF($D208="是",AH208-AI208,0)</f>
        <v>0</v>
      </c>
      <c r="BP208" s="3083">
        <f t="shared" ref="BP208:BP299" si="147">IF($D208="是",AJ208-AK208,0)</f>
        <v>0</v>
      </c>
      <c r="BQ208" s="3083">
        <f t="shared" ref="BQ208:BQ299" si="148">IF($D208="是",AL208-AM208,0)</f>
        <v>0</v>
      </c>
      <c r="BR208" s="3083">
        <f t="shared" ref="BR208:BR299" si="149">IF($D208="是",AN208-AO208,0)</f>
        <v>0</v>
      </c>
      <c r="BS208" s="3083">
        <f t="shared" ref="BS208:BS299" si="150">IF($D208="是",AP208-AQ208,0)</f>
        <v>0</v>
      </c>
      <c r="BT208" s="3135">
        <f t="shared" ref="BT208:BT299" si="151">IF($D208="是",AR208-AS208,0)</f>
        <v>0</v>
      </c>
    </row>
    <row r="209" spans="1:72">
      <c r="A209" s="3080"/>
      <c r="B209" s="3081"/>
      <c r="C209" s="3081"/>
      <c r="D209" s="3082"/>
      <c r="E209" s="3083">
        <f t="shared" si="123"/>
        <v>0</v>
      </c>
      <c r="F209" s="3084"/>
      <c r="G209" s="3085">
        <f t="shared" si="124"/>
        <v>0</v>
      </c>
      <c r="H209" s="3086">
        <f t="shared" si="125"/>
        <v>0</v>
      </c>
      <c r="I209" s="3093"/>
      <c r="J209" s="3093"/>
      <c r="K209" s="3093"/>
      <c r="L209" s="3093"/>
      <c r="M209" s="3093"/>
      <c r="N209" s="3093"/>
      <c r="O209" s="3093"/>
      <c r="P209" s="3093"/>
      <c r="Q209" s="3093"/>
      <c r="R209" s="3093"/>
      <c r="S209" s="3093"/>
      <c r="T209" s="3093"/>
      <c r="U209" s="3093"/>
      <c r="V209" s="3093"/>
      <c r="W209" s="3093"/>
      <c r="X209" s="3093"/>
      <c r="Y209" s="3093"/>
      <c r="Z209" s="3093"/>
      <c r="AA209" s="3093"/>
      <c r="AB209" s="3093"/>
      <c r="AC209" s="3083">
        <f t="shared" si="126"/>
        <v>0</v>
      </c>
      <c r="AD209" s="3103"/>
      <c r="AE209" s="3103"/>
      <c r="AF209" s="3103"/>
      <c r="AG209" s="3103"/>
      <c r="AH209" s="3103"/>
      <c r="AI209" s="3103"/>
      <c r="AJ209" s="3103"/>
      <c r="AK209" s="3103"/>
      <c r="AL209" s="3103"/>
      <c r="AM209" s="3103"/>
      <c r="AN209" s="3103"/>
      <c r="AO209" s="3103"/>
      <c r="AP209" s="3103"/>
      <c r="AQ209" s="3103"/>
      <c r="AR209" s="3103"/>
      <c r="AS209" s="3103"/>
      <c r="AT209" s="3113"/>
      <c r="AU209" s="3114"/>
      <c r="AV209" s="1580">
        <f t="shared" si="127"/>
        <v>0</v>
      </c>
      <c r="AW209" s="1580">
        <f t="shared" si="128"/>
        <v>0</v>
      </c>
      <c r="AX209" s="1580">
        <f t="shared" si="129"/>
        <v>0</v>
      </c>
      <c r="AY209" s="3128">
        <f t="shared" si="130"/>
        <v>0</v>
      </c>
      <c r="AZ209" s="3083">
        <f t="shared" si="131"/>
        <v>0</v>
      </c>
      <c r="BA209" s="3083">
        <f t="shared" si="132"/>
        <v>0</v>
      </c>
      <c r="BB209" s="3083">
        <f t="shared" si="133"/>
        <v>0</v>
      </c>
      <c r="BC209" s="3083">
        <f t="shared" si="134"/>
        <v>0</v>
      </c>
      <c r="BD209" s="3083">
        <f t="shared" si="135"/>
        <v>0</v>
      </c>
      <c r="BE209" s="3083">
        <f t="shared" si="136"/>
        <v>0</v>
      </c>
      <c r="BF209" s="3083">
        <f t="shared" si="137"/>
        <v>0</v>
      </c>
      <c r="BG209" s="3083">
        <f t="shared" si="138"/>
        <v>0</v>
      </c>
      <c r="BH209" s="3083">
        <f t="shared" si="139"/>
        <v>0</v>
      </c>
      <c r="BI209" s="3083">
        <f t="shared" si="140"/>
        <v>0</v>
      </c>
      <c r="BJ209" s="3083">
        <f t="shared" si="141"/>
        <v>0</v>
      </c>
      <c r="BK209" s="3083">
        <f t="shared" si="142"/>
        <v>0</v>
      </c>
      <c r="BL209" s="3083">
        <f t="shared" si="143"/>
        <v>0</v>
      </c>
      <c r="BM209" s="3083">
        <f t="shared" si="144"/>
        <v>0</v>
      </c>
      <c r="BN209" s="3083">
        <f t="shared" si="145"/>
        <v>0</v>
      </c>
      <c r="BO209" s="3083">
        <f t="shared" si="146"/>
        <v>0</v>
      </c>
      <c r="BP209" s="3083">
        <f t="shared" si="147"/>
        <v>0</v>
      </c>
      <c r="BQ209" s="3083">
        <f t="shared" si="148"/>
        <v>0</v>
      </c>
      <c r="BR209" s="3083">
        <f t="shared" si="149"/>
        <v>0</v>
      </c>
      <c r="BS209" s="3083">
        <f t="shared" si="150"/>
        <v>0</v>
      </c>
      <c r="BT209" s="3135">
        <f t="shared" si="151"/>
        <v>0</v>
      </c>
    </row>
    <row r="210" spans="1:72">
      <c r="A210" s="3080"/>
      <c r="B210" s="3081"/>
      <c r="C210" s="3081"/>
      <c r="D210" s="3082"/>
      <c r="E210" s="3083">
        <f t="shared" si="123"/>
        <v>0</v>
      </c>
      <c r="F210" s="3084"/>
      <c r="G210" s="3085">
        <f t="shared" si="124"/>
        <v>0</v>
      </c>
      <c r="H210" s="3086">
        <f t="shared" si="125"/>
        <v>0</v>
      </c>
      <c r="I210" s="3093"/>
      <c r="J210" s="3093"/>
      <c r="K210" s="3093"/>
      <c r="L210" s="3093"/>
      <c r="M210" s="3093"/>
      <c r="N210" s="3093"/>
      <c r="O210" s="3093"/>
      <c r="P210" s="3093"/>
      <c r="Q210" s="3093"/>
      <c r="R210" s="3093"/>
      <c r="S210" s="3093"/>
      <c r="T210" s="3093"/>
      <c r="U210" s="3093"/>
      <c r="V210" s="3093"/>
      <c r="W210" s="3093"/>
      <c r="X210" s="3093"/>
      <c r="Y210" s="3093"/>
      <c r="Z210" s="3093"/>
      <c r="AA210" s="3093"/>
      <c r="AB210" s="3093"/>
      <c r="AC210" s="3083">
        <f t="shared" si="126"/>
        <v>0</v>
      </c>
      <c r="AD210" s="3103"/>
      <c r="AE210" s="3103"/>
      <c r="AF210" s="3103"/>
      <c r="AG210" s="3103"/>
      <c r="AH210" s="3103"/>
      <c r="AI210" s="3103"/>
      <c r="AJ210" s="3103"/>
      <c r="AK210" s="3103"/>
      <c r="AL210" s="3103"/>
      <c r="AM210" s="3103"/>
      <c r="AN210" s="3103"/>
      <c r="AO210" s="3103"/>
      <c r="AP210" s="3103"/>
      <c r="AQ210" s="3103"/>
      <c r="AR210" s="3103"/>
      <c r="AS210" s="3103"/>
      <c r="AT210" s="3113"/>
      <c r="AU210" s="3114"/>
      <c r="AV210" s="1580">
        <f t="shared" si="127"/>
        <v>0</v>
      </c>
      <c r="AW210" s="1580">
        <f t="shared" si="128"/>
        <v>0</v>
      </c>
      <c r="AX210" s="1580">
        <f t="shared" si="129"/>
        <v>0</v>
      </c>
      <c r="AY210" s="3128">
        <f t="shared" si="130"/>
        <v>0</v>
      </c>
      <c r="AZ210" s="3083">
        <f t="shared" si="131"/>
        <v>0</v>
      </c>
      <c r="BA210" s="3083">
        <f t="shared" si="132"/>
        <v>0</v>
      </c>
      <c r="BB210" s="3083">
        <f t="shared" si="133"/>
        <v>0</v>
      </c>
      <c r="BC210" s="3083">
        <f t="shared" si="134"/>
        <v>0</v>
      </c>
      <c r="BD210" s="3083">
        <f t="shared" si="135"/>
        <v>0</v>
      </c>
      <c r="BE210" s="3083">
        <f t="shared" si="136"/>
        <v>0</v>
      </c>
      <c r="BF210" s="3083">
        <f t="shared" si="137"/>
        <v>0</v>
      </c>
      <c r="BG210" s="3083">
        <f t="shared" si="138"/>
        <v>0</v>
      </c>
      <c r="BH210" s="3083">
        <f t="shared" si="139"/>
        <v>0</v>
      </c>
      <c r="BI210" s="3083">
        <f t="shared" si="140"/>
        <v>0</v>
      </c>
      <c r="BJ210" s="3083">
        <f t="shared" si="141"/>
        <v>0</v>
      </c>
      <c r="BK210" s="3083">
        <f t="shared" si="142"/>
        <v>0</v>
      </c>
      <c r="BL210" s="3083">
        <f t="shared" si="143"/>
        <v>0</v>
      </c>
      <c r="BM210" s="3083">
        <f t="shared" si="144"/>
        <v>0</v>
      </c>
      <c r="BN210" s="3083">
        <f t="shared" si="145"/>
        <v>0</v>
      </c>
      <c r="BO210" s="3083">
        <f t="shared" si="146"/>
        <v>0</v>
      </c>
      <c r="BP210" s="3083">
        <f t="shared" si="147"/>
        <v>0</v>
      </c>
      <c r="BQ210" s="3083">
        <f t="shared" si="148"/>
        <v>0</v>
      </c>
      <c r="BR210" s="3083">
        <f t="shared" si="149"/>
        <v>0</v>
      </c>
      <c r="BS210" s="3083">
        <f t="shared" si="150"/>
        <v>0</v>
      </c>
      <c r="BT210" s="3135">
        <f t="shared" si="151"/>
        <v>0</v>
      </c>
    </row>
    <row r="211" spans="1:72">
      <c r="A211" s="3080"/>
      <c r="B211" s="3081"/>
      <c r="C211" s="3081"/>
      <c r="D211" s="3082"/>
      <c r="E211" s="3083">
        <f t="shared" si="123"/>
        <v>0</v>
      </c>
      <c r="F211" s="3084"/>
      <c r="G211" s="3085">
        <f t="shared" si="124"/>
        <v>0</v>
      </c>
      <c r="H211" s="3086">
        <f t="shared" si="125"/>
        <v>0</v>
      </c>
      <c r="I211" s="3093"/>
      <c r="J211" s="3093"/>
      <c r="K211" s="3093"/>
      <c r="L211" s="3093"/>
      <c r="M211" s="3093"/>
      <c r="N211" s="3093"/>
      <c r="O211" s="3093"/>
      <c r="P211" s="3093"/>
      <c r="Q211" s="3093"/>
      <c r="R211" s="3093"/>
      <c r="S211" s="3093"/>
      <c r="T211" s="3093"/>
      <c r="U211" s="3093"/>
      <c r="V211" s="3093"/>
      <c r="W211" s="3093"/>
      <c r="X211" s="3093"/>
      <c r="Y211" s="3093"/>
      <c r="Z211" s="3093"/>
      <c r="AA211" s="3093"/>
      <c r="AB211" s="3093"/>
      <c r="AC211" s="3083">
        <f t="shared" si="126"/>
        <v>0</v>
      </c>
      <c r="AD211" s="3103"/>
      <c r="AE211" s="3103"/>
      <c r="AF211" s="3103"/>
      <c r="AG211" s="3103"/>
      <c r="AH211" s="3103"/>
      <c r="AI211" s="3103"/>
      <c r="AJ211" s="3103"/>
      <c r="AK211" s="3103"/>
      <c r="AL211" s="3103"/>
      <c r="AM211" s="3103"/>
      <c r="AN211" s="3103"/>
      <c r="AO211" s="3103"/>
      <c r="AP211" s="3103"/>
      <c r="AQ211" s="3103"/>
      <c r="AR211" s="3103"/>
      <c r="AS211" s="3103"/>
      <c r="AT211" s="3113"/>
      <c r="AU211" s="3114"/>
      <c r="AV211" s="1580">
        <f t="shared" si="127"/>
        <v>0</v>
      </c>
      <c r="AW211" s="1580">
        <f t="shared" si="128"/>
        <v>0</v>
      </c>
      <c r="AX211" s="1580">
        <f t="shared" si="129"/>
        <v>0</v>
      </c>
      <c r="AY211" s="3128">
        <f t="shared" si="130"/>
        <v>0</v>
      </c>
      <c r="AZ211" s="3083">
        <f t="shared" si="131"/>
        <v>0</v>
      </c>
      <c r="BA211" s="3083">
        <f t="shared" si="132"/>
        <v>0</v>
      </c>
      <c r="BB211" s="3083">
        <f t="shared" si="133"/>
        <v>0</v>
      </c>
      <c r="BC211" s="3083">
        <f t="shared" si="134"/>
        <v>0</v>
      </c>
      <c r="BD211" s="3083">
        <f t="shared" si="135"/>
        <v>0</v>
      </c>
      <c r="BE211" s="3083">
        <f t="shared" si="136"/>
        <v>0</v>
      </c>
      <c r="BF211" s="3083">
        <f t="shared" si="137"/>
        <v>0</v>
      </c>
      <c r="BG211" s="3083">
        <f t="shared" si="138"/>
        <v>0</v>
      </c>
      <c r="BH211" s="3083">
        <f t="shared" si="139"/>
        <v>0</v>
      </c>
      <c r="BI211" s="3083">
        <f t="shared" si="140"/>
        <v>0</v>
      </c>
      <c r="BJ211" s="3083">
        <f t="shared" si="141"/>
        <v>0</v>
      </c>
      <c r="BK211" s="3083">
        <f t="shared" si="142"/>
        <v>0</v>
      </c>
      <c r="BL211" s="3083">
        <f t="shared" si="143"/>
        <v>0</v>
      </c>
      <c r="BM211" s="3083">
        <f t="shared" si="144"/>
        <v>0</v>
      </c>
      <c r="BN211" s="3083">
        <f t="shared" si="145"/>
        <v>0</v>
      </c>
      <c r="BO211" s="3083">
        <f t="shared" si="146"/>
        <v>0</v>
      </c>
      <c r="BP211" s="3083">
        <f t="shared" si="147"/>
        <v>0</v>
      </c>
      <c r="BQ211" s="3083">
        <f t="shared" si="148"/>
        <v>0</v>
      </c>
      <c r="BR211" s="3083">
        <f t="shared" si="149"/>
        <v>0</v>
      </c>
      <c r="BS211" s="3083">
        <f t="shared" si="150"/>
        <v>0</v>
      </c>
      <c r="BT211" s="3135">
        <f t="shared" si="151"/>
        <v>0</v>
      </c>
    </row>
    <row r="212" spans="1:72">
      <c r="A212" s="3080"/>
      <c r="B212" s="3081"/>
      <c r="C212" s="3081"/>
      <c r="D212" s="3082"/>
      <c r="E212" s="3083">
        <f t="shared" si="123"/>
        <v>0</v>
      </c>
      <c r="F212" s="3084"/>
      <c r="G212" s="3085">
        <f t="shared" si="124"/>
        <v>0</v>
      </c>
      <c r="H212" s="3086">
        <f t="shared" si="125"/>
        <v>0</v>
      </c>
      <c r="I212" s="3093"/>
      <c r="J212" s="3093"/>
      <c r="K212" s="3093"/>
      <c r="L212" s="3093"/>
      <c r="M212" s="3093"/>
      <c r="N212" s="3093"/>
      <c r="O212" s="3093"/>
      <c r="P212" s="3093"/>
      <c r="Q212" s="3093"/>
      <c r="R212" s="3093"/>
      <c r="S212" s="3093"/>
      <c r="T212" s="3093"/>
      <c r="U212" s="3093"/>
      <c r="V212" s="3093"/>
      <c r="W212" s="3093"/>
      <c r="X212" s="3093"/>
      <c r="Y212" s="3093"/>
      <c r="Z212" s="3093"/>
      <c r="AA212" s="3093"/>
      <c r="AB212" s="3093"/>
      <c r="AC212" s="3083">
        <f t="shared" si="126"/>
        <v>0</v>
      </c>
      <c r="AD212" s="3103"/>
      <c r="AE212" s="3103"/>
      <c r="AF212" s="3103"/>
      <c r="AG212" s="3103"/>
      <c r="AH212" s="3103"/>
      <c r="AI212" s="3103"/>
      <c r="AJ212" s="3103"/>
      <c r="AK212" s="3103"/>
      <c r="AL212" s="3103"/>
      <c r="AM212" s="3103"/>
      <c r="AN212" s="3103"/>
      <c r="AO212" s="3103"/>
      <c r="AP212" s="3103"/>
      <c r="AQ212" s="3103"/>
      <c r="AR212" s="3103"/>
      <c r="AS212" s="3103"/>
      <c r="AT212" s="3113"/>
      <c r="AU212" s="3114"/>
      <c r="AV212" s="1580">
        <f t="shared" si="127"/>
        <v>0</v>
      </c>
      <c r="AW212" s="1580">
        <f t="shared" si="128"/>
        <v>0</v>
      </c>
      <c r="AX212" s="1580">
        <f t="shared" si="129"/>
        <v>0</v>
      </c>
      <c r="AY212" s="3128">
        <f t="shared" si="130"/>
        <v>0</v>
      </c>
      <c r="AZ212" s="3083">
        <f t="shared" si="131"/>
        <v>0</v>
      </c>
      <c r="BA212" s="3083">
        <f t="shared" si="132"/>
        <v>0</v>
      </c>
      <c r="BB212" s="3083">
        <f t="shared" si="133"/>
        <v>0</v>
      </c>
      <c r="BC212" s="3083">
        <f t="shared" si="134"/>
        <v>0</v>
      </c>
      <c r="BD212" s="3083">
        <f t="shared" si="135"/>
        <v>0</v>
      </c>
      <c r="BE212" s="3083">
        <f t="shared" si="136"/>
        <v>0</v>
      </c>
      <c r="BF212" s="3083">
        <f t="shared" si="137"/>
        <v>0</v>
      </c>
      <c r="BG212" s="3083">
        <f t="shared" si="138"/>
        <v>0</v>
      </c>
      <c r="BH212" s="3083">
        <f t="shared" si="139"/>
        <v>0</v>
      </c>
      <c r="BI212" s="3083">
        <f t="shared" si="140"/>
        <v>0</v>
      </c>
      <c r="BJ212" s="3083">
        <f t="shared" si="141"/>
        <v>0</v>
      </c>
      <c r="BK212" s="3083">
        <f t="shared" si="142"/>
        <v>0</v>
      </c>
      <c r="BL212" s="3083">
        <f t="shared" si="143"/>
        <v>0</v>
      </c>
      <c r="BM212" s="3083">
        <f t="shared" si="144"/>
        <v>0</v>
      </c>
      <c r="BN212" s="3083">
        <f t="shared" si="145"/>
        <v>0</v>
      </c>
      <c r="BO212" s="3083">
        <f t="shared" si="146"/>
        <v>0</v>
      </c>
      <c r="BP212" s="3083">
        <f t="shared" si="147"/>
        <v>0</v>
      </c>
      <c r="BQ212" s="3083">
        <f t="shared" si="148"/>
        <v>0</v>
      </c>
      <c r="BR212" s="3083">
        <f t="shared" si="149"/>
        <v>0</v>
      </c>
      <c r="BS212" s="3083">
        <f t="shared" si="150"/>
        <v>0</v>
      </c>
      <c r="BT212" s="3135">
        <f t="shared" si="151"/>
        <v>0</v>
      </c>
    </row>
    <row r="213" spans="1:72">
      <c r="A213" s="3080"/>
      <c r="B213" s="3081"/>
      <c r="C213" s="3081"/>
      <c r="D213" s="3082"/>
      <c r="E213" s="3083">
        <f t="shared" si="123"/>
        <v>0</v>
      </c>
      <c r="F213" s="3084"/>
      <c r="G213" s="3085">
        <f t="shared" si="124"/>
        <v>0</v>
      </c>
      <c r="H213" s="3086">
        <f t="shared" si="125"/>
        <v>0</v>
      </c>
      <c r="I213" s="3093"/>
      <c r="J213" s="3093"/>
      <c r="K213" s="3093"/>
      <c r="L213" s="3093"/>
      <c r="M213" s="3093"/>
      <c r="N213" s="3093"/>
      <c r="O213" s="3093"/>
      <c r="P213" s="3093"/>
      <c r="Q213" s="3093"/>
      <c r="R213" s="3093"/>
      <c r="S213" s="3093"/>
      <c r="T213" s="3093"/>
      <c r="U213" s="3093"/>
      <c r="V213" s="3093"/>
      <c r="W213" s="3093"/>
      <c r="X213" s="3093"/>
      <c r="Y213" s="3093"/>
      <c r="Z213" s="3093"/>
      <c r="AA213" s="3093"/>
      <c r="AB213" s="3093"/>
      <c r="AC213" s="3083">
        <f t="shared" si="126"/>
        <v>0</v>
      </c>
      <c r="AD213" s="3103"/>
      <c r="AE213" s="3103"/>
      <c r="AF213" s="3103"/>
      <c r="AG213" s="3103"/>
      <c r="AH213" s="3103"/>
      <c r="AI213" s="3103"/>
      <c r="AJ213" s="3103"/>
      <c r="AK213" s="3103"/>
      <c r="AL213" s="3103"/>
      <c r="AM213" s="3103"/>
      <c r="AN213" s="3103"/>
      <c r="AO213" s="3103"/>
      <c r="AP213" s="3103"/>
      <c r="AQ213" s="3103"/>
      <c r="AR213" s="3103"/>
      <c r="AS213" s="3103"/>
      <c r="AT213" s="3113"/>
      <c r="AU213" s="3114"/>
      <c r="AV213" s="1580">
        <f t="shared" si="127"/>
        <v>0</v>
      </c>
      <c r="AW213" s="1580">
        <f t="shared" si="128"/>
        <v>0</v>
      </c>
      <c r="AX213" s="1580">
        <f t="shared" si="129"/>
        <v>0</v>
      </c>
      <c r="AY213" s="3128">
        <f t="shared" si="130"/>
        <v>0</v>
      </c>
      <c r="AZ213" s="3083">
        <f t="shared" si="131"/>
        <v>0</v>
      </c>
      <c r="BA213" s="3083">
        <f t="shared" si="132"/>
        <v>0</v>
      </c>
      <c r="BB213" s="3083">
        <f t="shared" si="133"/>
        <v>0</v>
      </c>
      <c r="BC213" s="3083">
        <f t="shared" si="134"/>
        <v>0</v>
      </c>
      <c r="BD213" s="3083">
        <f t="shared" si="135"/>
        <v>0</v>
      </c>
      <c r="BE213" s="3083">
        <f t="shared" si="136"/>
        <v>0</v>
      </c>
      <c r="BF213" s="3083">
        <f t="shared" si="137"/>
        <v>0</v>
      </c>
      <c r="BG213" s="3083">
        <f t="shared" si="138"/>
        <v>0</v>
      </c>
      <c r="BH213" s="3083">
        <f t="shared" si="139"/>
        <v>0</v>
      </c>
      <c r="BI213" s="3083">
        <f t="shared" si="140"/>
        <v>0</v>
      </c>
      <c r="BJ213" s="3083">
        <f t="shared" si="141"/>
        <v>0</v>
      </c>
      <c r="BK213" s="3083">
        <f t="shared" si="142"/>
        <v>0</v>
      </c>
      <c r="BL213" s="3083">
        <f t="shared" si="143"/>
        <v>0</v>
      </c>
      <c r="BM213" s="3083">
        <f t="shared" si="144"/>
        <v>0</v>
      </c>
      <c r="BN213" s="3083">
        <f t="shared" si="145"/>
        <v>0</v>
      </c>
      <c r="BO213" s="3083">
        <f t="shared" si="146"/>
        <v>0</v>
      </c>
      <c r="BP213" s="3083">
        <f t="shared" si="147"/>
        <v>0</v>
      </c>
      <c r="BQ213" s="3083">
        <f t="shared" si="148"/>
        <v>0</v>
      </c>
      <c r="BR213" s="3083">
        <f t="shared" si="149"/>
        <v>0</v>
      </c>
      <c r="BS213" s="3083">
        <f t="shared" si="150"/>
        <v>0</v>
      </c>
      <c r="BT213" s="3135">
        <f t="shared" si="151"/>
        <v>0</v>
      </c>
    </row>
    <row r="214" spans="1:72">
      <c r="A214" s="3080"/>
      <c r="B214" s="3081"/>
      <c r="C214" s="3081"/>
      <c r="D214" s="3082"/>
      <c r="E214" s="3083">
        <f t="shared" si="123"/>
        <v>0</v>
      </c>
      <c r="F214" s="3084"/>
      <c r="G214" s="3085">
        <f t="shared" si="124"/>
        <v>0</v>
      </c>
      <c r="H214" s="3086">
        <f t="shared" si="125"/>
        <v>0</v>
      </c>
      <c r="I214" s="3093"/>
      <c r="J214" s="3093"/>
      <c r="K214" s="3093"/>
      <c r="L214" s="3093"/>
      <c r="M214" s="3093"/>
      <c r="N214" s="3093"/>
      <c r="O214" s="3093"/>
      <c r="P214" s="3093"/>
      <c r="Q214" s="3093"/>
      <c r="R214" s="3093"/>
      <c r="S214" s="3093"/>
      <c r="T214" s="3093"/>
      <c r="U214" s="3093"/>
      <c r="V214" s="3093"/>
      <c r="W214" s="3093"/>
      <c r="X214" s="3093"/>
      <c r="Y214" s="3093"/>
      <c r="Z214" s="3093"/>
      <c r="AA214" s="3093"/>
      <c r="AB214" s="3093"/>
      <c r="AC214" s="3083">
        <f t="shared" si="126"/>
        <v>0</v>
      </c>
      <c r="AD214" s="3103"/>
      <c r="AE214" s="3103"/>
      <c r="AF214" s="3103"/>
      <c r="AG214" s="3103"/>
      <c r="AH214" s="3103"/>
      <c r="AI214" s="3103"/>
      <c r="AJ214" s="3103"/>
      <c r="AK214" s="3103"/>
      <c r="AL214" s="3103"/>
      <c r="AM214" s="3103"/>
      <c r="AN214" s="3103"/>
      <c r="AO214" s="3103"/>
      <c r="AP214" s="3103"/>
      <c r="AQ214" s="3103"/>
      <c r="AR214" s="3103"/>
      <c r="AS214" s="3103"/>
      <c r="AT214" s="3113"/>
      <c r="AU214" s="3114"/>
      <c r="AV214" s="1580">
        <f t="shared" si="127"/>
        <v>0</v>
      </c>
      <c r="AW214" s="1580">
        <f t="shared" si="128"/>
        <v>0</v>
      </c>
      <c r="AX214" s="1580">
        <f t="shared" si="129"/>
        <v>0</v>
      </c>
      <c r="AY214" s="3128">
        <f t="shared" si="130"/>
        <v>0</v>
      </c>
      <c r="AZ214" s="3083">
        <f t="shared" si="131"/>
        <v>0</v>
      </c>
      <c r="BA214" s="3083">
        <f t="shared" si="132"/>
        <v>0</v>
      </c>
      <c r="BB214" s="3083">
        <f t="shared" si="133"/>
        <v>0</v>
      </c>
      <c r="BC214" s="3083">
        <f t="shared" si="134"/>
        <v>0</v>
      </c>
      <c r="BD214" s="3083">
        <f t="shared" si="135"/>
        <v>0</v>
      </c>
      <c r="BE214" s="3083">
        <f t="shared" si="136"/>
        <v>0</v>
      </c>
      <c r="BF214" s="3083">
        <f t="shared" si="137"/>
        <v>0</v>
      </c>
      <c r="BG214" s="3083">
        <f t="shared" si="138"/>
        <v>0</v>
      </c>
      <c r="BH214" s="3083">
        <f t="shared" si="139"/>
        <v>0</v>
      </c>
      <c r="BI214" s="3083">
        <f t="shared" si="140"/>
        <v>0</v>
      </c>
      <c r="BJ214" s="3083">
        <f t="shared" si="141"/>
        <v>0</v>
      </c>
      <c r="BK214" s="3083">
        <f t="shared" si="142"/>
        <v>0</v>
      </c>
      <c r="BL214" s="3083">
        <f t="shared" si="143"/>
        <v>0</v>
      </c>
      <c r="BM214" s="3083">
        <f t="shared" si="144"/>
        <v>0</v>
      </c>
      <c r="BN214" s="3083">
        <f t="shared" si="145"/>
        <v>0</v>
      </c>
      <c r="BO214" s="3083">
        <f t="shared" si="146"/>
        <v>0</v>
      </c>
      <c r="BP214" s="3083">
        <f t="shared" si="147"/>
        <v>0</v>
      </c>
      <c r="BQ214" s="3083">
        <f t="shared" si="148"/>
        <v>0</v>
      </c>
      <c r="BR214" s="3083">
        <f t="shared" si="149"/>
        <v>0</v>
      </c>
      <c r="BS214" s="3083">
        <f t="shared" si="150"/>
        <v>0</v>
      </c>
      <c r="BT214" s="3135">
        <f t="shared" si="151"/>
        <v>0</v>
      </c>
    </row>
    <row r="215" spans="1:72">
      <c r="A215" s="3080"/>
      <c r="B215" s="3081"/>
      <c r="C215" s="3081"/>
      <c r="D215" s="3082"/>
      <c r="E215" s="3083">
        <f t="shared" si="123"/>
        <v>0</v>
      </c>
      <c r="F215" s="3084"/>
      <c r="G215" s="3085">
        <f t="shared" si="124"/>
        <v>0</v>
      </c>
      <c r="H215" s="3086">
        <f t="shared" si="125"/>
        <v>0</v>
      </c>
      <c r="I215" s="3093"/>
      <c r="J215" s="3093"/>
      <c r="K215" s="3093"/>
      <c r="L215" s="3093"/>
      <c r="M215" s="3093"/>
      <c r="N215" s="3093"/>
      <c r="O215" s="3093"/>
      <c r="P215" s="3093"/>
      <c r="Q215" s="3093"/>
      <c r="R215" s="3093"/>
      <c r="S215" s="3093"/>
      <c r="T215" s="3093"/>
      <c r="U215" s="3093"/>
      <c r="V215" s="3093"/>
      <c r="W215" s="3093"/>
      <c r="X215" s="3093"/>
      <c r="Y215" s="3093"/>
      <c r="Z215" s="3093"/>
      <c r="AA215" s="3093"/>
      <c r="AB215" s="3093"/>
      <c r="AC215" s="3083">
        <f t="shared" si="126"/>
        <v>0</v>
      </c>
      <c r="AD215" s="3103"/>
      <c r="AE215" s="3103"/>
      <c r="AF215" s="3103"/>
      <c r="AG215" s="3103"/>
      <c r="AH215" s="3103"/>
      <c r="AI215" s="3103"/>
      <c r="AJ215" s="3103"/>
      <c r="AK215" s="3103"/>
      <c r="AL215" s="3103"/>
      <c r="AM215" s="3103"/>
      <c r="AN215" s="3103"/>
      <c r="AO215" s="3103"/>
      <c r="AP215" s="3103"/>
      <c r="AQ215" s="3103"/>
      <c r="AR215" s="3103"/>
      <c r="AS215" s="3103"/>
      <c r="AT215" s="3113"/>
      <c r="AU215" s="3114"/>
      <c r="AV215" s="1580">
        <f t="shared" si="127"/>
        <v>0</v>
      </c>
      <c r="AW215" s="1580">
        <f t="shared" si="128"/>
        <v>0</v>
      </c>
      <c r="AX215" s="1580">
        <f t="shared" si="129"/>
        <v>0</v>
      </c>
      <c r="AY215" s="3128">
        <f t="shared" si="130"/>
        <v>0</v>
      </c>
      <c r="AZ215" s="3083">
        <f t="shared" si="131"/>
        <v>0</v>
      </c>
      <c r="BA215" s="3083">
        <f t="shared" si="132"/>
        <v>0</v>
      </c>
      <c r="BB215" s="3083">
        <f t="shared" si="133"/>
        <v>0</v>
      </c>
      <c r="BC215" s="3083">
        <f t="shared" si="134"/>
        <v>0</v>
      </c>
      <c r="BD215" s="3083">
        <f t="shared" si="135"/>
        <v>0</v>
      </c>
      <c r="BE215" s="3083">
        <f t="shared" si="136"/>
        <v>0</v>
      </c>
      <c r="BF215" s="3083">
        <f t="shared" si="137"/>
        <v>0</v>
      </c>
      <c r="BG215" s="3083">
        <f t="shared" si="138"/>
        <v>0</v>
      </c>
      <c r="BH215" s="3083">
        <f t="shared" si="139"/>
        <v>0</v>
      </c>
      <c r="BI215" s="3083">
        <f t="shared" si="140"/>
        <v>0</v>
      </c>
      <c r="BJ215" s="3083">
        <f t="shared" si="141"/>
        <v>0</v>
      </c>
      <c r="BK215" s="3083">
        <f t="shared" si="142"/>
        <v>0</v>
      </c>
      <c r="BL215" s="3083">
        <f t="shared" si="143"/>
        <v>0</v>
      </c>
      <c r="BM215" s="3083">
        <f t="shared" si="144"/>
        <v>0</v>
      </c>
      <c r="BN215" s="3083">
        <f t="shared" si="145"/>
        <v>0</v>
      </c>
      <c r="BO215" s="3083">
        <f t="shared" si="146"/>
        <v>0</v>
      </c>
      <c r="BP215" s="3083">
        <f t="shared" si="147"/>
        <v>0</v>
      </c>
      <c r="BQ215" s="3083">
        <f t="shared" si="148"/>
        <v>0</v>
      </c>
      <c r="BR215" s="3083">
        <f t="shared" si="149"/>
        <v>0</v>
      </c>
      <c r="BS215" s="3083">
        <f t="shared" si="150"/>
        <v>0</v>
      </c>
      <c r="BT215" s="3135">
        <f t="shared" si="151"/>
        <v>0</v>
      </c>
    </row>
    <row r="216" spans="1:72">
      <c r="A216" s="3080"/>
      <c r="B216" s="3081"/>
      <c r="C216" s="3081"/>
      <c r="D216" s="3082"/>
      <c r="E216" s="3083">
        <f t="shared" si="123"/>
        <v>0</v>
      </c>
      <c r="F216" s="3084"/>
      <c r="G216" s="3085">
        <f t="shared" si="124"/>
        <v>0</v>
      </c>
      <c r="H216" s="3086">
        <f t="shared" si="125"/>
        <v>0</v>
      </c>
      <c r="I216" s="3093"/>
      <c r="J216" s="3093"/>
      <c r="K216" s="3093"/>
      <c r="L216" s="3093"/>
      <c r="M216" s="3093"/>
      <c r="N216" s="3093"/>
      <c r="O216" s="3093"/>
      <c r="P216" s="3093"/>
      <c r="Q216" s="3093"/>
      <c r="R216" s="3093"/>
      <c r="S216" s="3093"/>
      <c r="T216" s="3093"/>
      <c r="U216" s="3093"/>
      <c r="V216" s="3093"/>
      <c r="W216" s="3093"/>
      <c r="X216" s="3093"/>
      <c r="Y216" s="3093"/>
      <c r="Z216" s="3093"/>
      <c r="AA216" s="3093"/>
      <c r="AB216" s="3093"/>
      <c r="AC216" s="3083">
        <f t="shared" si="126"/>
        <v>0</v>
      </c>
      <c r="AD216" s="3103"/>
      <c r="AE216" s="3103"/>
      <c r="AF216" s="3103"/>
      <c r="AG216" s="3103"/>
      <c r="AH216" s="3103"/>
      <c r="AI216" s="3103"/>
      <c r="AJ216" s="3103"/>
      <c r="AK216" s="3103"/>
      <c r="AL216" s="3103"/>
      <c r="AM216" s="3103"/>
      <c r="AN216" s="3103"/>
      <c r="AO216" s="3103"/>
      <c r="AP216" s="3103"/>
      <c r="AQ216" s="3103"/>
      <c r="AR216" s="3103"/>
      <c r="AS216" s="3103"/>
      <c r="AT216" s="3113"/>
      <c r="AU216" s="3114"/>
      <c r="AV216" s="1580">
        <f t="shared" si="127"/>
        <v>0</v>
      </c>
      <c r="AW216" s="1580">
        <f t="shared" si="128"/>
        <v>0</v>
      </c>
      <c r="AX216" s="1580">
        <f t="shared" si="129"/>
        <v>0</v>
      </c>
      <c r="AY216" s="3128">
        <f t="shared" si="130"/>
        <v>0</v>
      </c>
      <c r="AZ216" s="3083">
        <f t="shared" si="131"/>
        <v>0</v>
      </c>
      <c r="BA216" s="3083">
        <f t="shared" si="132"/>
        <v>0</v>
      </c>
      <c r="BB216" s="3083">
        <f t="shared" si="133"/>
        <v>0</v>
      </c>
      <c r="BC216" s="3083">
        <f t="shared" si="134"/>
        <v>0</v>
      </c>
      <c r="BD216" s="3083">
        <f t="shared" si="135"/>
        <v>0</v>
      </c>
      <c r="BE216" s="3083">
        <f t="shared" si="136"/>
        <v>0</v>
      </c>
      <c r="BF216" s="3083">
        <f t="shared" si="137"/>
        <v>0</v>
      </c>
      <c r="BG216" s="3083">
        <f t="shared" si="138"/>
        <v>0</v>
      </c>
      <c r="BH216" s="3083">
        <f t="shared" si="139"/>
        <v>0</v>
      </c>
      <c r="BI216" s="3083">
        <f t="shared" si="140"/>
        <v>0</v>
      </c>
      <c r="BJ216" s="3083">
        <f t="shared" si="141"/>
        <v>0</v>
      </c>
      <c r="BK216" s="3083">
        <f t="shared" si="142"/>
        <v>0</v>
      </c>
      <c r="BL216" s="3083">
        <f t="shared" si="143"/>
        <v>0</v>
      </c>
      <c r="BM216" s="3083">
        <f t="shared" si="144"/>
        <v>0</v>
      </c>
      <c r="BN216" s="3083">
        <f t="shared" si="145"/>
        <v>0</v>
      </c>
      <c r="BO216" s="3083">
        <f t="shared" si="146"/>
        <v>0</v>
      </c>
      <c r="BP216" s="3083">
        <f t="shared" si="147"/>
        <v>0</v>
      </c>
      <c r="BQ216" s="3083">
        <f t="shared" si="148"/>
        <v>0</v>
      </c>
      <c r="BR216" s="3083">
        <f t="shared" si="149"/>
        <v>0</v>
      </c>
      <c r="BS216" s="3083">
        <f t="shared" si="150"/>
        <v>0</v>
      </c>
      <c r="BT216" s="3135">
        <f t="shared" si="151"/>
        <v>0</v>
      </c>
    </row>
    <row r="217" spans="1:72">
      <c r="A217" s="3080"/>
      <c r="B217" s="3081"/>
      <c r="C217" s="3081"/>
      <c r="D217" s="3082"/>
      <c r="E217" s="3083">
        <f t="shared" si="123"/>
        <v>0</v>
      </c>
      <c r="F217" s="3084"/>
      <c r="G217" s="3085">
        <f t="shared" si="124"/>
        <v>0</v>
      </c>
      <c r="H217" s="3086">
        <f t="shared" si="125"/>
        <v>0</v>
      </c>
      <c r="I217" s="3093"/>
      <c r="J217" s="3093"/>
      <c r="K217" s="3093"/>
      <c r="L217" s="3093"/>
      <c r="M217" s="3093"/>
      <c r="N217" s="3093"/>
      <c r="O217" s="3093"/>
      <c r="P217" s="3093"/>
      <c r="Q217" s="3093"/>
      <c r="R217" s="3093"/>
      <c r="S217" s="3093"/>
      <c r="T217" s="3093"/>
      <c r="U217" s="3093"/>
      <c r="V217" s="3093"/>
      <c r="W217" s="3093"/>
      <c r="X217" s="3093"/>
      <c r="Y217" s="3093"/>
      <c r="Z217" s="3093"/>
      <c r="AA217" s="3093"/>
      <c r="AB217" s="3093"/>
      <c r="AC217" s="3083">
        <f t="shared" si="126"/>
        <v>0</v>
      </c>
      <c r="AD217" s="3103"/>
      <c r="AE217" s="3103"/>
      <c r="AF217" s="3103"/>
      <c r="AG217" s="3103"/>
      <c r="AH217" s="3103"/>
      <c r="AI217" s="3103"/>
      <c r="AJ217" s="3103"/>
      <c r="AK217" s="3103"/>
      <c r="AL217" s="3103"/>
      <c r="AM217" s="3103"/>
      <c r="AN217" s="3103"/>
      <c r="AO217" s="3103"/>
      <c r="AP217" s="3103"/>
      <c r="AQ217" s="3103"/>
      <c r="AR217" s="3103"/>
      <c r="AS217" s="3103"/>
      <c r="AT217" s="3113"/>
      <c r="AU217" s="3114"/>
      <c r="AV217" s="1580">
        <f t="shared" si="127"/>
        <v>0</v>
      </c>
      <c r="AW217" s="1580">
        <f t="shared" si="128"/>
        <v>0</v>
      </c>
      <c r="AX217" s="1580">
        <f t="shared" si="129"/>
        <v>0</v>
      </c>
      <c r="AY217" s="3128">
        <f t="shared" si="130"/>
        <v>0</v>
      </c>
      <c r="AZ217" s="3083">
        <f t="shared" si="131"/>
        <v>0</v>
      </c>
      <c r="BA217" s="3083">
        <f t="shared" si="132"/>
        <v>0</v>
      </c>
      <c r="BB217" s="3083">
        <f t="shared" si="133"/>
        <v>0</v>
      </c>
      <c r="BC217" s="3083">
        <f t="shared" si="134"/>
        <v>0</v>
      </c>
      <c r="BD217" s="3083">
        <f t="shared" si="135"/>
        <v>0</v>
      </c>
      <c r="BE217" s="3083">
        <f t="shared" si="136"/>
        <v>0</v>
      </c>
      <c r="BF217" s="3083">
        <f t="shared" si="137"/>
        <v>0</v>
      </c>
      <c r="BG217" s="3083">
        <f t="shared" si="138"/>
        <v>0</v>
      </c>
      <c r="BH217" s="3083">
        <f t="shared" si="139"/>
        <v>0</v>
      </c>
      <c r="BI217" s="3083">
        <f t="shared" si="140"/>
        <v>0</v>
      </c>
      <c r="BJ217" s="3083">
        <f t="shared" si="141"/>
        <v>0</v>
      </c>
      <c r="BK217" s="3083">
        <f t="shared" si="142"/>
        <v>0</v>
      </c>
      <c r="BL217" s="3083">
        <f t="shared" si="143"/>
        <v>0</v>
      </c>
      <c r="BM217" s="3083">
        <f t="shared" si="144"/>
        <v>0</v>
      </c>
      <c r="BN217" s="3083">
        <f t="shared" si="145"/>
        <v>0</v>
      </c>
      <c r="BO217" s="3083">
        <f t="shared" si="146"/>
        <v>0</v>
      </c>
      <c r="BP217" s="3083">
        <f t="shared" si="147"/>
        <v>0</v>
      </c>
      <c r="BQ217" s="3083">
        <f t="shared" si="148"/>
        <v>0</v>
      </c>
      <c r="BR217" s="3083">
        <f t="shared" si="149"/>
        <v>0</v>
      </c>
      <c r="BS217" s="3083">
        <f t="shared" si="150"/>
        <v>0</v>
      </c>
      <c r="BT217" s="3135">
        <f t="shared" si="151"/>
        <v>0</v>
      </c>
    </row>
    <row r="218" spans="1:72">
      <c r="A218" s="3080"/>
      <c r="B218" s="3081"/>
      <c r="C218" s="3081"/>
      <c r="D218" s="3082"/>
      <c r="E218" s="3083">
        <f t="shared" si="123"/>
        <v>0</v>
      </c>
      <c r="F218" s="3084"/>
      <c r="G218" s="3085">
        <f t="shared" si="124"/>
        <v>0</v>
      </c>
      <c r="H218" s="3086">
        <f t="shared" si="125"/>
        <v>0</v>
      </c>
      <c r="I218" s="3093"/>
      <c r="J218" s="3093"/>
      <c r="K218" s="3093"/>
      <c r="L218" s="3093"/>
      <c r="M218" s="3093"/>
      <c r="N218" s="3093"/>
      <c r="O218" s="3093"/>
      <c r="P218" s="3093"/>
      <c r="Q218" s="3093"/>
      <c r="R218" s="3093"/>
      <c r="S218" s="3093"/>
      <c r="T218" s="3093"/>
      <c r="U218" s="3093"/>
      <c r="V218" s="3093"/>
      <c r="W218" s="3093"/>
      <c r="X218" s="3093"/>
      <c r="Y218" s="3093"/>
      <c r="Z218" s="3093"/>
      <c r="AA218" s="3093"/>
      <c r="AB218" s="3093"/>
      <c r="AC218" s="3083">
        <f t="shared" si="126"/>
        <v>0</v>
      </c>
      <c r="AD218" s="3103"/>
      <c r="AE218" s="3103"/>
      <c r="AF218" s="3103"/>
      <c r="AG218" s="3103"/>
      <c r="AH218" s="3103"/>
      <c r="AI218" s="3103"/>
      <c r="AJ218" s="3103"/>
      <c r="AK218" s="3103"/>
      <c r="AL218" s="3103"/>
      <c r="AM218" s="3103"/>
      <c r="AN218" s="3103"/>
      <c r="AO218" s="3103"/>
      <c r="AP218" s="3103"/>
      <c r="AQ218" s="3103"/>
      <c r="AR218" s="3103"/>
      <c r="AS218" s="3103"/>
      <c r="AT218" s="3113"/>
      <c r="AU218" s="3114"/>
      <c r="AV218" s="1580">
        <f t="shared" si="127"/>
        <v>0</v>
      </c>
      <c r="AW218" s="1580">
        <f t="shared" si="128"/>
        <v>0</v>
      </c>
      <c r="AX218" s="1580">
        <f t="shared" si="129"/>
        <v>0</v>
      </c>
      <c r="AY218" s="3128">
        <f t="shared" si="130"/>
        <v>0</v>
      </c>
      <c r="AZ218" s="3083">
        <f t="shared" si="131"/>
        <v>0</v>
      </c>
      <c r="BA218" s="3083">
        <f t="shared" si="132"/>
        <v>0</v>
      </c>
      <c r="BB218" s="3083">
        <f t="shared" si="133"/>
        <v>0</v>
      </c>
      <c r="BC218" s="3083">
        <f t="shared" si="134"/>
        <v>0</v>
      </c>
      <c r="BD218" s="3083">
        <f t="shared" si="135"/>
        <v>0</v>
      </c>
      <c r="BE218" s="3083">
        <f t="shared" si="136"/>
        <v>0</v>
      </c>
      <c r="BF218" s="3083">
        <f t="shared" si="137"/>
        <v>0</v>
      </c>
      <c r="BG218" s="3083">
        <f t="shared" si="138"/>
        <v>0</v>
      </c>
      <c r="BH218" s="3083">
        <f t="shared" si="139"/>
        <v>0</v>
      </c>
      <c r="BI218" s="3083">
        <f t="shared" si="140"/>
        <v>0</v>
      </c>
      <c r="BJ218" s="3083">
        <f t="shared" si="141"/>
        <v>0</v>
      </c>
      <c r="BK218" s="3083">
        <f t="shared" si="142"/>
        <v>0</v>
      </c>
      <c r="BL218" s="3083">
        <f t="shared" si="143"/>
        <v>0</v>
      </c>
      <c r="BM218" s="3083">
        <f t="shared" si="144"/>
        <v>0</v>
      </c>
      <c r="BN218" s="3083">
        <f t="shared" si="145"/>
        <v>0</v>
      </c>
      <c r="BO218" s="3083">
        <f t="shared" si="146"/>
        <v>0</v>
      </c>
      <c r="BP218" s="3083">
        <f t="shared" si="147"/>
        <v>0</v>
      </c>
      <c r="BQ218" s="3083">
        <f t="shared" si="148"/>
        <v>0</v>
      </c>
      <c r="BR218" s="3083">
        <f t="shared" si="149"/>
        <v>0</v>
      </c>
      <c r="BS218" s="3083">
        <f t="shared" si="150"/>
        <v>0</v>
      </c>
      <c r="BT218" s="3135">
        <f t="shared" si="151"/>
        <v>0</v>
      </c>
    </row>
    <row r="219" spans="1:72">
      <c r="A219" s="3080"/>
      <c r="B219" s="3081"/>
      <c r="C219" s="3081"/>
      <c r="D219" s="3082"/>
      <c r="E219" s="3083">
        <f t="shared" si="123"/>
        <v>0</v>
      </c>
      <c r="F219" s="3084"/>
      <c r="G219" s="3085">
        <f t="shared" si="124"/>
        <v>0</v>
      </c>
      <c r="H219" s="3086">
        <f t="shared" si="125"/>
        <v>0</v>
      </c>
      <c r="I219" s="3093"/>
      <c r="J219" s="3093"/>
      <c r="K219" s="3093"/>
      <c r="L219" s="3093"/>
      <c r="M219" s="3093"/>
      <c r="N219" s="3093"/>
      <c r="O219" s="3093"/>
      <c r="P219" s="3093"/>
      <c r="Q219" s="3093"/>
      <c r="R219" s="3093"/>
      <c r="S219" s="3093"/>
      <c r="T219" s="3093"/>
      <c r="U219" s="3093"/>
      <c r="V219" s="3093"/>
      <c r="W219" s="3093"/>
      <c r="X219" s="3093"/>
      <c r="Y219" s="3093"/>
      <c r="Z219" s="3093"/>
      <c r="AA219" s="3093"/>
      <c r="AB219" s="3093"/>
      <c r="AC219" s="3083">
        <f t="shared" si="126"/>
        <v>0</v>
      </c>
      <c r="AD219" s="3103"/>
      <c r="AE219" s="3103"/>
      <c r="AF219" s="3103"/>
      <c r="AG219" s="3103"/>
      <c r="AH219" s="3103"/>
      <c r="AI219" s="3103"/>
      <c r="AJ219" s="3103"/>
      <c r="AK219" s="3103"/>
      <c r="AL219" s="3103"/>
      <c r="AM219" s="3103"/>
      <c r="AN219" s="3103"/>
      <c r="AO219" s="3103"/>
      <c r="AP219" s="3103"/>
      <c r="AQ219" s="3103"/>
      <c r="AR219" s="3103"/>
      <c r="AS219" s="3103"/>
      <c r="AT219" s="3113"/>
      <c r="AU219" s="3114"/>
      <c r="AV219" s="1580">
        <f t="shared" si="127"/>
        <v>0</v>
      </c>
      <c r="AW219" s="1580">
        <f t="shared" si="128"/>
        <v>0</v>
      </c>
      <c r="AX219" s="1580">
        <f t="shared" si="129"/>
        <v>0</v>
      </c>
      <c r="AY219" s="3128">
        <f t="shared" si="130"/>
        <v>0</v>
      </c>
      <c r="AZ219" s="3083">
        <f t="shared" si="131"/>
        <v>0</v>
      </c>
      <c r="BA219" s="3083">
        <f t="shared" si="132"/>
        <v>0</v>
      </c>
      <c r="BB219" s="3083">
        <f t="shared" si="133"/>
        <v>0</v>
      </c>
      <c r="BC219" s="3083">
        <f t="shared" si="134"/>
        <v>0</v>
      </c>
      <c r="BD219" s="3083">
        <f t="shared" si="135"/>
        <v>0</v>
      </c>
      <c r="BE219" s="3083">
        <f t="shared" si="136"/>
        <v>0</v>
      </c>
      <c r="BF219" s="3083">
        <f t="shared" si="137"/>
        <v>0</v>
      </c>
      <c r="BG219" s="3083">
        <f t="shared" si="138"/>
        <v>0</v>
      </c>
      <c r="BH219" s="3083">
        <f t="shared" si="139"/>
        <v>0</v>
      </c>
      <c r="BI219" s="3083">
        <f t="shared" si="140"/>
        <v>0</v>
      </c>
      <c r="BJ219" s="3083">
        <f t="shared" si="141"/>
        <v>0</v>
      </c>
      <c r="BK219" s="3083">
        <f t="shared" si="142"/>
        <v>0</v>
      </c>
      <c r="BL219" s="3083">
        <f t="shared" si="143"/>
        <v>0</v>
      </c>
      <c r="BM219" s="3083">
        <f t="shared" si="144"/>
        <v>0</v>
      </c>
      <c r="BN219" s="3083">
        <f t="shared" si="145"/>
        <v>0</v>
      </c>
      <c r="BO219" s="3083">
        <f t="shared" si="146"/>
        <v>0</v>
      </c>
      <c r="BP219" s="3083">
        <f t="shared" si="147"/>
        <v>0</v>
      </c>
      <c r="BQ219" s="3083">
        <f t="shared" si="148"/>
        <v>0</v>
      </c>
      <c r="BR219" s="3083">
        <f t="shared" si="149"/>
        <v>0</v>
      </c>
      <c r="BS219" s="3083">
        <f t="shared" si="150"/>
        <v>0</v>
      </c>
      <c r="BT219" s="3135">
        <f t="shared" si="151"/>
        <v>0</v>
      </c>
    </row>
    <row r="220" spans="1:72">
      <c r="A220" s="3080"/>
      <c r="B220" s="3081"/>
      <c r="C220" s="3081"/>
      <c r="D220" s="3082"/>
      <c r="E220" s="3083">
        <f t="shared" si="123"/>
        <v>0</v>
      </c>
      <c r="F220" s="3084"/>
      <c r="G220" s="3085">
        <f t="shared" si="124"/>
        <v>0</v>
      </c>
      <c r="H220" s="3086">
        <f t="shared" si="125"/>
        <v>0</v>
      </c>
      <c r="I220" s="3093"/>
      <c r="J220" s="3093"/>
      <c r="K220" s="3093"/>
      <c r="L220" s="3093"/>
      <c r="M220" s="3093"/>
      <c r="N220" s="3093"/>
      <c r="O220" s="3093"/>
      <c r="P220" s="3093"/>
      <c r="Q220" s="3093"/>
      <c r="R220" s="3093"/>
      <c r="S220" s="3093"/>
      <c r="T220" s="3093"/>
      <c r="U220" s="3093"/>
      <c r="V220" s="3093"/>
      <c r="W220" s="3093"/>
      <c r="X220" s="3093"/>
      <c r="Y220" s="3093"/>
      <c r="Z220" s="3093"/>
      <c r="AA220" s="3093"/>
      <c r="AB220" s="3093"/>
      <c r="AC220" s="3083">
        <f t="shared" si="126"/>
        <v>0</v>
      </c>
      <c r="AD220" s="3103"/>
      <c r="AE220" s="3103"/>
      <c r="AF220" s="3103"/>
      <c r="AG220" s="3103"/>
      <c r="AH220" s="3103"/>
      <c r="AI220" s="3103"/>
      <c r="AJ220" s="3103"/>
      <c r="AK220" s="3103"/>
      <c r="AL220" s="3103"/>
      <c r="AM220" s="3103"/>
      <c r="AN220" s="3103"/>
      <c r="AO220" s="3103"/>
      <c r="AP220" s="3103"/>
      <c r="AQ220" s="3103"/>
      <c r="AR220" s="3103"/>
      <c r="AS220" s="3103"/>
      <c r="AT220" s="3113"/>
      <c r="AU220" s="3114"/>
      <c r="AV220" s="1580">
        <f t="shared" si="127"/>
        <v>0</v>
      </c>
      <c r="AW220" s="1580">
        <f t="shared" si="128"/>
        <v>0</v>
      </c>
      <c r="AX220" s="1580">
        <f t="shared" si="129"/>
        <v>0</v>
      </c>
      <c r="AY220" s="3128">
        <f t="shared" si="130"/>
        <v>0</v>
      </c>
      <c r="AZ220" s="3083">
        <f t="shared" si="131"/>
        <v>0</v>
      </c>
      <c r="BA220" s="3083">
        <f t="shared" si="132"/>
        <v>0</v>
      </c>
      <c r="BB220" s="3083">
        <f t="shared" si="133"/>
        <v>0</v>
      </c>
      <c r="BC220" s="3083">
        <f t="shared" si="134"/>
        <v>0</v>
      </c>
      <c r="BD220" s="3083">
        <f t="shared" si="135"/>
        <v>0</v>
      </c>
      <c r="BE220" s="3083">
        <f t="shared" si="136"/>
        <v>0</v>
      </c>
      <c r="BF220" s="3083">
        <f t="shared" si="137"/>
        <v>0</v>
      </c>
      <c r="BG220" s="3083">
        <f t="shared" si="138"/>
        <v>0</v>
      </c>
      <c r="BH220" s="3083">
        <f t="shared" si="139"/>
        <v>0</v>
      </c>
      <c r="BI220" s="3083">
        <f t="shared" si="140"/>
        <v>0</v>
      </c>
      <c r="BJ220" s="3083">
        <f t="shared" si="141"/>
        <v>0</v>
      </c>
      <c r="BK220" s="3083">
        <f t="shared" si="142"/>
        <v>0</v>
      </c>
      <c r="BL220" s="3083">
        <f t="shared" si="143"/>
        <v>0</v>
      </c>
      <c r="BM220" s="3083">
        <f t="shared" si="144"/>
        <v>0</v>
      </c>
      <c r="BN220" s="3083">
        <f t="shared" si="145"/>
        <v>0</v>
      </c>
      <c r="BO220" s="3083">
        <f t="shared" si="146"/>
        <v>0</v>
      </c>
      <c r="BP220" s="3083">
        <f t="shared" si="147"/>
        <v>0</v>
      </c>
      <c r="BQ220" s="3083">
        <f t="shared" si="148"/>
        <v>0</v>
      </c>
      <c r="BR220" s="3083">
        <f t="shared" si="149"/>
        <v>0</v>
      </c>
      <c r="BS220" s="3083">
        <f t="shared" si="150"/>
        <v>0</v>
      </c>
      <c r="BT220" s="3135">
        <f t="shared" si="151"/>
        <v>0</v>
      </c>
    </row>
    <row r="221" spans="1:72">
      <c r="A221" s="3080"/>
      <c r="B221" s="3081"/>
      <c r="C221" s="3081"/>
      <c r="D221" s="3082"/>
      <c r="E221" s="3083">
        <f t="shared" si="123"/>
        <v>0</v>
      </c>
      <c r="F221" s="3084"/>
      <c r="G221" s="3085">
        <f t="shared" si="124"/>
        <v>0</v>
      </c>
      <c r="H221" s="3086">
        <f t="shared" si="125"/>
        <v>0</v>
      </c>
      <c r="I221" s="3093"/>
      <c r="J221" s="3093"/>
      <c r="K221" s="3093"/>
      <c r="L221" s="3093"/>
      <c r="M221" s="3093"/>
      <c r="N221" s="3093"/>
      <c r="O221" s="3093"/>
      <c r="P221" s="3093"/>
      <c r="Q221" s="3093"/>
      <c r="R221" s="3093"/>
      <c r="S221" s="3093"/>
      <c r="T221" s="3093"/>
      <c r="U221" s="3093"/>
      <c r="V221" s="3093"/>
      <c r="W221" s="3093"/>
      <c r="X221" s="3093"/>
      <c r="Y221" s="3093"/>
      <c r="Z221" s="3093"/>
      <c r="AA221" s="3093"/>
      <c r="AB221" s="3093"/>
      <c r="AC221" s="3083">
        <f t="shared" si="126"/>
        <v>0</v>
      </c>
      <c r="AD221" s="3103"/>
      <c r="AE221" s="3103"/>
      <c r="AF221" s="3103"/>
      <c r="AG221" s="3103"/>
      <c r="AH221" s="3103"/>
      <c r="AI221" s="3103"/>
      <c r="AJ221" s="3103"/>
      <c r="AK221" s="3103"/>
      <c r="AL221" s="3103"/>
      <c r="AM221" s="3103"/>
      <c r="AN221" s="3103"/>
      <c r="AO221" s="3103"/>
      <c r="AP221" s="3103"/>
      <c r="AQ221" s="3103"/>
      <c r="AR221" s="3103"/>
      <c r="AS221" s="3103"/>
      <c r="AT221" s="3113"/>
      <c r="AU221" s="3114"/>
      <c r="AV221" s="1580">
        <f t="shared" si="127"/>
        <v>0</v>
      </c>
      <c r="AW221" s="1580">
        <f t="shared" si="128"/>
        <v>0</v>
      </c>
      <c r="AX221" s="1580">
        <f t="shared" si="129"/>
        <v>0</v>
      </c>
      <c r="AY221" s="3128">
        <f t="shared" si="130"/>
        <v>0</v>
      </c>
      <c r="AZ221" s="3083">
        <f t="shared" si="131"/>
        <v>0</v>
      </c>
      <c r="BA221" s="3083">
        <f t="shared" si="132"/>
        <v>0</v>
      </c>
      <c r="BB221" s="3083">
        <f t="shared" si="133"/>
        <v>0</v>
      </c>
      <c r="BC221" s="3083">
        <f t="shared" si="134"/>
        <v>0</v>
      </c>
      <c r="BD221" s="3083">
        <f t="shared" si="135"/>
        <v>0</v>
      </c>
      <c r="BE221" s="3083">
        <f t="shared" si="136"/>
        <v>0</v>
      </c>
      <c r="BF221" s="3083">
        <f t="shared" si="137"/>
        <v>0</v>
      </c>
      <c r="BG221" s="3083">
        <f t="shared" si="138"/>
        <v>0</v>
      </c>
      <c r="BH221" s="3083">
        <f t="shared" si="139"/>
        <v>0</v>
      </c>
      <c r="BI221" s="3083">
        <f t="shared" si="140"/>
        <v>0</v>
      </c>
      <c r="BJ221" s="3083">
        <f t="shared" si="141"/>
        <v>0</v>
      </c>
      <c r="BK221" s="3083">
        <f t="shared" si="142"/>
        <v>0</v>
      </c>
      <c r="BL221" s="3083">
        <f t="shared" si="143"/>
        <v>0</v>
      </c>
      <c r="BM221" s="3083">
        <f t="shared" si="144"/>
        <v>0</v>
      </c>
      <c r="BN221" s="3083">
        <f t="shared" si="145"/>
        <v>0</v>
      </c>
      <c r="BO221" s="3083">
        <f t="shared" si="146"/>
        <v>0</v>
      </c>
      <c r="BP221" s="3083">
        <f t="shared" si="147"/>
        <v>0</v>
      </c>
      <c r="BQ221" s="3083">
        <f t="shared" si="148"/>
        <v>0</v>
      </c>
      <c r="BR221" s="3083">
        <f t="shared" si="149"/>
        <v>0</v>
      </c>
      <c r="BS221" s="3083">
        <f t="shared" si="150"/>
        <v>0</v>
      </c>
      <c r="BT221" s="3135">
        <f t="shared" si="151"/>
        <v>0</v>
      </c>
    </row>
    <row r="222" spans="1:72">
      <c r="A222" s="3080"/>
      <c r="B222" s="3081"/>
      <c r="C222" s="3081"/>
      <c r="D222" s="3082"/>
      <c r="E222" s="3083">
        <f t="shared" si="123"/>
        <v>0</v>
      </c>
      <c r="F222" s="3084"/>
      <c r="G222" s="3085">
        <f t="shared" si="124"/>
        <v>0</v>
      </c>
      <c r="H222" s="3086">
        <f t="shared" si="125"/>
        <v>0</v>
      </c>
      <c r="I222" s="3093"/>
      <c r="J222" s="3093"/>
      <c r="K222" s="3093"/>
      <c r="L222" s="3093"/>
      <c r="M222" s="3093"/>
      <c r="N222" s="3093"/>
      <c r="O222" s="3093"/>
      <c r="P222" s="3093"/>
      <c r="Q222" s="3093"/>
      <c r="R222" s="3093"/>
      <c r="S222" s="3093"/>
      <c r="T222" s="3093"/>
      <c r="U222" s="3093"/>
      <c r="V222" s="3093"/>
      <c r="W222" s="3093"/>
      <c r="X222" s="3093"/>
      <c r="Y222" s="3093"/>
      <c r="Z222" s="3093"/>
      <c r="AA222" s="3093"/>
      <c r="AB222" s="3093"/>
      <c r="AC222" s="3083">
        <f t="shared" si="126"/>
        <v>0</v>
      </c>
      <c r="AD222" s="3103"/>
      <c r="AE222" s="3103"/>
      <c r="AF222" s="3103"/>
      <c r="AG222" s="3103"/>
      <c r="AH222" s="3103"/>
      <c r="AI222" s="3103"/>
      <c r="AJ222" s="3103"/>
      <c r="AK222" s="3103"/>
      <c r="AL222" s="3103"/>
      <c r="AM222" s="3103"/>
      <c r="AN222" s="3103"/>
      <c r="AO222" s="3103"/>
      <c r="AP222" s="3103"/>
      <c r="AQ222" s="3103"/>
      <c r="AR222" s="3103"/>
      <c r="AS222" s="3103"/>
      <c r="AT222" s="3113"/>
      <c r="AU222" s="3114"/>
      <c r="AV222" s="1580">
        <f t="shared" si="127"/>
        <v>0</v>
      </c>
      <c r="AW222" s="1580">
        <f t="shared" si="128"/>
        <v>0</v>
      </c>
      <c r="AX222" s="1580">
        <f t="shared" si="129"/>
        <v>0</v>
      </c>
      <c r="AY222" s="3128">
        <f t="shared" si="130"/>
        <v>0</v>
      </c>
      <c r="AZ222" s="3083">
        <f t="shared" si="131"/>
        <v>0</v>
      </c>
      <c r="BA222" s="3083">
        <f t="shared" si="132"/>
        <v>0</v>
      </c>
      <c r="BB222" s="3083">
        <f t="shared" si="133"/>
        <v>0</v>
      </c>
      <c r="BC222" s="3083">
        <f t="shared" si="134"/>
        <v>0</v>
      </c>
      <c r="BD222" s="3083">
        <f t="shared" si="135"/>
        <v>0</v>
      </c>
      <c r="BE222" s="3083">
        <f t="shared" si="136"/>
        <v>0</v>
      </c>
      <c r="BF222" s="3083">
        <f t="shared" si="137"/>
        <v>0</v>
      </c>
      <c r="BG222" s="3083">
        <f t="shared" si="138"/>
        <v>0</v>
      </c>
      <c r="BH222" s="3083">
        <f t="shared" si="139"/>
        <v>0</v>
      </c>
      <c r="BI222" s="3083">
        <f t="shared" si="140"/>
        <v>0</v>
      </c>
      <c r="BJ222" s="3083">
        <f t="shared" si="141"/>
        <v>0</v>
      </c>
      <c r="BK222" s="3083">
        <f t="shared" si="142"/>
        <v>0</v>
      </c>
      <c r="BL222" s="3083">
        <f t="shared" si="143"/>
        <v>0</v>
      </c>
      <c r="BM222" s="3083">
        <f t="shared" si="144"/>
        <v>0</v>
      </c>
      <c r="BN222" s="3083">
        <f t="shared" si="145"/>
        <v>0</v>
      </c>
      <c r="BO222" s="3083">
        <f t="shared" si="146"/>
        <v>0</v>
      </c>
      <c r="BP222" s="3083">
        <f t="shared" si="147"/>
        <v>0</v>
      </c>
      <c r="BQ222" s="3083">
        <f t="shared" si="148"/>
        <v>0</v>
      </c>
      <c r="BR222" s="3083">
        <f t="shared" si="149"/>
        <v>0</v>
      </c>
      <c r="BS222" s="3083">
        <f t="shared" si="150"/>
        <v>0</v>
      </c>
      <c r="BT222" s="3135">
        <f t="shared" si="151"/>
        <v>0</v>
      </c>
    </row>
    <row r="223" spans="1:72">
      <c r="A223" s="3080"/>
      <c r="B223" s="3081"/>
      <c r="C223" s="3081"/>
      <c r="D223" s="3082"/>
      <c r="E223" s="3083">
        <f t="shared" si="123"/>
        <v>0</v>
      </c>
      <c r="F223" s="3084"/>
      <c r="G223" s="3085">
        <f t="shared" si="124"/>
        <v>0</v>
      </c>
      <c r="H223" s="3086">
        <f t="shared" si="125"/>
        <v>0</v>
      </c>
      <c r="I223" s="3093"/>
      <c r="J223" s="3093"/>
      <c r="K223" s="3093"/>
      <c r="L223" s="3093"/>
      <c r="M223" s="3093"/>
      <c r="N223" s="3093"/>
      <c r="O223" s="3093"/>
      <c r="P223" s="3093"/>
      <c r="Q223" s="3093"/>
      <c r="R223" s="3093"/>
      <c r="S223" s="3093"/>
      <c r="T223" s="3093"/>
      <c r="U223" s="3093"/>
      <c r="V223" s="3093"/>
      <c r="W223" s="3093"/>
      <c r="X223" s="3093"/>
      <c r="Y223" s="3093"/>
      <c r="Z223" s="3093"/>
      <c r="AA223" s="3093"/>
      <c r="AB223" s="3093"/>
      <c r="AC223" s="3083">
        <f t="shared" si="126"/>
        <v>0</v>
      </c>
      <c r="AD223" s="3103"/>
      <c r="AE223" s="3103"/>
      <c r="AF223" s="3103"/>
      <c r="AG223" s="3103"/>
      <c r="AH223" s="3103"/>
      <c r="AI223" s="3103"/>
      <c r="AJ223" s="3103"/>
      <c r="AK223" s="3103"/>
      <c r="AL223" s="3103"/>
      <c r="AM223" s="3103"/>
      <c r="AN223" s="3103"/>
      <c r="AO223" s="3103"/>
      <c r="AP223" s="3103"/>
      <c r="AQ223" s="3103"/>
      <c r="AR223" s="3103"/>
      <c r="AS223" s="3103"/>
      <c r="AT223" s="3113"/>
      <c r="AU223" s="3114"/>
      <c r="AV223" s="1580">
        <f t="shared" si="127"/>
        <v>0</v>
      </c>
      <c r="AW223" s="1580">
        <f t="shared" si="128"/>
        <v>0</v>
      </c>
      <c r="AX223" s="1580">
        <f t="shared" si="129"/>
        <v>0</v>
      </c>
      <c r="AY223" s="3128">
        <f t="shared" si="130"/>
        <v>0</v>
      </c>
      <c r="AZ223" s="3083">
        <f t="shared" si="131"/>
        <v>0</v>
      </c>
      <c r="BA223" s="3083">
        <f t="shared" si="132"/>
        <v>0</v>
      </c>
      <c r="BB223" s="3083">
        <f t="shared" si="133"/>
        <v>0</v>
      </c>
      <c r="BC223" s="3083">
        <f t="shared" si="134"/>
        <v>0</v>
      </c>
      <c r="BD223" s="3083">
        <f t="shared" si="135"/>
        <v>0</v>
      </c>
      <c r="BE223" s="3083">
        <f t="shared" si="136"/>
        <v>0</v>
      </c>
      <c r="BF223" s="3083">
        <f t="shared" si="137"/>
        <v>0</v>
      </c>
      <c r="BG223" s="3083">
        <f t="shared" si="138"/>
        <v>0</v>
      </c>
      <c r="BH223" s="3083">
        <f t="shared" si="139"/>
        <v>0</v>
      </c>
      <c r="BI223" s="3083">
        <f t="shared" si="140"/>
        <v>0</v>
      </c>
      <c r="BJ223" s="3083">
        <f t="shared" si="141"/>
        <v>0</v>
      </c>
      <c r="BK223" s="3083">
        <f t="shared" si="142"/>
        <v>0</v>
      </c>
      <c r="BL223" s="3083">
        <f t="shared" si="143"/>
        <v>0</v>
      </c>
      <c r="BM223" s="3083">
        <f t="shared" si="144"/>
        <v>0</v>
      </c>
      <c r="BN223" s="3083">
        <f t="shared" si="145"/>
        <v>0</v>
      </c>
      <c r="BO223" s="3083">
        <f t="shared" si="146"/>
        <v>0</v>
      </c>
      <c r="BP223" s="3083">
        <f t="shared" si="147"/>
        <v>0</v>
      </c>
      <c r="BQ223" s="3083">
        <f t="shared" si="148"/>
        <v>0</v>
      </c>
      <c r="BR223" s="3083">
        <f t="shared" si="149"/>
        <v>0</v>
      </c>
      <c r="BS223" s="3083">
        <f t="shared" si="150"/>
        <v>0</v>
      </c>
      <c r="BT223" s="3135">
        <f t="shared" si="151"/>
        <v>0</v>
      </c>
    </row>
    <row r="224" spans="1:72">
      <c r="A224" s="3080"/>
      <c r="B224" s="3081"/>
      <c r="C224" s="3081"/>
      <c r="D224" s="3082"/>
      <c r="E224" s="3083">
        <f t="shared" si="123"/>
        <v>0</v>
      </c>
      <c r="F224" s="3084"/>
      <c r="G224" s="3085">
        <f t="shared" si="124"/>
        <v>0</v>
      </c>
      <c r="H224" s="3086">
        <f t="shared" si="125"/>
        <v>0</v>
      </c>
      <c r="I224" s="3093"/>
      <c r="J224" s="3093"/>
      <c r="K224" s="3093"/>
      <c r="L224" s="3093"/>
      <c r="M224" s="3093"/>
      <c r="N224" s="3093"/>
      <c r="O224" s="3093"/>
      <c r="P224" s="3093"/>
      <c r="Q224" s="3093"/>
      <c r="R224" s="3093"/>
      <c r="S224" s="3093"/>
      <c r="T224" s="3093"/>
      <c r="U224" s="3093"/>
      <c r="V224" s="3093"/>
      <c r="W224" s="3093"/>
      <c r="X224" s="3093"/>
      <c r="Y224" s="3093"/>
      <c r="Z224" s="3093"/>
      <c r="AA224" s="3093"/>
      <c r="AB224" s="3093"/>
      <c r="AC224" s="3083">
        <f t="shared" si="126"/>
        <v>0</v>
      </c>
      <c r="AD224" s="3103"/>
      <c r="AE224" s="3103"/>
      <c r="AF224" s="3103"/>
      <c r="AG224" s="3103"/>
      <c r="AH224" s="3103"/>
      <c r="AI224" s="3103"/>
      <c r="AJ224" s="3103"/>
      <c r="AK224" s="3103"/>
      <c r="AL224" s="3103"/>
      <c r="AM224" s="3103"/>
      <c r="AN224" s="3103"/>
      <c r="AO224" s="3103"/>
      <c r="AP224" s="3103"/>
      <c r="AQ224" s="3103"/>
      <c r="AR224" s="3103"/>
      <c r="AS224" s="3103"/>
      <c r="AT224" s="3113"/>
      <c r="AU224" s="3114"/>
      <c r="AV224" s="1580">
        <f t="shared" si="127"/>
        <v>0</v>
      </c>
      <c r="AW224" s="1580">
        <f t="shared" si="128"/>
        <v>0</v>
      </c>
      <c r="AX224" s="1580">
        <f t="shared" si="129"/>
        <v>0</v>
      </c>
      <c r="AY224" s="3128">
        <f t="shared" si="130"/>
        <v>0</v>
      </c>
      <c r="AZ224" s="3083">
        <f t="shared" si="131"/>
        <v>0</v>
      </c>
      <c r="BA224" s="3083">
        <f t="shared" si="132"/>
        <v>0</v>
      </c>
      <c r="BB224" s="3083">
        <f t="shared" si="133"/>
        <v>0</v>
      </c>
      <c r="BC224" s="3083">
        <f t="shared" si="134"/>
        <v>0</v>
      </c>
      <c r="BD224" s="3083">
        <f t="shared" si="135"/>
        <v>0</v>
      </c>
      <c r="BE224" s="3083">
        <f t="shared" si="136"/>
        <v>0</v>
      </c>
      <c r="BF224" s="3083">
        <f t="shared" si="137"/>
        <v>0</v>
      </c>
      <c r="BG224" s="3083">
        <f t="shared" si="138"/>
        <v>0</v>
      </c>
      <c r="BH224" s="3083">
        <f t="shared" si="139"/>
        <v>0</v>
      </c>
      <c r="BI224" s="3083">
        <f t="shared" si="140"/>
        <v>0</v>
      </c>
      <c r="BJ224" s="3083">
        <f t="shared" si="141"/>
        <v>0</v>
      </c>
      <c r="BK224" s="3083">
        <f t="shared" si="142"/>
        <v>0</v>
      </c>
      <c r="BL224" s="3083">
        <f t="shared" si="143"/>
        <v>0</v>
      </c>
      <c r="BM224" s="3083">
        <f t="shared" si="144"/>
        <v>0</v>
      </c>
      <c r="BN224" s="3083">
        <f t="shared" si="145"/>
        <v>0</v>
      </c>
      <c r="BO224" s="3083">
        <f t="shared" si="146"/>
        <v>0</v>
      </c>
      <c r="BP224" s="3083">
        <f t="shared" si="147"/>
        <v>0</v>
      </c>
      <c r="BQ224" s="3083">
        <f t="shared" si="148"/>
        <v>0</v>
      </c>
      <c r="BR224" s="3083">
        <f t="shared" si="149"/>
        <v>0</v>
      </c>
      <c r="BS224" s="3083">
        <f t="shared" si="150"/>
        <v>0</v>
      </c>
      <c r="BT224" s="3135">
        <f t="shared" si="151"/>
        <v>0</v>
      </c>
    </row>
    <row r="225" spans="1:72">
      <c r="A225" s="3080"/>
      <c r="B225" s="3081"/>
      <c r="C225" s="3081"/>
      <c r="D225" s="3082"/>
      <c r="E225" s="3083">
        <f t="shared" si="123"/>
        <v>0</v>
      </c>
      <c r="F225" s="3084"/>
      <c r="G225" s="3085">
        <f t="shared" si="124"/>
        <v>0</v>
      </c>
      <c r="H225" s="3086">
        <f t="shared" si="125"/>
        <v>0</v>
      </c>
      <c r="I225" s="3093"/>
      <c r="J225" s="3093"/>
      <c r="K225" s="3093"/>
      <c r="L225" s="3093"/>
      <c r="M225" s="3093"/>
      <c r="N225" s="3093"/>
      <c r="O225" s="3093"/>
      <c r="P225" s="3093"/>
      <c r="Q225" s="3093"/>
      <c r="R225" s="3093"/>
      <c r="S225" s="3093"/>
      <c r="T225" s="3093"/>
      <c r="U225" s="3093"/>
      <c r="V225" s="3093"/>
      <c r="W225" s="3093"/>
      <c r="X225" s="3093"/>
      <c r="Y225" s="3093"/>
      <c r="Z225" s="3093"/>
      <c r="AA225" s="3093"/>
      <c r="AB225" s="3093"/>
      <c r="AC225" s="3083">
        <f t="shared" si="126"/>
        <v>0</v>
      </c>
      <c r="AD225" s="3103"/>
      <c r="AE225" s="3103"/>
      <c r="AF225" s="3103"/>
      <c r="AG225" s="3103"/>
      <c r="AH225" s="3103"/>
      <c r="AI225" s="3103"/>
      <c r="AJ225" s="3103"/>
      <c r="AK225" s="3103"/>
      <c r="AL225" s="3103"/>
      <c r="AM225" s="3103"/>
      <c r="AN225" s="3103"/>
      <c r="AO225" s="3103"/>
      <c r="AP225" s="3103"/>
      <c r="AQ225" s="3103"/>
      <c r="AR225" s="3103"/>
      <c r="AS225" s="3103"/>
      <c r="AT225" s="3113"/>
      <c r="AU225" s="3114"/>
      <c r="AV225" s="1580">
        <f t="shared" si="127"/>
        <v>0</v>
      </c>
      <c r="AW225" s="1580">
        <f t="shared" si="128"/>
        <v>0</v>
      </c>
      <c r="AX225" s="1580">
        <f t="shared" si="129"/>
        <v>0</v>
      </c>
      <c r="AY225" s="3128">
        <f t="shared" si="130"/>
        <v>0</v>
      </c>
      <c r="AZ225" s="3083">
        <f t="shared" si="131"/>
        <v>0</v>
      </c>
      <c r="BA225" s="3083">
        <f t="shared" si="132"/>
        <v>0</v>
      </c>
      <c r="BB225" s="3083">
        <f t="shared" si="133"/>
        <v>0</v>
      </c>
      <c r="BC225" s="3083">
        <f t="shared" si="134"/>
        <v>0</v>
      </c>
      <c r="BD225" s="3083">
        <f t="shared" si="135"/>
        <v>0</v>
      </c>
      <c r="BE225" s="3083">
        <f t="shared" si="136"/>
        <v>0</v>
      </c>
      <c r="BF225" s="3083">
        <f t="shared" si="137"/>
        <v>0</v>
      </c>
      <c r="BG225" s="3083">
        <f t="shared" si="138"/>
        <v>0</v>
      </c>
      <c r="BH225" s="3083">
        <f t="shared" si="139"/>
        <v>0</v>
      </c>
      <c r="BI225" s="3083">
        <f t="shared" si="140"/>
        <v>0</v>
      </c>
      <c r="BJ225" s="3083">
        <f t="shared" si="141"/>
        <v>0</v>
      </c>
      <c r="BK225" s="3083">
        <f t="shared" si="142"/>
        <v>0</v>
      </c>
      <c r="BL225" s="3083">
        <f t="shared" si="143"/>
        <v>0</v>
      </c>
      <c r="BM225" s="3083">
        <f t="shared" si="144"/>
        <v>0</v>
      </c>
      <c r="BN225" s="3083">
        <f t="shared" si="145"/>
        <v>0</v>
      </c>
      <c r="BO225" s="3083">
        <f t="shared" si="146"/>
        <v>0</v>
      </c>
      <c r="BP225" s="3083">
        <f t="shared" si="147"/>
        <v>0</v>
      </c>
      <c r="BQ225" s="3083">
        <f t="shared" si="148"/>
        <v>0</v>
      </c>
      <c r="BR225" s="3083">
        <f t="shared" si="149"/>
        <v>0</v>
      </c>
      <c r="BS225" s="3083">
        <f t="shared" si="150"/>
        <v>0</v>
      </c>
      <c r="BT225" s="3135">
        <f t="shared" si="151"/>
        <v>0</v>
      </c>
    </row>
    <row r="226" spans="1:72">
      <c r="A226" s="3080"/>
      <c r="B226" s="3081"/>
      <c r="C226" s="3081"/>
      <c r="D226" s="3082"/>
      <c r="E226" s="3083">
        <f t="shared" si="123"/>
        <v>0</v>
      </c>
      <c r="F226" s="3084"/>
      <c r="G226" s="3085">
        <f t="shared" si="124"/>
        <v>0</v>
      </c>
      <c r="H226" s="3086">
        <f t="shared" si="125"/>
        <v>0</v>
      </c>
      <c r="I226" s="3093"/>
      <c r="J226" s="3093"/>
      <c r="K226" s="3093"/>
      <c r="L226" s="3093"/>
      <c r="M226" s="3093"/>
      <c r="N226" s="3093"/>
      <c r="O226" s="3093"/>
      <c r="P226" s="3093"/>
      <c r="Q226" s="3093"/>
      <c r="R226" s="3093"/>
      <c r="S226" s="3093"/>
      <c r="T226" s="3093"/>
      <c r="U226" s="3093"/>
      <c r="V226" s="3093"/>
      <c r="W226" s="3093"/>
      <c r="X226" s="3093"/>
      <c r="Y226" s="3093"/>
      <c r="Z226" s="3093"/>
      <c r="AA226" s="3093"/>
      <c r="AB226" s="3093"/>
      <c r="AC226" s="3083">
        <f t="shared" si="126"/>
        <v>0</v>
      </c>
      <c r="AD226" s="3103"/>
      <c r="AE226" s="3103"/>
      <c r="AF226" s="3103"/>
      <c r="AG226" s="3103"/>
      <c r="AH226" s="3103"/>
      <c r="AI226" s="3103"/>
      <c r="AJ226" s="3103"/>
      <c r="AK226" s="3103"/>
      <c r="AL226" s="3103"/>
      <c r="AM226" s="3103"/>
      <c r="AN226" s="3103"/>
      <c r="AO226" s="3103"/>
      <c r="AP226" s="3103"/>
      <c r="AQ226" s="3103"/>
      <c r="AR226" s="3103"/>
      <c r="AS226" s="3103"/>
      <c r="AT226" s="3113"/>
      <c r="AU226" s="3114"/>
      <c r="AV226" s="1580">
        <f t="shared" si="127"/>
        <v>0</v>
      </c>
      <c r="AW226" s="1580">
        <f t="shared" si="128"/>
        <v>0</v>
      </c>
      <c r="AX226" s="1580">
        <f t="shared" si="129"/>
        <v>0</v>
      </c>
      <c r="AY226" s="3128">
        <f t="shared" si="130"/>
        <v>0</v>
      </c>
      <c r="AZ226" s="3083">
        <f t="shared" si="131"/>
        <v>0</v>
      </c>
      <c r="BA226" s="3083">
        <f t="shared" si="132"/>
        <v>0</v>
      </c>
      <c r="BB226" s="3083">
        <f t="shared" si="133"/>
        <v>0</v>
      </c>
      <c r="BC226" s="3083">
        <f t="shared" si="134"/>
        <v>0</v>
      </c>
      <c r="BD226" s="3083">
        <f t="shared" si="135"/>
        <v>0</v>
      </c>
      <c r="BE226" s="3083">
        <f t="shared" si="136"/>
        <v>0</v>
      </c>
      <c r="BF226" s="3083">
        <f t="shared" si="137"/>
        <v>0</v>
      </c>
      <c r="BG226" s="3083">
        <f t="shared" si="138"/>
        <v>0</v>
      </c>
      <c r="BH226" s="3083">
        <f t="shared" si="139"/>
        <v>0</v>
      </c>
      <c r="BI226" s="3083">
        <f t="shared" si="140"/>
        <v>0</v>
      </c>
      <c r="BJ226" s="3083">
        <f t="shared" si="141"/>
        <v>0</v>
      </c>
      <c r="BK226" s="3083">
        <f t="shared" si="142"/>
        <v>0</v>
      </c>
      <c r="BL226" s="3083">
        <f t="shared" si="143"/>
        <v>0</v>
      </c>
      <c r="BM226" s="3083">
        <f t="shared" si="144"/>
        <v>0</v>
      </c>
      <c r="BN226" s="3083">
        <f t="shared" si="145"/>
        <v>0</v>
      </c>
      <c r="BO226" s="3083">
        <f t="shared" si="146"/>
        <v>0</v>
      </c>
      <c r="BP226" s="3083">
        <f t="shared" si="147"/>
        <v>0</v>
      </c>
      <c r="BQ226" s="3083">
        <f t="shared" si="148"/>
        <v>0</v>
      </c>
      <c r="BR226" s="3083">
        <f t="shared" si="149"/>
        <v>0</v>
      </c>
      <c r="BS226" s="3083">
        <f t="shared" si="150"/>
        <v>0</v>
      </c>
      <c r="BT226" s="3135">
        <f t="shared" si="151"/>
        <v>0</v>
      </c>
    </row>
    <row r="227" spans="1:72">
      <c r="A227" s="3080"/>
      <c r="B227" s="3081"/>
      <c r="C227" s="3081"/>
      <c r="D227" s="3082"/>
      <c r="E227" s="3083">
        <f t="shared" si="123"/>
        <v>0</v>
      </c>
      <c r="F227" s="3084"/>
      <c r="G227" s="3085">
        <f t="shared" si="124"/>
        <v>0</v>
      </c>
      <c r="H227" s="3086">
        <f t="shared" si="125"/>
        <v>0</v>
      </c>
      <c r="I227" s="3093"/>
      <c r="J227" s="3093"/>
      <c r="K227" s="3093"/>
      <c r="L227" s="3093"/>
      <c r="M227" s="3093"/>
      <c r="N227" s="3093"/>
      <c r="O227" s="3093"/>
      <c r="P227" s="3093"/>
      <c r="Q227" s="3093"/>
      <c r="R227" s="3093"/>
      <c r="S227" s="3093"/>
      <c r="T227" s="3093"/>
      <c r="U227" s="3093"/>
      <c r="V227" s="3093"/>
      <c r="W227" s="3093"/>
      <c r="X227" s="3093"/>
      <c r="Y227" s="3093"/>
      <c r="Z227" s="3093"/>
      <c r="AA227" s="3093"/>
      <c r="AB227" s="3093"/>
      <c r="AC227" s="3083">
        <f t="shared" si="126"/>
        <v>0</v>
      </c>
      <c r="AD227" s="3103"/>
      <c r="AE227" s="3103"/>
      <c r="AF227" s="3103"/>
      <c r="AG227" s="3103"/>
      <c r="AH227" s="3103"/>
      <c r="AI227" s="3103"/>
      <c r="AJ227" s="3103"/>
      <c r="AK227" s="3103"/>
      <c r="AL227" s="3103"/>
      <c r="AM227" s="3103"/>
      <c r="AN227" s="3103"/>
      <c r="AO227" s="3103"/>
      <c r="AP227" s="3103"/>
      <c r="AQ227" s="3103"/>
      <c r="AR227" s="3103"/>
      <c r="AS227" s="3103"/>
      <c r="AT227" s="3113"/>
      <c r="AU227" s="3114"/>
      <c r="AV227" s="1580">
        <f t="shared" si="127"/>
        <v>0</v>
      </c>
      <c r="AW227" s="1580">
        <f t="shared" si="128"/>
        <v>0</v>
      </c>
      <c r="AX227" s="1580">
        <f t="shared" si="129"/>
        <v>0</v>
      </c>
      <c r="AY227" s="3128">
        <f t="shared" si="130"/>
        <v>0</v>
      </c>
      <c r="AZ227" s="3083">
        <f t="shared" si="131"/>
        <v>0</v>
      </c>
      <c r="BA227" s="3083">
        <f t="shared" si="132"/>
        <v>0</v>
      </c>
      <c r="BB227" s="3083">
        <f t="shared" si="133"/>
        <v>0</v>
      </c>
      <c r="BC227" s="3083">
        <f t="shared" si="134"/>
        <v>0</v>
      </c>
      <c r="BD227" s="3083">
        <f t="shared" si="135"/>
        <v>0</v>
      </c>
      <c r="BE227" s="3083">
        <f t="shared" si="136"/>
        <v>0</v>
      </c>
      <c r="BF227" s="3083">
        <f t="shared" si="137"/>
        <v>0</v>
      </c>
      <c r="BG227" s="3083">
        <f t="shared" si="138"/>
        <v>0</v>
      </c>
      <c r="BH227" s="3083">
        <f t="shared" si="139"/>
        <v>0</v>
      </c>
      <c r="BI227" s="3083">
        <f t="shared" si="140"/>
        <v>0</v>
      </c>
      <c r="BJ227" s="3083">
        <f t="shared" si="141"/>
        <v>0</v>
      </c>
      <c r="BK227" s="3083">
        <f t="shared" si="142"/>
        <v>0</v>
      </c>
      <c r="BL227" s="3083">
        <f t="shared" si="143"/>
        <v>0</v>
      </c>
      <c r="BM227" s="3083">
        <f t="shared" si="144"/>
        <v>0</v>
      </c>
      <c r="BN227" s="3083">
        <f t="shared" si="145"/>
        <v>0</v>
      </c>
      <c r="BO227" s="3083">
        <f t="shared" si="146"/>
        <v>0</v>
      </c>
      <c r="BP227" s="3083">
        <f t="shared" si="147"/>
        <v>0</v>
      </c>
      <c r="BQ227" s="3083">
        <f t="shared" si="148"/>
        <v>0</v>
      </c>
      <c r="BR227" s="3083">
        <f t="shared" si="149"/>
        <v>0</v>
      </c>
      <c r="BS227" s="3083">
        <f t="shared" si="150"/>
        <v>0</v>
      </c>
      <c r="BT227" s="3135">
        <f t="shared" si="151"/>
        <v>0</v>
      </c>
    </row>
    <row r="228" spans="1:72">
      <c r="A228" s="3080"/>
      <c r="B228" s="3081"/>
      <c r="C228" s="3081"/>
      <c r="D228" s="3082"/>
      <c r="E228" s="3083">
        <f t="shared" si="123"/>
        <v>0</v>
      </c>
      <c r="F228" s="3084"/>
      <c r="G228" s="3085">
        <f t="shared" si="124"/>
        <v>0</v>
      </c>
      <c r="H228" s="3086">
        <f t="shared" si="125"/>
        <v>0</v>
      </c>
      <c r="I228" s="3093"/>
      <c r="J228" s="3093"/>
      <c r="K228" s="3093"/>
      <c r="L228" s="3093"/>
      <c r="M228" s="3093"/>
      <c r="N228" s="3093"/>
      <c r="O228" s="3093"/>
      <c r="P228" s="3093"/>
      <c r="Q228" s="3093"/>
      <c r="R228" s="3093"/>
      <c r="S228" s="3093"/>
      <c r="T228" s="3093"/>
      <c r="U228" s="3093"/>
      <c r="V228" s="3093"/>
      <c r="W228" s="3093"/>
      <c r="X228" s="3093"/>
      <c r="Y228" s="3093"/>
      <c r="Z228" s="3093"/>
      <c r="AA228" s="3093"/>
      <c r="AB228" s="3093"/>
      <c r="AC228" s="3083">
        <f t="shared" si="126"/>
        <v>0</v>
      </c>
      <c r="AD228" s="3103"/>
      <c r="AE228" s="3103"/>
      <c r="AF228" s="3103"/>
      <c r="AG228" s="3103"/>
      <c r="AH228" s="3103"/>
      <c r="AI228" s="3103"/>
      <c r="AJ228" s="3103"/>
      <c r="AK228" s="3103"/>
      <c r="AL228" s="3103"/>
      <c r="AM228" s="3103"/>
      <c r="AN228" s="3103"/>
      <c r="AO228" s="3103"/>
      <c r="AP228" s="3103"/>
      <c r="AQ228" s="3103"/>
      <c r="AR228" s="3103"/>
      <c r="AS228" s="3103"/>
      <c r="AT228" s="3113"/>
      <c r="AU228" s="3114"/>
      <c r="AV228" s="1580">
        <f t="shared" si="127"/>
        <v>0</v>
      </c>
      <c r="AW228" s="1580">
        <f t="shared" si="128"/>
        <v>0</v>
      </c>
      <c r="AX228" s="1580">
        <f t="shared" si="129"/>
        <v>0</v>
      </c>
      <c r="AY228" s="3128">
        <f t="shared" si="130"/>
        <v>0</v>
      </c>
      <c r="AZ228" s="3083">
        <f t="shared" si="131"/>
        <v>0</v>
      </c>
      <c r="BA228" s="3083">
        <f t="shared" si="132"/>
        <v>0</v>
      </c>
      <c r="BB228" s="3083">
        <f t="shared" si="133"/>
        <v>0</v>
      </c>
      <c r="BC228" s="3083">
        <f t="shared" si="134"/>
        <v>0</v>
      </c>
      <c r="BD228" s="3083">
        <f t="shared" si="135"/>
        <v>0</v>
      </c>
      <c r="BE228" s="3083">
        <f t="shared" si="136"/>
        <v>0</v>
      </c>
      <c r="BF228" s="3083">
        <f t="shared" si="137"/>
        <v>0</v>
      </c>
      <c r="BG228" s="3083">
        <f t="shared" si="138"/>
        <v>0</v>
      </c>
      <c r="BH228" s="3083">
        <f t="shared" si="139"/>
        <v>0</v>
      </c>
      <c r="BI228" s="3083">
        <f t="shared" si="140"/>
        <v>0</v>
      </c>
      <c r="BJ228" s="3083">
        <f t="shared" si="141"/>
        <v>0</v>
      </c>
      <c r="BK228" s="3083">
        <f t="shared" si="142"/>
        <v>0</v>
      </c>
      <c r="BL228" s="3083">
        <f t="shared" si="143"/>
        <v>0</v>
      </c>
      <c r="BM228" s="3083">
        <f t="shared" si="144"/>
        <v>0</v>
      </c>
      <c r="BN228" s="3083">
        <f t="shared" si="145"/>
        <v>0</v>
      </c>
      <c r="BO228" s="3083">
        <f t="shared" si="146"/>
        <v>0</v>
      </c>
      <c r="BP228" s="3083">
        <f t="shared" si="147"/>
        <v>0</v>
      </c>
      <c r="BQ228" s="3083">
        <f t="shared" si="148"/>
        <v>0</v>
      </c>
      <c r="BR228" s="3083">
        <f t="shared" si="149"/>
        <v>0</v>
      </c>
      <c r="BS228" s="3083">
        <f t="shared" si="150"/>
        <v>0</v>
      </c>
      <c r="BT228" s="3135">
        <f t="shared" si="151"/>
        <v>0</v>
      </c>
    </row>
    <row r="229" spans="1:72">
      <c r="A229" s="3080"/>
      <c r="B229" s="3081"/>
      <c r="C229" s="3081"/>
      <c r="D229" s="3082"/>
      <c r="E229" s="3083">
        <f t="shared" si="123"/>
        <v>0</v>
      </c>
      <c r="F229" s="3084"/>
      <c r="G229" s="3085">
        <f t="shared" si="124"/>
        <v>0</v>
      </c>
      <c r="H229" s="3086">
        <f t="shared" si="125"/>
        <v>0</v>
      </c>
      <c r="I229" s="3093"/>
      <c r="J229" s="3093"/>
      <c r="K229" s="3093"/>
      <c r="L229" s="3093"/>
      <c r="M229" s="3093"/>
      <c r="N229" s="3093"/>
      <c r="O229" s="3093"/>
      <c r="P229" s="3093"/>
      <c r="Q229" s="3093"/>
      <c r="R229" s="3093"/>
      <c r="S229" s="3093"/>
      <c r="T229" s="3093"/>
      <c r="U229" s="3093"/>
      <c r="V229" s="3093"/>
      <c r="W229" s="3093"/>
      <c r="X229" s="3093"/>
      <c r="Y229" s="3093"/>
      <c r="Z229" s="3093"/>
      <c r="AA229" s="3093"/>
      <c r="AB229" s="3093"/>
      <c r="AC229" s="3083">
        <f t="shared" si="126"/>
        <v>0</v>
      </c>
      <c r="AD229" s="3103"/>
      <c r="AE229" s="3103"/>
      <c r="AF229" s="3103"/>
      <c r="AG229" s="3103"/>
      <c r="AH229" s="3103"/>
      <c r="AI229" s="3103"/>
      <c r="AJ229" s="3103"/>
      <c r="AK229" s="3103"/>
      <c r="AL229" s="3103"/>
      <c r="AM229" s="3103"/>
      <c r="AN229" s="3103"/>
      <c r="AO229" s="3103"/>
      <c r="AP229" s="3103"/>
      <c r="AQ229" s="3103"/>
      <c r="AR229" s="3103"/>
      <c r="AS229" s="3103"/>
      <c r="AT229" s="3113"/>
      <c r="AU229" s="3114"/>
      <c r="AV229" s="1580">
        <f t="shared" si="127"/>
        <v>0</v>
      </c>
      <c r="AW229" s="1580">
        <f t="shared" si="128"/>
        <v>0</v>
      </c>
      <c r="AX229" s="1580">
        <f t="shared" si="129"/>
        <v>0</v>
      </c>
      <c r="AY229" s="3128">
        <f t="shared" si="130"/>
        <v>0</v>
      </c>
      <c r="AZ229" s="3083">
        <f t="shared" si="131"/>
        <v>0</v>
      </c>
      <c r="BA229" s="3083">
        <f t="shared" si="132"/>
        <v>0</v>
      </c>
      <c r="BB229" s="3083">
        <f t="shared" si="133"/>
        <v>0</v>
      </c>
      <c r="BC229" s="3083">
        <f t="shared" si="134"/>
        <v>0</v>
      </c>
      <c r="BD229" s="3083">
        <f t="shared" si="135"/>
        <v>0</v>
      </c>
      <c r="BE229" s="3083">
        <f t="shared" si="136"/>
        <v>0</v>
      </c>
      <c r="BF229" s="3083">
        <f t="shared" si="137"/>
        <v>0</v>
      </c>
      <c r="BG229" s="3083">
        <f t="shared" si="138"/>
        <v>0</v>
      </c>
      <c r="BH229" s="3083">
        <f t="shared" si="139"/>
        <v>0</v>
      </c>
      <c r="BI229" s="3083">
        <f t="shared" si="140"/>
        <v>0</v>
      </c>
      <c r="BJ229" s="3083">
        <f t="shared" si="141"/>
        <v>0</v>
      </c>
      <c r="BK229" s="3083">
        <f t="shared" si="142"/>
        <v>0</v>
      </c>
      <c r="BL229" s="3083">
        <f t="shared" si="143"/>
        <v>0</v>
      </c>
      <c r="BM229" s="3083">
        <f t="shared" si="144"/>
        <v>0</v>
      </c>
      <c r="BN229" s="3083">
        <f t="shared" si="145"/>
        <v>0</v>
      </c>
      <c r="BO229" s="3083">
        <f t="shared" si="146"/>
        <v>0</v>
      </c>
      <c r="BP229" s="3083">
        <f t="shared" si="147"/>
        <v>0</v>
      </c>
      <c r="BQ229" s="3083">
        <f t="shared" si="148"/>
        <v>0</v>
      </c>
      <c r="BR229" s="3083">
        <f t="shared" si="149"/>
        <v>0</v>
      </c>
      <c r="BS229" s="3083">
        <f t="shared" si="150"/>
        <v>0</v>
      </c>
      <c r="BT229" s="3135">
        <f t="shared" si="151"/>
        <v>0</v>
      </c>
    </row>
    <row r="230" spans="1:72">
      <c r="A230" s="3080"/>
      <c r="B230" s="3081"/>
      <c r="C230" s="3081"/>
      <c r="D230" s="3082"/>
      <c r="E230" s="3083">
        <f t="shared" si="123"/>
        <v>0</v>
      </c>
      <c r="F230" s="3084"/>
      <c r="G230" s="3085">
        <f t="shared" si="124"/>
        <v>0</v>
      </c>
      <c r="H230" s="3086">
        <f t="shared" si="125"/>
        <v>0</v>
      </c>
      <c r="I230" s="3093"/>
      <c r="J230" s="3093"/>
      <c r="K230" s="3093"/>
      <c r="L230" s="3093"/>
      <c r="M230" s="3093"/>
      <c r="N230" s="3093"/>
      <c r="O230" s="3093"/>
      <c r="P230" s="3093"/>
      <c r="Q230" s="3093"/>
      <c r="R230" s="3093"/>
      <c r="S230" s="3093"/>
      <c r="T230" s="3093"/>
      <c r="U230" s="3093"/>
      <c r="V230" s="3093"/>
      <c r="W230" s="3093"/>
      <c r="X230" s="3093"/>
      <c r="Y230" s="3093"/>
      <c r="Z230" s="3093"/>
      <c r="AA230" s="3093"/>
      <c r="AB230" s="3093"/>
      <c r="AC230" s="3083">
        <f t="shared" si="126"/>
        <v>0</v>
      </c>
      <c r="AD230" s="3103"/>
      <c r="AE230" s="3103"/>
      <c r="AF230" s="3103"/>
      <c r="AG230" s="3103"/>
      <c r="AH230" s="3103"/>
      <c r="AI230" s="3103"/>
      <c r="AJ230" s="3103"/>
      <c r="AK230" s="3103"/>
      <c r="AL230" s="3103"/>
      <c r="AM230" s="3103"/>
      <c r="AN230" s="3103"/>
      <c r="AO230" s="3103"/>
      <c r="AP230" s="3103"/>
      <c r="AQ230" s="3103"/>
      <c r="AR230" s="3103"/>
      <c r="AS230" s="3103"/>
      <c r="AT230" s="3113"/>
      <c r="AU230" s="3114"/>
      <c r="AV230" s="1580">
        <f t="shared" si="127"/>
        <v>0</v>
      </c>
      <c r="AW230" s="1580">
        <f t="shared" si="128"/>
        <v>0</v>
      </c>
      <c r="AX230" s="1580">
        <f t="shared" si="129"/>
        <v>0</v>
      </c>
      <c r="AY230" s="3128">
        <f t="shared" si="130"/>
        <v>0</v>
      </c>
      <c r="AZ230" s="3083">
        <f t="shared" si="131"/>
        <v>0</v>
      </c>
      <c r="BA230" s="3083">
        <f t="shared" si="132"/>
        <v>0</v>
      </c>
      <c r="BB230" s="3083">
        <f t="shared" si="133"/>
        <v>0</v>
      </c>
      <c r="BC230" s="3083">
        <f t="shared" si="134"/>
        <v>0</v>
      </c>
      <c r="BD230" s="3083">
        <f t="shared" si="135"/>
        <v>0</v>
      </c>
      <c r="BE230" s="3083">
        <f t="shared" si="136"/>
        <v>0</v>
      </c>
      <c r="BF230" s="3083">
        <f t="shared" si="137"/>
        <v>0</v>
      </c>
      <c r="BG230" s="3083">
        <f t="shared" si="138"/>
        <v>0</v>
      </c>
      <c r="BH230" s="3083">
        <f t="shared" si="139"/>
        <v>0</v>
      </c>
      <c r="BI230" s="3083">
        <f t="shared" si="140"/>
        <v>0</v>
      </c>
      <c r="BJ230" s="3083">
        <f t="shared" si="141"/>
        <v>0</v>
      </c>
      <c r="BK230" s="3083">
        <f t="shared" si="142"/>
        <v>0</v>
      </c>
      <c r="BL230" s="3083">
        <f t="shared" si="143"/>
        <v>0</v>
      </c>
      <c r="BM230" s="3083">
        <f t="shared" si="144"/>
        <v>0</v>
      </c>
      <c r="BN230" s="3083">
        <f t="shared" si="145"/>
        <v>0</v>
      </c>
      <c r="BO230" s="3083">
        <f t="shared" si="146"/>
        <v>0</v>
      </c>
      <c r="BP230" s="3083">
        <f t="shared" si="147"/>
        <v>0</v>
      </c>
      <c r="BQ230" s="3083">
        <f t="shared" si="148"/>
        <v>0</v>
      </c>
      <c r="BR230" s="3083">
        <f t="shared" si="149"/>
        <v>0</v>
      </c>
      <c r="BS230" s="3083">
        <f t="shared" si="150"/>
        <v>0</v>
      </c>
      <c r="BT230" s="3135">
        <f t="shared" si="151"/>
        <v>0</v>
      </c>
    </row>
    <row r="231" spans="1:72">
      <c r="A231" s="3080"/>
      <c r="B231" s="3081"/>
      <c r="C231" s="3081"/>
      <c r="D231" s="3082"/>
      <c r="E231" s="3083">
        <f t="shared" si="123"/>
        <v>0</v>
      </c>
      <c r="F231" s="3084"/>
      <c r="G231" s="3085">
        <f t="shared" si="124"/>
        <v>0</v>
      </c>
      <c r="H231" s="3086">
        <f t="shared" si="125"/>
        <v>0</v>
      </c>
      <c r="I231" s="3093"/>
      <c r="J231" s="3093"/>
      <c r="K231" s="3093"/>
      <c r="L231" s="3093"/>
      <c r="M231" s="3093"/>
      <c r="N231" s="3093"/>
      <c r="O231" s="3093"/>
      <c r="P231" s="3093"/>
      <c r="Q231" s="3093"/>
      <c r="R231" s="3093"/>
      <c r="S231" s="3093"/>
      <c r="T231" s="3093"/>
      <c r="U231" s="3093"/>
      <c r="V231" s="3093"/>
      <c r="W231" s="3093"/>
      <c r="X231" s="3093"/>
      <c r="Y231" s="3093"/>
      <c r="Z231" s="3093"/>
      <c r="AA231" s="3093"/>
      <c r="AB231" s="3093"/>
      <c r="AC231" s="3083">
        <f t="shared" si="126"/>
        <v>0</v>
      </c>
      <c r="AD231" s="3103"/>
      <c r="AE231" s="3103"/>
      <c r="AF231" s="3103"/>
      <c r="AG231" s="3103"/>
      <c r="AH231" s="3103"/>
      <c r="AI231" s="3103"/>
      <c r="AJ231" s="3103"/>
      <c r="AK231" s="3103"/>
      <c r="AL231" s="3103"/>
      <c r="AM231" s="3103"/>
      <c r="AN231" s="3103"/>
      <c r="AO231" s="3103"/>
      <c r="AP231" s="3103"/>
      <c r="AQ231" s="3103"/>
      <c r="AR231" s="3103"/>
      <c r="AS231" s="3103"/>
      <c r="AT231" s="3113"/>
      <c r="AU231" s="3114"/>
      <c r="AV231" s="1580">
        <f t="shared" si="127"/>
        <v>0</v>
      </c>
      <c r="AW231" s="1580">
        <f t="shared" si="128"/>
        <v>0</v>
      </c>
      <c r="AX231" s="1580">
        <f t="shared" si="129"/>
        <v>0</v>
      </c>
      <c r="AY231" s="3128">
        <f t="shared" si="130"/>
        <v>0</v>
      </c>
      <c r="AZ231" s="3083">
        <f t="shared" si="131"/>
        <v>0</v>
      </c>
      <c r="BA231" s="3083">
        <f t="shared" si="132"/>
        <v>0</v>
      </c>
      <c r="BB231" s="3083">
        <f t="shared" si="133"/>
        <v>0</v>
      </c>
      <c r="BC231" s="3083">
        <f t="shared" si="134"/>
        <v>0</v>
      </c>
      <c r="BD231" s="3083">
        <f t="shared" si="135"/>
        <v>0</v>
      </c>
      <c r="BE231" s="3083">
        <f t="shared" si="136"/>
        <v>0</v>
      </c>
      <c r="BF231" s="3083">
        <f t="shared" si="137"/>
        <v>0</v>
      </c>
      <c r="BG231" s="3083">
        <f t="shared" si="138"/>
        <v>0</v>
      </c>
      <c r="BH231" s="3083">
        <f t="shared" si="139"/>
        <v>0</v>
      </c>
      <c r="BI231" s="3083">
        <f t="shared" si="140"/>
        <v>0</v>
      </c>
      <c r="BJ231" s="3083">
        <f t="shared" si="141"/>
        <v>0</v>
      </c>
      <c r="BK231" s="3083">
        <f t="shared" si="142"/>
        <v>0</v>
      </c>
      <c r="BL231" s="3083">
        <f t="shared" si="143"/>
        <v>0</v>
      </c>
      <c r="BM231" s="3083">
        <f t="shared" si="144"/>
        <v>0</v>
      </c>
      <c r="BN231" s="3083">
        <f t="shared" si="145"/>
        <v>0</v>
      </c>
      <c r="BO231" s="3083">
        <f t="shared" si="146"/>
        <v>0</v>
      </c>
      <c r="BP231" s="3083">
        <f t="shared" si="147"/>
        <v>0</v>
      </c>
      <c r="BQ231" s="3083">
        <f t="shared" si="148"/>
        <v>0</v>
      </c>
      <c r="BR231" s="3083">
        <f t="shared" si="149"/>
        <v>0</v>
      </c>
      <c r="BS231" s="3083">
        <f t="shared" si="150"/>
        <v>0</v>
      </c>
      <c r="BT231" s="3135">
        <f t="shared" si="151"/>
        <v>0</v>
      </c>
    </row>
    <row r="232" spans="1:72">
      <c r="A232" s="3080"/>
      <c r="B232" s="3081"/>
      <c r="C232" s="3081"/>
      <c r="D232" s="3082"/>
      <c r="E232" s="3083">
        <f t="shared" si="123"/>
        <v>0</v>
      </c>
      <c r="F232" s="3084"/>
      <c r="G232" s="3085">
        <f t="shared" si="124"/>
        <v>0</v>
      </c>
      <c r="H232" s="3086">
        <f t="shared" si="125"/>
        <v>0</v>
      </c>
      <c r="I232" s="3093"/>
      <c r="J232" s="3093"/>
      <c r="K232" s="3093"/>
      <c r="L232" s="3093"/>
      <c r="M232" s="3093"/>
      <c r="N232" s="3093"/>
      <c r="O232" s="3093"/>
      <c r="P232" s="3093"/>
      <c r="Q232" s="3093"/>
      <c r="R232" s="3093"/>
      <c r="S232" s="3093"/>
      <c r="T232" s="3093"/>
      <c r="U232" s="3093"/>
      <c r="V232" s="3093"/>
      <c r="W232" s="3093"/>
      <c r="X232" s="3093"/>
      <c r="Y232" s="3093"/>
      <c r="Z232" s="3093"/>
      <c r="AA232" s="3093"/>
      <c r="AB232" s="3093"/>
      <c r="AC232" s="3083">
        <f t="shared" si="126"/>
        <v>0</v>
      </c>
      <c r="AD232" s="3103"/>
      <c r="AE232" s="3103"/>
      <c r="AF232" s="3103"/>
      <c r="AG232" s="3103"/>
      <c r="AH232" s="3103"/>
      <c r="AI232" s="3103"/>
      <c r="AJ232" s="3103"/>
      <c r="AK232" s="3103"/>
      <c r="AL232" s="3103"/>
      <c r="AM232" s="3103"/>
      <c r="AN232" s="3103"/>
      <c r="AO232" s="3103"/>
      <c r="AP232" s="3103"/>
      <c r="AQ232" s="3103"/>
      <c r="AR232" s="3103"/>
      <c r="AS232" s="3103"/>
      <c r="AT232" s="3113"/>
      <c r="AU232" s="3114"/>
      <c r="AV232" s="1580">
        <f t="shared" si="127"/>
        <v>0</v>
      </c>
      <c r="AW232" s="1580">
        <f t="shared" si="128"/>
        <v>0</v>
      </c>
      <c r="AX232" s="1580">
        <f t="shared" si="129"/>
        <v>0</v>
      </c>
      <c r="AY232" s="3128">
        <f t="shared" si="130"/>
        <v>0</v>
      </c>
      <c r="AZ232" s="3083">
        <f t="shared" si="131"/>
        <v>0</v>
      </c>
      <c r="BA232" s="3083">
        <f t="shared" si="132"/>
        <v>0</v>
      </c>
      <c r="BB232" s="3083">
        <f t="shared" si="133"/>
        <v>0</v>
      </c>
      <c r="BC232" s="3083">
        <f t="shared" si="134"/>
        <v>0</v>
      </c>
      <c r="BD232" s="3083">
        <f t="shared" si="135"/>
        <v>0</v>
      </c>
      <c r="BE232" s="3083">
        <f t="shared" si="136"/>
        <v>0</v>
      </c>
      <c r="BF232" s="3083">
        <f t="shared" si="137"/>
        <v>0</v>
      </c>
      <c r="BG232" s="3083">
        <f t="shared" si="138"/>
        <v>0</v>
      </c>
      <c r="BH232" s="3083">
        <f t="shared" si="139"/>
        <v>0</v>
      </c>
      <c r="BI232" s="3083">
        <f t="shared" si="140"/>
        <v>0</v>
      </c>
      <c r="BJ232" s="3083">
        <f t="shared" si="141"/>
        <v>0</v>
      </c>
      <c r="BK232" s="3083">
        <f t="shared" si="142"/>
        <v>0</v>
      </c>
      <c r="BL232" s="3083">
        <f t="shared" si="143"/>
        <v>0</v>
      </c>
      <c r="BM232" s="3083">
        <f t="shared" si="144"/>
        <v>0</v>
      </c>
      <c r="BN232" s="3083">
        <f t="shared" si="145"/>
        <v>0</v>
      </c>
      <c r="BO232" s="3083">
        <f t="shared" si="146"/>
        <v>0</v>
      </c>
      <c r="BP232" s="3083">
        <f t="shared" si="147"/>
        <v>0</v>
      </c>
      <c r="BQ232" s="3083">
        <f t="shared" si="148"/>
        <v>0</v>
      </c>
      <c r="BR232" s="3083">
        <f t="shared" si="149"/>
        <v>0</v>
      </c>
      <c r="BS232" s="3083">
        <f t="shared" si="150"/>
        <v>0</v>
      </c>
      <c r="BT232" s="3135">
        <f t="shared" si="151"/>
        <v>0</v>
      </c>
    </row>
    <row r="233" spans="1:72">
      <c r="A233" s="3080"/>
      <c r="B233" s="3081"/>
      <c r="C233" s="3081"/>
      <c r="D233" s="3082"/>
      <c r="E233" s="3083">
        <f t="shared" si="123"/>
        <v>0</v>
      </c>
      <c r="F233" s="3084"/>
      <c r="G233" s="3085">
        <f t="shared" si="124"/>
        <v>0</v>
      </c>
      <c r="H233" s="3086">
        <f t="shared" si="125"/>
        <v>0</v>
      </c>
      <c r="I233" s="3093"/>
      <c r="J233" s="3093"/>
      <c r="K233" s="3093"/>
      <c r="L233" s="3093"/>
      <c r="M233" s="3093"/>
      <c r="N233" s="3093"/>
      <c r="O233" s="3093"/>
      <c r="P233" s="3093"/>
      <c r="Q233" s="3093"/>
      <c r="R233" s="3093"/>
      <c r="S233" s="3093"/>
      <c r="T233" s="3093"/>
      <c r="U233" s="3093"/>
      <c r="V233" s="3093"/>
      <c r="W233" s="3093"/>
      <c r="X233" s="3093"/>
      <c r="Y233" s="3093"/>
      <c r="Z233" s="3093"/>
      <c r="AA233" s="3093"/>
      <c r="AB233" s="3093"/>
      <c r="AC233" s="3083">
        <f t="shared" si="126"/>
        <v>0</v>
      </c>
      <c r="AD233" s="3103"/>
      <c r="AE233" s="3103"/>
      <c r="AF233" s="3103"/>
      <c r="AG233" s="3103"/>
      <c r="AH233" s="3103"/>
      <c r="AI233" s="3103"/>
      <c r="AJ233" s="3103"/>
      <c r="AK233" s="3103"/>
      <c r="AL233" s="3103"/>
      <c r="AM233" s="3103"/>
      <c r="AN233" s="3103"/>
      <c r="AO233" s="3103"/>
      <c r="AP233" s="3103"/>
      <c r="AQ233" s="3103"/>
      <c r="AR233" s="3103"/>
      <c r="AS233" s="3103"/>
      <c r="AT233" s="3113"/>
      <c r="AU233" s="3114"/>
      <c r="AV233" s="1580">
        <f t="shared" si="127"/>
        <v>0</v>
      </c>
      <c r="AW233" s="1580">
        <f t="shared" si="128"/>
        <v>0</v>
      </c>
      <c r="AX233" s="1580">
        <f t="shared" si="129"/>
        <v>0</v>
      </c>
      <c r="AY233" s="3128">
        <f t="shared" si="130"/>
        <v>0</v>
      </c>
      <c r="AZ233" s="3083">
        <f t="shared" si="131"/>
        <v>0</v>
      </c>
      <c r="BA233" s="3083">
        <f t="shared" si="132"/>
        <v>0</v>
      </c>
      <c r="BB233" s="3083">
        <f t="shared" si="133"/>
        <v>0</v>
      </c>
      <c r="BC233" s="3083">
        <f t="shared" si="134"/>
        <v>0</v>
      </c>
      <c r="BD233" s="3083">
        <f t="shared" si="135"/>
        <v>0</v>
      </c>
      <c r="BE233" s="3083">
        <f t="shared" si="136"/>
        <v>0</v>
      </c>
      <c r="BF233" s="3083">
        <f t="shared" si="137"/>
        <v>0</v>
      </c>
      <c r="BG233" s="3083">
        <f t="shared" si="138"/>
        <v>0</v>
      </c>
      <c r="BH233" s="3083">
        <f t="shared" si="139"/>
        <v>0</v>
      </c>
      <c r="BI233" s="3083">
        <f t="shared" si="140"/>
        <v>0</v>
      </c>
      <c r="BJ233" s="3083">
        <f t="shared" si="141"/>
        <v>0</v>
      </c>
      <c r="BK233" s="3083">
        <f t="shared" si="142"/>
        <v>0</v>
      </c>
      <c r="BL233" s="3083">
        <f t="shared" si="143"/>
        <v>0</v>
      </c>
      <c r="BM233" s="3083">
        <f t="shared" si="144"/>
        <v>0</v>
      </c>
      <c r="BN233" s="3083">
        <f t="shared" si="145"/>
        <v>0</v>
      </c>
      <c r="BO233" s="3083">
        <f t="shared" si="146"/>
        <v>0</v>
      </c>
      <c r="BP233" s="3083">
        <f t="shared" si="147"/>
        <v>0</v>
      </c>
      <c r="BQ233" s="3083">
        <f t="shared" si="148"/>
        <v>0</v>
      </c>
      <c r="BR233" s="3083">
        <f t="shared" si="149"/>
        <v>0</v>
      </c>
      <c r="BS233" s="3083">
        <f t="shared" si="150"/>
        <v>0</v>
      </c>
      <c r="BT233" s="3135">
        <f t="shared" si="151"/>
        <v>0</v>
      </c>
    </row>
    <row r="234" spans="1:72">
      <c r="A234" s="3080"/>
      <c r="B234" s="3081"/>
      <c r="C234" s="3081"/>
      <c r="D234" s="3082"/>
      <c r="E234" s="3083">
        <f t="shared" si="123"/>
        <v>0</v>
      </c>
      <c r="F234" s="3084"/>
      <c r="G234" s="3085">
        <f t="shared" si="124"/>
        <v>0</v>
      </c>
      <c r="H234" s="3086">
        <f t="shared" si="125"/>
        <v>0</v>
      </c>
      <c r="I234" s="3093"/>
      <c r="J234" s="3093"/>
      <c r="K234" s="3093"/>
      <c r="L234" s="3093"/>
      <c r="M234" s="3093"/>
      <c r="N234" s="3093"/>
      <c r="O234" s="3093"/>
      <c r="P234" s="3093"/>
      <c r="Q234" s="3093"/>
      <c r="R234" s="3093"/>
      <c r="S234" s="3093"/>
      <c r="T234" s="3093"/>
      <c r="U234" s="3093"/>
      <c r="V234" s="3093"/>
      <c r="W234" s="3093"/>
      <c r="X234" s="3093"/>
      <c r="Y234" s="3093"/>
      <c r="Z234" s="3093"/>
      <c r="AA234" s="3093"/>
      <c r="AB234" s="3093"/>
      <c r="AC234" s="3083">
        <f t="shared" si="126"/>
        <v>0</v>
      </c>
      <c r="AD234" s="3103"/>
      <c r="AE234" s="3103"/>
      <c r="AF234" s="3103"/>
      <c r="AG234" s="3103"/>
      <c r="AH234" s="3103"/>
      <c r="AI234" s="3103"/>
      <c r="AJ234" s="3103"/>
      <c r="AK234" s="3103"/>
      <c r="AL234" s="3103"/>
      <c r="AM234" s="3103"/>
      <c r="AN234" s="3103"/>
      <c r="AO234" s="3103"/>
      <c r="AP234" s="3103"/>
      <c r="AQ234" s="3103"/>
      <c r="AR234" s="3103"/>
      <c r="AS234" s="3103"/>
      <c r="AT234" s="3113"/>
      <c r="AU234" s="3114"/>
      <c r="AV234" s="1580">
        <f t="shared" si="127"/>
        <v>0</v>
      </c>
      <c r="AW234" s="1580">
        <f t="shared" si="128"/>
        <v>0</v>
      </c>
      <c r="AX234" s="1580">
        <f t="shared" si="129"/>
        <v>0</v>
      </c>
      <c r="AY234" s="3128">
        <f t="shared" si="130"/>
        <v>0</v>
      </c>
      <c r="AZ234" s="3083">
        <f t="shared" si="131"/>
        <v>0</v>
      </c>
      <c r="BA234" s="3083">
        <f t="shared" si="132"/>
        <v>0</v>
      </c>
      <c r="BB234" s="3083">
        <f t="shared" si="133"/>
        <v>0</v>
      </c>
      <c r="BC234" s="3083">
        <f t="shared" si="134"/>
        <v>0</v>
      </c>
      <c r="BD234" s="3083">
        <f t="shared" si="135"/>
        <v>0</v>
      </c>
      <c r="BE234" s="3083">
        <f t="shared" si="136"/>
        <v>0</v>
      </c>
      <c r="BF234" s="3083">
        <f t="shared" si="137"/>
        <v>0</v>
      </c>
      <c r="BG234" s="3083">
        <f t="shared" si="138"/>
        <v>0</v>
      </c>
      <c r="BH234" s="3083">
        <f t="shared" si="139"/>
        <v>0</v>
      </c>
      <c r="BI234" s="3083">
        <f t="shared" si="140"/>
        <v>0</v>
      </c>
      <c r="BJ234" s="3083">
        <f t="shared" si="141"/>
        <v>0</v>
      </c>
      <c r="BK234" s="3083">
        <f t="shared" si="142"/>
        <v>0</v>
      </c>
      <c r="BL234" s="3083">
        <f t="shared" si="143"/>
        <v>0</v>
      </c>
      <c r="BM234" s="3083">
        <f t="shared" si="144"/>
        <v>0</v>
      </c>
      <c r="BN234" s="3083">
        <f t="shared" si="145"/>
        <v>0</v>
      </c>
      <c r="BO234" s="3083">
        <f t="shared" si="146"/>
        <v>0</v>
      </c>
      <c r="BP234" s="3083">
        <f t="shared" si="147"/>
        <v>0</v>
      </c>
      <c r="BQ234" s="3083">
        <f t="shared" si="148"/>
        <v>0</v>
      </c>
      <c r="BR234" s="3083">
        <f t="shared" si="149"/>
        <v>0</v>
      </c>
      <c r="BS234" s="3083">
        <f t="shared" si="150"/>
        <v>0</v>
      </c>
      <c r="BT234" s="3135">
        <f t="shared" si="151"/>
        <v>0</v>
      </c>
    </row>
    <row r="235" spans="1:72">
      <c r="A235" s="3080"/>
      <c r="B235" s="3081"/>
      <c r="C235" s="3081"/>
      <c r="D235" s="3082"/>
      <c r="E235" s="3083">
        <f t="shared" si="123"/>
        <v>0</v>
      </c>
      <c r="F235" s="3084"/>
      <c r="G235" s="3085">
        <f t="shared" si="124"/>
        <v>0</v>
      </c>
      <c r="H235" s="3086">
        <f t="shared" si="125"/>
        <v>0</v>
      </c>
      <c r="I235" s="3093"/>
      <c r="J235" s="3093"/>
      <c r="K235" s="3093"/>
      <c r="L235" s="3093"/>
      <c r="M235" s="3093"/>
      <c r="N235" s="3093"/>
      <c r="O235" s="3093"/>
      <c r="P235" s="3093"/>
      <c r="Q235" s="3093"/>
      <c r="R235" s="3093"/>
      <c r="S235" s="3093"/>
      <c r="T235" s="3093"/>
      <c r="U235" s="3093"/>
      <c r="V235" s="3093"/>
      <c r="W235" s="3093"/>
      <c r="X235" s="3093"/>
      <c r="Y235" s="3093"/>
      <c r="Z235" s="3093"/>
      <c r="AA235" s="3093"/>
      <c r="AB235" s="3093"/>
      <c r="AC235" s="3083">
        <f t="shared" si="126"/>
        <v>0</v>
      </c>
      <c r="AD235" s="3103"/>
      <c r="AE235" s="3103"/>
      <c r="AF235" s="3103"/>
      <c r="AG235" s="3103"/>
      <c r="AH235" s="3103"/>
      <c r="AI235" s="3103"/>
      <c r="AJ235" s="3103"/>
      <c r="AK235" s="3103"/>
      <c r="AL235" s="3103"/>
      <c r="AM235" s="3103"/>
      <c r="AN235" s="3103"/>
      <c r="AO235" s="3103"/>
      <c r="AP235" s="3103"/>
      <c r="AQ235" s="3103"/>
      <c r="AR235" s="3103"/>
      <c r="AS235" s="3103"/>
      <c r="AT235" s="3113"/>
      <c r="AU235" s="3114"/>
      <c r="AV235" s="1580">
        <f t="shared" si="127"/>
        <v>0</v>
      </c>
      <c r="AW235" s="1580">
        <f t="shared" si="128"/>
        <v>0</v>
      </c>
      <c r="AX235" s="1580">
        <f t="shared" si="129"/>
        <v>0</v>
      </c>
      <c r="AY235" s="3128">
        <f t="shared" si="130"/>
        <v>0</v>
      </c>
      <c r="AZ235" s="3083">
        <f t="shared" si="131"/>
        <v>0</v>
      </c>
      <c r="BA235" s="3083">
        <f t="shared" si="132"/>
        <v>0</v>
      </c>
      <c r="BB235" s="3083">
        <f t="shared" si="133"/>
        <v>0</v>
      </c>
      <c r="BC235" s="3083">
        <f t="shared" si="134"/>
        <v>0</v>
      </c>
      <c r="BD235" s="3083">
        <f t="shared" si="135"/>
        <v>0</v>
      </c>
      <c r="BE235" s="3083">
        <f t="shared" si="136"/>
        <v>0</v>
      </c>
      <c r="BF235" s="3083">
        <f t="shared" si="137"/>
        <v>0</v>
      </c>
      <c r="BG235" s="3083">
        <f t="shared" si="138"/>
        <v>0</v>
      </c>
      <c r="BH235" s="3083">
        <f t="shared" si="139"/>
        <v>0</v>
      </c>
      <c r="BI235" s="3083">
        <f t="shared" si="140"/>
        <v>0</v>
      </c>
      <c r="BJ235" s="3083">
        <f t="shared" si="141"/>
        <v>0</v>
      </c>
      <c r="BK235" s="3083">
        <f t="shared" si="142"/>
        <v>0</v>
      </c>
      <c r="BL235" s="3083">
        <f t="shared" si="143"/>
        <v>0</v>
      </c>
      <c r="BM235" s="3083">
        <f t="shared" si="144"/>
        <v>0</v>
      </c>
      <c r="BN235" s="3083">
        <f t="shared" si="145"/>
        <v>0</v>
      </c>
      <c r="BO235" s="3083">
        <f t="shared" si="146"/>
        <v>0</v>
      </c>
      <c r="BP235" s="3083">
        <f t="shared" si="147"/>
        <v>0</v>
      </c>
      <c r="BQ235" s="3083">
        <f t="shared" si="148"/>
        <v>0</v>
      </c>
      <c r="BR235" s="3083">
        <f t="shared" si="149"/>
        <v>0</v>
      </c>
      <c r="BS235" s="3083">
        <f t="shared" si="150"/>
        <v>0</v>
      </c>
      <c r="BT235" s="3135">
        <f t="shared" si="151"/>
        <v>0</v>
      </c>
    </row>
    <row r="236" spans="1:72">
      <c r="A236" s="3080"/>
      <c r="B236" s="3081"/>
      <c r="C236" s="3081"/>
      <c r="D236" s="3082"/>
      <c r="E236" s="3083">
        <f t="shared" si="123"/>
        <v>0</v>
      </c>
      <c r="F236" s="3084"/>
      <c r="G236" s="3085">
        <f t="shared" si="124"/>
        <v>0</v>
      </c>
      <c r="H236" s="3086">
        <f t="shared" si="125"/>
        <v>0</v>
      </c>
      <c r="I236" s="3093"/>
      <c r="J236" s="3093"/>
      <c r="K236" s="3093"/>
      <c r="L236" s="3093"/>
      <c r="M236" s="3093"/>
      <c r="N236" s="3093"/>
      <c r="O236" s="3093"/>
      <c r="P236" s="3093"/>
      <c r="Q236" s="3093"/>
      <c r="R236" s="3093"/>
      <c r="S236" s="3093"/>
      <c r="T236" s="3093"/>
      <c r="U236" s="3093"/>
      <c r="V236" s="3093"/>
      <c r="W236" s="3093"/>
      <c r="X236" s="3093"/>
      <c r="Y236" s="3093"/>
      <c r="Z236" s="3093"/>
      <c r="AA236" s="3093"/>
      <c r="AB236" s="3093"/>
      <c r="AC236" s="3083">
        <f t="shared" si="126"/>
        <v>0</v>
      </c>
      <c r="AD236" s="3103"/>
      <c r="AE236" s="3103"/>
      <c r="AF236" s="3103"/>
      <c r="AG236" s="3103"/>
      <c r="AH236" s="3103"/>
      <c r="AI236" s="3103"/>
      <c r="AJ236" s="3103"/>
      <c r="AK236" s="3103"/>
      <c r="AL236" s="3103"/>
      <c r="AM236" s="3103"/>
      <c r="AN236" s="3103"/>
      <c r="AO236" s="3103"/>
      <c r="AP236" s="3103"/>
      <c r="AQ236" s="3103"/>
      <c r="AR236" s="3103"/>
      <c r="AS236" s="3103"/>
      <c r="AT236" s="3113"/>
      <c r="AU236" s="3114"/>
      <c r="AV236" s="1580">
        <f t="shared" si="127"/>
        <v>0</v>
      </c>
      <c r="AW236" s="1580">
        <f t="shared" si="128"/>
        <v>0</v>
      </c>
      <c r="AX236" s="1580">
        <f t="shared" si="129"/>
        <v>0</v>
      </c>
      <c r="AY236" s="3128">
        <f t="shared" si="130"/>
        <v>0</v>
      </c>
      <c r="AZ236" s="3083">
        <f t="shared" si="131"/>
        <v>0</v>
      </c>
      <c r="BA236" s="3083">
        <f t="shared" si="132"/>
        <v>0</v>
      </c>
      <c r="BB236" s="3083">
        <f t="shared" si="133"/>
        <v>0</v>
      </c>
      <c r="BC236" s="3083">
        <f t="shared" si="134"/>
        <v>0</v>
      </c>
      <c r="BD236" s="3083">
        <f t="shared" si="135"/>
        <v>0</v>
      </c>
      <c r="BE236" s="3083">
        <f t="shared" si="136"/>
        <v>0</v>
      </c>
      <c r="BF236" s="3083">
        <f t="shared" si="137"/>
        <v>0</v>
      </c>
      <c r="BG236" s="3083">
        <f t="shared" si="138"/>
        <v>0</v>
      </c>
      <c r="BH236" s="3083">
        <f t="shared" si="139"/>
        <v>0</v>
      </c>
      <c r="BI236" s="3083">
        <f t="shared" si="140"/>
        <v>0</v>
      </c>
      <c r="BJ236" s="3083">
        <f t="shared" si="141"/>
        <v>0</v>
      </c>
      <c r="BK236" s="3083">
        <f t="shared" si="142"/>
        <v>0</v>
      </c>
      <c r="BL236" s="3083">
        <f t="shared" si="143"/>
        <v>0</v>
      </c>
      <c r="BM236" s="3083">
        <f t="shared" si="144"/>
        <v>0</v>
      </c>
      <c r="BN236" s="3083">
        <f t="shared" si="145"/>
        <v>0</v>
      </c>
      <c r="BO236" s="3083">
        <f t="shared" si="146"/>
        <v>0</v>
      </c>
      <c r="BP236" s="3083">
        <f t="shared" si="147"/>
        <v>0</v>
      </c>
      <c r="BQ236" s="3083">
        <f t="shared" si="148"/>
        <v>0</v>
      </c>
      <c r="BR236" s="3083">
        <f t="shared" si="149"/>
        <v>0</v>
      </c>
      <c r="BS236" s="3083">
        <f t="shared" si="150"/>
        <v>0</v>
      </c>
      <c r="BT236" s="3135">
        <f t="shared" si="151"/>
        <v>0</v>
      </c>
    </row>
    <row r="237" spans="1:72">
      <c r="A237" s="3080"/>
      <c r="B237" s="3081"/>
      <c r="C237" s="3081"/>
      <c r="D237" s="3082"/>
      <c r="E237" s="3083">
        <f t="shared" si="123"/>
        <v>0</v>
      </c>
      <c r="F237" s="3084"/>
      <c r="G237" s="3085">
        <f t="shared" si="124"/>
        <v>0</v>
      </c>
      <c r="H237" s="3086">
        <f t="shared" si="125"/>
        <v>0</v>
      </c>
      <c r="I237" s="3093"/>
      <c r="J237" s="3093"/>
      <c r="K237" s="3093"/>
      <c r="L237" s="3093"/>
      <c r="M237" s="3093"/>
      <c r="N237" s="3093"/>
      <c r="O237" s="3093"/>
      <c r="P237" s="3093"/>
      <c r="Q237" s="3093"/>
      <c r="R237" s="3093"/>
      <c r="S237" s="3093"/>
      <c r="T237" s="3093"/>
      <c r="U237" s="3093"/>
      <c r="V237" s="3093"/>
      <c r="W237" s="3093"/>
      <c r="X237" s="3093"/>
      <c r="Y237" s="3093"/>
      <c r="Z237" s="3093"/>
      <c r="AA237" s="3093"/>
      <c r="AB237" s="3093"/>
      <c r="AC237" s="3083">
        <f t="shared" si="126"/>
        <v>0</v>
      </c>
      <c r="AD237" s="3103"/>
      <c r="AE237" s="3103"/>
      <c r="AF237" s="3103"/>
      <c r="AG237" s="3103"/>
      <c r="AH237" s="3103"/>
      <c r="AI237" s="3103"/>
      <c r="AJ237" s="3103"/>
      <c r="AK237" s="3103"/>
      <c r="AL237" s="3103"/>
      <c r="AM237" s="3103"/>
      <c r="AN237" s="3103"/>
      <c r="AO237" s="3103"/>
      <c r="AP237" s="3103"/>
      <c r="AQ237" s="3103"/>
      <c r="AR237" s="3103"/>
      <c r="AS237" s="3103"/>
      <c r="AT237" s="3113"/>
      <c r="AU237" s="3114"/>
      <c r="AV237" s="1580">
        <f t="shared" si="127"/>
        <v>0</v>
      </c>
      <c r="AW237" s="1580">
        <f t="shared" si="128"/>
        <v>0</v>
      </c>
      <c r="AX237" s="1580">
        <f t="shared" si="129"/>
        <v>0</v>
      </c>
      <c r="AY237" s="3128">
        <f t="shared" si="130"/>
        <v>0</v>
      </c>
      <c r="AZ237" s="3083">
        <f t="shared" si="131"/>
        <v>0</v>
      </c>
      <c r="BA237" s="3083">
        <f t="shared" si="132"/>
        <v>0</v>
      </c>
      <c r="BB237" s="3083">
        <f t="shared" si="133"/>
        <v>0</v>
      </c>
      <c r="BC237" s="3083">
        <f t="shared" si="134"/>
        <v>0</v>
      </c>
      <c r="BD237" s="3083">
        <f t="shared" si="135"/>
        <v>0</v>
      </c>
      <c r="BE237" s="3083">
        <f t="shared" si="136"/>
        <v>0</v>
      </c>
      <c r="BF237" s="3083">
        <f t="shared" si="137"/>
        <v>0</v>
      </c>
      <c r="BG237" s="3083">
        <f t="shared" si="138"/>
        <v>0</v>
      </c>
      <c r="BH237" s="3083">
        <f t="shared" si="139"/>
        <v>0</v>
      </c>
      <c r="BI237" s="3083">
        <f t="shared" si="140"/>
        <v>0</v>
      </c>
      <c r="BJ237" s="3083">
        <f t="shared" si="141"/>
        <v>0</v>
      </c>
      <c r="BK237" s="3083">
        <f t="shared" si="142"/>
        <v>0</v>
      </c>
      <c r="BL237" s="3083">
        <f t="shared" si="143"/>
        <v>0</v>
      </c>
      <c r="BM237" s="3083">
        <f t="shared" si="144"/>
        <v>0</v>
      </c>
      <c r="BN237" s="3083">
        <f t="shared" si="145"/>
        <v>0</v>
      </c>
      <c r="BO237" s="3083">
        <f t="shared" si="146"/>
        <v>0</v>
      </c>
      <c r="BP237" s="3083">
        <f t="shared" si="147"/>
        <v>0</v>
      </c>
      <c r="BQ237" s="3083">
        <f t="shared" si="148"/>
        <v>0</v>
      </c>
      <c r="BR237" s="3083">
        <f t="shared" si="149"/>
        <v>0</v>
      </c>
      <c r="BS237" s="3083">
        <f t="shared" si="150"/>
        <v>0</v>
      </c>
      <c r="BT237" s="3135">
        <f t="shared" si="151"/>
        <v>0</v>
      </c>
    </row>
    <row r="238" spans="1:72">
      <c r="A238" s="3080"/>
      <c r="B238" s="3081"/>
      <c r="C238" s="3081"/>
      <c r="D238" s="3082"/>
      <c r="E238" s="3083">
        <f t="shared" si="123"/>
        <v>0</v>
      </c>
      <c r="F238" s="3084"/>
      <c r="G238" s="3085">
        <f t="shared" si="124"/>
        <v>0</v>
      </c>
      <c r="H238" s="3086">
        <f t="shared" si="125"/>
        <v>0</v>
      </c>
      <c r="I238" s="3093"/>
      <c r="J238" s="3093"/>
      <c r="K238" s="3093"/>
      <c r="L238" s="3093"/>
      <c r="M238" s="3093"/>
      <c r="N238" s="3093"/>
      <c r="O238" s="3093"/>
      <c r="P238" s="3093"/>
      <c r="Q238" s="3093"/>
      <c r="R238" s="3093"/>
      <c r="S238" s="3093"/>
      <c r="T238" s="3093"/>
      <c r="U238" s="3093"/>
      <c r="V238" s="3093"/>
      <c r="W238" s="3093"/>
      <c r="X238" s="3093"/>
      <c r="Y238" s="3093"/>
      <c r="Z238" s="3093"/>
      <c r="AA238" s="3093"/>
      <c r="AB238" s="3093"/>
      <c r="AC238" s="3083">
        <f t="shared" si="126"/>
        <v>0</v>
      </c>
      <c r="AD238" s="3103"/>
      <c r="AE238" s="3103"/>
      <c r="AF238" s="3103"/>
      <c r="AG238" s="3103"/>
      <c r="AH238" s="3103"/>
      <c r="AI238" s="3103"/>
      <c r="AJ238" s="3103"/>
      <c r="AK238" s="3103"/>
      <c r="AL238" s="3103"/>
      <c r="AM238" s="3103"/>
      <c r="AN238" s="3103"/>
      <c r="AO238" s="3103"/>
      <c r="AP238" s="3103"/>
      <c r="AQ238" s="3103"/>
      <c r="AR238" s="3103"/>
      <c r="AS238" s="3103"/>
      <c r="AT238" s="3113"/>
      <c r="AU238" s="3114"/>
      <c r="AV238" s="1580">
        <f t="shared" si="127"/>
        <v>0</v>
      </c>
      <c r="AW238" s="1580">
        <f t="shared" si="128"/>
        <v>0</v>
      </c>
      <c r="AX238" s="1580">
        <f t="shared" si="129"/>
        <v>0</v>
      </c>
      <c r="AY238" s="3128">
        <f t="shared" si="130"/>
        <v>0</v>
      </c>
      <c r="AZ238" s="3083">
        <f t="shared" si="131"/>
        <v>0</v>
      </c>
      <c r="BA238" s="3083">
        <f t="shared" si="132"/>
        <v>0</v>
      </c>
      <c r="BB238" s="3083">
        <f t="shared" si="133"/>
        <v>0</v>
      </c>
      <c r="BC238" s="3083">
        <f t="shared" si="134"/>
        <v>0</v>
      </c>
      <c r="BD238" s="3083">
        <f t="shared" si="135"/>
        <v>0</v>
      </c>
      <c r="BE238" s="3083">
        <f t="shared" si="136"/>
        <v>0</v>
      </c>
      <c r="BF238" s="3083">
        <f t="shared" si="137"/>
        <v>0</v>
      </c>
      <c r="BG238" s="3083">
        <f t="shared" si="138"/>
        <v>0</v>
      </c>
      <c r="BH238" s="3083">
        <f t="shared" si="139"/>
        <v>0</v>
      </c>
      <c r="BI238" s="3083">
        <f t="shared" si="140"/>
        <v>0</v>
      </c>
      <c r="BJ238" s="3083">
        <f t="shared" si="141"/>
        <v>0</v>
      </c>
      <c r="BK238" s="3083">
        <f t="shared" si="142"/>
        <v>0</v>
      </c>
      <c r="BL238" s="3083">
        <f t="shared" si="143"/>
        <v>0</v>
      </c>
      <c r="BM238" s="3083">
        <f t="shared" si="144"/>
        <v>0</v>
      </c>
      <c r="BN238" s="3083">
        <f t="shared" si="145"/>
        <v>0</v>
      </c>
      <c r="BO238" s="3083">
        <f t="shared" si="146"/>
        <v>0</v>
      </c>
      <c r="BP238" s="3083">
        <f t="shared" si="147"/>
        <v>0</v>
      </c>
      <c r="BQ238" s="3083">
        <f t="shared" si="148"/>
        <v>0</v>
      </c>
      <c r="BR238" s="3083">
        <f t="shared" si="149"/>
        <v>0</v>
      </c>
      <c r="BS238" s="3083">
        <f t="shared" si="150"/>
        <v>0</v>
      </c>
      <c r="BT238" s="3135">
        <f t="shared" si="151"/>
        <v>0</v>
      </c>
    </row>
    <row r="239" spans="1:72">
      <c r="A239" s="3080"/>
      <c r="B239" s="3081"/>
      <c r="C239" s="3081"/>
      <c r="D239" s="3082"/>
      <c r="E239" s="3083">
        <f t="shared" si="123"/>
        <v>0</v>
      </c>
      <c r="F239" s="3084"/>
      <c r="G239" s="3085">
        <f t="shared" si="124"/>
        <v>0</v>
      </c>
      <c r="H239" s="3086">
        <f t="shared" si="125"/>
        <v>0</v>
      </c>
      <c r="I239" s="3093"/>
      <c r="J239" s="3093"/>
      <c r="K239" s="3093"/>
      <c r="L239" s="3093"/>
      <c r="M239" s="3093"/>
      <c r="N239" s="3093"/>
      <c r="O239" s="3093"/>
      <c r="P239" s="3093"/>
      <c r="Q239" s="3093"/>
      <c r="R239" s="3093"/>
      <c r="S239" s="3093"/>
      <c r="T239" s="3093"/>
      <c r="U239" s="3093"/>
      <c r="V239" s="3093"/>
      <c r="W239" s="3093"/>
      <c r="X239" s="3093"/>
      <c r="Y239" s="3093"/>
      <c r="Z239" s="3093"/>
      <c r="AA239" s="3093"/>
      <c r="AB239" s="3093"/>
      <c r="AC239" s="3083">
        <f t="shared" si="126"/>
        <v>0</v>
      </c>
      <c r="AD239" s="3103"/>
      <c r="AE239" s="3103"/>
      <c r="AF239" s="3103"/>
      <c r="AG239" s="3103"/>
      <c r="AH239" s="3103"/>
      <c r="AI239" s="3103"/>
      <c r="AJ239" s="3103"/>
      <c r="AK239" s="3103"/>
      <c r="AL239" s="3103"/>
      <c r="AM239" s="3103"/>
      <c r="AN239" s="3103"/>
      <c r="AO239" s="3103"/>
      <c r="AP239" s="3103"/>
      <c r="AQ239" s="3103"/>
      <c r="AR239" s="3103"/>
      <c r="AS239" s="3103"/>
      <c r="AT239" s="3113"/>
      <c r="AU239" s="3114"/>
      <c r="AV239" s="1580">
        <f t="shared" si="127"/>
        <v>0</v>
      </c>
      <c r="AW239" s="1580">
        <f t="shared" si="128"/>
        <v>0</v>
      </c>
      <c r="AX239" s="1580">
        <f t="shared" si="129"/>
        <v>0</v>
      </c>
      <c r="AY239" s="3128">
        <f t="shared" si="130"/>
        <v>0</v>
      </c>
      <c r="AZ239" s="3083">
        <f t="shared" si="131"/>
        <v>0</v>
      </c>
      <c r="BA239" s="3083">
        <f t="shared" si="132"/>
        <v>0</v>
      </c>
      <c r="BB239" s="3083">
        <f t="shared" si="133"/>
        <v>0</v>
      </c>
      <c r="BC239" s="3083">
        <f t="shared" si="134"/>
        <v>0</v>
      </c>
      <c r="BD239" s="3083">
        <f t="shared" si="135"/>
        <v>0</v>
      </c>
      <c r="BE239" s="3083">
        <f t="shared" si="136"/>
        <v>0</v>
      </c>
      <c r="BF239" s="3083">
        <f t="shared" si="137"/>
        <v>0</v>
      </c>
      <c r="BG239" s="3083">
        <f t="shared" si="138"/>
        <v>0</v>
      </c>
      <c r="BH239" s="3083">
        <f t="shared" si="139"/>
        <v>0</v>
      </c>
      <c r="BI239" s="3083">
        <f t="shared" si="140"/>
        <v>0</v>
      </c>
      <c r="BJ239" s="3083">
        <f t="shared" si="141"/>
        <v>0</v>
      </c>
      <c r="BK239" s="3083">
        <f t="shared" si="142"/>
        <v>0</v>
      </c>
      <c r="BL239" s="3083">
        <f t="shared" si="143"/>
        <v>0</v>
      </c>
      <c r="BM239" s="3083">
        <f t="shared" si="144"/>
        <v>0</v>
      </c>
      <c r="BN239" s="3083">
        <f t="shared" si="145"/>
        <v>0</v>
      </c>
      <c r="BO239" s="3083">
        <f t="shared" si="146"/>
        <v>0</v>
      </c>
      <c r="BP239" s="3083">
        <f t="shared" si="147"/>
        <v>0</v>
      </c>
      <c r="BQ239" s="3083">
        <f t="shared" si="148"/>
        <v>0</v>
      </c>
      <c r="BR239" s="3083">
        <f t="shared" si="149"/>
        <v>0</v>
      </c>
      <c r="BS239" s="3083">
        <f t="shared" si="150"/>
        <v>0</v>
      </c>
      <c r="BT239" s="3135">
        <f t="shared" si="151"/>
        <v>0</v>
      </c>
    </row>
    <row r="240" spans="1:72">
      <c r="A240" s="3080"/>
      <c r="B240" s="3081"/>
      <c r="C240" s="3081"/>
      <c r="D240" s="3082"/>
      <c r="E240" s="3083">
        <f t="shared" si="123"/>
        <v>0</v>
      </c>
      <c r="F240" s="3084"/>
      <c r="G240" s="3085">
        <f t="shared" si="124"/>
        <v>0</v>
      </c>
      <c r="H240" s="3086">
        <f t="shared" si="125"/>
        <v>0</v>
      </c>
      <c r="I240" s="3093"/>
      <c r="J240" s="3093"/>
      <c r="K240" s="3093"/>
      <c r="L240" s="3093"/>
      <c r="M240" s="3093"/>
      <c r="N240" s="3093"/>
      <c r="O240" s="3093"/>
      <c r="P240" s="3093"/>
      <c r="Q240" s="3093"/>
      <c r="R240" s="3093"/>
      <c r="S240" s="3093"/>
      <c r="T240" s="3093"/>
      <c r="U240" s="3093"/>
      <c r="V240" s="3093"/>
      <c r="W240" s="3093"/>
      <c r="X240" s="3093"/>
      <c r="Y240" s="3093"/>
      <c r="Z240" s="3093"/>
      <c r="AA240" s="3093"/>
      <c r="AB240" s="3093"/>
      <c r="AC240" s="3083">
        <f t="shared" si="126"/>
        <v>0</v>
      </c>
      <c r="AD240" s="3103"/>
      <c r="AE240" s="3103"/>
      <c r="AF240" s="3103"/>
      <c r="AG240" s="3103"/>
      <c r="AH240" s="3103"/>
      <c r="AI240" s="3103"/>
      <c r="AJ240" s="3103"/>
      <c r="AK240" s="3103"/>
      <c r="AL240" s="3103"/>
      <c r="AM240" s="3103"/>
      <c r="AN240" s="3103"/>
      <c r="AO240" s="3103"/>
      <c r="AP240" s="3103"/>
      <c r="AQ240" s="3103"/>
      <c r="AR240" s="3103"/>
      <c r="AS240" s="3103"/>
      <c r="AT240" s="3113"/>
      <c r="AU240" s="3114"/>
      <c r="AV240" s="1580">
        <f t="shared" si="127"/>
        <v>0</v>
      </c>
      <c r="AW240" s="1580">
        <f t="shared" si="128"/>
        <v>0</v>
      </c>
      <c r="AX240" s="1580">
        <f t="shared" si="129"/>
        <v>0</v>
      </c>
      <c r="AY240" s="3128">
        <f t="shared" si="130"/>
        <v>0</v>
      </c>
      <c r="AZ240" s="3083">
        <f t="shared" si="131"/>
        <v>0</v>
      </c>
      <c r="BA240" s="3083">
        <f t="shared" si="132"/>
        <v>0</v>
      </c>
      <c r="BB240" s="3083">
        <f t="shared" si="133"/>
        <v>0</v>
      </c>
      <c r="BC240" s="3083">
        <f t="shared" si="134"/>
        <v>0</v>
      </c>
      <c r="BD240" s="3083">
        <f t="shared" si="135"/>
        <v>0</v>
      </c>
      <c r="BE240" s="3083">
        <f t="shared" si="136"/>
        <v>0</v>
      </c>
      <c r="BF240" s="3083">
        <f t="shared" si="137"/>
        <v>0</v>
      </c>
      <c r="BG240" s="3083">
        <f t="shared" si="138"/>
        <v>0</v>
      </c>
      <c r="BH240" s="3083">
        <f t="shared" si="139"/>
        <v>0</v>
      </c>
      <c r="BI240" s="3083">
        <f t="shared" si="140"/>
        <v>0</v>
      </c>
      <c r="BJ240" s="3083">
        <f t="shared" si="141"/>
        <v>0</v>
      </c>
      <c r="BK240" s="3083">
        <f t="shared" si="142"/>
        <v>0</v>
      </c>
      <c r="BL240" s="3083">
        <f t="shared" si="143"/>
        <v>0</v>
      </c>
      <c r="BM240" s="3083">
        <f t="shared" si="144"/>
        <v>0</v>
      </c>
      <c r="BN240" s="3083">
        <f t="shared" si="145"/>
        <v>0</v>
      </c>
      <c r="BO240" s="3083">
        <f t="shared" si="146"/>
        <v>0</v>
      </c>
      <c r="BP240" s="3083">
        <f t="shared" si="147"/>
        <v>0</v>
      </c>
      <c r="BQ240" s="3083">
        <f t="shared" si="148"/>
        <v>0</v>
      </c>
      <c r="BR240" s="3083">
        <f t="shared" si="149"/>
        <v>0</v>
      </c>
      <c r="BS240" s="3083">
        <f t="shared" si="150"/>
        <v>0</v>
      </c>
      <c r="BT240" s="3135">
        <f t="shared" si="151"/>
        <v>0</v>
      </c>
    </row>
    <row r="241" spans="1:72">
      <c r="A241" s="3080"/>
      <c r="B241" s="3081"/>
      <c r="C241" s="3081"/>
      <c r="D241" s="3082"/>
      <c r="E241" s="3083">
        <f t="shared" si="123"/>
        <v>0</v>
      </c>
      <c r="F241" s="3084"/>
      <c r="G241" s="3085">
        <f t="shared" si="124"/>
        <v>0</v>
      </c>
      <c r="H241" s="3086">
        <f t="shared" si="125"/>
        <v>0</v>
      </c>
      <c r="I241" s="3093"/>
      <c r="J241" s="3093"/>
      <c r="K241" s="3093"/>
      <c r="L241" s="3093"/>
      <c r="M241" s="3093"/>
      <c r="N241" s="3093"/>
      <c r="O241" s="3093"/>
      <c r="P241" s="3093"/>
      <c r="Q241" s="3093"/>
      <c r="R241" s="3093"/>
      <c r="S241" s="3093"/>
      <c r="T241" s="3093"/>
      <c r="U241" s="3093"/>
      <c r="V241" s="3093"/>
      <c r="W241" s="3093"/>
      <c r="X241" s="3093"/>
      <c r="Y241" s="3093"/>
      <c r="Z241" s="3093"/>
      <c r="AA241" s="3093"/>
      <c r="AB241" s="3093"/>
      <c r="AC241" s="3083">
        <f t="shared" si="126"/>
        <v>0</v>
      </c>
      <c r="AD241" s="3103"/>
      <c r="AE241" s="3103"/>
      <c r="AF241" s="3103"/>
      <c r="AG241" s="3103"/>
      <c r="AH241" s="3103"/>
      <c r="AI241" s="3103"/>
      <c r="AJ241" s="3103"/>
      <c r="AK241" s="3103"/>
      <c r="AL241" s="3103"/>
      <c r="AM241" s="3103"/>
      <c r="AN241" s="3103"/>
      <c r="AO241" s="3103"/>
      <c r="AP241" s="3103"/>
      <c r="AQ241" s="3103"/>
      <c r="AR241" s="3103"/>
      <c r="AS241" s="3103"/>
      <c r="AT241" s="3113"/>
      <c r="AU241" s="3114"/>
      <c r="AV241" s="1580">
        <f t="shared" si="127"/>
        <v>0</v>
      </c>
      <c r="AW241" s="1580">
        <f t="shared" si="128"/>
        <v>0</v>
      </c>
      <c r="AX241" s="1580">
        <f t="shared" si="129"/>
        <v>0</v>
      </c>
      <c r="AY241" s="3128">
        <f t="shared" si="130"/>
        <v>0</v>
      </c>
      <c r="AZ241" s="3083">
        <f t="shared" si="131"/>
        <v>0</v>
      </c>
      <c r="BA241" s="3083">
        <f t="shared" si="132"/>
        <v>0</v>
      </c>
      <c r="BB241" s="3083">
        <f t="shared" si="133"/>
        <v>0</v>
      </c>
      <c r="BC241" s="3083">
        <f t="shared" si="134"/>
        <v>0</v>
      </c>
      <c r="BD241" s="3083">
        <f t="shared" si="135"/>
        <v>0</v>
      </c>
      <c r="BE241" s="3083">
        <f t="shared" si="136"/>
        <v>0</v>
      </c>
      <c r="BF241" s="3083">
        <f t="shared" si="137"/>
        <v>0</v>
      </c>
      <c r="BG241" s="3083">
        <f t="shared" si="138"/>
        <v>0</v>
      </c>
      <c r="BH241" s="3083">
        <f t="shared" si="139"/>
        <v>0</v>
      </c>
      <c r="BI241" s="3083">
        <f t="shared" si="140"/>
        <v>0</v>
      </c>
      <c r="BJ241" s="3083">
        <f t="shared" si="141"/>
        <v>0</v>
      </c>
      <c r="BK241" s="3083">
        <f t="shared" si="142"/>
        <v>0</v>
      </c>
      <c r="BL241" s="3083">
        <f t="shared" si="143"/>
        <v>0</v>
      </c>
      <c r="BM241" s="3083">
        <f t="shared" si="144"/>
        <v>0</v>
      </c>
      <c r="BN241" s="3083">
        <f t="shared" si="145"/>
        <v>0</v>
      </c>
      <c r="BO241" s="3083">
        <f t="shared" si="146"/>
        <v>0</v>
      </c>
      <c r="BP241" s="3083">
        <f t="shared" si="147"/>
        <v>0</v>
      </c>
      <c r="BQ241" s="3083">
        <f t="shared" si="148"/>
        <v>0</v>
      </c>
      <c r="BR241" s="3083">
        <f t="shared" si="149"/>
        <v>0</v>
      </c>
      <c r="BS241" s="3083">
        <f t="shared" si="150"/>
        <v>0</v>
      </c>
      <c r="BT241" s="3135">
        <f t="shared" si="151"/>
        <v>0</v>
      </c>
    </row>
    <row r="242" spans="1:72">
      <c r="A242" s="3080"/>
      <c r="B242" s="3081"/>
      <c r="C242" s="3081"/>
      <c r="D242" s="3082"/>
      <c r="E242" s="3083">
        <f t="shared" si="123"/>
        <v>0</v>
      </c>
      <c r="F242" s="3084"/>
      <c r="G242" s="3085">
        <f t="shared" si="124"/>
        <v>0</v>
      </c>
      <c r="H242" s="3086">
        <f t="shared" si="125"/>
        <v>0</v>
      </c>
      <c r="I242" s="3093"/>
      <c r="J242" s="3093"/>
      <c r="K242" s="3093"/>
      <c r="L242" s="3093"/>
      <c r="M242" s="3093"/>
      <c r="N242" s="3093"/>
      <c r="O242" s="3093"/>
      <c r="P242" s="3093"/>
      <c r="Q242" s="3093"/>
      <c r="R242" s="3093"/>
      <c r="S242" s="3093"/>
      <c r="T242" s="3093"/>
      <c r="U242" s="3093"/>
      <c r="V242" s="3093"/>
      <c r="W242" s="3093"/>
      <c r="X242" s="3093"/>
      <c r="Y242" s="3093"/>
      <c r="Z242" s="3093"/>
      <c r="AA242" s="3093"/>
      <c r="AB242" s="3093"/>
      <c r="AC242" s="3083">
        <f t="shared" si="126"/>
        <v>0</v>
      </c>
      <c r="AD242" s="3103"/>
      <c r="AE242" s="3103"/>
      <c r="AF242" s="3103"/>
      <c r="AG242" s="3103"/>
      <c r="AH242" s="3103"/>
      <c r="AI242" s="3103"/>
      <c r="AJ242" s="3103"/>
      <c r="AK242" s="3103"/>
      <c r="AL242" s="3103"/>
      <c r="AM242" s="3103"/>
      <c r="AN242" s="3103"/>
      <c r="AO242" s="3103"/>
      <c r="AP242" s="3103"/>
      <c r="AQ242" s="3103"/>
      <c r="AR242" s="3103"/>
      <c r="AS242" s="3103"/>
      <c r="AT242" s="3113"/>
      <c r="AU242" s="3114"/>
      <c r="AV242" s="1580">
        <f t="shared" si="127"/>
        <v>0</v>
      </c>
      <c r="AW242" s="1580">
        <f t="shared" si="128"/>
        <v>0</v>
      </c>
      <c r="AX242" s="1580">
        <f t="shared" si="129"/>
        <v>0</v>
      </c>
      <c r="AY242" s="3128">
        <f t="shared" si="130"/>
        <v>0</v>
      </c>
      <c r="AZ242" s="3083">
        <f t="shared" si="131"/>
        <v>0</v>
      </c>
      <c r="BA242" s="3083">
        <f t="shared" si="132"/>
        <v>0</v>
      </c>
      <c r="BB242" s="3083">
        <f t="shared" si="133"/>
        <v>0</v>
      </c>
      <c r="BC242" s="3083">
        <f t="shared" si="134"/>
        <v>0</v>
      </c>
      <c r="BD242" s="3083">
        <f t="shared" si="135"/>
        <v>0</v>
      </c>
      <c r="BE242" s="3083">
        <f t="shared" si="136"/>
        <v>0</v>
      </c>
      <c r="BF242" s="3083">
        <f t="shared" si="137"/>
        <v>0</v>
      </c>
      <c r="BG242" s="3083">
        <f t="shared" si="138"/>
        <v>0</v>
      </c>
      <c r="BH242" s="3083">
        <f t="shared" si="139"/>
        <v>0</v>
      </c>
      <c r="BI242" s="3083">
        <f t="shared" si="140"/>
        <v>0</v>
      </c>
      <c r="BJ242" s="3083">
        <f t="shared" si="141"/>
        <v>0</v>
      </c>
      <c r="BK242" s="3083">
        <f t="shared" si="142"/>
        <v>0</v>
      </c>
      <c r="BL242" s="3083">
        <f t="shared" si="143"/>
        <v>0</v>
      </c>
      <c r="BM242" s="3083">
        <f t="shared" si="144"/>
        <v>0</v>
      </c>
      <c r="BN242" s="3083">
        <f t="shared" si="145"/>
        <v>0</v>
      </c>
      <c r="BO242" s="3083">
        <f t="shared" si="146"/>
        <v>0</v>
      </c>
      <c r="BP242" s="3083">
        <f t="shared" si="147"/>
        <v>0</v>
      </c>
      <c r="BQ242" s="3083">
        <f t="shared" si="148"/>
        <v>0</v>
      </c>
      <c r="BR242" s="3083">
        <f t="shared" si="149"/>
        <v>0</v>
      </c>
      <c r="BS242" s="3083">
        <f t="shared" si="150"/>
        <v>0</v>
      </c>
      <c r="BT242" s="3135">
        <f t="shared" si="151"/>
        <v>0</v>
      </c>
    </row>
    <row r="243" spans="1:72">
      <c r="A243" s="3080"/>
      <c r="B243" s="3081"/>
      <c r="C243" s="3081"/>
      <c r="D243" s="3082"/>
      <c r="E243" s="3083">
        <f t="shared" si="123"/>
        <v>0</v>
      </c>
      <c r="F243" s="3084"/>
      <c r="G243" s="3085">
        <f t="shared" si="124"/>
        <v>0</v>
      </c>
      <c r="H243" s="3086">
        <f t="shared" si="125"/>
        <v>0</v>
      </c>
      <c r="I243" s="3093"/>
      <c r="J243" s="3093"/>
      <c r="K243" s="3093"/>
      <c r="L243" s="3093"/>
      <c r="M243" s="3093"/>
      <c r="N243" s="3093"/>
      <c r="O243" s="3093"/>
      <c r="P243" s="3093"/>
      <c r="Q243" s="3093"/>
      <c r="R243" s="3093"/>
      <c r="S243" s="3093"/>
      <c r="T243" s="3093"/>
      <c r="U243" s="3093"/>
      <c r="V243" s="3093"/>
      <c r="W243" s="3093"/>
      <c r="X243" s="3093"/>
      <c r="Y243" s="3093"/>
      <c r="Z243" s="3093"/>
      <c r="AA243" s="3093"/>
      <c r="AB243" s="3093"/>
      <c r="AC243" s="3083">
        <f t="shared" si="126"/>
        <v>0</v>
      </c>
      <c r="AD243" s="3103"/>
      <c r="AE243" s="3103"/>
      <c r="AF243" s="3103"/>
      <c r="AG243" s="3103"/>
      <c r="AH243" s="3103"/>
      <c r="AI243" s="3103"/>
      <c r="AJ243" s="3103"/>
      <c r="AK243" s="3103"/>
      <c r="AL243" s="3103"/>
      <c r="AM243" s="3103"/>
      <c r="AN243" s="3103"/>
      <c r="AO243" s="3103"/>
      <c r="AP243" s="3103"/>
      <c r="AQ243" s="3103"/>
      <c r="AR243" s="3103"/>
      <c r="AS243" s="3103"/>
      <c r="AT243" s="3113"/>
      <c r="AU243" s="3114"/>
      <c r="AV243" s="1580">
        <f t="shared" si="127"/>
        <v>0</v>
      </c>
      <c r="AW243" s="1580">
        <f t="shared" si="128"/>
        <v>0</v>
      </c>
      <c r="AX243" s="1580">
        <f t="shared" si="129"/>
        <v>0</v>
      </c>
      <c r="AY243" s="3128">
        <f t="shared" si="130"/>
        <v>0</v>
      </c>
      <c r="AZ243" s="3083">
        <f t="shared" si="131"/>
        <v>0</v>
      </c>
      <c r="BA243" s="3083">
        <f t="shared" si="132"/>
        <v>0</v>
      </c>
      <c r="BB243" s="3083">
        <f t="shared" si="133"/>
        <v>0</v>
      </c>
      <c r="BC243" s="3083">
        <f t="shared" si="134"/>
        <v>0</v>
      </c>
      <c r="BD243" s="3083">
        <f t="shared" si="135"/>
        <v>0</v>
      </c>
      <c r="BE243" s="3083">
        <f t="shared" si="136"/>
        <v>0</v>
      </c>
      <c r="BF243" s="3083">
        <f t="shared" si="137"/>
        <v>0</v>
      </c>
      <c r="BG243" s="3083">
        <f t="shared" si="138"/>
        <v>0</v>
      </c>
      <c r="BH243" s="3083">
        <f t="shared" si="139"/>
        <v>0</v>
      </c>
      <c r="BI243" s="3083">
        <f t="shared" si="140"/>
        <v>0</v>
      </c>
      <c r="BJ243" s="3083">
        <f t="shared" si="141"/>
        <v>0</v>
      </c>
      <c r="BK243" s="3083">
        <f t="shared" si="142"/>
        <v>0</v>
      </c>
      <c r="BL243" s="3083">
        <f t="shared" si="143"/>
        <v>0</v>
      </c>
      <c r="BM243" s="3083">
        <f t="shared" si="144"/>
        <v>0</v>
      </c>
      <c r="BN243" s="3083">
        <f t="shared" si="145"/>
        <v>0</v>
      </c>
      <c r="BO243" s="3083">
        <f t="shared" si="146"/>
        <v>0</v>
      </c>
      <c r="BP243" s="3083">
        <f t="shared" si="147"/>
        <v>0</v>
      </c>
      <c r="BQ243" s="3083">
        <f t="shared" si="148"/>
        <v>0</v>
      </c>
      <c r="BR243" s="3083">
        <f t="shared" si="149"/>
        <v>0</v>
      </c>
      <c r="BS243" s="3083">
        <f t="shared" si="150"/>
        <v>0</v>
      </c>
      <c r="BT243" s="3135">
        <f t="shared" si="151"/>
        <v>0</v>
      </c>
    </row>
    <row r="244" spans="1:72">
      <c r="A244" s="3080"/>
      <c r="B244" s="3081"/>
      <c r="C244" s="3081"/>
      <c r="D244" s="3082"/>
      <c r="E244" s="3083">
        <f t="shared" si="123"/>
        <v>0</v>
      </c>
      <c r="F244" s="3084"/>
      <c r="G244" s="3085">
        <f t="shared" si="124"/>
        <v>0</v>
      </c>
      <c r="H244" s="3086">
        <f t="shared" si="125"/>
        <v>0</v>
      </c>
      <c r="I244" s="3093"/>
      <c r="J244" s="3093"/>
      <c r="K244" s="3093"/>
      <c r="L244" s="3093"/>
      <c r="M244" s="3093"/>
      <c r="N244" s="3093"/>
      <c r="O244" s="3093"/>
      <c r="P244" s="3093"/>
      <c r="Q244" s="3093"/>
      <c r="R244" s="3093"/>
      <c r="S244" s="3093"/>
      <c r="T244" s="3093"/>
      <c r="U244" s="3093"/>
      <c r="V244" s="3093"/>
      <c r="W244" s="3093"/>
      <c r="X244" s="3093"/>
      <c r="Y244" s="3093"/>
      <c r="Z244" s="3093"/>
      <c r="AA244" s="3093"/>
      <c r="AB244" s="3093"/>
      <c r="AC244" s="3083">
        <f t="shared" si="126"/>
        <v>0</v>
      </c>
      <c r="AD244" s="3103"/>
      <c r="AE244" s="3103"/>
      <c r="AF244" s="3103"/>
      <c r="AG244" s="3103"/>
      <c r="AH244" s="3103"/>
      <c r="AI244" s="3103"/>
      <c r="AJ244" s="3103"/>
      <c r="AK244" s="3103"/>
      <c r="AL244" s="3103"/>
      <c r="AM244" s="3103"/>
      <c r="AN244" s="3103"/>
      <c r="AO244" s="3103"/>
      <c r="AP244" s="3103"/>
      <c r="AQ244" s="3103"/>
      <c r="AR244" s="3103"/>
      <c r="AS244" s="3103"/>
      <c r="AT244" s="3113"/>
      <c r="AU244" s="3114"/>
      <c r="AV244" s="1580">
        <f t="shared" si="127"/>
        <v>0</v>
      </c>
      <c r="AW244" s="1580">
        <f t="shared" si="128"/>
        <v>0</v>
      </c>
      <c r="AX244" s="1580">
        <f t="shared" si="129"/>
        <v>0</v>
      </c>
      <c r="AY244" s="3128">
        <f t="shared" si="130"/>
        <v>0</v>
      </c>
      <c r="AZ244" s="3083">
        <f t="shared" si="131"/>
        <v>0</v>
      </c>
      <c r="BA244" s="3083">
        <f t="shared" si="132"/>
        <v>0</v>
      </c>
      <c r="BB244" s="3083">
        <f t="shared" si="133"/>
        <v>0</v>
      </c>
      <c r="BC244" s="3083">
        <f t="shared" si="134"/>
        <v>0</v>
      </c>
      <c r="BD244" s="3083">
        <f t="shared" si="135"/>
        <v>0</v>
      </c>
      <c r="BE244" s="3083">
        <f t="shared" si="136"/>
        <v>0</v>
      </c>
      <c r="BF244" s="3083">
        <f t="shared" si="137"/>
        <v>0</v>
      </c>
      <c r="BG244" s="3083">
        <f t="shared" si="138"/>
        <v>0</v>
      </c>
      <c r="BH244" s="3083">
        <f t="shared" si="139"/>
        <v>0</v>
      </c>
      <c r="BI244" s="3083">
        <f t="shared" si="140"/>
        <v>0</v>
      </c>
      <c r="BJ244" s="3083">
        <f t="shared" si="141"/>
        <v>0</v>
      </c>
      <c r="BK244" s="3083">
        <f t="shared" si="142"/>
        <v>0</v>
      </c>
      <c r="BL244" s="3083">
        <f t="shared" si="143"/>
        <v>0</v>
      </c>
      <c r="BM244" s="3083">
        <f t="shared" si="144"/>
        <v>0</v>
      </c>
      <c r="BN244" s="3083">
        <f t="shared" si="145"/>
        <v>0</v>
      </c>
      <c r="BO244" s="3083">
        <f t="shared" si="146"/>
        <v>0</v>
      </c>
      <c r="BP244" s="3083">
        <f t="shared" si="147"/>
        <v>0</v>
      </c>
      <c r="BQ244" s="3083">
        <f t="shared" si="148"/>
        <v>0</v>
      </c>
      <c r="BR244" s="3083">
        <f t="shared" si="149"/>
        <v>0</v>
      </c>
      <c r="BS244" s="3083">
        <f t="shared" si="150"/>
        <v>0</v>
      </c>
      <c r="BT244" s="3135">
        <f t="shared" si="151"/>
        <v>0</v>
      </c>
    </row>
    <row r="245" spans="1:72">
      <c r="A245" s="3080"/>
      <c r="B245" s="3081"/>
      <c r="C245" s="3081"/>
      <c r="D245" s="3082"/>
      <c r="E245" s="3083">
        <f t="shared" si="123"/>
        <v>0</v>
      </c>
      <c r="F245" s="3084"/>
      <c r="G245" s="3085">
        <f t="shared" si="124"/>
        <v>0</v>
      </c>
      <c r="H245" s="3086">
        <f t="shared" si="125"/>
        <v>0</v>
      </c>
      <c r="I245" s="3093"/>
      <c r="J245" s="3093"/>
      <c r="K245" s="3093"/>
      <c r="L245" s="3093"/>
      <c r="M245" s="3093"/>
      <c r="N245" s="3093"/>
      <c r="O245" s="3093"/>
      <c r="P245" s="3093"/>
      <c r="Q245" s="3093"/>
      <c r="R245" s="3093"/>
      <c r="S245" s="3093"/>
      <c r="T245" s="3093"/>
      <c r="U245" s="3093"/>
      <c r="V245" s="3093"/>
      <c r="W245" s="3093"/>
      <c r="X245" s="3093"/>
      <c r="Y245" s="3093"/>
      <c r="Z245" s="3093"/>
      <c r="AA245" s="3093"/>
      <c r="AB245" s="3093"/>
      <c r="AC245" s="3083">
        <f t="shared" si="126"/>
        <v>0</v>
      </c>
      <c r="AD245" s="3103"/>
      <c r="AE245" s="3103"/>
      <c r="AF245" s="3103"/>
      <c r="AG245" s="3103"/>
      <c r="AH245" s="3103"/>
      <c r="AI245" s="3103"/>
      <c r="AJ245" s="3103"/>
      <c r="AK245" s="3103"/>
      <c r="AL245" s="3103"/>
      <c r="AM245" s="3103"/>
      <c r="AN245" s="3103"/>
      <c r="AO245" s="3103"/>
      <c r="AP245" s="3103"/>
      <c r="AQ245" s="3103"/>
      <c r="AR245" s="3103"/>
      <c r="AS245" s="3103"/>
      <c r="AT245" s="3113"/>
      <c r="AU245" s="3114"/>
      <c r="AV245" s="1580">
        <f t="shared" si="127"/>
        <v>0</v>
      </c>
      <c r="AW245" s="1580">
        <f t="shared" si="128"/>
        <v>0</v>
      </c>
      <c r="AX245" s="1580">
        <f t="shared" si="129"/>
        <v>0</v>
      </c>
      <c r="AY245" s="3128">
        <f t="shared" si="130"/>
        <v>0</v>
      </c>
      <c r="AZ245" s="3083">
        <f t="shared" si="131"/>
        <v>0</v>
      </c>
      <c r="BA245" s="3083">
        <f t="shared" si="132"/>
        <v>0</v>
      </c>
      <c r="BB245" s="3083">
        <f t="shared" si="133"/>
        <v>0</v>
      </c>
      <c r="BC245" s="3083">
        <f t="shared" si="134"/>
        <v>0</v>
      </c>
      <c r="BD245" s="3083">
        <f t="shared" si="135"/>
        <v>0</v>
      </c>
      <c r="BE245" s="3083">
        <f t="shared" si="136"/>
        <v>0</v>
      </c>
      <c r="BF245" s="3083">
        <f t="shared" si="137"/>
        <v>0</v>
      </c>
      <c r="BG245" s="3083">
        <f t="shared" si="138"/>
        <v>0</v>
      </c>
      <c r="BH245" s="3083">
        <f t="shared" si="139"/>
        <v>0</v>
      </c>
      <c r="BI245" s="3083">
        <f t="shared" si="140"/>
        <v>0</v>
      </c>
      <c r="BJ245" s="3083">
        <f t="shared" si="141"/>
        <v>0</v>
      </c>
      <c r="BK245" s="3083">
        <f t="shared" si="142"/>
        <v>0</v>
      </c>
      <c r="BL245" s="3083">
        <f t="shared" si="143"/>
        <v>0</v>
      </c>
      <c r="BM245" s="3083">
        <f t="shared" si="144"/>
        <v>0</v>
      </c>
      <c r="BN245" s="3083">
        <f t="shared" si="145"/>
        <v>0</v>
      </c>
      <c r="BO245" s="3083">
        <f t="shared" si="146"/>
        <v>0</v>
      </c>
      <c r="BP245" s="3083">
        <f t="shared" si="147"/>
        <v>0</v>
      </c>
      <c r="BQ245" s="3083">
        <f t="shared" si="148"/>
        <v>0</v>
      </c>
      <c r="BR245" s="3083">
        <f t="shared" si="149"/>
        <v>0</v>
      </c>
      <c r="BS245" s="3083">
        <f t="shared" si="150"/>
        <v>0</v>
      </c>
      <c r="BT245" s="3135">
        <f t="shared" si="151"/>
        <v>0</v>
      </c>
    </row>
    <row r="246" spans="1:72">
      <c r="A246" s="3080"/>
      <c r="B246" s="3081"/>
      <c r="C246" s="3081"/>
      <c r="D246" s="3082"/>
      <c r="E246" s="3083">
        <f t="shared" si="123"/>
        <v>0</v>
      </c>
      <c r="F246" s="3084"/>
      <c r="G246" s="3085">
        <f t="shared" si="124"/>
        <v>0</v>
      </c>
      <c r="H246" s="3086">
        <f t="shared" si="125"/>
        <v>0</v>
      </c>
      <c r="I246" s="3093"/>
      <c r="J246" s="3093"/>
      <c r="K246" s="3093"/>
      <c r="L246" s="3093"/>
      <c r="M246" s="3093"/>
      <c r="N246" s="3093"/>
      <c r="O246" s="3093"/>
      <c r="P246" s="3093"/>
      <c r="Q246" s="3093"/>
      <c r="R246" s="3093"/>
      <c r="S246" s="3093"/>
      <c r="T246" s="3093"/>
      <c r="U246" s="3093"/>
      <c r="V246" s="3093"/>
      <c r="W246" s="3093"/>
      <c r="X246" s="3093"/>
      <c r="Y246" s="3093"/>
      <c r="Z246" s="3093"/>
      <c r="AA246" s="3093"/>
      <c r="AB246" s="3093"/>
      <c r="AC246" s="3083">
        <f t="shared" si="126"/>
        <v>0</v>
      </c>
      <c r="AD246" s="3103"/>
      <c r="AE246" s="3103"/>
      <c r="AF246" s="3103"/>
      <c r="AG246" s="3103"/>
      <c r="AH246" s="3103"/>
      <c r="AI246" s="3103"/>
      <c r="AJ246" s="3103"/>
      <c r="AK246" s="3103"/>
      <c r="AL246" s="3103"/>
      <c r="AM246" s="3103"/>
      <c r="AN246" s="3103"/>
      <c r="AO246" s="3103"/>
      <c r="AP246" s="3103"/>
      <c r="AQ246" s="3103"/>
      <c r="AR246" s="3103"/>
      <c r="AS246" s="3103"/>
      <c r="AT246" s="3113"/>
      <c r="AU246" s="3114"/>
      <c r="AV246" s="1580">
        <f t="shared" si="127"/>
        <v>0</v>
      </c>
      <c r="AW246" s="1580">
        <f t="shared" si="128"/>
        <v>0</v>
      </c>
      <c r="AX246" s="1580">
        <f t="shared" si="129"/>
        <v>0</v>
      </c>
      <c r="AY246" s="3128">
        <f t="shared" si="130"/>
        <v>0</v>
      </c>
      <c r="AZ246" s="3083">
        <f t="shared" si="131"/>
        <v>0</v>
      </c>
      <c r="BA246" s="3083">
        <f t="shared" si="132"/>
        <v>0</v>
      </c>
      <c r="BB246" s="3083">
        <f t="shared" si="133"/>
        <v>0</v>
      </c>
      <c r="BC246" s="3083">
        <f t="shared" si="134"/>
        <v>0</v>
      </c>
      <c r="BD246" s="3083">
        <f t="shared" si="135"/>
        <v>0</v>
      </c>
      <c r="BE246" s="3083">
        <f t="shared" si="136"/>
        <v>0</v>
      </c>
      <c r="BF246" s="3083">
        <f t="shared" si="137"/>
        <v>0</v>
      </c>
      <c r="BG246" s="3083">
        <f t="shared" si="138"/>
        <v>0</v>
      </c>
      <c r="BH246" s="3083">
        <f t="shared" si="139"/>
        <v>0</v>
      </c>
      <c r="BI246" s="3083">
        <f t="shared" si="140"/>
        <v>0</v>
      </c>
      <c r="BJ246" s="3083">
        <f t="shared" si="141"/>
        <v>0</v>
      </c>
      <c r="BK246" s="3083">
        <f t="shared" si="142"/>
        <v>0</v>
      </c>
      <c r="BL246" s="3083">
        <f t="shared" si="143"/>
        <v>0</v>
      </c>
      <c r="BM246" s="3083">
        <f t="shared" si="144"/>
        <v>0</v>
      </c>
      <c r="BN246" s="3083">
        <f t="shared" si="145"/>
        <v>0</v>
      </c>
      <c r="BO246" s="3083">
        <f t="shared" si="146"/>
        <v>0</v>
      </c>
      <c r="BP246" s="3083">
        <f t="shared" si="147"/>
        <v>0</v>
      </c>
      <c r="BQ246" s="3083">
        <f t="shared" si="148"/>
        <v>0</v>
      </c>
      <c r="BR246" s="3083">
        <f t="shared" si="149"/>
        <v>0</v>
      </c>
      <c r="BS246" s="3083">
        <f t="shared" si="150"/>
        <v>0</v>
      </c>
      <c r="BT246" s="3135">
        <f t="shared" si="151"/>
        <v>0</v>
      </c>
    </row>
    <row r="247" spans="1:72">
      <c r="A247" s="3080"/>
      <c r="B247" s="3081"/>
      <c r="C247" s="3081"/>
      <c r="D247" s="3082"/>
      <c r="E247" s="3083">
        <f t="shared" si="123"/>
        <v>0</v>
      </c>
      <c r="F247" s="3084"/>
      <c r="G247" s="3085">
        <f t="shared" si="124"/>
        <v>0</v>
      </c>
      <c r="H247" s="3086">
        <f t="shared" si="125"/>
        <v>0</v>
      </c>
      <c r="I247" s="3093"/>
      <c r="J247" s="3093"/>
      <c r="K247" s="3093"/>
      <c r="L247" s="3093"/>
      <c r="M247" s="3093"/>
      <c r="N247" s="3093"/>
      <c r="O247" s="3093"/>
      <c r="P247" s="3093"/>
      <c r="Q247" s="3093"/>
      <c r="R247" s="3093"/>
      <c r="S247" s="3093"/>
      <c r="T247" s="3093"/>
      <c r="U247" s="3093"/>
      <c r="V247" s="3093"/>
      <c r="W247" s="3093"/>
      <c r="X247" s="3093"/>
      <c r="Y247" s="3093"/>
      <c r="Z247" s="3093"/>
      <c r="AA247" s="3093"/>
      <c r="AB247" s="3093"/>
      <c r="AC247" s="3083">
        <f t="shared" si="126"/>
        <v>0</v>
      </c>
      <c r="AD247" s="3103"/>
      <c r="AE247" s="3103"/>
      <c r="AF247" s="3103"/>
      <c r="AG247" s="3103"/>
      <c r="AH247" s="3103"/>
      <c r="AI247" s="3103"/>
      <c r="AJ247" s="3103"/>
      <c r="AK247" s="3103"/>
      <c r="AL247" s="3103"/>
      <c r="AM247" s="3103"/>
      <c r="AN247" s="3103"/>
      <c r="AO247" s="3103"/>
      <c r="AP247" s="3103"/>
      <c r="AQ247" s="3103"/>
      <c r="AR247" s="3103"/>
      <c r="AS247" s="3103"/>
      <c r="AT247" s="3113"/>
      <c r="AU247" s="3114"/>
      <c r="AV247" s="1580">
        <f t="shared" si="127"/>
        <v>0</v>
      </c>
      <c r="AW247" s="1580">
        <f t="shared" si="128"/>
        <v>0</v>
      </c>
      <c r="AX247" s="1580">
        <f t="shared" si="129"/>
        <v>0</v>
      </c>
      <c r="AY247" s="3128">
        <f t="shared" si="130"/>
        <v>0</v>
      </c>
      <c r="AZ247" s="3083">
        <f t="shared" si="131"/>
        <v>0</v>
      </c>
      <c r="BA247" s="3083">
        <f t="shared" si="132"/>
        <v>0</v>
      </c>
      <c r="BB247" s="3083">
        <f t="shared" si="133"/>
        <v>0</v>
      </c>
      <c r="BC247" s="3083">
        <f t="shared" si="134"/>
        <v>0</v>
      </c>
      <c r="BD247" s="3083">
        <f t="shared" si="135"/>
        <v>0</v>
      </c>
      <c r="BE247" s="3083">
        <f t="shared" si="136"/>
        <v>0</v>
      </c>
      <c r="BF247" s="3083">
        <f t="shared" si="137"/>
        <v>0</v>
      </c>
      <c r="BG247" s="3083">
        <f t="shared" si="138"/>
        <v>0</v>
      </c>
      <c r="BH247" s="3083">
        <f t="shared" si="139"/>
        <v>0</v>
      </c>
      <c r="BI247" s="3083">
        <f t="shared" si="140"/>
        <v>0</v>
      </c>
      <c r="BJ247" s="3083">
        <f t="shared" si="141"/>
        <v>0</v>
      </c>
      <c r="BK247" s="3083">
        <f t="shared" si="142"/>
        <v>0</v>
      </c>
      <c r="BL247" s="3083">
        <f t="shared" si="143"/>
        <v>0</v>
      </c>
      <c r="BM247" s="3083">
        <f t="shared" si="144"/>
        <v>0</v>
      </c>
      <c r="BN247" s="3083">
        <f t="shared" si="145"/>
        <v>0</v>
      </c>
      <c r="BO247" s="3083">
        <f t="shared" si="146"/>
        <v>0</v>
      </c>
      <c r="BP247" s="3083">
        <f t="shared" si="147"/>
        <v>0</v>
      </c>
      <c r="BQ247" s="3083">
        <f t="shared" si="148"/>
        <v>0</v>
      </c>
      <c r="BR247" s="3083">
        <f t="shared" si="149"/>
        <v>0</v>
      </c>
      <c r="BS247" s="3083">
        <f t="shared" si="150"/>
        <v>0</v>
      </c>
      <c r="BT247" s="3135">
        <f t="shared" si="151"/>
        <v>0</v>
      </c>
    </row>
    <row r="248" spans="1:72">
      <c r="A248" s="3080"/>
      <c r="B248" s="3081"/>
      <c r="C248" s="3081"/>
      <c r="D248" s="3082"/>
      <c r="E248" s="3083">
        <f t="shared" si="123"/>
        <v>0</v>
      </c>
      <c r="F248" s="3084"/>
      <c r="G248" s="3085">
        <f t="shared" si="124"/>
        <v>0</v>
      </c>
      <c r="H248" s="3086">
        <f t="shared" si="125"/>
        <v>0</v>
      </c>
      <c r="I248" s="3093"/>
      <c r="J248" s="3093"/>
      <c r="K248" s="3093"/>
      <c r="L248" s="3093"/>
      <c r="M248" s="3093"/>
      <c r="N248" s="3093"/>
      <c r="O248" s="3093"/>
      <c r="P248" s="3093"/>
      <c r="Q248" s="3093"/>
      <c r="R248" s="3093"/>
      <c r="S248" s="3093"/>
      <c r="T248" s="3093"/>
      <c r="U248" s="3093"/>
      <c r="V248" s="3093"/>
      <c r="W248" s="3093"/>
      <c r="X248" s="3093"/>
      <c r="Y248" s="3093"/>
      <c r="Z248" s="3093"/>
      <c r="AA248" s="3093"/>
      <c r="AB248" s="3093"/>
      <c r="AC248" s="3083">
        <f t="shared" si="126"/>
        <v>0</v>
      </c>
      <c r="AD248" s="3103"/>
      <c r="AE248" s="3103"/>
      <c r="AF248" s="3103"/>
      <c r="AG248" s="3103"/>
      <c r="AH248" s="3103"/>
      <c r="AI248" s="3103"/>
      <c r="AJ248" s="3103"/>
      <c r="AK248" s="3103"/>
      <c r="AL248" s="3103"/>
      <c r="AM248" s="3103"/>
      <c r="AN248" s="3103"/>
      <c r="AO248" s="3103"/>
      <c r="AP248" s="3103"/>
      <c r="AQ248" s="3103"/>
      <c r="AR248" s="3103"/>
      <c r="AS248" s="3103"/>
      <c r="AT248" s="3113"/>
      <c r="AU248" s="3114"/>
      <c r="AV248" s="1580">
        <f t="shared" si="127"/>
        <v>0</v>
      </c>
      <c r="AW248" s="1580">
        <f t="shared" si="128"/>
        <v>0</v>
      </c>
      <c r="AX248" s="1580">
        <f t="shared" si="129"/>
        <v>0</v>
      </c>
      <c r="AY248" s="3128">
        <f t="shared" si="130"/>
        <v>0</v>
      </c>
      <c r="AZ248" s="3083">
        <f t="shared" si="131"/>
        <v>0</v>
      </c>
      <c r="BA248" s="3083">
        <f t="shared" si="132"/>
        <v>0</v>
      </c>
      <c r="BB248" s="3083">
        <f t="shared" si="133"/>
        <v>0</v>
      </c>
      <c r="BC248" s="3083">
        <f t="shared" si="134"/>
        <v>0</v>
      </c>
      <c r="BD248" s="3083">
        <f t="shared" si="135"/>
        <v>0</v>
      </c>
      <c r="BE248" s="3083">
        <f t="shared" si="136"/>
        <v>0</v>
      </c>
      <c r="BF248" s="3083">
        <f t="shared" si="137"/>
        <v>0</v>
      </c>
      <c r="BG248" s="3083">
        <f t="shared" si="138"/>
        <v>0</v>
      </c>
      <c r="BH248" s="3083">
        <f t="shared" si="139"/>
        <v>0</v>
      </c>
      <c r="BI248" s="3083">
        <f t="shared" si="140"/>
        <v>0</v>
      </c>
      <c r="BJ248" s="3083">
        <f t="shared" si="141"/>
        <v>0</v>
      </c>
      <c r="BK248" s="3083">
        <f t="shared" si="142"/>
        <v>0</v>
      </c>
      <c r="BL248" s="3083">
        <f t="shared" si="143"/>
        <v>0</v>
      </c>
      <c r="BM248" s="3083">
        <f t="shared" si="144"/>
        <v>0</v>
      </c>
      <c r="BN248" s="3083">
        <f t="shared" si="145"/>
        <v>0</v>
      </c>
      <c r="BO248" s="3083">
        <f t="shared" si="146"/>
        <v>0</v>
      </c>
      <c r="BP248" s="3083">
        <f t="shared" si="147"/>
        <v>0</v>
      </c>
      <c r="BQ248" s="3083">
        <f t="shared" si="148"/>
        <v>0</v>
      </c>
      <c r="BR248" s="3083">
        <f t="shared" si="149"/>
        <v>0</v>
      </c>
      <c r="BS248" s="3083">
        <f t="shared" si="150"/>
        <v>0</v>
      </c>
      <c r="BT248" s="3135">
        <f t="shared" si="151"/>
        <v>0</v>
      </c>
    </row>
    <row r="249" spans="1:72">
      <c r="A249" s="3080"/>
      <c r="B249" s="3081"/>
      <c r="C249" s="3081"/>
      <c r="D249" s="3082"/>
      <c r="E249" s="3083">
        <f t="shared" si="123"/>
        <v>0</v>
      </c>
      <c r="F249" s="3084"/>
      <c r="G249" s="3085">
        <f t="shared" si="124"/>
        <v>0</v>
      </c>
      <c r="H249" s="3086">
        <f t="shared" si="125"/>
        <v>0</v>
      </c>
      <c r="I249" s="3093"/>
      <c r="J249" s="3093"/>
      <c r="K249" s="3093"/>
      <c r="L249" s="3093"/>
      <c r="M249" s="3093"/>
      <c r="N249" s="3093"/>
      <c r="O249" s="3093"/>
      <c r="P249" s="3093"/>
      <c r="Q249" s="3093"/>
      <c r="R249" s="3093"/>
      <c r="S249" s="3093"/>
      <c r="T249" s="3093"/>
      <c r="U249" s="3093"/>
      <c r="V249" s="3093"/>
      <c r="W249" s="3093"/>
      <c r="X249" s="3093"/>
      <c r="Y249" s="3093"/>
      <c r="Z249" s="3093"/>
      <c r="AA249" s="3093"/>
      <c r="AB249" s="3093"/>
      <c r="AC249" s="3083">
        <f t="shared" si="126"/>
        <v>0</v>
      </c>
      <c r="AD249" s="3103"/>
      <c r="AE249" s="3103"/>
      <c r="AF249" s="3103"/>
      <c r="AG249" s="3103"/>
      <c r="AH249" s="3103"/>
      <c r="AI249" s="3103"/>
      <c r="AJ249" s="3103"/>
      <c r="AK249" s="3103"/>
      <c r="AL249" s="3103"/>
      <c r="AM249" s="3103"/>
      <c r="AN249" s="3103"/>
      <c r="AO249" s="3103"/>
      <c r="AP249" s="3103"/>
      <c r="AQ249" s="3103"/>
      <c r="AR249" s="3103"/>
      <c r="AS249" s="3103"/>
      <c r="AT249" s="3113"/>
      <c r="AU249" s="3114"/>
      <c r="AV249" s="1580">
        <f t="shared" si="127"/>
        <v>0</v>
      </c>
      <c r="AW249" s="1580">
        <f t="shared" si="128"/>
        <v>0</v>
      </c>
      <c r="AX249" s="1580">
        <f t="shared" si="129"/>
        <v>0</v>
      </c>
      <c r="AY249" s="3128">
        <f t="shared" si="130"/>
        <v>0</v>
      </c>
      <c r="AZ249" s="3083">
        <f t="shared" si="131"/>
        <v>0</v>
      </c>
      <c r="BA249" s="3083">
        <f t="shared" si="132"/>
        <v>0</v>
      </c>
      <c r="BB249" s="3083">
        <f t="shared" si="133"/>
        <v>0</v>
      </c>
      <c r="BC249" s="3083">
        <f t="shared" si="134"/>
        <v>0</v>
      </c>
      <c r="BD249" s="3083">
        <f t="shared" si="135"/>
        <v>0</v>
      </c>
      <c r="BE249" s="3083">
        <f t="shared" si="136"/>
        <v>0</v>
      </c>
      <c r="BF249" s="3083">
        <f t="shared" si="137"/>
        <v>0</v>
      </c>
      <c r="BG249" s="3083">
        <f t="shared" si="138"/>
        <v>0</v>
      </c>
      <c r="BH249" s="3083">
        <f t="shared" si="139"/>
        <v>0</v>
      </c>
      <c r="BI249" s="3083">
        <f t="shared" si="140"/>
        <v>0</v>
      </c>
      <c r="BJ249" s="3083">
        <f t="shared" si="141"/>
        <v>0</v>
      </c>
      <c r="BK249" s="3083">
        <f t="shared" si="142"/>
        <v>0</v>
      </c>
      <c r="BL249" s="3083">
        <f t="shared" si="143"/>
        <v>0</v>
      </c>
      <c r="BM249" s="3083">
        <f t="shared" si="144"/>
        <v>0</v>
      </c>
      <c r="BN249" s="3083">
        <f t="shared" si="145"/>
        <v>0</v>
      </c>
      <c r="BO249" s="3083">
        <f t="shared" si="146"/>
        <v>0</v>
      </c>
      <c r="BP249" s="3083">
        <f t="shared" si="147"/>
        <v>0</v>
      </c>
      <c r="BQ249" s="3083">
        <f t="shared" si="148"/>
        <v>0</v>
      </c>
      <c r="BR249" s="3083">
        <f t="shared" si="149"/>
        <v>0</v>
      </c>
      <c r="BS249" s="3083">
        <f t="shared" si="150"/>
        <v>0</v>
      </c>
      <c r="BT249" s="3135">
        <f t="shared" si="151"/>
        <v>0</v>
      </c>
    </row>
    <row r="250" spans="1:72">
      <c r="A250" s="3080"/>
      <c r="B250" s="3081"/>
      <c r="C250" s="3081"/>
      <c r="D250" s="3082"/>
      <c r="E250" s="3083">
        <f t="shared" si="123"/>
        <v>0</v>
      </c>
      <c r="F250" s="3084"/>
      <c r="G250" s="3085">
        <f t="shared" si="124"/>
        <v>0</v>
      </c>
      <c r="H250" s="3086">
        <f t="shared" si="125"/>
        <v>0</v>
      </c>
      <c r="I250" s="3093"/>
      <c r="J250" s="3093"/>
      <c r="K250" s="3093"/>
      <c r="L250" s="3093"/>
      <c r="M250" s="3093"/>
      <c r="N250" s="3093"/>
      <c r="O250" s="3093"/>
      <c r="P250" s="3093"/>
      <c r="Q250" s="3093"/>
      <c r="R250" s="3093"/>
      <c r="S250" s="3093"/>
      <c r="T250" s="3093"/>
      <c r="U250" s="3093"/>
      <c r="V250" s="3093"/>
      <c r="W250" s="3093"/>
      <c r="X250" s="3093"/>
      <c r="Y250" s="3093"/>
      <c r="Z250" s="3093"/>
      <c r="AA250" s="3093"/>
      <c r="AB250" s="3093"/>
      <c r="AC250" s="3083">
        <f t="shared" si="126"/>
        <v>0</v>
      </c>
      <c r="AD250" s="3103"/>
      <c r="AE250" s="3103"/>
      <c r="AF250" s="3103"/>
      <c r="AG250" s="3103"/>
      <c r="AH250" s="3103"/>
      <c r="AI250" s="3103"/>
      <c r="AJ250" s="3103"/>
      <c r="AK250" s="3103"/>
      <c r="AL250" s="3103"/>
      <c r="AM250" s="3103"/>
      <c r="AN250" s="3103"/>
      <c r="AO250" s="3103"/>
      <c r="AP250" s="3103"/>
      <c r="AQ250" s="3103"/>
      <c r="AR250" s="3103"/>
      <c r="AS250" s="3103"/>
      <c r="AT250" s="3113"/>
      <c r="AU250" s="3114"/>
      <c r="AV250" s="1580">
        <f t="shared" si="127"/>
        <v>0</v>
      </c>
      <c r="AW250" s="1580">
        <f t="shared" si="128"/>
        <v>0</v>
      </c>
      <c r="AX250" s="1580">
        <f t="shared" si="129"/>
        <v>0</v>
      </c>
      <c r="AY250" s="3128">
        <f t="shared" si="130"/>
        <v>0</v>
      </c>
      <c r="AZ250" s="3083">
        <f t="shared" si="131"/>
        <v>0</v>
      </c>
      <c r="BA250" s="3083">
        <f t="shared" si="132"/>
        <v>0</v>
      </c>
      <c r="BB250" s="3083">
        <f t="shared" si="133"/>
        <v>0</v>
      </c>
      <c r="BC250" s="3083">
        <f t="shared" si="134"/>
        <v>0</v>
      </c>
      <c r="BD250" s="3083">
        <f t="shared" si="135"/>
        <v>0</v>
      </c>
      <c r="BE250" s="3083">
        <f t="shared" si="136"/>
        <v>0</v>
      </c>
      <c r="BF250" s="3083">
        <f t="shared" si="137"/>
        <v>0</v>
      </c>
      <c r="BG250" s="3083">
        <f t="shared" si="138"/>
        <v>0</v>
      </c>
      <c r="BH250" s="3083">
        <f t="shared" si="139"/>
        <v>0</v>
      </c>
      <c r="BI250" s="3083">
        <f t="shared" si="140"/>
        <v>0</v>
      </c>
      <c r="BJ250" s="3083">
        <f t="shared" si="141"/>
        <v>0</v>
      </c>
      <c r="BK250" s="3083">
        <f t="shared" si="142"/>
        <v>0</v>
      </c>
      <c r="BL250" s="3083">
        <f t="shared" si="143"/>
        <v>0</v>
      </c>
      <c r="BM250" s="3083">
        <f t="shared" si="144"/>
        <v>0</v>
      </c>
      <c r="BN250" s="3083">
        <f t="shared" si="145"/>
        <v>0</v>
      </c>
      <c r="BO250" s="3083">
        <f t="shared" si="146"/>
        <v>0</v>
      </c>
      <c r="BP250" s="3083">
        <f t="shared" si="147"/>
        <v>0</v>
      </c>
      <c r="BQ250" s="3083">
        <f t="shared" si="148"/>
        <v>0</v>
      </c>
      <c r="BR250" s="3083">
        <f t="shared" si="149"/>
        <v>0</v>
      </c>
      <c r="BS250" s="3083">
        <f t="shared" si="150"/>
        <v>0</v>
      </c>
      <c r="BT250" s="3135">
        <f t="shared" si="151"/>
        <v>0</v>
      </c>
    </row>
    <row r="251" spans="1:72">
      <c r="A251" s="3080"/>
      <c r="B251" s="3081"/>
      <c r="C251" s="3081"/>
      <c r="D251" s="3082"/>
      <c r="E251" s="3083">
        <f t="shared" si="123"/>
        <v>0</v>
      </c>
      <c r="F251" s="3084"/>
      <c r="G251" s="3085">
        <f t="shared" si="124"/>
        <v>0</v>
      </c>
      <c r="H251" s="3086">
        <f t="shared" si="125"/>
        <v>0</v>
      </c>
      <c r="I251" s="3093"/>
      <c r="J251" s="3093"/>
      <c r="K251" s="3093"/>
      <c r="L251" s="3093"/>
      <c r="M251" s="3093"/>
      <c r="N251" s="3093"/>
      <c r="O251" s="3093"/>
      <c r="P251" s="3093"/>
      <c r="Q251" s="3093"/>
      <c r="R251" s="3093"/>
      <c r="S251" s="3093"/>
      <c r="T251" s="3093"/>
      <c r="U251" s="3093"/>
      <c r="V251" s="3093"/>
      <c r="W251" s="3093"/>
      <c r="X251" s="3093"/>
      <c r="Y251" s="3093"/>
      <c r="Z251" s="3093"/>
      <c r="AA251" s="3093"/>
      <c r="AB251" s="3093"/>
      <c r="AC251" s="3083">
        <f t="shared" si="126"/>
        <v>0</v>
      </c>
      <c r="AD251" s="3103"/>
      <c r="AE251" s="3103"/>
      <c r="AF251" s="3103"/>
      <c r="AG251" s="3103"/>
      <c r="AH251" s="3103"/>
      <c r="AI251" s="3103"/>
      <c r="AJ251" s="3103"/>
      <c r="AK251" s="3103"/>
      <c r="AL251" s="3103"/>
      <c r="AM251" s="3103"/>
      <c r="AN251" s="3103"/>
      <c r="AO251" s="3103"/>
      <c r="AP251" s="3103"/>
      <c r="AQ251" s="3103"/>
      <c r="AR251" s="3103"/>
      <c r="AS251" s="3103"/>
      <c r="AT251" s="3113"/>
      <c r="AU251" s="3114"/>
      <c r="AV251" s="1580">
        <f t="shared" si="127"/>
        <v>0</v>
      </c>
      <c r="AW251" s="1580">
        <f t="shared" si="128"/>
        <v>0</v>
      </c>
      <c r="AX251" s="1580">
        <f t="shared" si="129"/>
        <v>0</v>
      </c>
      <c r="AY251" s="3128">
        <f t="shared" si="130"/>
        <v>0</v>
      </c>
      <c r="AZ251" s="3083">
        <f t="shared" si="131"/>
        <v>0</v>
      </c>
      <c r="BA251" s="3083">
        <f t="shared" si="132"/>
        <v>0</v>
      </c>
      <c r="BB251" s="3083">
        <f t="shared" si="133"/>
        <v>0</v>
      </c>
      <c r="BC251" s="3083">
        <f t="shared" si="134"/>
        <v>0</v>
      </c>
      <c r="BD251" s="3083">
        <f t="shared" si="135"/>
        <v>0</v>
      </c>
      <c r="BE251" s="3083">
        <f t="shared" si="136"/>
        <v>0</v>
      </c>
      <c r="BF251" s="3083">
        <f t="shared" si="137"/>
        <v>0</v>
      </c>
      <c r="BG251" s="3083">
        <f t="shared" si="138"/>
        <v>0</v>
      </c>
      <c r="BH251" s="3083">
        <f t="shared" si="139"/>
        <v>0</v>
      </c>
      <c r="BI251" s="3083">
        <f t="shared" si="140"/>
        <v>0</v>
      </c>
      <c r="BJ251" s="3083">
        <f t="shared" si="141"/>
        <v>0</v>
      </c>
      <c r="BK251" s="3083">
        <f t="shared" si="142"/>
        <v>0</v>
      </c>
      <c r="BL251" s="3083">
        <f t="shared" si="143"/>
        <v>0</v>
      </c>
      <c r="BM251" s="3083">
        <f t="shared" si="144"/>
        <v>0</v>
      </c>
      <c r="BN251" s="3083">
        <f t="shared" si="145"/>
        <v>0</v>
      </c>
      <c r="BO251" s="3083">
        <f t="shared" si="146"/>
        <v>0</v>
      </c>
      <c r="BP251" s="3083">
        <f t="shared" si="147"/>
        <v>0</v>
      </c>
      <c r="BQ251" s="3083">
        <f t="shared" si="148"/>
        <v>0</v>
      </c>
      <c r="BR251" s="3083">
        <f t="shared" si="149"/>
        <v>0</v>
      </c>
      <c r="BS251" s="3083">
        <f t="shared" si="150"/>
        <v>0</v>
      </c>
      <c r="BT251" s="3135">
        <f t="shared" si="151"/>
        <v>0</v>
      </c>
    </row>
    <row r="252" spans="1:72">
      <c r="A252" s="3080"/>
      <c r="B252" s="3081"/>
      <c r="C252" s="3081"/>
      <c r="D252" s="3082"/>
      <c r="E252" s="3083">
        <f t="shared" si="123"/>
        <v>0</v>
      </c>
      <c r="F252" s="3084"/>
      <c r="G252" s="3085">
        <f t="shared" si="124"/>
        <v>0</v>
      </c>
      <c r="H252" s="3086">
        <f t="shared" si="125"/>
        <v>0</v>
      </c>
      <c r="I252" s="3093"/>
      <c r="J252" s="3093"/>
      <c r="K252" s="3093"/>
      <c r="L252" s="3093"/>
      <c r="M252" s="3093"/>
      <c r="N252" s="3093"/>
      <c r="O252" s="3093"/>
      <c r="P252" s="3093"/>
      <c r="Q252" s="3093"/>
      <c r="R252" s="3093"/>
      <c r="S252" s="3093"/>
      <c r="T252" s="3093"/>
      <c r="U252" s="3093"/>
      <c r="V252" s="3093"/>
      <c r="W252" s="3093"/>
      <c r="X252" s="3093"/>
      <c r="Y252" s="3093"/>
      <c r="Z252" s="3093"/>
      <c r="AA252" s="3093"/>
      <c r="AB252" s="3093"/>
      <c r="AC252" s="3083">
        <f t="shared" si="126"/>
        <v>0</v>
      </c>
      <c r="AD252" s="3103"/>
      <c r="AE252" s="3103"/>
      <c r="AF252" s="3103"/>
      <c r="AG252" s="3103"/>
      <c r="AH252" s="3103"/>
      <c r="AI252" s="3103"/>
      <c r="AJ252" s="3103"/>
      <c r="AK252" s="3103"/>
      <c r="AL252" s="3103"/>
      <c r="AM252" s="3103"/>
      <c r="AN252" s="3103"/>
      <c r="AO252" s="3103"/>
      <c r="AP252" s="3103"/>
      <c r="AQ252" s="3103"/>
      <c r="AR252" s="3103"/>
      <c r="AS252" s="3103"/>
      <c r="AT252" s="3113"/>
      <c r="AU252" s="3114"/>
      <c r="AV252" s="1580">
        <f t="shared" si="127"/>
        <v>0</v>
      </c>
      <c r="AW252" s="1580">
        <f t="shared" si="128"/>
        <v>0</v>
      </c>
      <c r="AX252" s="1580">
        <f t="shared" si="129"/>
        <v>0</v>
      </c>
      <c r="AY252" s="3128">
        <f t="shared" si="130"/>
        <v>0</v>
      </c>
      <c r="AZ252" s="3083">
        <f t="shared" si="131"/>
        <v>0</v>
      </c>
      <c r="BA252" s="3083">
        <f t="shared" si="132"/>
        <v>0</v>
      </c>
      <c r="BB252" s="3083">
        <f t="shared" si="133"/>
        <v>0</v>
      </c>
      <c r="BC252" s="3083">
        <f t="shared" si="134"/>
        <v>0</v>
      </c>
      <c r="BD252" s="3083">
        <f t="shared" si="135"/>
        <v>0</v>
      </c>
      <c r="BE252" s="3083">
        <f t="shared" si="136"/>
        <v>0</v>
      </c>
      <c r="BF252" s="3083">
        <f t="shared" si="137"/>
        <v>0</v>
      </c>
      <c r="BG252" s="3083">
        <f t="shared" si="138"/>
        <v>0</v>
      </c>
      <c r="BH252" s="3083">
        <f t="shared" si="139"/>
        <v>0</v>
      </c>
      <c r="BI252" s="3083">
        <f t="shared" si="140"/>
        <v>0</v>
      </c>
      <c r="BJ252" s="3083">
        <f t="shared" si="141"/>
        <v>0</v>
      </c>
      <c r="BK252" s="3083">
        <f t="shared" si="142"/>
        <v>0</v>
      </c>
      <c r="BL252" s="3083">
        <f t="shared" si="143"/>
        <v>0</v>
      </c>
      <c r="BM252" s="3083">
        <f t="shared" si="144"/>
        <v>0</v>
      </c>
      <c r="BN252" s="3083">
        <f t="shared" si="145"/>
        <v>0</v>
      </c>
      <c r="BO252" s="3083">
        <f t="shared" si="146"/>
        <v>0</v>
      </c>
      <c r="BP252" s="3083">
        <f t="shared" si="147"/>
        <v>0</v>
      </c>
      <c r="BQ252" s="3083">
        <f t="shared" si="148"/>
        <v>0</v>
      </c>
      <c r="BR252" s="3083">
        <f t="shared" si="149"/>
        <v>0</v>
      </c>
      <c r="BS252" s="3083">
        <f t="shared" si="150"/>
        <v>0</v>
      </c>
      <c r="BT252" s="3135">
        <f t="shared" si="151"/>
        <v>0</v>
      </c>
    </row>
    <row r="253" spans="1:72">
      <c r="A253" s="3080"/>
      <c r="B253" s="3081"/>
      <c r="C253" s="3081"/>
      <c r="D253" s="3082"/>
      <c r="E253" s="3083">
        <f t="shared" si="123"/>
        <v>0</v>
      </c>
      <c r="F253" s="3084"/>
      <c r="G253" s="3085">
        <f t="shared" si="124"/>
        <v>0</v>
      </c>
      <c r="H253" s="3086">
        <f t="shared" si="125"/>
        <v>0</v>
      </c>
      <c r="I253" s="3093"/>
      <c r="J253" s="3093"/>
      <c r="K253" s="3093"/>
      <c r="L253" s="3093"/>
      <c r="M253" s="3093"/>
      <c r="N253" s="3093"/>
      <c r="O253" s="3093"/>
      <c r="P253" s="3093"/>
      <c r="Q253" s="3093"/>
      <c r="R253" s="3093"/>
      <c r="S253" s="3093"/>
      <c r="T253" s="3093"/>
      <c r="U253" s="3093"/>
      <c r="V253" s="3093"/>
      <c r="W253" s="3093"/>
      <c r="X253" s="3093"/>
      <c r="Y253" s="3093"/>
      <c r="Z253" s="3093"/>
      <c r="AA253" s="3093"/>
      <c r="AB253" s="3093"/>
      <c r="AC253" s="3083">
        <f t="shared" si="126"/>
        <v>0</v>
      </c>
      <c r="AD253" s="3103"/>
      <c r="AE253" s="3103"/>
      <c r="AF253" s="3103"/>
      <c r="AG253" s="3103"/>
      <c r="AH253" s="3103"/>
      <c r="AI253" s="3103"/>
      <c r="AJ253" s="3103"/>
      <c r="AK253" s="3103"/>
      <c r="AL253" s="3103"/>
      <c r="AM253" s="3103"/>
      <c r="AN253" s="3103"/>
      <c r="AO253" s="3103"/>
      <c r="AP253" s="3103"/>
      <c r="AQ253" s="3103"/>
      <c r="AR253" s="3103"/>
      <c r="AS253" s="3103"/>
      <c r="AT253" s="3113"/>
      <c r="AU253" s="3114"/>
      <c r="AV253" s="1580">
        <f t="shared" si="127"/>
        <v>0</v>
      </c>
      <c r="AW253" s="1580">
        <f t="shared" si="128"/>
        <v>0</v>
      </c>
      <c r="AX253" s="1580">
        <f t="shared" si="129"/>
        <v>0</v>
      </c>
      <c r="AY253" s="3128">
        <f t="shared" si="130"/>
        <v>0</v>
      </c>
      <c r="AZ253" s="3083">
        <f t="shared" si="131"/>
        <v>0</v>
      </c>
      <c r="BA253" s="3083">
        <f t="shared" si="132"/>
        <v>0</v>
      </c>
      <c r="BB253" s="3083">
        <f t="shared" si="133"/>
        <v>0</v>
      </c>
      <c r="BC253" s="3083">
        <f t="shared" si="134"/>
        <v>0</v>
      </c>
      <c r="BD253" s="3083">
        <f t="shared" si="135"/>
        <v>0</v>
      </c>
      <c r="BE253" s="3083">
        <f t="shared" si="136"/>
        <v>0</v>
      </c>
      <c r="BF253" s="3083">
        <f t="shared" si="137"/>
        <v>0</v>
      </c>
      <c r="BG253" s="3083">
        <f t="shared" si="138"/>
        <v>0</v>
      </c>
      <c r="BH253" s="3083">
        <f t="shared" si="139"/>
        <v>0</v>
      </c>
      <c r="BI253" s="3083">
        <f t="shared" si="140"/>
        <v>0</v>
      </c>
      <c r="BJ253" s="3083">
        <f t="shared" si="141"/>
        <v>0</v>
      </c>
      <c r="BK253" s="3083">
        <f t="shared" si="142"/>
        <v>0</v>
      </c>
      <c r="BL253" s="3083">
        <f t="shared" si="143"/>
        <v>0</v>
      </c>
      <c r="BM253" s="3083">
        <f t="shared" si="144"/>
        <v>0</v>
      </c>
      <c r="BN253" s="3083">
        <f t="shared" si="145"/>
        <v>0</v>
      </c>
      <c r="BO253" s="3083">
        <f t="shared" si="146"/>
        <v>0</v>
      </c>
      <c r="BP253" s="3083">
        <f t="shared" si="147"/>
        <v>0</v>
      </c>
      <c r="BQ253" s="3083">
        <f t="shared" si="148"/>
        <v>0</v>
      </c>
      <c r="BR253" s="3083">
        <f t="shared" si="149"/>
        <v>0</v>
      </c>
      <c r="BS253" s="3083">
        <f t="shared" si="150"/>
        <v>0</v>
      </c>
      <c r="BT253" s="3135">
        <f t="shared" si="151"/>
        <v>0</v>
      </c>
    </row>
    <row r="254" spans="1:72">
      <c r="A254" s="3080"/>
      <c r="B254" s="3081"/>
      <c r="C254" s="3081"/>
      <c r="D254" s="3082"/>
      <c r="E254" s="3083">
        <f t="shared" si="123"/>
        <v>0</v>
      </c>
      <c r="F254" s="3084"/>
      <c r="G254" s="3085">
        <f t="shared" si="124"/>
        <v>0</v>
      </c>
      <c r="H254" s="3086">
        <f t="shared" si="125"/>
        <v>0</v>
      </c>
      <c r="I254" s="3093"/>
      <c r="J254" s="3093"/>
      <c r="K254" s="3093"/>
      <c r="L254" s="3093"/>
      <c r="M254" s="3093"/>
      <c r="N254" s="3093"/>
      <c r="O254" s="3093"/>
      <c r="P254" s="3093"/>
      <c r="Q254" s="3093"/>
      <c r="R254" s="3093"/>
      <c r="S254" s="3093"/>
      <c r="T254" s="3093"/>
      <c r="U254" s="3093"/>
      <c r="V254" s="3093"/>
      <c r="W254" s="3093"/>
      <c r="X254" s="3093"/>
      <c r="Y254" s="3093"/>
      <c r="Z254" s="3093"/>
      <c r="AA254" s="3093"/>
      <c r="AB254" s="3093"/>
      <c r="AC254" s="3083">
        <f t="shared" si="126"/>
        <v>0</v>
      </c>
      <c r="AD254" s="3103"/>
      <c r="AE254" s="3103"/>
      <c r="AF254" s="3103"/>
      <c r="AG254" s="3103"/>
      <c r="AH254" s="3103"/>
      <c r="AI254" s="3103"/>
      <c r="AJ254" s="3103"/>
      <c r="AK254" s="3103"/>
      <c r="AL254" s="3103"/>
      <c r="AM254" s="3103"/>
      <c r="AN254" s="3103"/>
      <c r="AO254" s="3103"/>
      <c r="AP254" s="3103"/>
      <c r="AQ254" s="3103"/>
      <c r="AR254" s="3103"/>
      <c r="AS254" s="3103"/>
      <c r="AT254" s="3113"/>
      <c r="AU254" s="3114"/>
      <c r="AV254" s="1580">
        <f t="shared" si="127"/>
        <v>0</v>
      </c>
      <c r="AW254" s="1580">
        <f t="shared" si="128"/>
        <v>0</v>
      </c>
      <c r="AX254" s="1580">
        <f t="shared" si="129"/>
        <v>0</v>
      </c>
      <c r="AY254" s="3128">
        <f t="shared" si="130"/>
        <v>0</v>
      </c>
      <c r="AZ254" s="3083">
        <f t="shared" si="131"/>
        <v>0</v>
      </c>
      <c r="BA254" s="3083">
        <f t="shared" si="132"/>
        <v>0</v>
      </c>
      <c r="BB254" s="3083">
        <f t="shared" si="133"/>
        <v>0</v>
      </c>
      <c r="BC254" s="3083">
        <f t="shared" si="134"/>
        <v>0</v>
      </c>
      <c r="BD254" s="3083">
        <f t="shared" si="135"/>
        <v>0</v>
      </c>
      <c r="BE254" s="3083">
        <f t="shared" si="136"/>
        <v>0</v>
      </c>
      <c r="BF254" s="3083">
        <f t="shared" si="137"/>
        <v>0</v>
      </c>
      <c r="BG254" s="3083">
        <f t="shared" si="138"/>
        <v>0</v>
      </c>
      <c r="BH254" s="3083">
        <f t="shared" si="139"/>
        <v>0</v>
      </c>
      <c r="BI254" s="3083">
        <f t="shared" si="140"/>
        <v>0</v>
      </c>
      <c r="BJ254" s="3083">
        <f t="shared" si="141"/>
        <v>0</v>
      </c>
      <c r="BK254" s="3083">
        <f t="shared" si="142"/>
        <v>0</v>
      </c>
      <c r="BL254" s="3083">
        <f t="shared" si="143"/>
        <v>0</v>
      </c>
      <c r="BM254" s="3083">
        <f t="shared" si="144"/>
        <v>0</v>
      </c>
      <c r="BN254" s="3083">
        <f t="shared" si="145"/>
        <v>0</v>
      </c>
      <c r="BO254" s="3083">
        <f t="shared" si="146"/>
        <v>0</v>
      </c>
      <c r="BP254" s="3083">
        <f t="shared" si="147"/>
        <v>0</v>
      </c>
      <c r="BQ254" s="3083">
        <f t="shared" si="148"/>
        <v>0</v>
      </c>
      <c r="BR254" s="3083">
        <f t="shared" si="149"/>
        <v>0</v>
      </c>
      <c r="BS254" s="3083">
        <f t="shared" si="150"/>
        <v>0</v>
      </c>
      <c r="BT254" s="3135">
        <f t="shared" si="151"/>
        <v>0</v>
      </c>
    </row>
    <row r="255" spans="1:72">
      <c r="A255" s="3080"/>
      <c r="B255" s="3081"/>
      <c r="C255" s="3081"/>
      <c r="D255" s="3082"/>
      <c r="E255" s="3083">
        <f t="shared" si="123"/>
        <v>0</v>
      </c>
      <c r="F255" s="3084"/>
      <c r="G255" s="3085">
        <f t="shared" si="124"/>
        <v>0</v>
      </c>
      <c r="H255" s="3086">
        <f t="shared" si="125"/>
        <v>0</v>
      </c>
      <c r="I255" s="3093"/>
      <c r="J255" s="3093"/>
      <c r="K255" s="3093"/>
      <c r="L255" s="3093"/>
      <c r="M255" s="3093"/>
      <c r="N255" s="3093"/>
      <c r="O255" s="3093"/>
      <c r="P255" s="3093"/>
      <c r="Q255" s="3093"/>
      <c r="R255" s="3093"/>
      <c r="S255" s="3093"/>
      <c r="T255" s="3093"/>
      <c r="U255" s="3093"/>
      <c r="V255" s="3093"/>
      <c r="W255" s="3093"/>
      <c r="X255" s="3093"/>
      <c r="Y255" s="3093"/>
      <c r="Z255" s="3093"/>
      <c r="AA255" s="3093"/>
      <c r="AB255" s="3093"/>
      <c r="AC255" s="3083">
        <f t="shared" si="126"/>
        <v>0</v>
      </c>
      <c r="AD255" s="3103"/>
      <c r="AE255" s="3103"/>
      <c r="AF255" s="3103"/>
      <c r="AG255" s="3103"/>
      <c r="AH255" s="3103"/>
      <c r="AI255" s="3103"/>
      <c r="AJ255" s="3103"/>
      <c r="AK255" s="3103"/>
      <c r="AL255" s="3103"/>
      <c r="AM255" s="3103"/>
      <c r="AN255" s="3103"/>
      <c r="AO255" s="3103"/>
      <c r="AP255" s="3103"/>
      <c r="AQ255" s="3103"/>
      <c r="AR255" s="3103"/>
      <c r="AS255" s="3103"/>
      <c r="AT255" s="3113"/>
      <c r="AU255" s="3114"/>
      <c r="AV255" s="1580">
        <f t="shared" si="127"/>
        <v>0</v>
      </c>
      <c r="AW255" s="1580">
        <f t="shared" si="128"/>
        <v>0</v>
      </c>
      <c r="AX255" s="1580">
        <f t="shared" si="129"/>
        <v>0</v>
      </c>
      <c r="AY255" s="3128">
        <f t="shared" si="130"/>
        <v>0</v>
      </c>
      <c r="AZ255" s="3083">
        <f t="shared" si="131"/>
        <v>0</v>
      </c>
      <c r="BA255" s="3083">
        <f t="shared" si="132"/>
        <v>0</v>
      </c>
      <c r="BB255" s="3083">
        <f t="shared" si="133"/>
        <v>0</v>
      </c>
      <c r="BC255" s="3083">
        <f t="shared" si="134"/>
        <v>0</v>
      </c>
      <c r="BD255" s="3083">
        <f t="shared" si="135"/>
        <v>0</v>
      </c>
      <c r="BE255" s="3083">
        <f t="shared" si="136"/>
        <v>0</v>
      </c>
      <c r="BF255" s="3083">
        <f t="shared" si="137"/>
        <v>0</v>
      </c>
      <c r="BG255" s="3083">
        <f t="shared" si="138"/>
        <v>0</v>
      </c>
      <c r="BH255" s="3083">
        <f t="shared" si="139"/>
        <v>0</v>
      </c>
      <c r="BI255" s="3083">
        <f t="shared" si="140"/>
        <v>0</v>
      </c>
      <c r="BJ255" s="3083">
        <f t="shared" si="141"/>
        <v>0</v>
      </c>
      <c r="BK255" s="3083">
        <f t="shared" si="142"/>
        <v>0</v>
      </c>
      <c r="BL255" s="3083">
        <f t="shared" si="143"/>
        <v>0</v>
      </c>
      <c r="BM255" s="3083">
        <f t="shared" si="144"/>
        <v>0</v>
      </c>
      <c r="BN255" s="3083">
        <f t="shared" si="145"/>
        <v>0</v>
      </c>
      <c r="BO255" s="3083">
        <f t="shared" si="146"/>
        <v>0</v>
      </c>
      <c r="BP255" s="3083">
        <f t="shared" si="147"/>
        <v>0</v>
      </c>
      <c r="BQ255" s="3083">
        <f t="shared" si="148"/>
        <v>0</v>
      </c>
      <c r="BR255" s="3083">
        <f t="shared" si="149"/>
        <v>0</v>
      </c>
      <c r="BS255" s="3083">
        <f t="shared" si="150"/>
        <v>0</v>
      </c>
      <c r="BT255" s="3135">
        <f t="shared" si="151"/>
        <v>0</v>
      </c>
    </row>
    <row r="256" spans="1:72">
      <c r="A256" s="3080"/>
      <c r="B256" s="3081"/>
      <c r="C256" s="3081"/>
      <c r="D256" s="3082"/>
      <c r="E256" s="3083">
        <f t="shared" si="123"/>
        <v>0</v>
      </c>
      <c r="F256" s="3084"/>
      <c r="G256" s="3085">
        <f t="shared" si="124"/>
        <v>0</v>
      </c>
      <c r="H256" s="3086">
        <f t="shared" si="125"/>
        <v>0</v>
      </c>
      <c r="I256" s="3093"/>
      <c r="J256" s="3093"/>
      <c r="K256" s="3093"/>
      <c r="L256" s="3093"/>
      <c r="M256" s="3093"/>
      <c r="N256" s="3093"/>
      <c r="O256" s="3093"/>
      <c r="P256" s="3093"/>
      <c r="Q256" s="3093"/>
      <c r="R256" s="3093"/>
      <c r="S256" s="3093"/>
      <c r="T256" s="3093"/>
      <c r="U256" s="3093"/>
      <c r="V256" s="3093"/>
      <c r="W256" s="3093"/>
      <c r="X256" s="3093"/>
      <c r="Y256" s="3093"/>
      <c r="Z256" s="3093"/>
      <c r="AA256" s="3093"/>
      <c r="AB256" s="3093"/>
      <c r="AC256" s="3083">
        <f t="shared" si="126"/>
        <v>0</v>
      </c>
      <c r="AD256" s="3103"/>
      <c r="AE256" s="3103"/>
      <c r="AF256" s="3103"/>
      <c r="AG256" s="3103"/>
      <c r="AH256" s="3103"/>
      <c r="AI256" s="3103"/>
      <c r="AJ256" s="3103"/>
      <c r="AK256" s="3103"/>
      <c r="AL256" s="3103"/>
      <c r="AM256" s="3103"/>
      <c r="AN256" s="3103"/>
      <c r="AO256" s="3103"/>
      <c r="AP256" s="3103"/>
      <c r="AQ256" s="3103"/>
      <c r="AR256" s="3103"/>
      <c r="AS256" s="3103"/>
      <c r="AT256" s="3113"/>
      <c r="AU256" s="3114"/>
      <c r="AV256" s="1580">
        <f t="shared" si="127"/>
        <v>0</v>
      </c>
      <c r="AW256" s="1580">
        <f t="shared" si="128"/>
        <v>0</v>
      </c>
      <c r="AX256" s="1580">
        <f t="shared" si="129"/>
        <v>0</v>
      </c>
      <c r="AY256" s="3128">
        <f t="shared" si="130"/>
        <v>0</v>
      </c>
      <c r="AZ256" s="3083">
        <f t="shared" si="131"/>
        <v>0</v>
      </c>
      <c r="BA256" s="3083">
        <f t="shared" si="132"/>
        <v>0</v>
      </c>
      <c r="BB256" s="3083">
        <f t="shared" si="133"/>
        <v>0</v>
      </c>
      <c r="BC256" s="3083">
        <f t="shared" si="134"/>
        <v>0</v>
      </c>
      <c r="BD256" s="3083">
        <f t="shared" si="135"/>
        <v>0</v>
      </c>
      <c r="BE256" s="3083">
        <f t="shared" si="136"/>
        <v>0</v>
      </c>
      <c r="BF256" s="3083">
        <f t="shared" si="137"/>
        <v>0</v>
      </c>
      <c r="BG256" s="3083">
        <f t="shared" si="138"/>
        <v>0</v>
      </c>
      <c r="BH256" s="3083">
        <f t="shared" si="139"/>
        <v>0</v>
      </c>
      <c r="BI256" s="3083">
        <f t="shared" si="140"/>
        <v>0</v>
      </c>
      <c r="BJ256" s="3083">
        <f t="shared" si="141"/>
        <v>0</v>
      </c>
      <c r="BK256" s="3083">
        <f t="shared" si="142"/>
        <v>0</v>
      </c>
      <c r="BL256" s="3083">
        <f t="shared" si="143"/>
        <v>0</v>
      </c>
      <c r="BM256" s="3083">
        <f t="shared" si="144"/>
        <v>0</v>
      </c>
      <c r="BN256" s="3083">
        <f t="shared" si="145"/>
        <v>0</v>
      </c>
      <c r="BO256" s="3083">
        <f t="shared" si="146"/>
        <v>0</v>
      </c>
      <c r="BP256" s="3083">
        <f t="shared" si="147"/>
        <v>0</v>
      </c>
      <c r="BQ256" s="3083">
        <f t="shared" si="148"/>
        <v>0</v>
      </c>
      <c r="BR256" s="3083">
        <f t="shared" si="149"/>
        <v>0</v>
      </c>
      <c r="BS256" s="3083">
        <f t="shared" si="150"/>
        <v>0</v>
      </c>
      <c r="BT256" s="3135">
        <f t="shared" si="151"/>
        <v>0</v>
      </c>
    </row>
    <row r="257" spans="1:72">
      <c r="A257" s="3080"/>
      <c r="B257" s="3081"/>
      <c r="C257" s="3081"/>
      <c r="D257" s="3082"/>
      <c r="E257" s="3083">
        <f t="shared" si="123"/>
        <v>0</v>
      </c>
      <c r="F257" s="3084"/>
      <c r="G257" s="3085">
        <f t="shared" si="124"/>
        <v>0</v>
      </c>
      <c r="H257" s="3086">
        <f t="shared" si="125"/>
        <v>0</v>
      </c>
      <c r="I257" s="3093"/>
      <c r="J257" s="3093"/>
      <c r="K257" s="3093"/>
      <c r="L257" s="3093"/>
      <c r="M257" s="3093"/>
      <c r="N257" s="3093"/>
      <c r="O257" s="3093"/>
      <c r="P257" s="3093"/>
      <c r="Q257" s="3093"/>
      <c r="R257" s="3093"/>
      <c r="S257" s="3093"/>
      <c r="T257" s="3093"/>
      <c r="U257" s="3093"/>
      <c r="V257" s="3093"/>
      <c r="W257" s="3093"/>
      <c r="X257" s="3093"/>
      <c r="Y257" s="3093"/>
      <c r="Z257" s="3093"/>
      <c r="AA257" s="3093"/>
      <c r="AB257" s="3093"/>
      <c r="AC257" s="3083">
        <f t="shared" si="126"/>
        <v>0</v>
      </c>
      <c r="AD257" s="3103"/>
      <c r="AE257" s="3103"/>
      <c r="AF257" s="3103"/>
      <c r="AG257" s="3103"/>
      <c r="AH257" s="3103"/>
      <c r="AI257" s="3103"/>
      <c r="AJ257" s="3103"/>
      <c r="AK257" s="3103"/>
      <c r="AL257" s="3103"/>
      <c r="AM257" s="3103"/>
      <c r="AN257" s="3103"/>
      <c r="AO257" s="3103"/>
      <c r="AP257" s="3103"/>
      <c r="AQ257" s="3103"/>
      <c r="AR257" s="3103"/>
      <c r="AS257" s="3103"/>
      <c r="AT257" s="3113"/>
      <c r="AU257" s="3114"/>
      <c r="AV257" s="1580">
        <f t="shared" si="127"/>
        <v>0</v>
      </c>
      <c r="AW257" s="1580">
        <f t="shared" si="128"/>
        <v>0</v>
      </c>
      <c r="AX257" s="1580">
        <f t="shared" si="129"/>
        <v>0</v>
      </c>
      <c r="AY257" s="3128">
        <f t="shared" si="130"/>
        <v>0</v>
      </c>
      <c r="AZ257" s="3083">
        <f t="shared" si="131"/>
        <v>0</v>
      </c>
      <c r="BA257" s="3083">
        <f t="shared" si="132"/>
        <v>0</v>
      </c>
      <c r="BB257" s="3083">
        <f t="shared" si="133"/>
        <v>0</v>
      </c>
      <c r="BC257" s="3083">
        <f t="shared" si="134"/>
        <v>0</v>
      </c>
      <c r="BD257" s="3083">
        <f t="shared" si="135"/>
        <v>0</v>
      </c>
      <c r="BE257" s="3083">
        <f t="shared" si="136"/>
        <v>0</v>
      </c>
      <c r="BF257" s="3083">
        <f t="shared" si="137"/>
        <v>0</v>
      </c>
      <c r="BG257" s="3083">
        <f t="shared" si="138"/>
        <v>0</v>
      </c>
      <c r="BH257" s="3083">
        <f t="shared" si="139"/>
        <v>0</v>
      </c>
      <c r="BI257" s="3083">
        <f t="shared" si="140"/>
        <v>0</v>
      </c>
      <c r="BJ257" s="3083">
        <f t="shared" si="141"/>
        <v>0</v>
      </c>
      <c r="BK257" s="3083">
        <f t="shared" si="142"/>
        <v>0</v>
      </c>
      <c r="BL257" s="3083">
        <f t="shared" si="143"/>
        <v>0</v>
      </c>
      <c r="BM257" s="3083">
        <f t="shared" si="144"/>
        <v>0</v>
      </c>
      <c r="BN257" s="3083">
        <f t="shared" si="145"/>
        <v>0</v>
      </c>
      <c r="BO257" s="3083">
        <f t="shared" si="146"/>
        <v>0</v>
      </c>
      <c r="BP257" s="3083">
        <f t="shared" si="147"/>
        <v>0</v>
      </c>
      <c r="BQ257" s="3083">
        <f t="shared" si="148"/>
        <v>0</v>
      </c>
      <c r="BR257" s="3083">
        <f t="shared" si="149"/>
        <v>0</v>
      </c>
      <c r="BS257" s="3083">
        <f t="shared" si="150"/>
        <v>0</v>
      </c>
      <c r="BT257" s="3135">
        <f t="shared" si="151"/>
        <v>0</v>
      </c>
    </row>
    <row r="258" spans="1:72">
      <c r="A258" s="3080"/>
      <c r="B258" s="3081"/>
      <c r="C258" s="3081"/>
      <c r="D258" s="3082"/>
      <c r="E258" s="3083">
        <f t="shared" si="123"/>
        <v>0</v>
      </c>
      <c r="F258" s="3084"/>
      <c r="G258" s="3085">
        <f t="shared" si="124"/>
        <v>0</v>
      </c>
      <c r="H258" s="3086">
        <f t="shared" si="125"/>
        <v>0</v>
      </c>
      <c r="I258" s="3093"/>
      <c r="J258" s="3093"/>
      <c r="K258" s="3093"/>
      <c r="L258" s="3093"/>
      <c r="M258" s="3093"/>
      <c r="N258" s="3093"/>
      <c r="O258" s="3093"/>
      <c r="P258" s="3093"/>
      <c r="Q258" s="3093"/>
      <c r="R258" s="3093"/>
      <c r="S258" s="3093"/>
      <c r="T258" s="3093"/>
      <c r="U258" s="3093"/>
      <c r="V258" s="3093"/>
      <c r="W258" s="3093"/>
      <c r="X258" s="3093"/>
      <c r="Y258" s="3093"/>
      <c r="Z258" s="3093"/>
      <c r="AA258" s="3093"/>
      <c r="AB258" s="3093"/>
      <c r="AC258" s="3083">
        <f t="shared" si="126"/>
        <v>0</v>
      </c>
      <c r="AD258" s="3103"/>
      <c r="AE258" s="3103"/>
      <c r="AF258" s="3103"/>
      <c r="AG258" s="3103"/>
      <c r="AH258" s="3103"/>
      <c r="AI258" s="3103"/>
      <c r="AJ258" s="3103"/>
      <c r="AK258" s="3103"/>
      <c r="AL258" s="3103"/>
      <c r="AM258" s="3103"/>
      <c r="AN258" s="3103"/>
      <c r="AO258" s="3103"/>
      <c r="AP258" s="3103"/>
      <c r="AQ258" s="3103"/>
      <c r="AR258" s="3103"/>
      <c r="AS258" s="3103"/>
      <c r="AT258" s="3113"/>
      <c r="AU258" s="3114"/>
      <c r="AV258" s="1580">
        <f t="shared" si="127"/>
        <v>0</v>
      </c>
      <c r="AW258" s="1580">
        <f t="shared" si="128"/>
        <v>0</v>
      </c>
      <c r="AX258" s="1580">
        <f t="shared" si="129"/>
        <v>0</v>
      </c>
      <c r="AY258" s="3128">
        <f t="shared" si="130"/>
        <v>0</v>
      </c>
      <c r="AZ258" s="3083">
        <f t="shared" si="131"/>
        <v>0</v>
      </c>
      <c r="BA258" s="3083">
        <f t="shared" si="132"/>
        <v>0</v>
      </c>
      <c r="BB258" s="3083">
        <f t="shared" si="133"/>
        <v>0</v>
      </c>
      <c r="BC258" s="3083">
        <f t="shared" si="134"/>
        <v>0</v>
      </c>
      <c r="BD258" s="3083">
        <f t="shared" si="135"/>
        <v>0</v>
      </c>
      <c r="BE258" s="3083">
        <f t="shared" si="136"/>
        <v>0</v>
      </c>
      <c r="BF258" s="3083">
        <f t="shared" si="137"/>
        <v>0</v>
      </c>
      <c r="BG258" s="3083">
        <f t="shared" si="138"/>
        <v>0</v>
      </c>
      <c r="BH258" s="3083">
        <f t="shared" si="139"/>
        <v>0</v>
      </c>
      <c r="BI258" s="3083">
        <f t="shared" si="140"/>
        <v>0</v>
      </c>
      <c r="BJ258" s="3083">
        <f t="shared" si="141"/>
        <v>0</v>
      </c>
      <c r="BK258" s="3083">
        <f t="shared" si="142"/>
        <v>0</v>
      </c>
      <c r="BL258" s="3083">
        <f t="shared" si="143"/>
        <v>0</v>
      </c>
      <c r="BM258" s="3083">
        <f t="shared" si="144"/>
        <v>0</v>
      </c>
      <c r="BN258" s="3083">
        <f t="shared" si="145"/>
        <v>0</v>
      </c>
      <c r="BO258" s="3083">
        <f t="shared" si="146"/>
        <v>0</v>
      </c>
      <c r="BP258" s="3083">
        <f t="shared" si="147"/>
        <v>0</v>
      </c>
      <c r="BQ258" s="3083">
        <f t="shared" si="148"/>
        <v>0</v>
      </c>
      <c r="BR258" s="3083">
        <f t="shared" si="149"/>
        <v>0</v>
      </c>
      <c r="BS258" s="3083">
        <f t="shared" si="150"/>
        <v>0</v>
      </c>
      <c r="BT258" s="3135">
        <f t="shared" si="151"/>
        <v>0</v>
      </c>
    </row>
    <row r="259" spans="1:72">
      <c r="A259" s="3080"/>
      <c r="B259" s="3081"/>
      <c r="C259" s="3081"/>
      <c r="D259" s="3082"/>
      <c r="E259" s="3083">
        <f t="shared" si="123"/>
        <v>0</v>
      </c>
      <c r="F259" s="3084"/>
      <c r="G259" s="3085">
        <f t="shared" si="124"/>
        <v>0</v>
      </c>
      <c r="H259" s="3086">
        <f t="shared" si="125"/>
        <v>0</v>
      </c>
      <c r="I259" s="3093"/>
      <c r="J259" s="3093"/>
      <c r="K259" s="3093"/>
      <c r="L259" s="3093"/>
      <c r="M259" s="3093"/>
      <c r="N259" s="3093"/>
      <c r="O259" s="3093"/>
      <c r="P259" s="3093"/>
      <c r="Q259" s="3093"/>
      <c r="R259" s="3093"/>
      <c r="S259" s="3093"/>
      <c r="T259" s="3093"/>
      <c r="U259" s="3093"/>
      <c r="V259" s="3093"/>
      <c r="W259" s="3093"/>
      <c r="X259" s="3093"/>
      <c r="Y259" s="3093"/>
      <c r="Z259" s="3093"/>
      <c r="AA259" s="3093"/>
      <c r="AB259" s="3093"/>
      <c r="AC259" s="3083">
        <f t="shared" si="126"/>
        <v>0</v>
      </c>
      <c r="AD259" s="3103"/>
      <c r="AE259" s="3103"/>
      <c r="AF259" s="3103"/>
      <c r="AG259" s="3103"/>
      <c r="AH259" s="3103"/>
      <c r="AI259" s="3103"/>
      <c r="AJ259" s="3103"/>
      <c r="AK259" s="3103"/>
      <c r="AL259" s="3103"/>
      <c r="AM259" s="3103"/>
      <c r="AN259" s="3103"/>
      <c r="AO259" s="3103"/>
      <c r="AP259" s="3103"/>
      <c r="AQ259" s="3103"/>
      <c r="AR259" s="3103"/>
      <c r="AS259" s="3103"/>
      <c r="AT259" s="3113"/>
      <c r="AU259" s="3114"/>
      <c r="AV259" s="1580">
        <f t="shared" si="127"/>
        <v>0</v>
      </c>
      <c r="AW259" s="1580">
        <f t="shared" si="128"/>
        <v>0</v>
      </c>
      <c r="AX259" s="1580">
        <f t="shared" si="129"/>
        <v>0</v>
      </c>
      <c r="AY259" s="3128">
        <f t="shared" si="130"/>
        <v>0</v>
      </c>
      <c r="AZ259" s="3083">
        <f t="shared" si="131"/>
        <v>0</v>
      </c>
      <c r="BA259" s="3083">
        <f t="shared" si="132"/>
        <v>0</v>
      </c>
      <c r="BB259" s="3083">
        <f t="shared" si="133"/>
        <v>0</v>
      </c>
      <c r="BC259" s="3083">
        <f t="shared" si="134"/>
        <v>0</v>
      </c>
      <c r="BD259" s="3083">
        <f t="shared" si="135"/>
        <v>0</v>
      </c>
      <c r="BE259" s="3083">
        <f t="shared" si="136"/>
        <v>0</v>
      </c>
      <c r="BF259" s="3083">
        <f t="shared" si="137"/>
        <v>0</v>
      </c>
      <c r="BG259" s="3083">
        <f t="shared" si="138"/>
        <v>0</v>
      </c>
      <c r="BH259" s="3083">
        <f t="shared" si="139"/>
        <v>0</v>
      </c>
      <c r="BI259" s="3083">
        <f t="shared" si="140"/>
        <v>0</v>
      </c>
      <c r="BJ259" s="3083">
        <f t="shared" si="141"/>
        <v>0</v>
      </c>
      <c r="BK259" s="3083">
        <f t="shared" si="142"/>
        <v>0</v>
      </c>
      <c r="BL259" s="3083">
        <f t="shared" si="143"/>
        <v>0</v>
      </c>
      <c r="BM259" s="3083">
        <f t="shared" si="144"/>
        <v>0</v>
      </c>
      <c r="BN259" s="3083">
        <f t="shared" si="145"/>
        <v>0</v>
      </c>
      <c r="BO259" s="3083">
        <f t="shared" si="146"/>
        <v>0</v>
      </c>
      <c r="BP259" s="3083">
        <f t="shared" si="147"/>
        <v>0</v>
      </c>
      <c r="BQ259" s="3083">
        <f t="shared" si="148"/>
        <v>0</v>
      </c>
      <c r="BR259" s="3083">
        <f t="shared" si="149"/>
        <v>0</v>
      </c>
      <c r="BS259" s="3083">
        <f t="shared" si="150"/>
        <v>0</v>
      </c>
      <c r="BT259" s="3135">
        <f t="shared" si="151"/>
        <v>0</v>
      </c>
    </row>
    <row r="260" spans="1:72">
      <c r="A260" s="3080"/>
      <c r="B260" s="3081"/>
      <c r="C260" s="3081"/>
      <c r="D260" s="3082"/>
      <c r="E260" s="3083">
        <f t="shared" si="123"/>
        <v>0</v>
      </c>
      <c r="F260" s="3084"/>
      <c r="G260" s="3085">
        <f t="shared" si="124"/>
        <v>0</v>
      </c>
      <c r="H260" s="3086">
        <f t="shared" si="125"/>
        <v>0</v>
      </c>
      <c r="I260" s="3093"/>
      <c r="J260" s="3093"/>
      <c r="K260" s="3093"/>
      <c r="L260" s="3093"/>
      <c r="M260" s="3093"/>
      <c r="N260" s="3093"/>
      <c r="O260" s="3093"/>
      <c r="P260" s="3093"/>
      <c r="Q260" s="3093"/>
      <c r="R260" s="3093"/>
      <c r="S260" s="3093"/>
      <c r="T260" s="3093"/>
      <c r="U260" s="3093"/>
      <c r="V260" s="3093"/>
      <c r="W260" s="3093"/>
      <c r="X260" s="3093"/>
      <c r="Y260" s="3093"/>
      <c r="Z260" s="3093"/>
      <c r="AA260" s="3093"/>
      <c r="AB260" s="3093"/>
      <c r="AC260" s="3083">
        <f t="shared" si="126"/>
        <v>0</v>
      </c>
      <c r="AD260" s="3103"/>
      <c r="AE260" s="3103"/>
      <c r="AF260" s="3103"/>
      <c r="AG260" s="3103"/>
      <c r="AH260" s="3103"/>
      <c r="AI260" s="3103"/>
      <c r="AJ260" s="3103"/>
      <c r="AK260" s="3103"/>
      <c r="AL260" s="3103"/>
      <c r="AM260" s="3103"/>
      <c r="AN260" s="3103"/>
      <c r="AO260" s="3103"/>
      <c r="AP260" s="3103"/>
      <c r="AQ260" s="3103"/>
      <c r="AR260" s="3103"/>
      <c r="AS260" s="3103"/>
      <c r="AT260" s="3113"/>
      <c r="AU260" s="3114"/>
      <c r="AV260" s="1580">
        <f t="shared" si="127"/>
        <v>0</v>
      </c>
      <c r="AW260" s="1580">
        <f t="shared" si="128"/>
        <v>0</v>
      </c>
      <c r="AX260" s="1580">
        <f t="shared" si="129"/>
        <v>0</v>
      </c>
      <c r="AY260" s="3128">
        <f t="shared" si="130"/>
        <v>0</v>
      </c>
      <c r="AZ260" s="3083">
        <f t="shared" si="131"/>
        <v>0</v>
      </c>
      <c r="BA260" s="3083">
        <f t="shared" si="132"/>
        <v>0</v>
      </c>
      <c r="BB260" s="3083">
        <f t="shared" si="133"/>
        <v>0</v>
      </c>
      <c r="BC260" s="3083">
        <f t="shared" si="134"/>
        <v>0</v>
      </c>
      <c r="BD260" s="3083">
        <f t="shared" si="135"/>
        <v>0</v>
      </c>
      <c r="BE260" s="3083">
        <f t="shared" si="136"/>
        <v>0</v>
      </c>
      <c r="BF260" s="3083">
        <f t="shared" si="137"/>
        <v>0</v>
      </c>
      <c r="BG260" s="3083">
        <f t="shared" si="138"/>
        <v>0</v>
      </c>
      <c r="BH260" s="3083">
        <f t="shared" si="139"/>
        <v>0</v>
      </c>
      <c r="BI260" s="3083">
        <f t="shared" si="140"/>
        <v>0</v>
      </c>
      <c r="BJ260" s="3083">
        <f t="shared" si="141"/>
        <v>0</v>
      </c>
      <c r="BK260" s="3083">
        <f t="shared" si="142"/>
        <v>0</v>
      </c>
      <c r="BL260" s="3083">
        <f t="shared" si="143"/>
        <v>0</v>
      </c>
      <c r="BM260" s="3083">
        <f t="shared" si="144"/>
        <v>0</v>
      </c>
      <c r="BN260" s="3083">
        <f t="shared" si="145"/>
        <v>0</v>
      </c>
      <c r="BO260" s="3083">
        <f t="shared" si="146"/>
        <v>0</v>
      </c>
      <c r="BP260" s="3083">
        <f t="shared" si="147"/>
        <v>0</v>
      </c>
      <c r="BQ260" s="3083">
        <f t="shared" si="148"/>
        <v>0</v>
      </c>
      <c r="BR260" s="3083">
        <f t="shared" si="149"/>
        <v>0</v>
      </c>
      <c r="BS260" s="3083">
        <f t="shared" si="150"/>
        <v>0</v>
      </c>
      <c r="BT260" s="3135">
        <f t="shared" si="151"/>
        <v>0</v>
      </c>
    </row>
    <row r="261" spans="1:72">
      <c r="A261" s="3080"/>
      <c r="B261" s="3081"/>
      <c r="C261" s="3081"/>
      <c r="D261" s="3082"/>
      <c r="E261" s="3083">
        <f t="shared" si="123"/>
        <v>0</v>
      </c>
      <c r="F261" s="3084"/>
      <c r="G261" s="3085">
        <f t="shared" si="124"/>
        <v>0</v>
      </c>
      <c r="H261" s="3086">
        <f t="shared" si="125"/>
        <v>0</v>
      </c>
      <c r="I261" s="3093"/>
      <c r="J261" s="3093"/>
      <c r="K261" s="3093"/>
      <c r="L261" s="3093"/>
      <c r="M261" s="3093"/>
      <c r="N261" s="3093"/>
      <c r="O261" s="3093"/>
      <c r="P261" s="3093"/>
      <c r="Q261" s="3093"/>
      <c r="R261" s="3093"/>
      <c r="S261" s="3093"/>
      <c r="T261" s="3093"/>
      <c r="U261" s="3093"/>
      <c r="V261" s="3093"/>
      <c r="W261" s="3093"/>
      <c r="X261" s="3093"/>
      <c r="Y261" s="3093"/>
      <c r="Z261" s="3093"/>
      <c r="AA261" s="3093"/>
      <c r="AB261" s="3093"/>
      <c r="AC261" s="3083">
        <f t="shared" si="126"/>
        <v>0</v>
      </c>
      <c r="AD261" s="3103"/>
      <c r="AE261" s="3103"/>
      <c r="AF261" s="3103"/>
      <c r="AG261" s="3103"/>
      <c r="AH261" s="3103"/>
      <c r="AI261" s="3103"/>
      <c r="AJ261" s="3103"/>
      <c r="AK261" s="3103"/>
      <c r="AL261" s="3103"/>
      <c r="AM261" s="3103"/>
      <c r="AN261" s="3103"/>
      <c r="AO261" s="3103"/>
      <c r="AP261" s="3103"/>
      <c r="AQ261" s="3103"/>
      <c r="AR261" s="3103"/>
      <c r="AS261" s="3103"/>
      <c r="AT261" s="3113"/>
      <c r="AU261" s="3114"/>
      <c r="AV261" s="1580">
        <f t="shared" si="127"/>
        <v>0</v>
      </c>
      <c r="AW261" s="1580">
        <f t="shared" si="128"/>
        <v>0</v>
      </c>
      <c r="AX261" s="1580">
        <f t="shared" si="129"/>
        <v>0</v>
      </c>
      <c r="AY261" s="3128">
        <f t="shared" si="130"/>
        <v>0</v>
      </c>
      <c r="AZ261" s="3083">
        <f t="shared" si="131"/>
        <v>0</v>
      </c>
      <c r="BA261" s="3083">
        <f t="shared" si="132"/>
        <v>0</v>
      </c>
      <c r="BB261" s="3083">
        <f t="shared" si="133"/>
        <v>0</v>
      </c>
      <c r="BC261" s="3083">
        <f t="shared" si="134"/>
        <v>0</v>
      </c>
      <c r="BD261" s="3083">
        <f t="shared" si="135"/>
        <v>0</v>
      </c>
      <c r="BE261" s="3083">
        <f t="shared" si="136"/>
        <v>0</v>
      </c>
      <c r="BF261" s="3083">
        <f t="shared" si="137"/>
        <v>0</v>
      </c>
      <c r="BG261" s="3083">
        <f t="shared" si="138"/>
        <v>0</v>
      </c>
      <c r="BH261" s="3083">
        <f t="shared" si="139"/>
        <v>0</v>
      </c>
      <c r="BI261" s="3083">
        <f t="shared" si="140"/>
        <v>0</v>
      </c>
      <c r="BJ261" s="3083">
        <f t="shared" si="141"/>
        <v>0</v>
      </c>
      <c r="BK261" s="3083">
        <f t="shared" si="142"/>
        <v>0</v>
      </c>
      <c r="BL261" s="3083">
        <f t="shared" si="143"/>
        <v>0</v>
      </c>
      <c r="BM261" s="3083">
        <f t="shared" si="144"/>
        <v>0</v>
      </c>
      <c r="BN261" s="3083">
        <f t="shared" si="145"/>
        <v>0</v>
      </c>
      <c r="BO261" s="3083">
        <f t="shared" si="146"/>
        <v>0</v>
      </c>
      <c r="BP261" s="3083">
        <f t="shared" si="147"/>
        <v>0</v>
      </c>
      <c r="BQ261" s="3083">
        <f t="shared" si="148"/>
        <v>0</v>
      </c>
      <c r="BR261" s="3083">
        <f t="shared" si="149"/>
        <v>0</v>
      </c>
      <c r="BS261" s="3083">
        <f t="shared" si="150"/>
        <v>0</v>
      </c>
      <c r="BT261" s="3135">
        <f t="shared" si="151"/>
        <v>0</v>
      </c>
    </row>
    <row r="262" spans="1:72">
      <c r="A262" s="3080"/>
      <c r="B262" s="3081"/>
      <c r="C262" s="3081"/>
      <c r="D262" s="3082"/>
      <c r="E262" s="3083">
        <f t="shared" si="123"/>
        <v>0</v>
      </c>
      <c r="F262" s="3084"/>
      <c r="G262" s="3085">
        <f t="shared" si="124"/>
        <v>0</v>
      </c>
      <c r="H262" s="3086">
        <f t="shared" si="125"/>
        <v>0</v>
      </c>
      <c r="I262" s="3093"/>
      <c r="J262" s="3093"/>
      <c r="K262" s="3093"/>
      <c r="L262" s="3093"/>
      <c r="M262" s="3093"/>
      <c r="N262" s="3093"/>
      <c r="O262" s="3093"/>
      <c r="P262" s="3093"/>
      <c r="Q262" s="3093"/>
      <c r="R262" s="3093"/>
      <c r="S262" s="3093"/>
      <c r="T262" s="3093"/>
      <c r="U262" s="3093"/>
      <c r="V262" s="3093"/>
      <c r="W262" s="3093"/>
      <c r="X262" s="3093"/>
      <c r="Y262" s="3093"/>
      <c r="Z262" s="3093"/>
      <c r="AA262" s="3093"/>
      <c r="AB262" s="3093"/>
      <c r="AC262" s="3083">
        <f t="shared" si="126"/>
        <v>0</v>
      </c>
      <c r="AD262" s="3103"/>
      <c r="AE262" s="3103"/>
      <c r="AF262" s="3103"/>
      <c r="AG262" s="3103"/>
      <c r="AH262" s="3103"/>
      <c r="AI262" s="3103"/>
      <c r="AJ262" s="3103"/>
      <c r="AK262" s="3103"/>
      <c r="AL262" s="3103"/>
      <c r="AM262" s="3103"/>
      <c r="AN262" s="3103"/>
      <c r="AO262" s="3103"/>
      <c r="AP262" s="3103"/>
      <c r="AQ262" s="3103"/>
      <c r="AR262" s="3103"/>
      <c r="AS262" s="3103"/>
      <c r="AT262" s="3113"/>
      <c r="AU262" s="3114"/>
      <c r="AV262" s="1580">
        <f t="shared" si="127"/>
        <v>0</v>
      </c>
      <c r="AW262" s="1580">
        <f t="shared" si="128"/>
        <v>0</v>
      </c>
      <c r="AX262" s="1580">
        <f t="shared" si="129"/>
        <v>0</v>
      </c>
      <c r="AY262" s="3128">
        <f t="shared" si="130"/>
        <v>0</v>
      </c>
      <c r="AZ262" s="3083">
        <f t="shared" si="131"/>
        <v>0</v>
      </c>
      <c r="BA262" s="3083">
        <f t="shared" si="132"/>
        <v>0</v>
      </c>
      <c r="BB262" s="3083">
        <f t="shared" si="133"/>
        <v>0</v>
      </c>
      <c r="BC262" s="3083">
        <f t="shared" si="134"/>
        <v>0</v>
      </c>
      <c r="BD262" s="3083">
        <f t="shared" si="135"/>
        <v>0</v>
      </c>
      <c r="BE262" s="3083">
        <f t="shared" si="136"/>
        <v>0</v>
      </c>
      <c r="BF262" s="3083">
        <f t="shared" si="137"/>
        <v>0</v>
      </c>
      <c r="BG262" s="3083">
        <f t="shared" si="138"/>
        <v>0</v>
      </c>
      <c r="BH262" s="3083">
        <f t="shared" si="139"/>
        <v>0</v>
      </c>
      <c r="BI262" s="3083">
        <f t="shared" si="140"/>
        <v>0</v>
      </c>
      <c r="BJ262" s="3083">
        <f t="shared" si="141"/>
        <v>0</v>
      </c>
      <c r="BK262" s="3083">
        <f t="shared" si="142"/>
        <v>0</v>
      </c>
      <c r="BL262" s="3083">
        <f t="shared" si="143"/>
        <v>0</v>
      </c>
      <c r="BM262" s="3083">
        <f t="shared" si="144"/>
        <v>0</v>
      </c>
      <c r="BN262" s="3083">
        <f t="shared" si="145"/>
        <v>0</v>
      </c>
      <c r="BO262" s="3083">
        <f t="shared" si="146"/>
        <v>0</v>
      </c>
      <c r="BP262" s="3083">
        <f t="shared" si="147"/>
        <v>0</v>
      </c>
      <c r="BQ262" s="3083">
        <f t="shared" si="148"/>
        <v>0</v>
      </c>
      <c r="BR262" s="3083">
        <f t="shared" si="149"/>
        <v>0</v>
      </c>
      <c r="BS262" s="3083">
        <f t="shared" si="150"/>
        <v>0</v>
      </c>
      <c r="BT262" s="3135">
        <f t="shared" si="151"/>
        <v>0</v>
      </c>
    </row>
    <row r="263" spans="1:72">
      <c r="A263" s="3080"/>
      <c r="B263" s="3081"/>
      <c r="C263" s="3081"/>
      <c r="D263" s="3082"/>
      <c r="E263" s="3083">
        <f t="shared" si="123"/>
        <v>0</v>
      </c>
      <c r="F263" s="3084"/>
      <c r="G263" s="3085">
        <f t="shared" si="124"/>
        <v>0</v>
      </c>
      <c r="H263" s="3086">
        <f t="shared" si="125"/>
        <v>0</v>
      </c>
      <c r="I263" s="3093"/>
      <c r="J263" s="3093"/>
      <c r="K263" s="3093"/>
      <c r="L263" s="3093"/>
      <c r="M263" s="3093"/>
      <c r="N263" s="3093"/>
      <c r="O263" s="3093"/>
      <c r="P263" s="3093"/>
      <c r="Q263" s="3093"/>
      <c r="R263" s="3093"/>
      <c r="S263" s="3093"/>
      <c r="T263" s="3093"/>
      <c r="U263" s="3093"/>
      <c r="V263" s="3093"/>
      <c r="W263" s="3093"/>
      <c r="X263" s="3093"/>
      <c r="Y263" s="3093"/>
      <c r="Z263" s="3093"/>
      <c r="AA263" s="3093"/>
      <c r="AB263" s="3093"/>
      <c r="AC263" s="3083">
        <f t="shared" si="126"/>
        <v>0</v>
      </c>
      <c r="AD263" s="3103"/>
      <c r="AE263" s="3103"/>
      <c r="AF263" s="3103"/>
      <c r="AG263" s="3103"/>
      <c r="AH263" s="3103"/>
      <c r="AI263" s="3103"/>
      <c r="AJ263" s="3103"/>
      <c r="AK263" s="3103"/>
      <c r="AL263" s="3103"/>
      <c r="AM263" s="3103"/>
      <c r="AN263" s="3103"/>
      <c r="AO263" s="3103"/>
      <c r="AP263" s="3103"/>
      <c r="AQ263" s="3103"/>
      <c r="AR263" s="3103"/>
      <c r="AS263" s="3103"/>
      <c r="AT263" s="3113"/>
      <c r="AU263" s="3114"/>
      <c r="AV263" s="1580">
        <f t="shared" si="127"/>
        <v>0</v>
      </c>
      <c r="AW263" s="1580">
        <f t="shared" si="128"/>
        <v>0</v>
      </c>
      <c r="AX263" s="1580">
        <f t="shared" si="129"/>
        <v>0</v>
      </c>
      <c r="AY263" s="3128">
        <f t="shared" si="130"/>
        <v>0</v>
      </c>
      <c r="AZ263" s="3083">
        <f t="shared" si="131"/>
        <v>0</v>
      </c>
      <c r="BA263" s="3083">
        <f t="shared" si="132"/>
        <v>0</v>
      </c>
      <c r="BB263" s="3083">
        <f t="shared" si="133"/>
        <v>0</v>
      </c>
      <c r="BC263" s="3083">
        <f t="shared" si="134"/>
        <v>0</v>
      </c>
      <c r="BD263" s="3083">
        <f t="shared" si="135"/>
        <v>0</v>
      </c>
      <c r="BE263" s="3083">
        <f t="shared" si="136"/>
        <v>0</v>
      </c>
      <c r="BF263" s="3083">
        <f t="shared" si="137"/>
        <v>0</v>
      </c>
      <c r="BG263" s="3083">
        <f t="shared" si="138"/>
        <v>0</v>
      </c>
      <c r="BH263" s="3083">
        <f t="shared" si="139"/>
        <v>0</v>
      </c>
      <c r="BI263" s="3083">
        <f t="shared" si="140"/>
        <v>0</v>
      </c>
      <c r="BJ263" s="3083">
        <f t="shared" si="141"/>
        <v>0</v>
      </c>
      <c r="BK263" s="3083">
        <f t="shared" si="142"/>
        <v>0</v>
      </c>
      <c r="BL263" s="3083">
        <f t="shared" si="143"/>
        <v>0</v>
      </c>
      <c r="BM263" s="3083">
        <f t="shared" si="144"/>
        <v>0</v>
      </c>
      <c r="BN263" s="3083">
        <f t="shared" si="145"/>
        <v>0</v>
      </c>
      <c r="BO263" s="3083">
        <f t="shared" si="146"/>
        <v>0</v>
      </c>
      <c r="BP263" s="3083">
        <f t="shared" si="147"/>
        <v>0</v>
      </c>
      <c r="BQ263" s="3083">
        <f t="shared" si="148"/>
        <v>0</v>
      </c>
      <c r="BR263" s="3083">
        <f t="shared" si="149"/>
        <v>0</v>
      </c>
      <c r="BS263" s="3083">
        <f t="shared" si="150"/>
        <v>0</v>
      </c>
      <c r="BT263" s="3135">
        <f t="shared" si="151"/>
        <v>0</v>
      </c>
    </row>
    <row r="264" spans="1:72">
      <c r="A264" s="3080"/>
      <c r="B264" s="3081"/>
      <c r="C264" s="3081"/>
      <c r="D264" s="3082"/>
      <c r="E264" s="3083">
        <f t="shared" si="123"/>
        <v>0</v>
      </c>
      <c r="F264" s="3084"/>
      <c r="G264" s="3085">
        <f t="shared" si="124"/>
        <v>0</v>
      </c>
      <c r="H264" s="3086">
        <f t="shared" si="125"/>
        <v>0</v>
      </c>
      <c r="I264" s="3093"/>
      <c r="J264" s="3093"/>
      <c r="K264" s="3093"/>
      <c r="L264" s="3093"/>
      <c r="M264" s="3093"/>
      <c r="N264" s="3093"/>
      <c r="O264" s="3093"/>
      <c r="P264" s="3093"/>
      <c r="Q264" s="3093"/>
      <c r="R264" s="3093"/>
      <c r="S264" s="3093"/>
      <c r="T264" s="3093"/>
      <c r="U264" s="3093"/>
      <c r="V264" s="3093"/>
      <c r="W264" s="3093"/>
      <c r="X264" s="3093"/>
      <c r="Y264" s="3093"/>
      <c r="Z264" s="3093"/>
      <c r="AA264" s="3093"/>
      <c r="AB264" s="3093"/>
      <c r="AC264" s="3083">
        <f t="shared" si="126"/>
        <v>0</v>
      </c>
      <c r="AD264" s="3103"/>
      <c r="AE264" s="3103"/>
      <c r="AF264" s="3103"/>
      <c r="AG264" s="3103"/>
      <c r="AH264" s="3103"/>
      <c r="AI264" s="3103"/>
      <c r="AJ264" s="3103"/>
      <c r="AK264" s="3103"/>
      <c r="AL264" s="3103"/>
      <c r="AM264" s="3103"/>
      <c r="AN264" s="3103"/>
      <c r="AO264" s="3103"/>
      <c r="AP264" s="3103"/>
      <c r="AQ264" s="3103"/>
      <c r="AR264" s="3103"/>
      <c r="AS264" s="3103"/>
      <c r="AT264" s="3113"/>
      <c r="AU264" s="3114"/>
      <c r="AV264" s="1580">
        <f t="shared" si="127"/>
        <v>0</v>
      </c>
      <c r="AW264" s="1580">
        <f t="shared" si="128"/>
        <v>0</v>
      </c>
      <c r="AX264" s="1580">
        <f t="shared" si="129"/>
        <v>0</v>
      </c>
      <c r="AY264" s="3128">
        <f t="shared" si="130"/>
        <v>0</v>
      </c>
      <c r="AZ264" s="3083">
        <f t="shared" si="131"/>
        <v>0</v>
      </c>
      <c r="BA264" s="3083">
        <f t="shared" si="132"/>
        <v>0</v>
      </c>
      <c r="BB264" s="3083">
        <f t="shared" si="133"/>
        <v>0</v>
      </c>
      <c r="BC264" s="3083">
        <f t="shared" si="134"/>
        <v>0</v>
      </c>
      <c r="BD264" s="3083">
        <f t="shared" si="135"/>
        <v>0</v>
      </c>
      <c r="BE264" s="3083">
        <f t="shared" si="136"/>
        <v>0</v>
      </c>
      <c r="BF264" s="3083">
        <f t="shared" si="137"/>
        <v>0</v>
      </c>
      <c r="BG264" s="3083">
        <f t="shared" si="138"/>
        <v>0</v>
      </c>
      <c r="BH264" s="3083">
        <f t="shared" si="139"/>
        <v>0</v>
      </c>
      <c r="BI264" s="3083">
        <f t="shared" si="140"/>
        <v>0</v>
      </c>
      <c r="BJ264" s="3083">
        <f t="shared" si="141"/>
        <v>0</v>
      </c>
      <c r="BK264" s="3083">
        <f t="shared" si="142"/>
        <v>0</v>
      </c>
      <c r="BL264" s="3083">
        <f t="shared" si="143"/>
        <v>0</v>
      </c>
      <c r="BM264" s="3083">
        <f t="shared" si="144"/>
        <v>0</v>
      </c>
      <c r="BN264" s="3083">
        <f t="shared" si="145"/>
        <v>0</v>
      </c>
      <c r="BO264" s="3083">
        <f t="shared" si="146"/>
        <v>0</v>
      </c>
      <c r="BP264" s="3083">
        <f t="shared" si="147"/>
        <v>0</v>
      </c>
      <c r="BQ264" s="3083">
        <f t="shared" si="148"/>
        <v>0</v>
      </c>
      <c r="BR264" s="3083">
        <f t="shared" si="149"/>
        <v>0</v>
      </c>
      <c r="BS264" s="3083">
        <f t="shared" si="150"/>
        <v>0</v>
      </c>
      <c r="BT264" s="3135">
        <f t="shared" si="151"/>
        <v>0</v>
      </c>
    </row>
    <row r="265" spans="1:72">
      <c r="A265" s="3080"/>
      <c r="B265" s="3081"/>
      <c r="C265" s="3081"/>
      <c r="D265" s="3082"/>
      <c r="E265" s="3083">
        <f t="shared" si="123"/>
        <v>0</v>
      </c>
      <c r="F265" s="3084"/>
      <c r="G265" s="3085">
        <f t="shared" si="124"/>
        <v>0</v>
      </c>
      <c r="H265" s="3086">
        <f t="shared" si="125"/>
        <v>0</v>
      </c>
      <c r="I265" s="3093"/>
      <c r="J265" s="3093"/>
      <c r="K265" s="3093"/>
      <c r="L265" s="3093"/>
      <c r="M265" s="3093"/>
      <c r="N265" s="3093"/>
      <c r="O265" s="3093"/>
      <c r="P265" s="3093"/>
      <c r="Q265" s="3093"/>
      <c r="R265" s="3093"/>
      <c r="S265" s="3093"/>
      <c r="T265" s="3093"/>
      <c r="U265" s="3093"/>
      <c r="V265" s="3093"/>
      <c r="W265" s="3093"/>
      <c r="X265" s="3093"/>
      <c r="Y265" s="3093"/>
      <c r="Z265" s="3093"/>
      <c r="AA265" s="3093"/>
      <c r="AB265" s="3093"/>
      <c r="AC265" s="3083">
        <f t="shared" si="126"/>
        <v>0</v>
      </c>
      <c r="AD265" s="3103"/>
      <c r="AE265" s="3103"/>
      <c r="AF265" s="3103"/>
      <c r="AG265" s="3103"/>
      <c r="AH265" s="3103"/>
      <c r="AI265" s="3103"/>
      <c r="AJ265" s="3103"/>
      <c r="AK265" s="3103"/>
      <c r="AL265" s="3103"/>
      <c r="AM265" s="3103"/>
      <c r="AN265" s="3103"/>
      <c r="AO265" s="3103"/>
      <c r="AP265" s="3103"/>
      <c r="AQ265" s="3103"/>
      <c r="AR265" s="3103"/>
      <c r="AS265" s="3103"/>
      <c r="AT265" s="3113"/>
      <c r="AU265" s="3114"/>
      <c r="AV265" s="1580">
        <f t="shared" si="127"/>
        <v>0</v>
      </c>
      <c r="AW265" s="1580">
        <f t="shared" si="128"/>
        <v>0</v>
      </c>
      <c r="AX265" s="1580">
        <f t="shared" si="129"/>
        <v>0</v>
      </c>
      <c r="AY265" s="3128">
        <f t="shared" si="130"/>
        <v>0</v>
      </c>
      <c r="AZ265" s="3083">
        <f t="shared" si="131"/>
        <v>0</v>
      </c>
      <c r="BA265" s="3083">
        <f t="shared" si="132"/>
        <v>0</v>
      </c>
      <c r="BB265" s="3083">
        <f t="shared" si="133"/>
        <v>0</v>
      </c>
      <c r="BC265" s="3083">
        <f t="shared" si="134"/>
        <v>0</v>
      </c>
      <c r="BD265" s="3083">
        <f t="shared" si="135"/>
        <v>0</v>
      </c>
      <c r="BE265" s="3083">
        <f t="shared" si="136"/>
        <v>0</v>
      </c>
      <c r="BF265" s="3083">
        <f t="shared" si="137"/>
        <v>0</v>
      </c>
      <c r="BG265" s="3083">
        <f t="shared" si="138"/>
        <v>0</v>
      </c>
      <c r="BH265" s="3083">
        <f t="shared" si="139"/>
        <v>0</v>
      </c>
      <c r="BI265" s="3083">
        <f t="shared" si="140"/>
        <v>0</v>
      </c>
      <c r="BJ265" s="3083">
        <f t="shared" si="141"/>
        <v>0</v>
      </c>
      <c r="BK265" s="3083">
        <f t="shared" si="142"/>
        <v>0</v>
      </c>
      <c r="BL265" s="3083">
        <f t="shared" si="143"/>
        <v>0</v>
      </c>
      <c r="BM265" s="3083">
        <f t="shared" si="144"/>
        <v>0</v>
      </c>
      <c r="BN265" s="3083">
        <f t="shared" si="145"/>
        <v>0</v>
      </c>
      <c r="BO265" s="3083">
        <f t="shared" si="146"/>
        <v>0</v>
      </c>
      <c r="BP265" s="3083">
        <f t="shared" si="147"/>
        <v>0</v>
      </c>
      <c r="BQ265" s="3083">
        <f t="shared" si="148"/>
        <v>0</v>
      </c>
      <c r="BR265" s="3083">
        <f t="shared" si="149"/>
        <v>0</v>
      </c>
      <c r="BS265" s="3083">
        <f t="shared" si="150"/>
        <v>0</v>
      </c>
      <c r="BT265" s="3135">
        <f t="shared" si="151"/>
        <v>0</v>
      </c>
    </row>
    <row r="266" spans="1:72">
      <c r="A266" s="3080"/>
      <c r="B266" s="3081"/>
      <c r="C266" s="3081"/>
      <c r="D266" s="3082"/>
      <c r="E266" s="3083">
        <f t="shared" si="123"/>
        <v>0</v>
      </c>
      <c r="F266" s="3084"/>
      <c r="G266" s="3085">
        <f t="shared" si="124"/>
        <v>0</v>
      </c>
      <c r="H266" s="3086">
        <f t="shared" si="125"/>
        <v>0</v>
      </c>
      <c r="I266" s="3093"/>
      <c r="J266" s="3093"/>
      <c r="K266" s="3093"/>
      <c r="L266" s="3093"/>
      <c r="M266" s="3093"/>
      <c r="N266" s="3093"/>
      <c r="O266" s="3093"/>
      <c r="P266" s="3093"/>
      <c r="Q266" s="3093"/>
      <c r="R266" s="3093"/>
      <c r="S266" s="3093"/>
      <c r="T266" s="3093"/>
      <c r="U266" s="3093"/>
      <c r="V266" s="3093"/>
      <c r="W266" s="3093"/>
      <c r="X266" s="3093"/>
      <c r="Y266" s="3093"/>
      <c r="Z266" s="3093"/>
      <c r="AA266" s="3093"/>
      <c r="AB266" s="3093"/>
      <c r="AC266" s="3083">
        <f t="shared" si="126"/>
        <v>0</v>
      </c>
      <c r="AD266" s="3103"/>
      <c r="AE266" s="3103"/>
      <c r="AF266" s="3103"/>
      <c r="AG266" s="3103"/>
      <c r="AH266" s="3103"/>
      <c r="AI266" s="3103"/>
      <c r="AJ266" s="3103"/>
      <c r="AK266" s="3103"/>
      <c r="AL266" s="3103"/>
      <c r="AM266" s="3103"/>
      <c r="AN266" s="3103"/>
      <c r="AO266" s="3103"/>
      <c r="AP266" s="3103"/>
      <c r="AQ266" s="3103"/>
      <c r="AR266" s="3103"/>
      <c r="AS266" s="3103"/>
      <c r="AT266" s="3113"/>
      <c r="AU266" s="3114"/>
      <c r="AV266" s="1580">
        <f t="shared" si="127"/>
        <v>0</v>
      </c>
      <c r="AW266" s="1580">
        <f t="shared" si="128"/>
        <v>0</v>
      </c>
      <c r="AX266" s="1580">
        <f t="shared" si="129"/>
        <v>0</v>
      </c>
      <c r="AY266" s="3128">
        <f t="shared" si="130"/>
        <v>0</v>
      </c>
      <c r="AZ266" s="3083">
        <f t="shared" si="131"/>
        <v>0</v>
      </c>
      <c r="BA266" s="3083">
        <f t="shared" si="132"/>
        <v>0</v>
      </c>
      <c r="BB266" s="3083">
        <f t="shared" si="133"/>
        <v>0</v>
      </c>
      <c r="BC266" s="3083">
        <f t="shared" si="134"/>
        <v>0</v>
      </c>
      <c r="BD266" s="3083">
        <f t="shared" si="135"/>
        <v>0</v>
      </c>
      <c r="BE266" s="3083">
        <f t="shared" si="136"/>
        <v>0</v>
      </c>
      <c r="BF266" s="3083">
        <f t="shared" si="137"/>
        <v>0</v>
      </c>
      <c r="BG266" s="3083">
        <f t="shared" si="138"/>
        <v>0</v>
      </c>
      <c r="BH266" s="3083">
        <f t="shared" si="139"/>
        <v>0</v>
      </c>
      <c r="BI266" s="3083">
        <f t="shared" si="140"/>
        <v>0</v>
      </c>
      <c r="BJ266" s="3083">
        <f t="shared" si="141"/>
        <v>0</v>
      </c>
      <c r="BK266" s="3083">
        <f t="shared" si="142"/>
        <v>0</v>
      </c>
      <c r="BL266" s="3083">
        <f t="shared" si="143"/>
        <v>0</v>
      </c>
      <c r="BM266" s="3083">
        <f t="shared" si="144"/>
        <v>0</v>
      </c>
      <c r="BN266" s="3083">
        <f t="shared" si="145"/>
        <v>0</v>
      </c>
      <c r="BO266" s="3083">
        <f t="shared" si="146"/>
        <v>0</v>
      </c>
      <c r="BP266" s="3083">
        <f t="shared" si="147"/>
        <v>0</v>
      </c>
      <c r="BQ266" s="3083">
        <f t="shared" si="148"/>
        <v>0</v>
      </c>
      <c r="BR266" s="3083">
        <f t="shared" si="149"/>
        <v>0</v>
      </c>
      <c r="BS266" s="3083">
        <f t="shared" si="150"/>
        <v>0</v>
      </c>
      <c r="BT266" s="3135">
        <f t="shared" si="151"/>
        <v>0</v>
      </c>
    </row>
    <row r="267" spans="1:72">
      <c r="A267" s="3080"/>
      <c r="B267" s="3081"/>
      <c r="C267" s="3081"/>
      <c r="D267" s="3082"/>
      <c r="E267" s="3083">
        <f t="shared" si="123"/>
        <v>0</v>
      </c>
      <c r="F267" s="3084"/>
      <c r="G267" s="3085">
        <f t="shared" si="124"/>
        <v>0</v>
      </c>
      <c r="H267" s="3086">
        <f t="shared" si="125"/>
        <v>0</v>
      </c>
      <c r="I267" s="3093"/>
      <c r="J267" s="3093"/>
      <c r="K267" s="3093"/>
      <c r="L267" s="3093"/>
      <c r="M267" s="3093"/>
      <c r="N267" s="3093"/>
      <c r="O267" s="3093"/>
      <c r="P267" s="3093"/>
      <c r="Q267" s="3093"/>
      <c r="R267" s="3093"/>
      <c r="S267" s="3093"/>
      <c r="T267" s="3093"/>
      <c r="U267" s="3093"/>
      <c r="V267" s="3093"/>
      <c r="W267" s="3093"/>
      <c r="X267" s="3093"/>
      <c r="Y267" s="3093"/>
      <c r="Z267" s="3093"/>
      <c r="AA267" s="3093"/>
      <c r="AB267" s="3093"/>
      <c r="AC267" s="3083">
        <f t="shared" si="126"/>
        <v>0</v>
      </c>
      <c r="AD267" s="3103"/>
      <c r="AE267" s="3103"/>
      <c r="AF267" s="3103"/>
      <c r="AG267" s="3103"/>
      <c r="AH267" s="3103"/>
      <c r="AI267" s="3103"/>
      <c r="AJ267" s="3103"/>
      <c r="AK267" s="3103"/>
      <c r="AL267" s="3103"/>
      <c r="AM267" s="3103"/>
      <c r="AN267" s="3103"/>
      <c r="AO267" s="3103"/>
      <c r="AP267" s="3103"/>
      <c r="AQ267" s="3103"/>
      <c r="AR267" s="3103"/>
      <c r="AS267" s="3103"/>
      <c r="AT267" s="3113"/>
      <c r="AU267" s="3114"/>
      <c r="AV267" s="1580">
        <f t="shared" si="127"/>
        <v>0</v>
      </c>
      <c r="AW267" s="1580">
        <f t="shared" si="128"/>
        <v>0</v>
      </c>
      <c r="AX267" s="1580">
        <f t="shared" si="129"/>
        <v>0</v>
      </c>
      <c r="AY267" s="3128">
        <f t="shared" si="130"/>
        <v>0</v>
      </c>
      <c r="AZ267" s="3083">
        <f t="shared" si="131"/>
        <v>0</v>
      </c>
      <c r="BA267" s="3083">
        <f t="shared" si="132"/>
        <v>0</v>
      </c>
      <c r="BB267" s="3083">
        <f t="shared" si="133"/>
        <v>0</v>
      </c>
      <c r="BC267" s="3083">
        <f t="shared" si="134"/>
        <v>0</v>
      </c>
      <c r="BD267" s="3083">
        <f t="shared" si="135"/>
        <v>0</v>
      </c>
      <c r="BE267" s="3083">
        <f t="shared" si="136"/>
        <v>0</v>
      </c>
      <c r="BF267" s="3083">
        <f t="shared" si="137"/>
        <v>0</v>
      </c>
      <c r="BG267" s="3083">
        <f t="shared" si="138"/>
        <v>0</v>
      </c>
      <c r="BH267" s="3083">
        <f t="shared" si="139"/>
        <v>0</v>
      </c>
      <c r="BI267" s="3083">
        <f t="shared" si="140"/>
        <v>0</v>
      </c>
      <c r="BJ267" s="3083">
        <f t="shared" si="141"/>
        <v>0</v>
      </c>
      <c r="BK267" s="3083">
        <f t="shared" si="142"/>
        <v>0</v>
      </c>
      <c r="BL267" s="3083">
        <f t="shared" si="143"/>
        <v>0</v>
      </c>
      <c r="BM267" s="3083">
        <f t="shared" si="144"/>
        <v>0</v>
      </c>
      <c r="BN267" s="3083">
        <f t="shared" si="145"/>
        <v>0</v>
      </c>
      <c r="BO267" s="3083">
        <f t="shared" si="146"/>
        <v>0</v>
      </c>
      <c r="BP267" s="3083">
        <f t="shared" si="147"/>
        <v>0</v>
      </c>
      <c r="BQ267" s="3083">
        <f t="shared" si="148"/>
        <v>0</v>
      </c>
      <c r="BR267" s="3083">
        <f t="shared" si="149"/>
        <v>0</v>
      </c>
      <c r="BS267" s="3083">
        <f t="shared" si="150"/>
        <v>0</v>
      </c>
      <c r="BT267" s="3135">
        <f t="shared" si="151"/>
        <v>0</v>
      </c>
    </row>
    <row r="268" spans="1:72">
      <c r="A268" s="3080"/>
      <c r="B268" s="3081"/>
      <c r="C268" s="3081"/>
      <c r="D268" s="3082"/>
      <c r="E268" s="3083">
        <f t="shared" si="123"/>
        <v>0</v>
      </c>
      <c r="F268" s="3084"/>
      <c r="G268" s="3085">
        <f t="shared" si="124"/>
        <v>0</v>
      </c>
      <c r="H268" s="3086">
        <f t="shared" si="125"/>
        <v>0</v>
      </c>
      <c r="I268" s="3093"/>
      <c r="J268" s="3093"/>
      <c r="K268" s="3093"/>
      <c r="L268" s="3093"/>
      <c r="M268" s="3093"/>
      <c r="N268" s="3093"/>
      <c r="O268" s="3093"/>
      <c r="P268" s="3093"/>
      <c r="Q268" s="3093"/>
      <c r="R268" s="3093"/>
      <c r="S268" s="3093"/>
      <c r="T268" s="3093"/>
      <c r="U268" s="3093"/>
      <c r="V268" s="3093"/>
      <c r="W268" s="3093"/>
      <c r="X268" s="3093"/>
      <c r="Y268" s="3093"/>
      <c r="Z268" s="3093"/>
      <c r="AA268" s="3093"/>
      <c r="AB268" s="3093"/>
      <c r="AC268" s="3083">
        <f t="shared" si="126"/>
        <v>0</v>
      </c>
      <c r="AD268" s="3103"/>
      <c r="AE268" s="3103"/>
      <c r="AF268" s="3103"/>
      <c r="AG268" s="3103"/>
      <c r="AH268" s="3103"/>
      <c r="AI268" s="3103"/>
      <c r="AJ268" s="3103"/>
      <c r="AK268" s="3103"/>
      <c r="AL268" s="3103"/>
      <c r="AM268" s="3103"/>
      <c r="AN268" s="3103"/>
      <c r="AO268" s="3103"/>
      <c r="AP268" s="3103"/>
      <c r="AQ268" s="3103"/>
      <c r="AR268" s="3103"/>
      <c r="AS268" s="3103"/>
      <c r="AT268" s="3113"/>
      <c r="AU268" s="3114"/>
      <c r="AV268" s="1580">
        <f t="shared" si="127"/>
        <v>0</v>
      </c>
      <c r="AW268" s="1580">
        <f t="shared" si="128"/>
        <v>0</v>
      </c>
      <c r="AX268" s="1580">
        <f t="shared" si="129"/>
        <v>0</v>
      </c>
      <c r="AY268" s="3128">
        <f t="shared" si="130"/>
        <v>0</v>
      </c>
      <c r="AZ268" s="3083">
        <f t="shared" si="131"/>
        <v>0</v>
      </c>
      <c r="BA268" s="3083">
        <f t="shared" si="132"/>
        <v>0</v>
      </c>
      <c r="BB268" s="3083">
        <f t="shared" si="133"/>
        <v>0</v>
      </c>
      <c r="BC268" s="3083">
        <f t="shared" si="134"/>
        <v>0</v>
      </c>
      <c r="BD268" s="3083">
        <f t="shared" si="135"/>
        <v>0</v>
      </c>
      <c r="BE268" s="3083">
        <f t="shared" si="136"/>
        <v>0</v>
      </c>
      <c r="BF268" s="3083">
        <f t="shared" si="137"/>
        <v>0</v>
      </c>
      <c r="BG268" s="3083">
        <f t="shared" si="138"/>
        <v>0</v>
      </c>
      <c r="BH268" s="3083">
        <f t="shared" si="139"/>
        <v>0</v>
      </c>
      <c r="BI268" s="3083">
        <f t="shared" si="140"/>
        <v>0</v>
      </c>
      <c r="BJ268" s="3083">
        <f t="shared" si="141"/>
        <v>0</v>
      </c>
      <c r="BK268" s="3083">
        <f t="shared" si="142"/>
        <v>0</v>
      </c>
      <c r="BL268" s="3083">
        <f t="shared" si="143"/>
        <v>0</v>
      </c>
      <c r="BM268" s="3083">
        <f t="shared" si="144"/>
        <v>0</v>
      </c>
      <c r="BN268" s="3083">
        <f t="shared" si="145"/>
        <v>0</v>
      </c>
      <c r="BO268" s="3083">
        <f t="shared" si="146"/>
        <v>0</v>
      </c>
      <c r="BP268" s="3083">
        <f t="shared" si="147"/>
        <v>0</v>
      </c>
      <c r="BQ268" s="3083">
        <f t="shared" si="148"/>
        <v>0</v>
      </c>
      <c r="BR268" s="3083">
        <f t="shared" si="149"/>
        <v>0</v>
      </c>
      <c r="BS268" s="3083">
        <f t="shared" si="150"/>
        <v>0</v>
      </c>
      <c r="BT268" s="3135">
        <f t="shared" si="151"/>
        <v>0</v>
      </c>
    </row>
    <row r="269" spans="1:72">
      <c r="A269" s="3080"/>
      <c r="B269" s="3081"/>
      <c r="C269" s="3081"/>
      <c r="D269" s="3082"/>
      <c r="E269" s="3083">
        <f t="shared" si="123"/>
        <v>0</v>
      </c>
      <c r="F269" s="3084"/>
      <c r="G269" s="3085">
        <f t="shared" si="124"/>
        <v>0</v>
      </c>
      <c r="H269" s="3086">
        <f t="shared" si="125"/>
        <v>0</v>
      </c>
      <c r="I269" s="3093"/>
      <c r="J269" s="3093"/>
      <c r="K269" s="3093"/>
      <c r="L269" s="3093"/>
      <c r="M269" s="3093"/>
      <c r="N269" s="3093"/>
      <c r="O269" s="3093"/>
      <c r="P269" s="3093"/>
      <c r="Q269" s="3093"/>
      <c r="R269" s="3093"/>
      <c r="S269" s="3093"/>
      <c r="T269" s="3093"/>
      <c r="U269" s="3093"/>
      <c r="V269" s="3093"/>
      <c r="W269" s="3093"/>
      <c r="X269" s="3093"/>
      <c r="Y269" s="3093"/>
      <c r="Z269" s="3093"/>
      <c r="AA269" s="3093"/>
      <c r="AB269" s="3093"/>
      <c r="AC269" s="3083">
        <f t="shared" si="126"/>
        <v>0</v>
      </c>
      <c r="AD269" s="3103"/>
      <c r="AE269" s="3103"/>
      <c r="AF269" s="3103"/>
      <c r="AG269" s="3103"/>
      <c r="AH269" s="3103"/>
      <c r="AI269" s="3103"/>
      <c r="AJ269" s="3103"/>
      <c r="AK269" s="3103"/>
      <c r="AL269" s="3103"/>
      <c r="AM269" s="3103"/>
      <c r="AN269" s="3103"/>
      <c r="AO269" s="3103"/>
      <c r="AP269" s="3103"/>
      <c r="AQ269" s="3103"/>
      <c r="AR269" s="3103"/>
      <c r="AS269" s="3103"/>
      <c r="AT269" s="3113"/>
      <c r="AU269" s="3114"/>
      <c r="AV269" s="1580">
        <f t="shared" si="127"/>
        <v>0</v>
      </c>
      <c r="AW269" s="1580">
        <f t="shared" si="128"/>
        <v>0</v>
      </c>
      <c r="AX269" s="1580">
        <f t="shared" si="129"/>
        <v>0</v>
      </c>
      <c r="AY269" s="3128">
        <f t="shared" si="130"/>
        <v>0</v>
      </c>
      <c r="AZ269" s="3083">
        <f t="shared" si="131"/>
        <v>0</v>
      </c>
      <c r="BA269" s="3083">
        <f t="shared" si="132"/>
        <v>0</v>
      </c>
      <c r="BB269" s="3083">
        <f t="shared" si="133"/>
        <v>0</v>
      </c>
      <c r="BC269" s="3083">
        <f t="shared" si="134"/>
        <v>0</v>
      </c>
      <c r="BD269" s="3083">
        <f t="shared" si="135"/>
        <v>0</v>
      </c>
      <c r="BE269" s="3083">
        <f t="shared" si="136"/>
        <v>0</v>
      </c>
      <c r="BF269" s="3083">
        <f t="shared" si="137"/>
        <v>0</v>
      </c>
      <c r="BG269" s="3083">
        <f t="shared" si="138"/>
        <v>0</v>
      </c>
      <c r="BH269" s="3083">
        <f t="shared" si="139"/>
        <v>0</v>
      </c>
      <c r="BI269" s="3083">
        <f t="shared" si="140"/>
        <v>0</v>
      </c>
      <c r="BJ269" s="3083">
        <f t="shared" si="141"/>
        <v>0</v>
      </c>
      <c r="BK269" s="3083">
        <f t="shared" si="142"/>
        <v>0</v>
      </c>
      <c r="BL269" s="3083">
        <f t="shared" si="143"/>
        <v>0</v>
      </c>
      <c r="BM269" s="3083">
        <f t="shared" si="144"/>
        <v>0</v>
      </c>
      <c r="BN269" s="3083">
        <f t="shared" si="145"/>
        <v>0</v>
      </c>
      <c r="BO269" s="3083">
        <f t="shared" si="146"/>
        <v>0</v>
      </c>
      <c r="BP269" s="3083">
        <f t="shared" si="147"/>
        <v>0</v>
      </c>
      <c r="BQ269" s="3083">
        <f t="shared" si="148"/>
        <v>0</v>
      </c>
      <c r="BR269" s="3083">
        <f t="shared" si="149"/>
        <v>0</v>
      </c>
      <c r="BS269" s="3083">
        <f t="shared" si="150"/>
        <v>0</v>
      </c>
      <c r="BT269" s="3135">
        <f t="shared" si="151"/>
        <v>0</v>
      </c>
    </row>
    <row r="270" spans="1:72">
      <c r="A270" s="3080"/>
      <c r="B270" s="3081"/>
      <c r="C270" s="3081"/>
      <c r="D270" s="3082"/>
      <c r="E270" s="3083">
        <f t="shared" si="123"/>
        <v>0</v>
      </c>
      <c r="F270" s="3084"/>
      <c r="G270" s="3085">
        <f t="shared" si="124"/>
        <v>0</v>
      </c>
      <c r="H270" s="3086">
        <f t="shared" si="125"/>
        <v>0</v>
      </c>
      <c r="I270" s="3093"/>
      <c r="J270" s="3093"/>
      <c r="K270" s="3093"/>
      <c r="L270" s="3093"/>
      <c r="M270" s="3093"/>
      <c r="N270" s="3093"/>
      <c r="O270" s="3093"/>
      <c r="P270" s="3093"/>
      <c r="Q270" s="3093"/>
      <c r="R270" s="3093"/>
      <c r="S270" s="3093"/>
      <c r="T270" s="3093"/>
      <c r="U270" s="3093"/>
      <c r="V270" s="3093"/>
      <c r="W270" s="3093"/>
      <c r="X270" s="3093"/>
      <c r="Y270" s="3093"/>
      <c r="Z270" s="3093"/>
      <c r="AA270" s="3093"/>
      <c r="AB270" s="3093"/>
      <c r="AC270" s="3083">
        <f t="shared" si="126"/>
        <v>0</v>
      </c>
      <c r="AD270" s="3103"/>
      <c r="AE270" s="3103"/>
      <c r="AF270" s="3103"/>
      <c r="AG270" s="3103"/>
      <c r="AH270" s="3103"/>
      <c r="AI270" s="3103"/>
      <c r="AJ270" s="3103"/>
      <c r="AK270" s="3103"/>
      <c r="AL270" s="3103"/>
      <c r="AM270" s="3103"/>
      <c r="AN270" s="3103"/>
      <c r="AO270" s="3103"/>
      <c r="AP270" s="3103"/>
      <c r="AQ270" s="3103"/>
      <c r="AR270" s="3103"/>
      <c r="AS270" s="3103"/>
      <c r="AT270" s="3113"/>
      <c r="AU270" s="3114"/>
      <c r="AV270" s="1580">
        <f t="shared" si="127"/>
        <v>0</v>
      </c>
      <c r="AW270" s="1580">
        <f t="shared" si="128"/>
        <v>0</v>
      </c>
      <c r="AX270" s="1580">
        <f t="shared" si="129"/>
        <v>0</v>
      </c>
      <c r="AY270" s="3128">
        <f t="shared" si="130"/>
        <v>0</v>
      </c>
      <c r="AZ270" s="3083">
        <f t="shared" si="131"/>
        <v>0</v>
      </c>
      <c r="BA270" s="3083">
        <f t="shared" si="132"/>
        <v>0</v>
      </c>
      <c r="BB270" s="3083">
        <f t="shared" si="133"/>
        <v>0</v>
      </c>
      <c r="BC270" s="3083">
        <f t="shared" si="134"/>
        <v>0</v>
      </c>
      <c r="BD270" s="3083">
        <f t="shared" si="135"/>
        <v>0</v>
      </c>
      <c r="BE270" s="3083">
        <f t="shared" si="136"/>
        <v>0</v>
      </c>
      <c r="BF270" s="3083">
        <f t="shared" si="137"/>
        <v>0</v>
      </c>
      <c r="BG270" s="3083">
        <f t="shared" si="138"/>
        <v>0</v>
      </c>
      <c r="BH270" s="3083">
        <f t="shared" si="139"/>
        <v>0</v>
      </c>
      <c r="BI270" s="3083">
        <f t="shared" si="140"/>
        <v>0</v>
      </c>
      <c r="BJ270" s="3083">
        <f t="shared" si="141"/>
        <v>0</v>
      </c>
      <c r="BK270" s="3083">
        <f t="shared" si="142"/>
        <v>0</v>
      </c>
      <c r="BL270" s="3083">
        <f t="shared" si="143"/>
        <v>0</v>
      </c>
      <c r="BM270" s="3083">
        <f t="shared" si="144"/>
        <v>0</v>
      </c>
      <c r="BN270" s="3083">
        <f t="shared" si="145"/>
        <v>0</v>
      </c>
      <c r="BO270" s="3083">
        <f t="shared" si="146"/>
        <v>0</v>
      </c>
      <c r="BP270" s="3083">
        <f t="shared" si="147"/>
        <v>0</v>
      </c>
      <c r="BQ270" s="3083">
        <f t="shared" si="148"/>
        <v>0</v>
      </c>
      <c r="BR270" s="3083">
        <f t="shared" si="149"/>
        <v>0</v>
      </c>
      <c r="BS270" s="3083">
        <f t="shared" si="150"/>
        <v>0</v>
      </c>
      <c r="BT270" s="3135">
        <f t="shared" si="151"/>
        <v>0</v>
      </c>
    </row>
    <row r="271" spans="1:72">
      <c r="A271" s="3080"/>
      <c r="B271" s="3081"/>
      <c r="C271" s="3081"/>
      <c r="D271" s="3082"/>
      <c r="E271" s="3083">
        <f t="shared" si="123"/>
        <v>0</v>
      </c>
      <c r="F271" s="3084"/>
      <c r="G271" s="3085">
        <f t="shared" si="124"/>
        <v>0</v>
      </c>
      <c r="H271" s="3086">
        <f t="shared" si="125"/>
        <v>0</v>
      </c>
      <c r="I271" s="3093"/>
      <c r="J271" s="3093"/>
      <c r="K271" s="3093"/>
      <c r="L271" s="3093"/>
      <c r="M271" s="3093"/>
      <c r="N271" s="3093"/>
      <c r="O271" s="3093"/>
      <c r="P271" s="3093"/>
      <c r="Q271" s="3093"/>
      <c r="R271" s="3093"/>
      <c r="S271" s="3093"/>
      <c r="T271" s="3093"/>
      <c r="U271" s="3093"/>
      <c r="V271" s="3093"/>
      <c r="W271" s="3093"/>
      <c r="X271" s="3093"/>
      <c r="Y271" s="3093"/>
      <c r="Z271" s="3093"/>
      <c r="AA271" s="3093"/>
      <c r="AB271" s="3093"/>
      <c r="AC271" s="3083">
        <f t="shared" si="126"/>
        <v>0</v>
      </c>
      <c r="AD271" s="3103"/>
      <c r="AE271" s="3103"/>
      <c r="AF271" s="3103"/>
      <c r="AG271" s="3103"/>
      <c r="AH271" s="3103"/>
      <c r="AI271" s="3103"/>
      <c r="AJ271" s="3103"/>
      <c r="AK271" s="3103"/>
      <c r="AL271" s="3103"/>
      <c r="AM271" s="3103"/>
      <c r="AN271" s="3103"/>
      <c r="AO271" s="3103"/>
      <c r="AP271" s="3103"/>
      <c r="AQ271" s="3103"/>
      <c r="AR271" s="3103"/>
      <c r="AS271" s="3103"/>
      <c r="AT271" s="3113"/>
      <c r="AU271" s="3114"/>
      <c r="AV271" s="1580">
        <f t="shared" si="127"/>
        <v>0</v>
      </c>
      <c r="AW271" s="1580">
        <f t="shared" si="128"/>
        <v>0</v>
      </c>
      <c r="AX271" s="1580">
        <f t="shared" si="129"/>
        <v>0</v>
      </c>
      <c r="AY271" s="3128">
        <f t="shared" si="130"/>
        <v>0</v>
      </c>
      <c r="AZ271" s="3083">
        <f t="shared" si="131"/>
        <v>0</v>
      </c>
      <c r="BA271" s="3083">
        <f t="shared" si="132"/>
        <v>0</v>
      </c>
      <c r="BB271" s="3083">
        <f t="shared" si="133"/>
        <v>0</v>
      </c>
      <c r="BC271" s="3083">
        <f t="shared" si="134"/>
        <v>0</v>
      </c>
      <c r="BD271" s="3083">
        <f t="shared" si="135"/>
        <v>0</v>
      </c>
      <c r="BE271" s="3083">
        <f t="shared" si="136"/>
        <v>0</v>
      </c>
      <c r="BF271" s="3083">
        <f t="shared" si="137"/>
        <v>0</v>
      </c>
      <c r="BG271" s="3083">
        <f t="shared" si="138"/>
        <v>0</v>
      </c>
      <c r="BH271" s="3083">
        <f t="shared" si="139"/>
        <v>0</v>
      </c>
      <c r="BI271" s="3083">
        <f t="shared" si="140"/>
        <v>0</v>
      </c>
      <c r="BJ271" s="3083">
        <f t="shared" si="141"/>
        <v>0</v>
      </c>
      <c r="BK271" s="3083">
        <f t="shared" si="142"/>
        <v>0</v>
      </c>
      <c r="BL271" s="3083">
        <f t="shared" si="143"/>
        <v>0</v>
      </c>
      <c r="BM271" s="3083">
        <f t="shared" si="144"/>
        <v>0</v>
      </c>
      <c r="BN271" s="3083">
        <f t="shared" si="145"/>
        <v>0</v>
      </c>
      <c r="BO271" s="3083">
        <f t="shared" si="146"/>
        <v>0</v>
      </c>
      <c r="BP271" s="3083">
        <f t="shared" si="147"/>
        <v>0</v>
      </c>
      <c r="BQ271" s="3083">
        <f t="shared" si="148"/>
        <v>0</v>
      </c>
      <c r="BR271" s="3083">
        <f t="shared" si="149"/>
        <v>0</v>
      </c>
      <c r="BS271" s="3083">
        <f t="shared" si="150"/>
        <v>0</v>
      </c>
      <c r="BT271" s="3135">
        <f t="shared" si="151"/>
        <v>0</v>
      </c>
    </row>
    <row r="272" spans="1:72">
      <c r="A272" s="3080"/>
      <c r="B272" s="3081"/>
      <c r="C272" s="3081"/>
      <c r="D272" s="3082"/>
      <c r="E272" s="3083">
        <f t="shared" si="123"/>
        <v>0</v>
      </c>
      <c r="F272" s="3084"/>
      <c r="G272" s="3085">
        <f t="shared" si="124"/>
        <v>0</v>
      </c>
      <c r="H272" s="3086">
        <f t="shared" si="125"/>
        <v>0</v>
      </c>
      <c r="I272" s="3093"/>
      <c r="J272" s="3093"/>
      <c r="K272" s="3093"/>
      <c r="L272" s="3093"/>
      <c r="M272" s="3093"/>
      <c r="N272" s="3093"/>
      <c r="O272" s="3093"/>
      <c r="P272" s="3093"/>
      <c r="Q272" s="3093"/>
      <c r="R272" s="3093"/>
      <c r="S272" s="3093"/>
      <c r="T272" s="3093"/>
      <c r="U272" s="3093"/>
      <c r="V272" s="3093"/>
      <c r="W272" s="3093"/>
      <c r="X272" s="3093"/>
      <c r="Y272" s="3093"/>
      <c r="Z272" s="3093"/>
      <c r="AA272" s="3093"/>
      <c r="AB272" s="3093"/>
      <c r="AC272" s="3083">
        <f t="shared" si="126"/>
        <v>0</v>
      </c>
      <c r="AD272" s="3103"/>
      <c r="AE272" s="3103"/>
      <c r="AF272" s="3103"/>
      <c r="AG272" s="3103"/>
      <c r="AH272" s="3103"/>
      <c r="AI272" s="3103"/>
      <c r="AJ272" s="3103"/>
      <c r="AK272" s="3103"/>
      <c r="AL272" s="3103"/>
      <c r="AM272" s="3103"/>
      <c r="AN272" s="3103"/>
      <c r="AO272" s="3103"/>
      <c r="AP272" s="3103"/>
      <c r="AQ272" s="3103"/>
      <c r="AR272" s="3103"/>
      <c r="AS272" s="3103"/>
      <c r="AT272" s="3113"/>
      <c r="AU272" s="3114"/>
      <c r="AV272" s="1580">
        <f t="shared" si="127"/>
        <v>0</v>
      </c>
      <c r="AW272" s="1580">
        <f t="shared" si="128"/>
        <v>0</v>
      </c>
      <c r="AX272" s="1580">
        <f t="shared" si="129"/>
        <v>0</v>
      </c>
      <c r="AY272" s="3128">
        <f t="shared" si="130"/>
        <v>0</v>
      </c>
      <c r="AZ272" s="3083">
        <f t="shared" si="131"/>
        <v>0</v>
      </c>
      <c r="BA272" s="3083">
        <f t="shared" si="132"/>
        <v>0</v>
      </c>
      <c r="BB272" s="3083">
        <f t="shared" si="133"/>
        <v>0</v>
      </c>
      <c r="BC272" s="3083">
        <f t="shared" si="134"/>
        <v>0</v>
      </c>
      <c r="BD272" s="3083">
        <f t="shared" si="135"/>
        <v>0</v>
      </c>
      <c r="BE272" s="3083">
        <f t="shared" si="136"/>
        <v>0</v>
      </c>
      <c r="BF272" s="3083">
        <f t="shared" si="137"/>
        <v>0</v>
      </c>
      <c r="BG272" s="3083">
        <f t="shared" si="138"/>
        <v>0</v>
      </c>
      <c r="BH272" s="3083">
        <f t="shared" si="139"/>
        <v>0</v>
      </c>
      <c r="BI272" s="3083">
        <f t="shared" si="140"/>
        <v>0</v>
      </c>
      <c r="BJ272" s="3083">
        <f t="shared" si="141"/>
        <v>0</v>
      </c>
      <c r="BK272" s="3083">
        <f t="shared" si="142"/>
        <v>0</v>
      </c>
      <c r="BL272" s="3083">
        <f t="shared" si="143"/>
        <v>0</v>
      </c>
      <c r="BM272" s="3083">
        <f t="shared" si="144"/>
        <v>0</v>
      </c>
      <c r="BN272" s="3083">
        <f t="shared" si="145"/>
        <v>0</v>
      </c>
      <c r="BO272" s="3083">
        <f t="shared" si="146"/>
        <v>0</v>
      </c>
      <c r="BP272" s="3083">
        <f t="shared" si="147"/>
        <v>0</v>
      </c>
      <c r="BQ272" s="3083">
        <f t="shared" si="148"/>
        <v>0</v>
      </c>
      <c r="BR272" s="3083">
        <f t="shared" si="149"/>
        <v>0</v>
      </c>
      <c r="BS272" s="3083">
        <f t="shared" si="150"/>
        <v>0</v>
      </c>
      <c r="BT272" s="3135">
        <f t="shared" si="151"/>
        <v>0</v>
      </c>
    </row>
    <row r="273" spans="1:72">
      <c r="A273" s="3080"/>
      <c r="B273" s="3081"/>
      <c r="C273" s="3081"/>
      <c r="D273" s="3082"/>
      <c r="E273" s="3083">
        <f t="shared" si="123"/>
        <v>0</v>
      </c>
      <c r="F273" s="3084"/>
      <c r="G273" s="3085">
        <f t="shared" si="124"/>
        <v>0</v>
      </c>
      <c r="H273" s="3086">
        <f t="shared" si="125"/>
        <v>0</v>
      </c>
      <c r="I273" s="3093"/>
      <c r="J273" s="3093"/>
      <c r="K273" s="3093"/>
      <c r="L273" s="3093"/>
      <c r="M273" s="3093"/>
      <c r="N273" s="3093"/>
      <c r="O273" s="3093"/>
      <c r="P273" s="3093"/>
      <c r="Q273" s="3093"/>
      <c r="R273" s="3093"/>
      <c r="S273" s="3093"/>
      <c r="T273" s="3093"/>
      <c r="U273" s="3093"/>
      <c r="V273" s="3093"/>
      <c r="W273" s="3093"/>
      <c r="X273" s="3093"/>
      <c r="Y273" s="3093"/>
      <c r="Z273" s="3093"/>
      <c r="AA273" s="3093"/>
      <c r="AB273" s="3093"/>
      <c r="AC273" s="3083">
        <f t="shared" si="126"/>
        <v>0</v>
      </c>
      <c r="AD273" s="3103"/>
      <c r="AE273" s="3103"/>
      <c r="AF273" s="3103"/>
      <c r="AG273" s="3103"/>
      <c r="AH273" s="3103"/>
      <c r="AI273" s="3103"/>
      <c r="AJ273" s="3103"/>
      <c r="AK273" s="3103"/>
      <c r="AL273" s="3103"/>
      <c r="AM273" s="3103"/>
      <c r="AN273" s="3103"/>
      <c r="AO273" s="3103"/>
      <c r="AP273" s="3103"/>
      <c r="AQ273" s="3103"/>
      <c r="AR273" s="3103"/>
      <c r="AS273" s="3103"/>
      <c r="AT273" s="3113"/>
      <c r="AU273" s="3114"/>
      <c r="AV273" s="1580">
        <f t="shared" si="127"/>
        <v>0</v>
      </c>
      <c r="AW273" s="1580">
        <f t="shared" si="128"/>
        <v>0</v>
      </c>
      <c r="AX273" s="1580">
        <f t="shared" si="129"/>
        <v>0</v>
      </c>
      <c r="AY273" s="3128">
        <f t="shared" si="130"/>
        <v>0</v>
      </c>
      <c r="AZ273" s="3083">
        <f t="shared" si="131"/>
        <v>0</v>
      </c>
      <c r="BA273" s="3083">
        <f t="shared" si="132"/>
        <v>0</v>
      </c>
      <c r="BB273" s="3083">
        <f t="shared" si="133"/>
        <v>0</v>
      </c>
      <c r="BC273" s="3083">
        <f t="shared" si="134"/>
        <v>0</v>
      </c>
      <c r="BD273" s="3083">
        <f t="shared" si="135"/>
        <v>0</v>
      </c>
      <c r="BE273" s="3083">
        <f t="shared" si="136"/>
        <v>0</v>
      </c>
      <c r="BF273" s="3083">
        <f t="shared" si="137"/>
        <v>0</v>
      </c>
      <c r="BG273" s="3083">
        <f t="shared" si="138"/>
        <v>0</v>
      </c>
      <c r="BH273" s="3083">
        <f t="shared" si="139"/>
        <v>0</v>
      </c>
      <c r="BI273" s="3083">
        <f t="shared" si="140"/>
        <v>0</v>
      </c>
      <c r="BJ273" s="3083">
        <f t="shared" si="141"/>
        <v>0</v>
      </c>
      <c r="BK273" s="3083">
        <f t="shared" si="142"/>
        <v>0</v>
      </c>
      <c r="BL273" s="3083">
        <f t="shared" si="143"/>
        <v>0</v>
      </c>
      <c r="BM273" s="3083">
        <f t="shared" si="144"/>
        <v>0</v>
      </c>
      <c r="BN273" s="3083">
        <f t="shared" si="145"/>
        <v>0</v>
      </c>
      <c r="BO273" s="3083">
        <f t="shared" si="146"/>
        <v>0</v>
      </c>
      <c r="BP273" s="3083">
        <f t="shared" si="147"/>
        <v>0</v>
      </c>
      <c r="BQ273" s="3083">
        <f t="shared" si="148"/>
        <v>0</v>
      </c>
      <c r="BR273" s="3083">
        <f t="shared" si="149"/>
        <v>0</v>
      </c>
      <c r="BS273" s="3083">
        <f t="shared" si="150"/>
        <v>0</v>
      </c>
      <c r="BT273" s="3135">
        <f t="shared" si="151"/>
        <v>0</v>
      </c>
    </row>
    <row r="274" spans="1:72">
      <c r="A274" s="3080"/>
      <c r="B274" s="3081"/>
      <c r="C274" s="3081"/>
      <c r="D274" s="3082"/>
      <c r="E274" s="3083">
        <f t="shared" si="123"/>
        <v>0</v>
      </c>
      <c r="F274" s="3084"/>
      <c r="G274" s="3085">
        <f t="shared" si="124"/>
        <v>0</v>
      </c>
      <c r="H274" s="3086">
        <f t="shared" si="125"/>
        <v>0</v>
      </c>
      <c r="I274" s="3093"/>
      <c r="J274" s="3093"/>
      <c r="K274" s="3093"/>
      <c r="L274" s="3093"/>
      <c r="M274" s="3093"/>
      <c r="N274" s="3093"/>
      <c r="O274" s="3093"/>
      <c r="P274" s="3093"/>
      <c r="Q274" s="3093"/>
      <c r="R274" s="3093"/>
      <c r="S274" s="3093"/>
      <c r="T274" s="3093"/>
      <c r="U274" s="3093"/>
      <c r="V274" s="3093"/>
      <c r="W274" s="3093"/>
      <c r="X274" s="3093"/>
      <c r="Y274" s="3093"/>
      <c r="Z274" s="3093"/>
      <c r="AA274" s="3093"/>
      <c r="AB274" s="3093"/>
      <c r="AC274" s="3083">
        <f t="shared" si="126"/>
        <v>0</v>
      </c>
      <c r="AD274" s="3103"/>
      <c r="AE274" s="3103"/>
      <c r="AF274" s="3103"/>
      <c r="AG274" s="3103"/>
      <c r="AH274" s="3103"/>
      <c r="AI274" s="3103"/>
      <c r="AJ274" s="3103"/>
      <c r="AK274" s="3103"/>
      <c r="AL274" s="3103"/>
      <c r="AM274" s="3103"/>
      <c r="AN274" s="3103"/>
      <c r="AO274" s="3103"/>
      <c r="AP274" s="3103"/>
      <c r="AQ274" s="3103"/>
      <c r="AR274" s="3103"/>
      <c r="AS274" s="3103"/>
      <c r="AT274" s="3113"/>
      <c r="AU274" s="3114"/>
      <c r="AV274" s="1580">
        <f t="shared" si="127"/>
        <v>0</v>
      </c>
      <c r="AW274" s="1580">
        <f t="shared" si="128"/>
        <v>0</v>
      </c>
      <c r="AX274" s="1580">
        <f t="shared" si="129"/>
        <v>0</v>
      </c>
      <c r="AY274" s="3128">
        <f t="shared" si="130"/>
        <v>0</v>
      </c>
      <c r="AZ274" s="3083">
        <f t="shared" si="131"/>
        <v>0</v>
      </c>
      <c r="BA274" s="3083">
        <f t="shared" si="132"/>
        <v>0</v>
      </c>
      <c r="BB274" s="3083">
        <f t="shared" si="133"/>
        <v>0</v>
      </c>
      <c r="BC274" s="3083">
        <f t="shared" si="134"/>
        <v>0</v>
      </c>
      <c r="BD274" s="3083">
        <f t="shared" si="135"/>
        <v>0</v>
      </c>
      <c r="BE274" s="3083">
        <f t="shared" si="136"/>
        <v>0</v>
      </c>
      <c r="BF274" s="3083">
        <f t="shared" si="137"/>
        <v>0</v>
      </c>
      <c r="BG274" s="3083">
        <f t="shared" si="138"/>
        <v>0</v>
      </c>
      <c r="BH274" s="3083">
        <f t="shared" si="139"/>
        <v>0</v>
      </c>
      <c r="BI274" s="3083">
        <f t="shared" si="140"/>
        <v>0</v>
      </c>
      <c r="BJ274" s="3083">
        <f t="shared" si="141"/>
        <v>0</v>
      </c>
      <c r="BK274" s="3083">
        <f t="shared" si="142"/>
        <v>0</v>
      </c>
      <c r="BL274" s="3083">
        <f t="shared" si="143"/>
        <v>0</v>
      </c>
      <c r="BM274" s="3083">
        <f t="shared" si="144"/>
        <v>0</v>
      </c>
      <c r="BN274" s="3083">
        <f t="shared" si="145"/>
        <v>0</v>
      </c>
      <c r="BO274" s="3083">
        <f t="shared" si="146"/>
        <v>0</v>
      </c>
      <c r="BP274" s="3083">
        <f t="shared" si="147"/>
        <v>0</v>
      </c>
      <c r="BQ274" s="3083">
        <f t="shared" si="148"/>
        <v>0</v>
      </c>
      <c r="BR274" s="3083">
        <f t="shared" si="149"/>
        <v>0</v>
      </c>
      <c r="BS274" s="3083">
        <f t="shared" si="150"/>
        <v>0</v>
      </c>
      <c r="BT274" s="3135">
        <f t="shared" si="151"/>
        <v>0</v>
      </c>
    </row>
    <row r="275" spans="1:72">
      <c r="A275" s="3080"/>
      <c r="B275" s="3081"/>
      <c r="C275" s="3081"/>
      <c r="D275" s="3082"/>
      <c r="E275" s="3083">
        <f t="shared" si="123"/>
        <v>0</v>
      </c>
      <c r="F275" s="3084"/>
      <c r="G275" s="3085">
        <f t="shared" si="124"/>
        <v>0</v>
      </c>
      <c r="H275" s="3086">
        <f t="shared" si="125"/>
        <v>0</v>
      </c>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83">
        <f t="shared" si="126"/>
        <v>0</v>
      </c>
      <c r="AD275" s="3103"/>
      <c r="AE275" s="3103"/>
      <c r="AF275" s="3103"/>
      <c r="AG275" s="3103"/>
      <c r="AH275" s="3103"/>
      <c r="AI275" s="3103"/>
      <c r="AJ275" s="3103"/>
      <c r="AK275" s="3103"/>
      <c r="AL275" s="3103"/>
      <c r="AM275" s="3103"/>
      <c r="AN275" s="3103"/>
      <c r="AO275" s="3103"/>
      <c r="AP275" s="3103"/>
      <c r="AQ275" s="3103"/>
      <c r="AR275" s="3103"/>
      <c r="AS275" s="3103"/>
      <c r="AT275" s="3113"/>
      <c r="AU275" s="3114"/>
      <c r="AV275" s="1580">
        <f t="shared" si="127"/>
        <v>0</v>
      </c>
      <c r="AW275" s="1580">
        <f t="shared" si="128"/>
        <v>0</v>
      </c>
      <c r="AX275" s="1580">
        <f t="shared" si="129"/>
        <v>0</v>
      </c>
      <c r="AY275" s="3128">
        <f t="shared" si="130"/>
        <v>0</v>
      </c>
      <c r="AZ275" s="3083">
        <f t="shared" si="131"/>
        <v>0</v>
      </c>
      <c r="BA275" s="3083">
        <f t="shared" si="132"/>
        <v>0</v>
      </c>
      <c r="BB275" s="3083">
        <f t="shared" si="133"/>
        <v>0</v>
      </c>
      <c r="BC275" s="3083">
        <f t="shared" si="134"/>
        <v>0</v>
      </c>
      <c r="BD275" s="3083">
        <f t="shared" si="135"/>
        <v>0</v>
      </c>
      <c r="BE275" s="3083">
        <f t="shared" si="136"/>
        <v>0</v>
      </c>
      <c r="BF275" s="3083">
        <f t="shared" si="137"/>
        <v>0</v>
      </c>
      <c r="BG275" s="3083">
        <f t="shared" si="138"/>
        <v>0</v>
      </c>
      <c r="BH275" s="3083">
        <f t="shared" si="139"/>
        <v>0</v>
      </c>
      <c r="BI275" s="3083">
        <f t="shared" si="140"/>
        <v>0</v>
      </c>
      <c r="BJ275" s="3083">
        <f t="shared" si="141"/>
        <v>0</v>
      </c>
      <c r="BK275" s="3083">
        <f t="shared" si="142"/>
        <v>0</v>
      </c>
      <c r="BL275" s="3083">
        <f t="shared" si="143"/>
        <v>0</v>
      </c>
      <c r="BM275" s="3083">
        <f t="shared" si="144"/>
        <v>0</v>
      </c>
      <c r="BN275" s="3083">
        <f t="shared" si="145"/>
        <v>0</v>
      </c>
      <c r="BO275" s="3083">
        <f t="shared" si="146"/>
        <v>0</v>
      </c>
      <c r="BP275" s="3083">
        <f t="shared" si="147"/>
        <v>0</v>
      </c>
      <c r="BQ275" s="3083">
        <f t="shared" si="148"/>
        <v>0</v>
      </c>
      <c r="BR275" s="3083">
        <f t="shared" si="149"/>
        <v>0</v>
      </c>
      <c r="BS275" s="3083">
        <f t="shared" si="150"/>
        <v>0</v>
      </c>
      <c r="BT275" s="3135">
        <f t="shared" si="151"/>
        <v>0</v>
      </c>
    </row>
    <row r="276" spans="1:72">
      <c r="A276" s="3080"/>
      <c r="B276" s="3081"/>
      <c r="C276" s="3081"/>
      <c r="D276" s="3082"/>
      <c r="E276" s="3083">
        <f t="shared" si="123"/>
        <v>0</v>
      </c>
      <c r="F276" s="3084"/>
      <c r="G276" s="3085">
        <f t="shared" si="124"/>
        <v>0</v>
      </c>
      <c r="H276" s="3086">
        <f t="shared" si="125"/>
        <v>0</v>
      </c>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83">
        <f t="shared" si="126"/>
        <v>0</v>
      </c>
      <c r="AD276" s="3103"/>
      <c r="AE276" s="3103"/>
      <c r="AF276" s="3103"/>
      <c r="AG276" s="3103"/>
      <c r="AH276" s="3103"/>
      <c r="AI276" s="3103"/>
      <c r="AJ276" s="3103"/>
      <c r="AK276" s="3103"/>
      <c r="AL276" s="3103"/>
      <c r="AM276" s="3103"/>
      <c r="AN276" s="3103"/>
      <c r="AO276" s="3103"/>
      <c r="AP276" s="3103"/>
      <c r="AQ276" s="3103"/>
      <c r="AR276" s="3103"/>
      <c r="AS276" s="3103"/>
      <c r="AT276" s="3113"/>
      <c r="AU276" s="3114"/>
      <c r="AV276" s="1580">
        <f t="shared" si="127"/>
        <v>0</v>
      </c>
      <c r="AW276" s="1580">
        <f t="shared" si="128"/>
        <v>0</v>
      </c>
      <c r="AX276" s="1580">
        <f t="shared" si="129"/>
        <v>0</v>
      </c>
      <c r="AY276" s="3128">
        <f t="shared" si="130"/>
        <v>0</v>
      </c>
      <c r="AZ276" s="3083">
        <f t="shared" si="131"/>
        <v>0</v>
      </c>
      <c r="BA276" s="3083">
        <f t="shared" si="132"/>
        <v>0</v>
      </c>
      <c r="BB276" s="3083">
        <f t="shared" si="133"/>
        <v>0</v>
      </c>
      <c r="BC276" s="3083">
        <f t="shared" si="134"/>
        <v>0</v>
      </c>
      <c r="BD276" s="3083">
        <f t="shared" si="135"/>
        <v>0</v>
      </c>
      <c r="BE276" s="3083">
        <f t="shared" si="136"/>
        <v>0</v>
      </c>
      <c r="BF276" s="3083">
        <f t="shared" si="137"/>
        <v>0</v>
      </c>
      <c r="BG276" s="3083">
        <f t="shared" si="138"/>
        <v>0</v>
      </c>
      <c r="BH276" s="3083">
        <f t="shared" si="139"/>
        <v>0</v>
      </c>
      <c r="BI276" s="3083">
        <f t="shared" si="140"/>
        <v>0</v>
      </c>
      <c r="BJ276" s="3083">
        <f t="shared" si="141"/>
        <v>0</v>
      </c>
      <c r="BK276" s="3083">
        <f t="shared" si="142"/>
        <v>0</v>
      </c>
      <c r="BL276" s="3083">
        <f t="shared" si="143"/>
        <v>0</v>
      </c>
      <c r="BM276" s="3083">
        <f t="shared" si="144"/>
        <v>0</v>
      </c>
      <c r="BN276" s="3083">
        <f t="shared" si="145"/>
        <v>0</v>
      </c>
      <c r="BO276" s="3083">
        <f t="shared" si="146"/>
        <v>0</v>
      </c>
      <c r="BP276" s="3083">
        <f t="shared" si="147"/>
        <v>0</v>
      </c>
      <c r="BQ276" s="3083">
        <f t="shared" si="148"/>
        <v>0</v>
      </c>
      <c r="BR276" s="3083">
        <f t="shared" si="149"/>
        <v>0</v>
      </c>
      <c r="BS276" s="3083">
        <f t="shared" si="150"/>
        <v>0</v>
      </c>
      <c r="BT276" s="3135">
        <f t="shared" si="151"/>
        <v>0</v>
      </c>
    </row>
    <row r="277" spans="1:72">
      <c r="A277" s="3080"/>
      <c r="B277" s="3081"/>
      <c r="C277" s="3081"/>
      <c r="D277" s="3082"/>
      <c r="E277" s="3083">
        <f t="shared" si="123"/>
        <v>0</v>
      </c>
      <c r="F277" s="3084"/>
      <c r="G277" s="3085">
        <f t="shared" si="124"/>
        <v>0</v>
      </c>
      <c r="H277" s="3086">
        <f t="shared" si="125"/>
        <v>0</v>
      </c>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83">
        <f t="shared" si="126"/>
        <v>0</v>
      </c>
      <c r="AD277" s="3103"/>
      <c r="AE277" s="3103"/>
      <c r="AF277" s="3103"/>
      <c r="AG277" s="3103"/>
      <c r="AH277" s="3103"/>
      <c r="AI277" s="3103"/>
      <c r="AJ277" s="3103"/>
      <c r="AK277" s="3103"/>
      <c r="AL277" s="3103"/>
      <c r="AM277" s="3103"/>
      <c r="AN277" s="3103"/>
      <c r="AO277" s="3103"/>
      <c r="AP277" s="3103"/>
      <c r="AQ277" s="3103"/>
      <c r="AR277" s="3103"/>
      <c r="AS277" s="3103"/>
      <c r="AT277" s="3113"/>
      <c r="AU277" s="3114"/>
      <c r="AV277" s="1580">
        <f t="shared" si="127"/>
        <v>0</v>
      </c>
      <c r="AW277" s="1580">
        <f t="shared" si="128"/>
        <v>0</v>
      </c>
      <c r="AX277" s="1580">
        <f t="shared" si="129"/>
        <v>0</v>
      </c>
      <c r="AY277" s="3128">
        <f t="shared" si="130"/>
        <v>0</v>
      </c>
      <c r="AZ277" s="3083">
        <f t="shared" si="131"/>
        <v>0</v>
      </c>
      <c r="BA277" s="3083">
        <f t="shared" si="132"/>
        <v>0</v>
      </c>
      <c r="BB277" s="3083">
        <f t="shared" si="133"/>
        <v>0</v>
      </c>
      <c r="BC277" s="3083">
        <f t="shared" si="134"/>
        <v>0</v>
      </c>
      <c r="BD277" s="3083">
        <f t="shared" si="135"/>
        <v>0</v>
      </c>
      <c r="BE277" s="3083">
        <f t="shared" si="136"/>
        <v>0</v>
      </c>
      <c r="BF277" s="3083">
        <f t="shared" si="137"/>
        <v>0</v>
      </c>
      <c r="BG277" s="3083">
        <f t="shared" si="138"/>
        <v>0</v>
      </c>
      <c r="BH277" s="3083">
        <f t="shared" si="139"/>
        <v>0</v>
      </c>
      <c r="BI277" s="3083">
        <f t="shared" si="140"/>
        <v>0</v>
      </c>
      <c r="BJ277" s="3083">
        <f t="shared" si="141"/>
        <v>0</v>
      </c>
      <c r="BK277" s="3083">
        <f t="shared" si="142"/>
        <v>0</v>
      </c>
      <c r="BL277" s="3083">
        <f t="shared" si="143"/>
        <v>0</v>
      </c>
      <c r="BM277" s="3083">
        <f t="shared" si="144"/>
        <v>0</v>
      </c>
      <c r="BN277" s="3083">
        <f t="shared" si="145"/>
        <v>0</v>
      </c>
      <c r="BO277" s="3083">
        <f t="shared" si="146"/>
        <v>0</v>
      </c>
      <c r="BP277" s="3083">
        <f t="shared" si="147"/>
        <v>0</v>
      </c>
      <c r="BQ277" s="3083">
        <f t="shared" si="148"/>
        <v>0</v>
      </c>
      <c r="BR277" s="3083">
        <f t="shared" si="149"/>
        <v>0</v>
      </c>
      <c r="BS277" s="3083">
        <f t="shared" si="150"/>
        <v>0</v>
      </c>
      <c r="BT277" s="3135">
        <f t="shared" si="151"/>
        <v>0</v>
      </c>
    </row>
    <row r="278" spans="1:72">
      <c r="A278" s="3080"/>
      <c r="B278" s="3081"/>
      <c r="C278" s="3081"/>
      <c r="D278" s="3082"/>
      <c r="E278" s="3083">
        <f t="shared" si="123"/>
        <v>0</v>
      </c>
      <c r="F278" s="3084"/>
      <c r="G278" s="3085">
        <f t="shared" si="124"/>
        <v>0</v>
      </c>
      <c r="H278" s="3086">
        <f t="shared" si="125"/>
        <v>0</v>
      </c>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83">
        <f t="shared" si="126"/>
        <v>0</v>
      </c>
      <c r="AD278" s="3103"/>
      <c r="AE278" s="3103"/>
      <c r="AF278" s="3103"/>
      <c r="AG278" s="3103"/>
      <c r="AH278" s="3103"/>
      <c r="AI278" s="3103"/>
      <c r="AJ278" s="3103"/>
      <c r="AK278" s="3103"/>
      <c r="AL278" s="3103"/>
      <c r="AM278" s="3103"/>
      <c r="AN278" s="3103"/>
      <c r="AO278" s="3103"/>
      <c r="AP278" s="3103"/>
      <c r="AQ278" s="3103"/>
      <c r="AR278" s="3103"/>
      <c r="AS278" s="3103"/>
      <c r="AT278" s="3113"/>
      <c r="AU278" s="3114"/>
      <c r="AV278" s="1580">
        <f t="shared" si="127"/>
        <v>0</v>
      </c>
      <c r="AW278" s="1580">
        <f t="shared" si="128"/>
        <v>0</v>
      </c>
      <c r="AX278" s="1580">
        <f t="shared" si="129"/>
        <v>0</v>
      </c>
      <c r="AY278" s="3128">
        <f t="shared" si="130"/>
        <v>0</v>
      </c>
      <c r="AZ278" s="3083">
        <f t="shared" si="131"/>
        <v>0</v>
      </c>
      <c r="BA278" s="3083">
        <f t="shared" si="132"/>
        <v>0</v>
      </c>
      <c r="BB278" s="3083">
        <f t="shared" si="133"/>
        <v>0</v>
      </c>
      <c r="BC278" s="3083">
        <f t="shared" si="134"/>
        <v>0</v>
      </c>
      <c r="BD278" s="3083">
        <f t="shared" si="135"/>
        <v>0</v>
      </c>
      <c r="BE278" s="3083">
        <f t="shared" si="136"/>
        <v>0</v>
      </c>
      <c r="BF278" s="3083">
        <f t="shared" si="137"/>
        <v>0</v>
      </c>
      <c r="BG278" s="3083">
        <f t="shared" si="138"/>
        <v>0</v>
      </c>
      <c r="BH278" s="3083">
        <f t="shared" si="139"/>
        <v>0</v>
      </c>
      <c r="BI278" s="3083">
        <f t="shared" si="140"/>
        <v>0</v>
      </c>
      <c r="BJ278" s="3083">
        <f t="shared" si="141"/>
        <v>0</v>
      </c>
      <c r="BK278" s="3083">
        <f t="shared" si="142"/>
        <v>0</v>
      </c>
      <c r="BL278" s="3083">
        <f t="shared" si="143"/>
        <v>0</v>
      </c>
      <c r="BM278" s="3083">
        <f t="shared" si="144"/>
        <v>0</v>
      </c>
      <c r="BN278" s="3083">
        <f t="shared" si="145"/>
        <v>0</v>
      </c>
      <c r="BO278" s="3083">
        <f t="shared" si="146"/>
        <v>0</v>
      </c>
      <c r="BP278" s="3083">
        <f t="shared" si="147"/>
        <v>0</v>
      </c>
      <c r="BQ278" s="3083">
        <f t="shared" si="148"/>
        <v>0</v>
      </c>
      <c r="BR278" s="3083">
        <f t="shared" si="149"/>
        <v>0</v>
      </c>
      <c r="BS278" s="3083">
        <f t="shared" si="150"/>
        <v>0</v>
      </c>
      <c r="BT278" s="3135">
        <f t="shared" si="151"/>
        <v>0</v>
      </c>
    </row>
    <row r="279" spans="1:72">
      <c r="A279" s="3080"/>
      <c r="B279" s="3081"/>
      <c r="C279" s="3081"/>
      <c r="D279" s="3082"/>
      <c r="E279" s="3083">
        <f t="shared" si="123"/>
        <v>0</v>
      </c>
      <c r="F279" s="3084"/>
      <c r="G279" s="3085">
        <f t="shared" si="124"/>
        <v>0</v>
      </c>
      <c r="H279" s="3086">
        <f t="shared" si="125"/>
        <v>0</v>
      </c>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83">
        <f t="shared" si="126"/>
        <v>0</v>
      </c>
      <c r="AD279" s="3103"/>
      <c r="AE279" s="3103"/>
      <c r="AF279" s="3103"/>
      <c r="AG279" s="3103"/>
      <c r="AH279" s="3103"/>
      <c r="AI279" s="3103"/>
      <c r="AJ279" s="3103"/>
      <c r="AK279" s="3103"/>
      <c r="AL279" s="3103"/>
      <c r="AM279" s="3103"/>
      <c r="AN279" s="3103"/>
      <c r="AO279" s="3103"/>
      <c r="AP279" s="3103"/>
      <c r="AQ279" s="3103"/>
      <c r="AR279" s="3103"/>
      <c r="AS279" s="3103"/>
      <c r="AT279" s="3113"/>
      <c r="AU279" s="3114"/>
      <c r="AV279" s="1580">
        <f t="shared" si="127"/>
        <v>0</v>
      </c>
      <c r="AW279" s="1580">
        <f t="shared" si="128"/>
        <v>0</v>
      </c>
      <c r="AX279" s="1580">
        <f t="shared" si="129"/>
        <v>0</v>
      </c>
      <c r="AY279" s="3128">
        <f t="shared" si="130"/>
        <v>0</v>
      </c>
      <c r="AZ279" s="3083">
        <f t="shared" si="131"/>
        <v>0</v>
      </c>
      <c r="BA279" s="3083">
        <f t="shared" si="132"/>
        <v>0</v>
      </c>
      <c r="BB279" s="3083">
        <f t="shared" si="133"/>
        <v>0</v>
      </c>
      <c r="BC279" s="3083">
        <f t="shared" si="134"/>
        <v>0</v>
      </c>
      <c r="BD279" s="3083">
        <f t="shared" si="135"/>
        <v>0</v>
      </c>
      <c r="BE279" s="3083">
        <f t="shared" si="136"/>
        <v>0</v>
      </c>
      <c r="BF279" s="3083">
        <f t="shared" si="137"/>
        <v>0</v>
      </c>
      <c r="BG279" s="3083">
        <f t="shared" si="138"/>
        <v>0</v>
      </c>
      <c r="BH279" s="3083">
        <f t="shared" si="139"/>
        <v>0</v>
      </c>
      <c r="BI279" s="3083">
        <f t="shared" si="140"/>
        <v>0</v>
      </c>
      <c r="BJ279" s="3083">
        <f t="shared" si="141"/>
        <v>0</v>
      </c>
      <c r="BK279" s="3083">
        <f t="shared" si="142"/>
        <v>0</v>
      </c>
      <c r="BL279" s="3083">
        <f t="shared" si="143"/>
        <v>0</v>
      </c>
      <c r="BM279" s="3083">
        <f t="shared" si="144"/>
        <v>0</v>
      </c>
      <c r="BN279" s="3083">
        <f t="shared" si="145"/>
        <v>0</v>
      </c>
      <c r="BO279" s="3083">
        <f t="shared" si="146"/>
        <v>0</v>
      </c>
      <c r="BP279" s="3083">
        <f t="shared" si="147"/>
        <v>0</v>
      </c>
      <c r="BQ279" s="3083">
        <f t="shared" si="148"/>
        <v>0</v>
      </c>
      <c r="BR279" s="3083">
        <f t="shared" si="149"/>
        <v>0</v>
      </c>
      <c r="BS279" s="3083">
        <f t="shared" si="150"/>
        <v>0</v>
      </c>
      <c r="BT279" s="3135">
        <f t="shared" si="151"/>
        <v>0</v>
      </c>
    </row>
    <row r="280" spans="1:72">
      <c r="A280" s="3080"/>
      <c r="B280" s="3081"/>
      <c r="C280" s="3081"/>
      <c r="D280" s="3082"/>
      <c r="E280" s="3083">
        <f t="shared" si="123"/>
        <v>0</v>
      </c>
      <c r="F280" s="3084"/>
      <c r="G280" s="3085">
        <f t="shared" si="124"/>
        <v>0</v>
      </c>
      <c r="H280" s="3086">
        <f t="shared" si="125"/>
        <v>0</v>
      </c>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83">
        <f t="shared" si="126"/>
        <v>0</v>
      </c>
      <c r="AD280" s="3103"/>
      <c r="AE280" s="3103"/>
      <c r="AF280" s="3103"/>
      <c r="AG280" s="3103"/>
      <c r="AH280" s="3103"/>
      <c r="AI280" s="3103"/>
      <c r="AJ280" s="3103"/>
      <c r="AK280" s="3103"/>
      <c r="AL280" s="3103"/>
      <c r="AM280" s="3103"/>
      <c r="AN280" s="3103"/>
      <c r="AO280" s="3103"/>
      <c r="AP280" s="3103"/>
      <c r="AQ280" s="3103"/>
      <c r="AR280" s="3103"/>
      <c r="AS280" s="3103"/>
      <c r="AT280" s="3113"/>
      <c r="AU280" s="3114"/>
      <c r="AV280" s="1580">
        <f t="shared" si="127"/>
        <v>0</v>
      </c>
      <c r="AW280" s="1580">
        <f t="shared" si="128"/>
        <v>0</v>
      </c>
      <c r="AX280" s="1580">
        <f t="shared" si="129"/>
        <v>0</v>
      </c>
      <c r="AY280" s="3128">
        <f t="shared" si="130"/>
        <v>0</v>
      </c>
      <c r="AZ280" s="3083">
        <f t="shared" si="131"/>
        <v>0</v>
      </c>
      <c r="BA280" s="3083">
        <f t="shared" si="132"/>
        <v>0</v>
      </c>
      <c r="BB280" s="3083">
        <f t="shared" si="133"/>
        <v>0</v>
      </c>
      <c r="BC280" s="3083">
        <f t="shared" si="134"/>
        <v>0</v>
      </c>
      <c r="BD280" s="3083">
        <f t="shared" si="135"/>
        <v>0</v>
      </c>
      <c r="BE280" s="3083">
        <f t="shared" si="136"/>
        <v>0</v>
      </c>
      <c r="BF280" s="3083">
        <f t="shared" si="137"/>
        <v>0</v>
      </c>
      <c r="BG280" s="3083">
        <f t="shared" si="138"/>
        <v>0</v>
      </c>
      <c r="BH280" s="3083">
        <f t="shared" si="139"/>
        <v>0</v>
      </c>
      <c r="BI280" s="3083">
        <f t="shared" si="140"/>
        <v>0</v>
      </c>
      <c r="BJ280" s="3083">
        <f t="shared" si="141"/>
        <v>0</v>
      </c>
      <c r="BK280" s="3083">
        <f t="shared" si="142"/>
        <v>0</v>
      </c>
      <c r="BL280" s="3083">
        <f t="shared" si="143"/>
        <v>0</v>
      </c>
      <c r="BM280" s="3083">
        <f t="shared" si="144"/>
        <v>0</v>
      </c>
      <c r="BN280" s="3083">
        <f t="shared" si="145"/>
        <v>0</v>
      </c>
      <c r="BO280" s="3083">
        <f t="shared" si="146"/>
        <v>0</v>
      </c>
      <c r="BP280" s="3083">
        <f t="shared" si="147"/>
        <v>0</v>
      </c>
      <c r="BQ280" s="3083">
        <f t="shared" si="148"/>
        <v>0</v>
      </c>
      <c r="BR280" s="3083">
        <f t="shared" si="149"/>
        <v>0</v>
      </c>
      <c r="BS280" s="3083">
        <f t="shared" si="150"/>
        <v>0</v>
      </c>
      <c r="BT280" s="3135">
        <f t="shared" si="151"/>
        <v>0</v>
      </c>
    </row>
    <row r="281" spans="1:72">
      <c r="A281" s="3080"/>
      <c r="B281" s="3081"/>
      <c r="C281" s="3081"/>
      <c r="D281" s="3082"/>
      <c r="E281" s="3083">
        <f t="shared" si="123"/>
        <v>0</v>
      </c>
      <c r="F281" s="3084"/>
      <c r="G281" s="3085">
        <f t="shared" si="124"/>
        <v>0</v>
      </c>
      <c r="H281" s="3086">
        <f t="shared" si="125"/>
        <v>0</v>
      </c>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83">
        <f t="shared" si="126"/>
        <v>0</v>
      </c>
      <c r="AD281" s="3103"/>
      <c r="AE281" s="3103"/>
      <c r="AF281" s="3103"/>
      <c r="AG281" s="3103"/>
      <c r="AH281" s="3103"/>
      <c r="AI281" s="3103"/>
      <c r="AJ281" s="3103"/>
      <c r="AK281" s="3103"/>
      <c r="AL281" s="3103"/>
      <c r="AM281" s="3103"/>
      <c r="AN281" s="3103"/>
      <c r="AO281" s="3103"/>
      <c r="AP281" s="3103"/>
      <c r="AQ281" s="3103"/>
      <c r="AR281" s="3103"/>
      <c r="AS281" s="3103"/>
      <c r="AT281" s="3113"/>
      <c r="AU281" s="3114"/>
      <c r="AV281" s="1580">
        <f t="shared" si="127"/>
        <v>0</v>
      </c>
      <c r="AW281" s="1580">
        <f t="shared" si="128"/>
        <v>0</v>
      </c>
      <c r="AX281" s="1580">
        <f t="shared" si="129"/>
        <v>0</v>
      </c>
      <c r="AY281" s="3128">
        <f t="shared" si="130"/>
        <v>0</v>
      </c>
      <c r="AZ281" s="3083">
        <f t="shared" si="131"/>
        <v>0</v>
      </c>
      <c r="BA281" s="3083">
        <f t="shared" si="132"/>
        <v>0</v>
      </c>
      <c r="BB281" s="3083">
        <f t="shared" si="133"/>
        <v>0</v>
      </c>
      <c r="BC281" s="3083">
        <f t="shared" si="134"/>
        <v>0</v>
      </c>
      <c r="BD281" s="3083">
        <f t="shared" si="135"/>
        <v>0</v>
      </c>
      <c r="BE281" s="3083">
        <f t="shared" si="136"/>
        <v>0</v>
      </c>
      <c r="BF281" s="3083">
        <f t="shared" si="137"/>
        <v>0</v>
      </c>
      <c r="BG281" s="3083">
        <f t="shared" si="138"/>
        <v>0</v>
      </c>
      <c r="BH281" s="3083">
        <f t="shared" si="139"/>
        <v>0</v>
      </c>
      <c r="BI281" s="3083">
        <f t="shared" si="140"/>
        <v>0</v>
      </c>
      <c r="BJ281" s="3083">
        <f t="shared" si="141"/>
        <v>0</v>
      </c>
      <c r="BK281" s="3083">
        <f t="shared" si="142"/>
        <v>0</v>
      </c>
      <c r="BL281" s="3083">
        <f t="shared" si="143"/>
        <v>0</v>
      </c>
      <c r="BM281" s="3083">
        <f t="shared" si="144"/>
        <v>0</v>
      </c>
      <c r="BN281" s="3083">
        <f t="shared" si="145"/>
        <v>0</v>
      </c>
      <c r="BO281" s="3083">
        <f t="shared" si="146"/>
        <v>0</v>
      </c>
      <c r="BP281" s="3083">
        <f t="shared" si="147"/>
        <v>0</v>
      </c>
      <c r="BQ281" s="3083">
        <f t="shared" si="148"/>
        <v>0</v>
      </c>
      <c r="BR281" s="3083">
        <f t="shared" si="149"/>
        <v>0</v>
      </c>
      <c r="BS281" s="3083">
        <f t="shared" si="150"/>
        <v>0</v>
      </c>
      <c r="BT281" s="3135">
        <f t="shared" si="151"/>
        <v>0</v>
      </c>
    </row>
    <row r="282" spans="1:72">
      <c r="A282" s="3080"/>
      <c r="B282" s="3081"/>
      <c r="C282" s="3081"/>
      <c r="D282" s="3082"/>
      <c r="E282" s="3083">
        <f t="shared" si="123"/>
        <v>0</v>
      </c>
      <c r="F282" s="3084"/>
      <c r="G282" s="3085">
        <f t="shared" si="124"/>
        <v>0</v>
      </c>
      <c r="H282" s="3086">
        <f t="shared" si="125"/>
        <v>0</v>
      </c>
      <c r="I282" s="3093"/>
      <c r="J282" s="3093"/>
      <c r="K282" s="3093"/>
      <c r="L282" s="3093"/>
      <c r="M282" s="3093"/>
      <c r="N282" s="3093"/>
      <c r="O282" s="3093"/>
      <c r="P282" s="3093"/>
      <c r="Q282" s="3093"/>
      <c r="R282" s="3093"/>
      <c r="S282" s="3093"/>
      <c r="T282" s="3093"/>
      <c r="U282" s="3093"/>
      <c r="V282" s="3093"/>
      <c r="W282" s="3093"/>
      <c r="X282" s="3093"/>
      <c r="Y282" s="3093"/>
      <c r="Z282" s="3093"/>
      <c r="AA282" s="3093"/>
      <c r="AB282" s="3093"/>
      <c r="AC282" s="3083">
        <f t="shared" si="126"/>
        <v>0</v>
      </c>
      <c r="AD282" s="3103"/>
      <c r="AE282" s="3103"/>
      <c r="AF282" s="3103"/>
      <c r="AG282" s="3103"/>
      <c r="AH282" s="3103"/>
      <c r="AI282" s="3103"/>
      <c r="AJ282" s="3103"/>
      <c r="AK282" s="3103"/>
      <c r="AL282" s="3103"/>
      <c r="AM282" s="3103"/>
      <c r="AN282" s="3103"/>
      <c r="AO282" s="3103"/>
      <c r="AP282" s="3103"/>
      <c r="AQ282" s="3103"/>
      <c r="AR282" s="3103"/>
      <c r="AS282" s="3103"/>
      <c r="AT282" s="3113"/>
      <c r="AU282" s="3114"/>
      <c r="AV282" s="1580">
        <f t="shared" si="127"/>
        <v>0</v>
      </c>
      <c r="AW282" s="1580">
        <f t="shared" si="128"/>
        <v>0</v>
      </c>
      <c r="AX282" s="1580">
        <f t="shared" si="129"/>
        <v>0</v>
      </c>
      <c r="AY282" s="3128">
        <f t="shared" si="130"/>
        <v>0</v>
      </c>
      <c r="AZ282" s="3083">
        <f t="shared" si="131"/>
        <v>0</v>
      </c>
      <c r="BA282" s="3083">
        <f t="shared" si="132"/>
        <v>0</v>
      </c>
      <c r="BB282" s="3083">
        <f t="shared" si="133"/>
        <v>0</v>
      </c>
      <c r="BC282" s="3083">
        <f t="shared" si="134"/>
        <v>0</v>
      </c>
      <c r="BD282" s="3083">
        <f t="shared" si="135"/>
        <v>0</v>
      </c>
      <c r="BE282" s="3083">
        <f t="shared" si="136"/>
        <v>0</v>
      </c>
      <c r="BF282" s="3083">
        <f t="shared" si="137"/>
        <v>0</v>
      </c>
      <c r="BG282" s="3083">
        <f t="shared" si="138"/>
        <v>0</v>
      </c>
      <c r="BH282" s="3083">
        <f t="shared" si="139"/>
        <v>0</v>
      </c>
      <c r="BI282" s="3083">
        <f t="shared" si="140"/>
        <v>0</v>
      </c>
      <c r="BJ282" s="3083">
        <f t="shared" si="141"/>
        <v>0</v>
      </c>
      <c r="BK282" s="3083">
        <f t="shared" si="142"/>
        <v>0</v>
      </c>
      <c r="BL282" s="3083">
        <f t="shared" si="143"/>
        <v>0</v>
      </c>
      <c r="BM282" s="3083">
        <f t="shared" si="144"/>
        <v>0</v>
      </c>
      <c r="BN282" s="3083">
        <f t="shared" si="145"/>
        <v>0</v>
      </c>
      <c r="BO282" s="3083">
        <f t="shared" si="146"/>
        <v>0</v>
      </c>
      <c r="BP282" s="3083">
        <f t="shared" si="147"/>
        <v>0</v>
      </c>
      <c r="BQ282" s="3083">
        <f t="shared" si="148"/>
        <v>0</v>
      </c>
      <c r="BR282" s="3083">
        <f t="shared" si="149"/>
        <v>0</v>
      </c>
      <c r="BS282" s="3083">
        <f t="shared" si="150"/>
        <v>0</v>
      </c>
      <c r="BT282" s="3135">
        <f t="shared" si="151"/>
        <v>0</v>
      </c>
    </row>
    <row r="283" spans="1:72">
      <c r="A283" s="3080"/>
      <c r="B283" s="3081"/>
      <c r="C283" s="3081"/>
      <c r="D283" s="3082"/>
      <c r="E283" s="3083">
        <f t="shared" si="123"/>
        <v>0</v>
      </c>
      <c r="F283" s="3084"/>
      <c r="G283" s="3085">
        <f t="shared" si="124"/>
        <v>0</v>
      </c>
      <c r="H283" s="3086">
        <f t="shared" si="125"/>
        <v>0</v>
      </c>
      <c r="I283" s="3093"/>
      <c r="J283" s="3093"/>
      <c r="K283" s="3093"/>
      <c r="L283" s="3093"/>
      <c r="M283" s="3093"/>
      <c r="N283" s="3093"/>
      <c r="O283" s="3093"/>
      <c r="P283" s="3093"/>
      <c r="Q283" s="3093"/>
      <c r="R283" s="3093"/>
      <c r="S283" s="3093"/>
      <c r="T283" s="3093"/>
      <c r="U283" s="3093"/>
      <c r="V283" s="3093"/>
      <c r="W283" s="3093"/>
      <c r="X283" s="3093"/>
      <c r="Y283" s="3093"/>
      <c r="Z283" s="3093"/>
      <c r="AA283" s="3093"/>
      <c r="AB283" s="3093"/>
      <c r="AC283" s="3083">
        <f t="shared" si="126"/>
        <v>0</v>
      </c>
      <c r="AD283" s="3103"/>
      <c r="AE283" s="3103"/>
      <c r="AF283" s="3103"/>
      <c r="AG283" s="3103"/>
      <c r="AH283" s="3103"/>
      <c r="AI283" s="3103"/>
      <c r="AJ283" s="3103"/>
      <c r="AK283" s="3103"/>
      <c r="AL283" s="3103"/>
      <c r="AM283" s="3103"/>
      <c r="AN283" s="3103"/>
      <c r="AO283" s="3103"/>
      <c r="AP283" s="3103"/>
      <c r="AQ283" s="3103"/>
      <c r="AR283" s="3103"/>
      <c r="AS283" s="3103"/>
      <c r="AT283" s="3113"/>
      <c r="AU283" s="3114"/>
      <c r="AV283" s="1580">
        <f t="shared" si="127"/>
        <v>0</v>
      </c>
      <c r="AW283" s="1580">
        <f t="shared" si="128"/>
        <v>0</v>
      </c>
      <c r="AX283" s="1580">
        <f t="shared" si="129"/>
        <v>0</v>
      </c>
      <c r="AY283" s="3128">
        <f t="shared" si="130"/>
        <v>0</v>
      </c>
      <c r="AZ283" s="3083">
        <f t="shared" si="131"/>
        <v>0</v>
      </c>
      <c r="BA283" s="3083">
        <f t="shared" si="132"/>
        <v>0</v>
      </c>
      <c r="BB283" s="3083">
        <f t="shared" si="133"/>
        <v>0</v>
      </c>
      <c r="BC283" s="3083">
        <f t="shared" si="134"/>
        <v>0</v>
      </c>
      <c r="BD283" s="3083">
        <f t="shared" si="135"/>
        <v>0</v>
      </c>
      <c r="BE283" s="3083">
        <f t="shared" si="136"/>
        <v>0</v>
      </c>
      <c r="BF283" s="3083">
        <f t="shared" si="137"/>
        <v>0</v>
      </c>
      <c r="BG283" s="3083">
        <f t="shared" si="138"/>
        <v>0</v>
      </c>
      <c r="BH283" s="3083">
        <f t="shared" si="139"/>
        <v>0</v>
      </c>
      <c r="BI283" s="3083">
        <f t="shared" si="140"/>
        <v>0</v>
      </c>
      <c r="BJ283" s="3083">
        <f t="shared" si="141"/>
        <v>0</v>
      </c>
      <c r="BK283" s="3083">
        <f t="shared" si="142"/>
        <v>0</v>
      </c>
      <c r="BL283" s="3083">
        <f t="shared" si="143"/>
        <v>0</v>
      </c>
      <c r="BM283" s="3083">
        <f t="shared" si="144"/>
        <v>0</v>
      </c>
      <c r="BN283" s="3083">
        <f t="shared" si="145"/>
        <v>0</v>
      </c>
      <c r="BO283" s="3083">
        <f t="shared" si="146"/>
        <v>0</v>
      </c>
      <c r="BP283" s="3083">
        <f t="shared" si="147"/>
        <v>0</v>
      </c>
      <c r="BQ283" s="3083">
        <f t="shared" si="148"/>
        <v>0</v>
      </c>
      <c r="BR283" s="3083">
        <f t="shared" si="149"/>
        <v>0</v>
      </c>
      <c r="BS283" s="3083">
        <f t="shared" si="150"/>
        <v>0</v>
      </c>
      <c r="BT283" s="3135">
        <f t="shared" si="151"/>
        <v>0</v>
      </c>
    </row>
    <row r="284" spans="1:72">
      <c r="A284" s="3080"/>
      <c r="B284" s="3081"/>
      <c r="C284" s="3081"/>
      <c r="D284" s="3082"/>
      <c r="E284" s="3083">
        <f t="shared" si="123"/>
        <v>0</v>
      </c>
      <c r="F284" s="3084"/>
      <c r="G284" s="3085">
        <f t="shared" si="124"/>
        <v>0</v>
      </c>
      <c r="H284" s="3086">
        <f t="shared" si="125"/>
        <v>0</v>
      </c>
      <c r="I284" s="3093"/>
      <c r="J284" s="3093"/>
      <c r="K284" s="3093"/>
      <c r="L284" s="3093"/>
      <c r="M284" s="3093"/>
      <c r="N284" s="3093"/>
      <c r="O284" s="3093"/>
      <c r="P284" s="3093"/>
      <c r="Q284" s="3093"/>
      <c r="R284" s="3093"/>
      <c r="S284" s="3093"/>
      <c r="T284" s="3093"/>
      <c r="U284" s="3093"/>
      <c r="V284" s="3093"/>
      <c r="W284" s="3093"/>
      <c r="X284" s="3093"/>
      <c r="Y284" s="3093"/>
      <c r="Z284" s="3093"/>
      <c r="AA284" s="3093"/>
      <c r="AB284" s="3093"/>
      <c r="AC284" s="3083">
        <f t="shared" si="126"/>
        <v>0</v>
      </c>
      <c r="AD284" s="3103"/>
      <c r="AE284" s="3103"/>
      <c r="AF284" s="3103"/>
      <c r="AG284" s="3103"/>
      <c r="AH284" s="3103"/>
      <c r="AI284" s="3103"/>
      <c r="AJ284" s="3103"/>
      <c r="AK284" s="3103"/>
      <c r="AL284" s="3103"/>
      <c r="AM284" s="3103"/>
      <c r="AN284" s="3103"/>
      <c r="AO284" s="3103"/>
      <c r="AP284" s="3103"/>
      <c r="AQ284" s="3103"/>
      <c r="AR284" s="3103"/>
      <c r="AS284" s="3103"/>
      <c r="AT284" s="3113"/>
      <c r="AU284" s="3114"/>
      <c r="AV284" s="1580">
        <f t="shared" si="127"/>
        <v>0</v>
      </c>
      <c r="AW284" s="1580">
        <f t="shared" si="128"/>
        <v>0</v>
      </c>
      <c r="AX284" s="1580">
        <f t="shared" si="129"/>
        <v>0</v>
      </c>
      <c r="AY284" s="3128">
        <f t="shared" si="130"/>
        <v>0</v>
      </c>
      <c r="AZ284" s="3083">
        <f t="shared" si="131"/>
        <v>0</v>
      </c>
      <c r="BA284" s="3083">
        <f t="shared" si="132"/>
        <v>0</v>
      </c>
      <c r="BB284" s="3083">
        <f t="shared" si="133"/>
        <v>0</v>
      </c>
      <c r="BC284" s="3083">
        <f t="shared" si="134"/>
        <v>0</v>
      </c>
      <c r="BD284" s="3083">
        <f t="shared" si="135"/>
        <v>0</v>
      </c>
      <c r="BE284" s="3083">
        <f t="shared" si="136"/>
        <v>0</v>
      </c>
      <c r="BF284" s="3083">
        <f t="shared" si="137"/>
        <v>0</v>
      </c>
      <c r="BG284" s="3083">
        <f t="shared" si="138"/>
        <v>0</v>
      </c>
      <c r="BH284" s="3083">
        <f t="shared" si="139"/>
        <v>0</v>
      </c>
      <c r="BI284" s="3083">
        <f t="shared" si="140"/>
        <v>0</v>
      </c>
      <c r="BJ284" s="3083">
        <f t="shared" si="141"/>
        <v>0</v>
      </c>
      <c r="BK284" s="3083">
        <f t="shared" si="142"/>
        <v>0</v>
      </c>
      <c r="BL284" s="3083">
        <f t="shared" si="143"/>
        <v>0</v>
      </c>
      <c r="BM284" s="3083">
        <f t="shared" si="144"/>
        <v>0</v>
      </c>
      <c r="BN284" s="3083">
        <f t="shared" si="145"/>
        <v>0</v>
      </c>
      <c r="BO284" s="3083">
        <f t="shared" si="146"/>
        <v>0</v>
      </c>
      <c r="BP284" s="3083">
        <f t="shared" si="147"/>
        <v>0</v>
      </c>
      <c r="BQ284" s="3083">
        <f t="shared" si="148"/>
        <v>0</v>
      </c>
      <c r="BR284" s="3083">
        <f t="shared" si="149"/>
        <v>0</v>
      </c>
      <c r="BS284" s="3083">
        <f t="shared" si="150"/>
        <v>0</v>
      </c>
      <c r="BT284" s="3135">
        <f t="shared" si="151"/>
        <v>0</v>
      </c>
    </row>
    <row r="285" spans="1:72">
      <c r="A285" s="3080"/>
      <c r="B285" s="3081"/>
      <c r="C285" s="3081"/>
      <c r="D285" s="3082"/>
      <c r="E285" s="3083">
        <f t="shared" si="123"/>
        <v>0</v>
      </c>
      <c r="F285" s="3084"/>
      <c r="G285" s="3085">
        <f t="shared" si="124"/>
        <v>0</v>
      </c>
      <c r="H285" s="3086">
        <f t="shared" si="125"/>
        <v>0</v>
      </c>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83">
        <f t="shared" si="126"/>
        <v>0</v>
      </c>
      <c r="AD285" s="3103"/>
      <c r="AE285" s="3103"/>
      <c r="AF285" s="3103"/>
      <c r="AG285" s="3103"/>
      <c r="AH285" s="3103"/>
      <c r="AI285" s="3103"/>
      <c r="AJ285" s="3103"/>
      <c r="AK285" s="3103"/>
      <c r="AL285" s="3103"/>
      <c r="AM285" s="3103"/>
      <c r="AN285" s="3103"/>
      <c r="AO285" s="3103"/>
      <c r="AP285" s="3103"/>
      <c r="AQ285" s="3103"/>
      <c r="AR285" s="3103"/>
      <c r="AS285" s="3103"/>
      <c r="AT285" s="3113"/>
      <c r="AU285" s="3114"/>
      <c r="AV285" s="1580">
        <f t="shared" si="127"/>
        <v>0</v>
      </c>
      <c r="AW285" s="1580">
        <f t="shared" si="128"/>
        <v>0</v>
      </c>
      <c r="AX285" s="1580">
        <f t="shared" si="129"/>
        <v>0</v>
      </c>
      <c r="AY285" s="3128">
        <f t="shared" si="130"/>
        <v>0</v>
      </c>
      <c r="AZ285" s="3083">
        <f t="shared" si="131"/>
        <v>0</v>
      </c>
      <c r="BA285" s="3083">
        <f t="shared" si="132"/>
        <v>0</v>
      </c>
      <c r="BB285" s="3083">
        <f t="shared" si="133"/>
        <v>0</v>
      </c>
      <c r="BC285" s="3083">
        <f t="shared" si="134"/>
        <v>0</v>
      </c>
      <c r="BD285" s="3083">
        <f t="shared" si="135"/>
        <v>0</v>
      </c>
      <c r="BE285" s="3083">
        <f t="shared" si="136"/>
        <v>0</v>
      </c>
      <c r="BF285" s="3083">
        <f t="shared" si="137"/>
        <v>0</v>
      </c>
      <c r="BG285" s="3083">
        <f t="shared" si="138"/>
        <v>0</v>
      </c>
      <c r="BH285" s="3083">
        <f t="shared" si="139"/>
        <v>0</v>
      </c>
      <c r="BI285" s="3083">
        <f t="shared" si="140"/>
        <v>0</v>
      </c>
      <c r="BJ285" s="3083">
        <f t="shared" si="141"/>
        <v>0</v>
      </c>
      <c r="BK285" s="3083">
        <f t="shared" si="142"/>
        <v>0</v>
      </c>
      <c r="BL285" s="3083">
        <f t="shared" si="143"/>
        <v>0</v>
      </c>
      <c r="BM285" s="3083">
        <f t="shared" si="144"/>
        <v>0</v>
      </c>
      <c r="BN285" s="3083">
        <f t="shared" si="145"/>
        <v>0</v>
      </c>
      <c r="BO285" s="3083">
        <f t="shared" si="146"/>
        <v>0</v>
      </c>
      <c r="BP285" s="3083">
        <f t="shared" si="147"/>
        <v>0</v>
      </c>
      <c r="BQ285" s="3083">
        <f t="shared" si="148"/>
        <v>0</v>
      </c>
      <c r="BR285" s="3083">
        <f t="shared" si="149"/>
        <v>0</v>
      </c>
      <c r="BS285" s="3083">
        <f t="shared" si="150"/>
        <v>0</v>
      </c>
      <c r="BT285" s="3135">
        <f t="shared" si="151"/>
        <v>0</v>
      </c>
    </row>
    <row r="286" spans="1:72">
      <c r="A286" s="3080"/>
      <c r="B286" s="3081"/>
      <c r="C286" s="3081"/>
      <c r="D286" s="3082"/>
      <c r="E286" s="3083">
        <f t="shared" si="123"/>
        <v>0</v>
      </c>
      <c r="F286" s="3084"/>
      <c r="G286" s="3085">
        <f t="shared" si="124"/>
        <v>0</v>
      </c>
      <c r="H286" s="3086">
        <f t="shared" si="125"/>
        <v>0</v>
      </c>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83">
        <f t="shared" si="126"/>
        <v>0</v>
      </c>
      <c r="AD286" s="3103"/>
      <c r="AE286" s="3103"/>
      <c r="AF286" s="3103"/>
      <c r="AG286" s="3103"/>
      <c r="AH286" s="3103"/>
      <c r="AI286" s="3103"/>
      <c r="AJ286" s="3103"/>
      <c r="AK286" s="3103"/>
      <c r="AL286" s="3103"/>
      <c r="AM286" s="3103"/>
      <c r="AN286" s="3103"/>
      <c r="AO286" s="3103"/>
      <c r="AP286" s="3103"/>
      <c r="AQ286" s="3103"/>
      <c r="AR286" s="3103"/>
      <c r="AS286" s="3103"/>
      <c r="AT286" s="3113"/>
      <c r="AU286" s="3114"/>
      <c r="AV286" s="1580">
        <f t="shared" si="127"/>
        <v>0</v>
      </c>
      <c r="AW286" s="1580">
        <f t="shared" si="128"/>
        <v>0</v>
      </c>
      <c r="AX286" s="1580">
        <f t="shared" si="129"/>
        <v>0</v>
      </c>
      <c r="AY286" s="3128">
        <f t="shared" si="130"/>
        <v>0</v>
      </c>
      <c r="AZ286" s="3083">
        <f t="shared" si="131"/>
        <v>0</v>
      </c>
      <c r="BA286" s="3083">
        <f t="shared" si="132"/>
        <v>0</v>
      </c>
      <c r="BB286" s="3083">
        <f t="shared" si="133"/>
        <v>0</v>
      </c>
      <c r="BC286" s="3083">
        <f t="shared" si="134"/>
        <v>0</v>
      </c>
      <c r="BD286" s="3083">
        <f t="shared" si="135"/>
        <v>0</v>
      </c>
      <c r="BE286" s="3083">
        <f t="shared" si="136"/>
        <v>0</v>
      </c>
      <c r="BF286" s="3083">
        <f t="shared" si="137"/>
        <v>0</v>
      </c>
      <c r="BG286" s="3083">
        <f t="shared" si="138"/>
        <v>0</v>
      </c>
      <c r="BH286" s="3083">
        <f t="shared" si="139"/>
        <v>0</v>
      </c>
      <c r="BI286" s="3083">
        <f t="shared" si="140"/>
        <v>0</v>
      </c>
      <c r="BJ286" s="3083">
        <f t="shared" si="141"/>
        <v>0</v>
      </c>
      <c r="BK286" s="3083">
        <f t="shared" si="142"/>
        <v>0</v>
      </c>
      <c r="BL286" s="3083">
        <f t="shared" si="143"/>
        <v>0</v>
      </c>
      <c r="BM286" s="3083">
        <f t="shared" si="144"/>
        <v>0</v>
      </c>
      <c r="BN286" s="3083">
        <f t="shared" si="145"/>
        <v>0</v>
      </c>
      <c r="BO286" s="3083">
        <f t="shared" si="146"/>
        <v>0</v>
      </c>
      <c r="BP286" s="3083">
        <f t="shared" si="147"/>
        <v>0</v>
      </c>
      <c r="BQ286" s="3083">
        <f t="shared" si="148"/>
        <v>0</v>
      </c>
      <c r="BR286" s="3083">
        <f t="shared" si="149"/>
        <v>0</v>
      </c>
      <c r="BS286" s="3083">
        <f t="shared" si="150"/>
        <v>0</v>
      </c>
      <c r="BT286" s="3135">
        <f t="shared" si="151"/>
        <v>0</v>
      </c>
    </row>
    <row r="287" spans="1:72">
      <c r="A287" s="3080"/>
      <c r="B287" s="3081"/>
      <c r="C287" s="3081"/>
      <c r="D287" s="3082"/>
      <c r="E287" s="3083">
        <f t="shared" si="123"/>
        <v>0</v>
      </c>
      <c r="F287" s="3084"/>
      <c r="G287" s="3085">
        <f t="shared" si="124"/>
        <v>0</v>
      </c>
      <c r="H287" s="3086">
        <f t="shared" si="125"/>
        <v>0</v>
      </c>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83">
        <f t="shared" si="126"/>
        <v>0</v>
      </c>
      <c r="AD287" s="3103"/>
      <c r="AE287" s="3103"/>
      <c r="AF287" s="3103"/>
      <c r="AG287" s="3103"/>
      <c r="AH287" s="3103"/>
      <c r="AI287" s="3103"/>
      <c r="AJ287" s="3103"/>
      <c r="AK287" s="3103"/>
      <c r="AL287" s="3103"/>
      <c r="AM287" s="3103"/>
      <c r="AN287" s="3103"/>
      <c r="AO287" s="3103"/>
      <c r="AP287" s="3103"/>
      <c r="AQ287" s="3103"/>
      <c r="AR287" s="3103"/>
      <c r="AS287" s="3103"/>
      <c r="AT287" s="3113"/>
      <c r="AU287" s="3114"/>
      <c r="AV287" s="1580">
        <f t="shared" si="127"/>
        <v>0</v>
      </c>
      <c r="AW287" s="1580">
        <f t="shared" si="128"/>
        <v>0</v>
      </c>
      <c r="AX287" s="1580">
        <f t="shared" si="129"/>
        <v>0</v>
      </c>
      <c r="AY287" s="3128">
        <f t="shared" si="130"/>
        <v>0</v>
      </c>
      <c r="AZ287" s="3083">
        <f t="shared" si="131"/>
        <v>0</v>
      </c>
      <c r="BA287" s="3083">
        <f t="shared" si="132"/>
        <v>0</v>
      </c>
      <c r="BB287" s="3083">
        <f t="shared" si="133"/>
        <v>0</v>
      </c>
      <c r="BC287" s="3083">
        <f t="shared" si="134"/>
        <v>0</v>
      </c>
      <c r="BD287" s="3083">
        <f t="shared" si="135"/>
        <v>0</v>
      </c>
      <c r="BE287" s="3083">
        <f t="shared" si="136"/>
        <v>0</v>
      </c>
      <c r="BF287" s="3083">
        <f t="shared" si="137"/>
        <v>0</v>
      </c>
      <c r="BG287" s="3083">
        <f t="shared" si="138"/>
        <v>0</v>
      </c>
      <c r="BH287" s="3083">
        <f t="shared" si="139"/>
        <v>0</v>
      </c>
      <c r="BI287" s="3083">
        <f t="shared" si="140"/>
        <v>0</v>
      </c>
      <c r="BJ287" s="3083">
        <f t="shared" si="141"/>
        <v>0</v>
      </c>
      <c r="BK287" s="3083">
        <f t="shared" si="142"/>
        <v>0</v>
      </c>
      <c r="BL287" s="3083">
        <f t="shared" si="143"/>
        <v>0</v>
      </c>
      <c r="BM287" s="3083">
        <f t="shared" si="144"/>
        <v>0</v>
      </c>
      <c r="BN287" s="3083">
        <f t="shared" si="145"/>
        <v>0</v>
      </c>
      <c r="BO287" s="3083">
        <f t="shared" si="146"/>
        <v>0</v>
      </c>
      <c r="BP287" s="3083">
        <f t="shared" si="147"/>
        <v>0</v>
      </c>
      <c r="BQ287" s="3083">
        <f t="shared" si="148"/>
        <v>0</v>
      </c>
      <c r="BR287" s="3083">
        <f t="shared" si="149"/>
        <v>0</v>
      </c>
      <c r="BS287" s="3083">
        <f t="shared" si="150"/>
        <v>0</v>
      </c>
      <c r="BT287" s="3135">
        <f t="shared" si="151"/>
        <v>0</v>
      </c>
    </row>
    <row r="288" spans="1:72">
      <c r="A288" s="3080"/>
      <c r="B288" s="3081"/>
      <c r="C288" s="3081"/>
      <c r="D288" s="3082"/>
      <c r="E288" s="3083">
        <f t="shared" si="123"/>
        <v>0</v>
      </c>
      <c r="F288" s="3084"/>
      <c r="G288" s="3085">
        <f t="shared" si="124"/>
        <v>0</v>
      </c>
      <c r="H288" s="3086">
        <f t="shared" si="125"/>
        <v>0</v>
      </c>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83">
        <f t="shared" si="126"/>
        <v>0</v>
      </c>
      <c r="AD288" s="3103"/>
      <c r="AE288" s="3103"/>
      <c r="AF288" s="3103"/>
      <c r="AG288" s="3103"/>
      <c r="AH288" s="3103"/>
      <c r="AI288" s="3103"/>
      <c r="AJ288" s="3103"/>
      <c r="AK288" s="3103"/>
      <c r="AL288" s="3103"/>
      <c r="AM288" s="3103"/>
      <c r="AN288" s="3103"/>
      <c r="AO288" s="3103"/>
      <c r="AP288" s="3103"/>
      <c r="AQ288" s="3103"/>
      <c r="AR288" s="3103"/>
      <c r="AS288" s="3103"/>
      <c r="AT288" s="3113"/>
      <c r="AU288" s="3114"/>
      <c r="AV288" s="1580">
        <f t="shared" si="127"/>
        <v>0</v>
      </c>
      <c r="AW288" s="1580">
        <f t="shared" si="128"/>
        <v>0</v>
      </c>
      <c r="AX288" s="1580">
        <f t="shared" si="129"/>
        <v>0</v>
      </c>
      <c r="AY288" s="3128">
        <f t="shared" si="130"/>
        <v>0</v>
      </c>
      <c r="AZ288" s="3083">
        <f t="shared" si="131"/>
        <v>0</v>
      </c>
      <c r="BA288" s="3083">
        <f t="shared" si="132"/>
        <v>0</v>
      </c>
      <c r="BB288" s="3083">
        <f t="shared" si="133"/>
        <v>0</v>
      </c>
      <c r="BC288" s="3083">
        <f t="shared" si="134"/>
        <v>0</v>
      </c>
      <c r="BD288" s="3083">
        <f t="shared" si="135"/>
        <v>0</v>
      </c>
      <c r="BE288" s="3083">
        <f t="shared" si="136"/>
        <v>0</v>
      </c>
      <c r="BF288" s="3083">
        <f t="shared" si="137"/>
        <v>0</v>
      </c>
      <c r="BG288" s="3083">
        <f t="shared" si="138"/>
        <v>0</v>
      </c>
      <c r="BH288" s="3083">
        <f t="shared" si="139"/>
        <v>0</v>
      </c>
      <c r="BI288" s="3083">
        <f t="shared" si="140"/>
        <v>0</v>
      </c>
      <c r="BJ288" s="3083">
        <f t="shared" si="141"/>
        <v>0</v>
      </c>
      <c r="BK288" s="3083">
        <f t="shared" si="142"/>
        <v>0</v>
      </c>
      <c r="BL288" s="3083">
        <f t="shared" si="143"/>
        <v>0</v>
      </c>
      <c r="BM288" s="3083">
        <f t="shared" si="144"/>
        <v>0</v>
      </c>
      <c r="BN288" s="3083">
        <f t="shared" si="145"/>
        <v>0</v>
      </c>
      <c r="BO288" s="3083">
        <f t="shared" si="146"/>
        <v>0</v>
      </c>
      <c r="BP288" s="3083">
        <f t="shared" si="147"/>
        <v>0</v>
      </c>
      <c r="BQ288" s="3083">
        <f t="shared" si="148"/>
        <v>0</v>
      </c>
      <c r="BR288" s="3083">
        <f t="shared" si="149"/>
        <v>0</v>
      </c>
      <c r="BS288" s="3083">
        <f t="shared" si="150"/>
        <v>0</v>
      </c>
      <c r="BT288" s="3135">
        <f t="shared" si="151"/>
        <v>0</v>
      </c>
    </row>
    <row r="289" spans="1:72">
      <c r="A289" s="3080"/>
      <c r="B289" s="3081"/>
      <c r="C289" s="3081"/>
      <c r="D289" s="3082"/>
      <c r="E289" s="3083">
        <f t="shared" si="123"/>
        <v>0</v>
      </c>
      <c r="F289" s="3084"/>
      <c r="G289" s="3085">
        <f t="shared" si="124"/>
        <v>0</v>
      </c>
      <c r="H289" s="3086">
        <f t="shared" si="125"/>
        <v>0</v>
      </c>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83">
        <f t="shared" si="126"/>
        <v>0</v>
      </c>
      <c r="AD289" s="3103"/>
      <c r="AE289" s="3103"/>
      <c r="AF289" s="3103"/>
      <c r="AG289" s="3103"/>
      <c r="AH289" s="3103"/>
      <c r="AI289" s="3103"/>
      <c r="AJ289" s="3103"/>
      <c r="AK289" s="3103"/>
      <c r="AL289" s="3103"/>
      <c r="AM289" s="3103"/>
      <c r="AN289" s="3103"/>
      <c r="AO289" s="3103"/>
      <c r="AP289" s="3103"/>
      <c r="AQ289" s="3103"/>
      <c r="AR289" s="3103"/>
      <c r="AS289" s="3103"/>
      <c r="AT289" s="3113"/>
      <c r="AU289" s="3114"/>
      <c r="AV289" s="1580">
        <f t="shared" si="127"/>
        <v>0</v>
      </c>
      <c r="AW289" s="1580">
        <f t="shared" si="128"/>
        <v>0</v>
      </c>
      <c r="AX289" s="1580">
        <f t="shared" si="129"/>
        <v>0</v>
      </c>
      <c r="AY289" s="3128">
        <f t="shared" si="130"/>
        <v>0</v>
      </c>
      <c r="AZ289" s="3083">
        <f t="shared" si="131"/>
        <v>0</v>
      </c>
      <c r="BA289" s="3083">
        <f t="shared" si="132"/>
        <v>0</v>
      </c>
      <c r="BB289" s="3083">
        <f t="shared" si="133"/>
        <v>0</v>
      </c>
      <c r="BC289" s="3083">
        <f t="shared" si="134"/>
        <v>0</v>
      </c>
      <c r="BD289" s="3083">
        <f t="shared" si="135"/>
        <v>0</v>
      </c>
      <c r="BE289" s="3083">
        <f t="shared" si="136"/>
        <v>0</v>
      </c>
      <c r="BF289" s="3083">
        <f t="shared" si="137"/>
        <v>0</v>
      </c>
      <c r="BG289" s="3083">
        <f t="shared" si="138"/>
        <v>0</v>
      </c>
      <c r="BH289" s="3083">
        <f t="shared" si="139"/>
        <v>0</v>
      </c>
      <c r="BI289" s="3083">
        <f t="shared" si="140"/>
        <v>0</v>
      </c>
      <c r="BJ289" s="3083">
        <f t="shared" si="141"/>
        <v>0</v>
      </c>
      <c r="BK289" s="3083">
        <f t="shared" si="142"/>
        <v>0</v>
      </c>
      <c r="BL289" s="3083">
        <f t="shared" si="143"/>
        <v>0</v>
      </c>
      <c r="BM289" s="3083">
        <f t="shared" si="144"/>
        <v>0</v>
      </c>
      <c r="BN289" s="3083">
        <f t="shared" si="145"/>
        <v>0</v>
      </c>
      <c r="BO289" s="3083">
        <f t="shared" si="146"/>
        <v>0</v>
      </c>
      <c r="BP289" s="3083">
        <f t="shared" si="147"/>
        <v>0</v>
      </c>
      <c r="BQ289" s="3083">
        <f t="shared" si="148"/>
        <v>0</v>
      </c>
      <c r="BR289" s="3083">
        <f t="shared" si="149"/>
        <v>0</v>
      </c>
      <c r="BS289" s="3083">
        <f t="shared" si="150"/>
        <v>0</v>
      </c>
      <c r="BT289" s="3135">
        <f t="shared" si="151"/>
        <v>0</v>
      </c>
    </row>
    <row r="290" spans="1:72">
      <c r="A290" s="3080"/>
      <c r="B290" s="3081"/>
      <c r="C290" s="3081"/>
      <c r="D290" s="3082"/>
      <c r="E290" s="3083">
        <f t="shared" si="123"/>
        <v>0</v>
      </c>
      <c r="F290" s="3084"/>
      <c r="G290" s="3085">
        <f t="shared" si="124"/>
        <v>0</v>
      </c>
      <c r="H290" s="3086">
        <f t="shared" si="125"/>
        <v>0</v>
      </c>
      <c r="I290" s="3093"/>
      <c r="J290" s="3093"/>
      <c r="K290" s="3093"/>
      <c r="L290" s="3093"/>
      <c r="M290" s="3093"/>
      <c r="N290" s="3093"/>
      <c r="O290" s="3093"/>
      <c r="P290" s="3093"/>
      <c r="Q290" s="3093"/>
      <c r="R290" s="3093"/>
      <c r="S290" s="3093"/>
      <c r="T290" s="3093"/>
      <c r="U290" s="3093"/>
      <c r="V290" s="3093"/>
      <c r="W290" s="3093"/>
      <c r="X290" s="3093"/>
      <c r="Y290" s="3093"/>
      <c r="Z290" s="3093"/>
      <c r="AA290" s="3093"/>
      <c r="AB290" s="3093"/>
      <c r="AC290" s="3083">
        <f t="shared" si="126"/>
        <v>0</v>
      </c>
      <c r="AD290" s="3103"/>
      <c r="AE290" s="3103"/>
      <c r="AF290" s="3103"/>
      <c r="AG290" s="3103"/>
      <c r="AH290" s="3103"/>
      <c r="AI290" s="3103"/>
      <c r="AJ290" s="3103"/>
      <c r="AK290" s="3103"/>
      <c r="AL290" s="3103"/>
      <c r="AM290" s="3103"/>
      <c r="AN290" s="3103"/>
      <c r="AO290" s="3103"/>
      <c r="AP290" s="3103"/>
      <c r="AQ290" s="3103"/>
      <c r="AR290" s="3103"/>
      <c r="AS290" s="3103"/>
      <c r="AT290" s="3113"/>
      <c r="AU290" s="3114"/>
      <c r="AV290" s="1580">
        <f t="shared" si="127"/>
        <v>0</v>
      </c>
      <c r="AW290" s="1580">
        <f t="shared" si="128"/>
        <v>0</v>
      </c>
      <c r="AX290" s="1580">
        <f t="shared" si="129"/>
        <v>0</v>
      </c>
      <c r="AY290" s="3128">
        <f t="shared" si="130"/>
        <v>0</v>
      </c>
      <c r="AZ290" s="3083">
        <f t="shared" si="131"/>
        <v>0</v>
      </c>
      <c r="BA290" s="3083">
        <f t="shared" si="132"/>
        <v>0</v>
      </c>
      <c r="BB290" s="3083">
        <f t="shared" si="133"/>
        <v>0</v>
      </c>
      <c r="BC290" s="3083">
        <f t="shared" si="134"/>
        <v>0</v>
      </c>
      <c r="BD290" s="3083">
        <f t="shared" si="135"/>
        <v>0</v>
      </c>
      <c r="BE290" s="3083">
        <f t="shared" si="136"/>
        <v>0</v>
      </c>
      <c r="BF290" s="3083">
        <f t="shared" si="137"/>
        <v>0</v>
      </c>
      <c r="BG290" s="3083">
        <f t="shared" si="138"/>
        <v>0</v>
      </c>
      <c r="BH290" s="3083">
        <f t="shared" si="139"/>
        <v>0</v>
      </c>
      <c r="BI290" s="3083">
        <f t="shared" si="140"/>
        <v>0</v>
      </c>
      <c r="BJ290" s="3083">
        <f t="shared" si="141"/>
        <v>0</v>
      </c>
      <c r="BK290" s="3083">
        <f t="shared" si="142"/>
        <v>0</v>
      </c>
      <c r="BL290" s="3083">
        <f t="shared" si="143"/>
        <v>0</v>
      </c>
      <c r="BM290" s="3083">
        <f t="shared" si="144"/>
        <v>0</v>
      </c>
      <c r="BN290" s="3083">
        <f t="shared" si="145"/>
        <v>0</v>
      </c>
      <c r="BO290" s="3083">
        <f t="shared" si="146"/>
        <v>0</v>
      </c>
      <c r="BP290" s="3083">
        <f t="shared" si="147"/>
        <v>0</v>
      </c>
      <c r="BQ290" s="3083">
        <f t="shared" si="148"/>
        <v>0</v>
      </c>
      <c r="BR290" s="3083">
        <f t="shared" si="149"/>
        <v>0</v>
      </c>
      <c r="BS290" s="3083">
        <f t="shared" si="150"/>
        <v>0</v>
      </c>
      <c r="BT290" s="3135">
        <f t="shared" si="151"/>
        <v>0</v>
      </c>
    </row>
    <row r="291" spans="1:72">
      <c r="A291" s="3080"/>
      <c r="B291" s="3081"/>
      <c r="C291" s="3081"/>
      <c r="D291" s="3082"/>
      <c r="E291" s="3083">
        <f t="shared" si="123"/>
        <v>0</v>
      </c>
      <c r="F291" s="3084"/>
      <c r="G291" s="3085">
        <f t="shared" si="124"/>
        <v>0</v>
      </c>
      <c r="H291" s="3086">
        <f t="shared" si="125"/>
        <v>0</v>
      </c>
      <c r="I291" s="3093"/>
      <c r="J291" s="3093"/>
      <c r="K291" s="3093"/>
      <c r="L291" s="3093"/>
      <c r="M291" s="3093"/>
      <c r="N291" s="3093"/>
      <c r="O291" s="3093"/>
      <c r="P291" s="3093"/>
      <c r="Q291" s="3093"/>
      <c r="R291" s="3093"/>
      <c r="S291" s="3093"/>
      <c r="T291" s="3093"/>
      <c r="U291" s="3093"/>
      <c r="V291" s="3093"/>
      <c r="W291" s="3093"/>
      <c r="X291" s="3093"/>
      <c r="Y291" s="3093"/>
      <c r="Z291" s="3093"/>
      <c r="AA291" s="3093"/>
      <c r="AB291" s="3093"/>
      <c r="AC291" s="3083">
        <f t="shared" si="126"/>
        <v>0</v>
      </c>
      <c r="AD291" s="3103"/>
      <c r="AE291" s="3103"/>
      <c r="AF291" s="3103"/>
      <c r="AG291" s="3103"/>
      <c r="AH291" s="3103"/>
      <c r="AI291" s="3103"/>
      <c r="AJ291" s="3103"/>
      <c r="AK291" s="3103"/>
      <c r="AL291" s="3103"/>
      <c r="AM291" s="3103"/>
      <c r="AN291" s="3103"/>
      <c r="AO291" s="3103"/>
      <c r="AP291" s="3103"/>
      <c r="AQ291" s="3103"/>
      <c r="AR291" s="3103"/>
      <c r="AS291" s="3103"/>
      <c r="AT291" s="3113"/>
      <c r="AU291" s="3114"/>
      <c r="AV291" s="1580">
        <f t="shared" si="127"/>
        <v>0</v>
      </c>
      <c r="AW291" s="1580">
        <f t="shared" si="128"/>
        <v>0</v>
      </c>
      <c r="AX291" s="1580">
        <f t="shared" si="129"/>
        <v>0</v>
      </c>
      <c r="AY291" s="3128">
        <f t="shared" si="130"/>
        <v>0</v>
      </c>
      <c r="AZ291" s="3083">
        <f t="shared" si="131"/>
        <v>0</v>
      </c>
      <c r="BA291" s="3083">
        <f t="shared" si="132"/>
        <v>0</v>
      </c>
      <c r="BB291" s="3083">
        <f t="shared" si="133"/>
        <v>0</v>
      </c>
      <c r="BC291" s="3083">
        <f t="shared" si="134"/>
        <v>0</v>
      </c>
      <c r="BD291" s="3083">
        <f t="shared" si="135"/>
        <v>0</v>
      </c>
      <c r="BE291" s="3083">
        <f t="shared" si="136"/>
        <v>0</v>
      </c>
      <c r="BF291" s="3083">
        <f t="shared" si="137"/>
        <v>0</v>
      </c>
      <c r="BG291" s="3083">
        <f t="shared" si="138"/>
        <v>0</v>
      </c>
      <c r="BH291" s="3083">
        <f t="shared" si="139"/>
        <v>0</v>
      </c>
      <c r="BI291" s="3083">
        <f t="shared" si="140"/>
        <v>0</v>
      </c>
      <c r="BJ291" s="3083">
        <f t="shared" si="141"/>
        <v>0</v>
      </c>
      <c r="BK291" s="3083">
        <f t="shared" si="142"/>
        <v>0</v>
      </c>
      <c r="BL291" s="3083">
        <f t="shared" si="143"/>
        <v>0</v>
      </c>
      <c r="BM291" s="3083">
        <f t="shared" si="144"/>
        <v>0</v>
      </c>
      <c r="BN291" s="3083">
        <f t="shared" si="145"/>
        <v>0</v>
      </c>
      <c r="BO291" s="3083">
        <f t="shared" si="146"/>
        <v>0</v>
      </c>
      <c r="BP291" s="3083">
        <f t="shared" si="147"/>
        <v>0</v>
      </c>
      <c r="BQ291" s="3083">
        <f t="shared" si="148"/>
        <v>0</v>
      </c>
      <c r="BR291" s="3083">
        <f t="shared" si="149"/>
        <v>0</v>
      </c>
      <c r="BS291" s="3083">
        <f t="shared" si="150"/>
        <v>0</v>
      </c>
      <c r="BT291" s="3135">
        <f t="shared" si="151"/>
        <v>0</v>
      </c>
    </row>
    <row r="292" spans="1:72">
      <c r="A292" s="3080"/>
      <c r="B292" s="3081"/>
      <c r="C292" s="3081"/>
      <c r="D292" s="3082"/>
      <c r="E292" s="3083">
        <f t="shared" si="123"/>
        <v>0</v>
      </c>
      <c r="F292" s="3084"/>
      <c r="G292" s="3085">
        <f t="shared" si="124"/>
        <v>0</v>
      </c>
      <c r="H292" s="3086">
        <f t="shared" si="125"/>
        <v>0</v>
      </c>
      <c r="I292" s="3093"/>
      <c r="J292" s="3093"/>
      <c r="K292" s="3093"/>
      <c r="L292" s="3093"/>
      <c r="M292" s="3093"/>
      <c r="N292" s="3093"/>
      <c r="O292" s="3093"/>
      <c r="P292" s="3093"/>
      <c r="Q292" s="3093"/>
      <c r="R292" s="3093"/>
      <c r="S292" s="3093"/>
      <c r="T292" s="3093"/>
      <c r="U292" s="3093"/>
      <c r="V292" s="3093"/>
      <c r="W292" s="3093"/>
      <c r="X292" s="3093"/>
      <c r="Y292" s="3093"/>
      <c r="Z292" s="3093"/>
      <c r="AA292" s="3093"/>
      <c r="AB292" s="3093"/>
      <c r="AC292" s="3083">
        <f t="shared" si="126"/>
        <v>0</v>
      </c>
      <c r="AD292" s="3103"/>
      <c r="AE292" s="3103"/>
      <c r="AF292" s="3103"/>
      <c r="AG292" s="3103"/>
      <c r="AH292" s="3103"/>
      <c r="AI292" s="3103"/>
      <c r="AJ292" s="3103"/>
      <c r="AK292" s="3103"/>
      <c r="AL292" s="3103"/>
      <c r="AM292" s="3103"/>
      <c r="AN292" s="3103"/>
      <c r="AO292" s="3103"/>
      <c r="AP292" s="3103"/>
      <c r="AQ292" s="3103"/>
      <c r="AR292" s="3103"/>
      <c r="AS292" s="3103"/>
      <c r="AT292" s="3113"/>
      <c r="AU292" s="3114"/>
      <c r="AV292" s="1580">
        <f t="shared" si="127"/>
        <v>0</v>
      </c>
      <c r="AW292" s="1580">
        <f t="shared" si="128"/>
        <v>0</v>
      </c>
      <c r="AX292" s="1580">
        <f t="shared" si="129"/>
        <v>0</v>
      </c>
      <c r="AY292" s="3128">
        <f t="shared" si="130"/>
        <v>0</v>
      </c>
      <c r="AZ292" s="3083">
        <f t="shared" si="131"/>
        <v>0</v>
      </c>
      <c r="BA292" s="3083">
        <f t="shared" si="132"/>
        <v>0</v>
      </c>
      <c r="BB292" s="3083">
        <f t="shared" si="133"/>
        <v>0</v>
      </c>
      <c r="BC292" s="3083">
        <f t="shared" si="134"/>
        <v>0</v>
      </c>
      <c r="BD292" s="3083">
        <f t="shared" si="135"/>
        <v>0</v>
      </c>
      <c r="BE292" s="3083">
        <f t="shared" si="136"/>
        <v>0</v>
      </c>
      <c r="BF292" s="3083">
        <f t="shared" si="137"/>
        <v>0</v>
      </c>
      <c r="BG292" s="3083">
        <f t="shared" si="138"/>
        <v>0</v>
      </c>
      <c r="BH292" s="3083">
        <f t="shared" si="139"/>
        <v>0</v>
      </c>
      <c r="BI292" s="3083">
        <f t="shared" si="140"/>
        <v>0</v>
      </c>
      <c r="BJ292" s="3083">
        <f t="shared" si="141"/>
        <v>0</v>
      </c>
      <c r="BK292" s="3083">
        <f t="shared" si="142"/>
        <v>0</v>
      </c>
      <c r="BL292" s="3083">
        <f t="shared" si="143"/>
        <v>0</v>
      </c>
      <c r="BM292" s="3083">
        <f t="shared" si="144"/>
        <v>0</v>
      </c>
      <c r="BN292" s="3083">
        <f t="shared" si="145"/>
        <v>0</v>
      </c>
      <c r="BO292" s="3083">
        <f t="shared" si="146"/>
        <v>0</v>
      </c>
      <c r="BP292" s="3083">
        <f t="shared" si="147"/>
        <v>0</v>
      </c>
      <c r="BQ292" s="3083">
        <f t="shared" si="148"/>
        <v>0</v>
      </c>
      <c r="BR292" s="3083">
        <f t="shared" si="149"/>
        <v>0</v>
      </c>
      <c r="BS292" s="3083">
        <f t="shared" si="150"/>
        <v>0</v>
      </c>
      <c r="BT292" s="3135">
        <f t="shared" si="151"/>
        <v>0</v>
      </c>
    </row>
    <row r="293" spans="1:72">
      <c r="A293" s="3080"/>
      <c r="B293" s="3081"/>
      <c r="C293" s="3081"/>
      <c r="D293" s="3082"/>
      <c r="E293" s="3083">
        <f t="shared" si="123"/>
        <v>0</v>
      </c>
      <c r="F293" s="3084"/>
      <c r="G293" s="3085">
        <f t="shared" si="124"/>
        <v>0</v>
      </c>
      <c r="H293" s="3086">
        <f t="shared" si="125"/>
        <v>0</v>
      </c>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83">
        <f t="shared" si="126"/>
        <v>0</v>
      </c>
      <c r="AD293" s="3103"/>
      <c r="AE293" s="3103"/>
      <c r="AF293" s="3103"/>
      <c r="AG293" s="3103"/>
      <c r="AH293" s="3103"/>
      <c r="AI293" s="3103"/>
      <c r="AJ293" s="3103"/>
      <c r="AK293" s="3103"/>
      <c r="AL293" s="3103"/>
      <c r="AM293" s="3103"/>
      <c r="AN293" s="3103"/>
      <c r="AO293" s="3103"/>
      <c r="AP293" s="3103"/>
      <c r="AQ293" s="3103"/>
      <c r="AR293" s="3103"/>
      <c r="AS293" s="3103"/>
      <c r="AT293" s="3113"/>
      <c r="AU293" s="3114"/>
      <c r="AV293" s="1580">
        <f t="shared" si="127"/>
        <v>0</v>
      </c>
      <c r="AW293" s="1580">
        <f t="shared" si="128"/>
        <v>0</v>
      </c>
      <c r="AX293" s="1580">
        <f t="shared" si="129"/>
        <v>0</v>
      </c>
      <c r="AY293" s="3128">
        <f t="shared" si="130"/>
        <v>0</v>
      </c>
      <c r="AZ293" s="3083">
        <f t="shared" si="131"/>
        <v>0</v>
      </c>
      <c r="BA293" s="3083">
        <f t="shared" si="132"/>
        <v>0</v>
      </c>
      <c r="BB293" s="3083">
        <f t="shared" si="133"/>
        <v>0</v>
      </c>
      <c r="BC293" s="3083">
        <f t="shared" si="134"/>
        <v>0</v>
      </c>
      <c r="BD293" s="3083">
        <f t="shared" si="135"/>
        <v>0</v>
      </c>
      <c r="BE293" s="3083">
        <f t="shared" si="136"/>
        <v>0</v>
      </c>
      <c r="BF293" s="3083">
        <f t="shared" si="137"/>
        <v>0</v>
      </c>
      <c r="BG293" s="3083">
        <f t="shared" si="138"/>
        <v>0</v>
      </c>
      <c r="BH293" s="3083">
        <f t="shared" si="139"/>
        <v>0</v>
      </c>
      <c r="BI293" s="3083">
        <f t="shared" si="140"/>
        <v>0</v>
      </c>
      <c r="BJ293" s="3083">
        <f t="shared" si="141"/>
        <v>0</v>
      </c>
      <c r="BK293" s="3083">
        <f t="shared" si="142"/>
        <v>0</v>
      </c>
      <c r="BL293" s="3083">
        <f t="shared" si="143"/>
        <v>0</v>
      </c>
      <c r="BM293" s="3083">
        <f t="shared" si="144"/>
        <v>0</v>
      </c>
      <c r="BN293" s="3083">
        <f t="shared" si="145"/>
        <v>0</v>
      </c>
      <c r="BO293" s="3083">
        <f t="shared" si="146"/>
        <v>0</v>
      </c>
      <c r="BP293" s="3083">
        <f t="shared" si="147"/>
        <v>0</v>
      </c>
      <c r="BQ293" s="3083">
        <f t="shared" si="148"/>
        <v>0</v>
      </c>
      <c r="BR293" s="3083">
        <f t="shared" si="149"/>
        <v>0</v>
      </c>
      <c r="BS293" s="3083">
        <f t="shared" si="150"/>
        <v>0</v>
      </c>
      <c r="BT293" s="3135">
        <f t="shared" si="151"/>
        <v>0</v>
      </c>
    </row>
    <row r="294" spans="1:72">
      <c r="A294" s="3080"/>
      <c r="B294" s="3081"/>
      <c r="C294" s="3081"/>
      <c r="D294" s="3082"/>
      <c r="E294" s="3083">
        <f t="shared" si="123"/>
        <v>0</v>
      </c>
      <c r="F294" s="3084"/>
      <c r="G294" s="3085">
        <f t="shared" si="124"/>
        <v>0</v>
      </c>
      <c r="H294" s="3086">
        <f t="shared" si="125"/>
        <v>0</v>
      </c>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83">
        <f t="shared" si="126"/>
        <v>0</v>
      </c>
      <c r="AD294" s="3103"/>
      <c r="AE294" s="3103"/>
      <c r="AF294" s="3103"/>
      <c r="AG294" s="3103"/>
      <c r="AH294" s="3103"/>
      <c r="AI294" s="3103"/>
      <c r="AJ294" s="3103"/>
      <c r="AK294" s="3103"/>
      <c r="AL294" s="3103"/>
      <c r="AM294" s="3103"/>
      <c r="AN294" s="3103"/>
      <c r="AO294" s="3103"/>
      <c r="AP294" s="3103"/>
      <c r="AQ294" s="3103"/>
      <c r="AR294" s="3103"/>
      <c r="AS294" s="3103"/>
      <c r="AT294" s="3113"/>
      <c r="AU294" s="3114"/>
      <c r="AV294" s="1580">
        <f t="shared" si="127"/>
        <v>0</v>
      </c>
      <c r="AW294" s="1580">
        <f t="shared" si="128"/>
        <v>0</v>
      </c>
      <c r="AX294" s="1580">
        <f t="shared" si="129"/>
        <v>0</v>
      </c>
      <c r="AY294" s="3128">
        <f t="shared" si="130"/>
        <v>0</v>
      </c>
      <c r="AZ294" s="3083">
        <f t="shared" si="131"/>
        <v>0</v>
      </c>
      <c r="BA294" s="3083">
        <f t="shared" si="132"/>
        <v>0</v>
      </c>
      <c r="BB294" s="3083">
        <f t="shared" si="133"/>
        <v>0</v>
      </c>
      <c r="BC294" s="3083">
        <f t="shared" si="134"/>
        <v>0</v>
      </c>
      <c r="BD294" s="3083">
        <f t="shared" si="135"/>
        <v>0</v>
      </c>
      <c r="BE294" s="3083">
        <f t="shared" si="136"/>
        <v>0</v>
      </c>
      <c r="BF294" s="3083">
        <f t="shared" si="137"/>
        <v>0</v>
      </c>
      <c r="BG294" s="3083">
        <f t="shared" si="138"/>
        <v>0</v>
      </c>
      <c r="BH294" s="3083">
        <f t="shared" si="139"/>
        <v>0</v>
      </c>
      <c r="BI294" s="3083">
        <f t="shared" si="140"/>
        <v>0</v>
      </c>
      <c r="BJ294" s="3083">
        <f t="shared" si="141"/>
        <v>0</v>
      </c>
      <c r="BK294" s="3083">
        <f t="shared" si="142"/>
        <v>0</v>
      </c>
      <c r="BL294" s="3083">
        <f t="shared" si="143"/>
        <v>0</v>
      </c>
      <c r="BM294" s="3083">
        <f t="shared" si="144"/>
        <v>0</v>
      </c>
      <c r="BN294" s="3083">
        <f t="shared" si="145"/>
        <v>0</v>
      </c>
      <c r="BO294" s="3083">
        <f t="shared" si="146"/>
        <v>0</v>
      </c>
      <c r="BP294" s="3083">
        <f t="shared" si="147"/>
        <v>0</v>
      </c>
      <c r="BQ294" s="3083">
        <f t="shared" si="148"/>
        <v>0</v>
      </c>
      <c r="BR294" s="3083">
        <f t="shared" si="149"/>
        <v>0</v>
      </c>
      <c r="BS294" s="3083">
        <f t="shared" si="150"/>
        <v>0</v>
      </c>
      <c r="BT294" s="3135">
        <f t="shared" si="151"/>
        <v>0</v>
      </c>
    </row>
    <row r="295" spans="1:72">
      <c r="A295" s="3080"/>
      <c r="B295" s="3081"/>
      <c r="C295" s="3081"/>
      <c r="D295" s="3082"/>
      <c r="E295" s="3083">
        <f t="shared" si="123"/>
        <v>0</v>
      </c>
      <c r="F295" s="3084"/>
      <c r="G295" s="3085">
        <f t="shared" si="124"/>
        <v>0</v>
      </c>
      <c r="H295" s="3086">
        <f t="shared" si="125"/>
        <v>0</v>
      </c>
      <c r="I295" s="3093"/>
      <c r="J295" s="3093"/>
      <c r="K295" s="3093"/>
      <c r="L295" s="3093"/>
      <c r="M295" s="3093"/>
      <c r="N295" s="3093"/>
      <c r="O295" s="3093"/>
      <c r="P295" s="3093"/>
      <c r="Q295" s="3093"/>
      <c r="R295" s="3093"/>
      <c r="S295" s="3093"/>
      <c r="T295" s="3093"/>
      <c r="U295" s="3093"/>
      <c r="V295" s="3093"/>
      <c r="W295" s="3093"/>
      <c r="X295" s="3093"/>
      <c r="Y295" s="3093"/>
      <c r="Z295" s="3093"/>
      <c r="AA295" s="3093"/>
      <c r="AB295" s="3093"/>
      <c r="AC295" s="3083">
        <f t="shared" si="126"/>
        <v>0</v>
      </c>
      <c r="AD295" s="3103"/>
      <c r="AE295" s="3103"/>
      <c r="AF295" s="3103"/>
      <c r="AG295" s="3103"/>
      <c r="AH295" s="3103"/>
      <c r="AI295" s="3103"/>
      <c r="AJ295" s="3103"/>
      <c r="AK295" s="3103"/>
      <c r="AL295" s="3103"/>
      <c r="AM295" s="3103"/>
      <c r="AN295" s="3103"/>
      <c r="AO295" s="3103"/>
      <c r="AP295" s="3103"/>
      <c r="AQ295" s="3103"/>
      <c r="AR295" s="3103"/>
      <c r="AS295" s="3103"/>
      <c r="AT295" s="3113"/>
      <c r="AU295" s="3114"/>
      <c r="AV295" s="1580">
        <f t="shared" si="127"/>
        <v>0</v>
      </c>
      <c r="AW295" s="1580">
        <f t="shared" si="128"/>
        <v>0</v>
      </c>
      <c r="AX295" s="1580">
        <f t="shared" si="129"/>
        <v>0</v>
      </c>
      <c r="AY295" s="3128">
        <f t="shared" si="130"/>
        <v>0</v>
      </c>
      <c r="AZ295" s="3083">
        <f t="shared" si="131"/>
        <v>0</v>
      </c>
      <c r="BA295" s="3083">
        <f t="shared" si="132"/>
        <v>0</v>
      </c>
      <c r="BB295" s="3083">
        <f t="shared" si="133"/>
        <v>0</v>
      </c>
      <c r="BC295" s="3083">
        <f t="shared" si="134"/>
        <v>0</v>
      </c>
      <c r="BD295" s="3083">
        <f t="shared" si="135"/>
        <v>0</v>
      </c>
      <c r="BE295" s="3083">
        <f t="shared" si="136"/>
        <v>0</v>
      </c>
      <c r="BF295" s="3083">
        <f t="shared" si="137"/>
        <v>0</v>
      </c>
      <c r="BG295" s="3083">
        <f t="shared" si="138"/>
        <v>0</v>
      </c>
      <c r="BH295" s="3083">
        <f t="shared" si="139"/>
        <v>0</v>
      </c>
      <c r="BI295" s="3083">
        <f t="shared" si="140"/>
        <v>0</v>
      </c>
      <c r="BJ295" s="3083">
        <f t="shared" si="141"/>
        <v>0</v>
      </c>
      <c r="BK295" s="3083">
        <f t="shared" si="142"/>
        <v>0</v>
      </c>
      <c r="BL295" s="3083">
        <f t="shared" si="143"/>
        <v>0</v>
      </c>
      <c r="BM295" s="3083">
        <f t="shared" si="144"/>
        <v>0</v>
      </c>
      <c r="BN295" s="3083">
        <f t="shared" si="145"/>
        <v>0</v>
      </c>
      <c r="BO295" s="3083">
        <f t="shared" si="146"/>
        <v>0</v>
      </c>
      <c r="BP295" s="3083">
        <f t="shared" si="147"/>
        <v>0</v>
      </c>
      <c r="BQ295" s="3083">
        <f t="shared" si="148"/>
        <v>0</v>
      </c>
      <c r="BR295" s="3083">
        <f t="shared" si="149"/>
        <v>0</v>
      </c>
      <c r="BS295" s="3083">
        <f t="shared" si="150"/>
        <v>0</v>
      </c>
      <c r="BT295" s="3135">
        <f t="shared" si="151"/>
        <v>0</v>
      </c>
    </row>
    <row r="296" spans="1:72">
      <c r="A296" s="3080"/>
      <c r="B296" s="3081"/>
      <c r="C296" s="3081"/>
      <c r="D296" s="3082"/>
      <c r="E296" s="3083">
        <f t="shared" si="123"/>
        <v>0</v>
      </c>
      <c r="F296" s="3084"/>
      <c r="G296" s="3085">
        <f t="shared" si="124"/>
        <v>0</v>
      </c>
      <c r="H296" s="3086">
        <f t="shared" si="125"/>
        <v>0</v>
      </c>
      <c r="I296" s="3093"/>
      <c r="J296" s="3093"/>
      <c r="K296" s="3093"/>
      <c r="L296" s="3093"/>
      <c r="M296" s="3093"/>
      <c r="N296" s="3093"/>
      <c r="O296" s="3093"/>
      <c r="P296" s="3093"/>
      <c r="Q296" s="3093"/>
      <c r="R296" s="3093"/>
      <c r="S296" s="3093"/>
      <c r="T296" s="3093"/>
      <c r="U296" s="3093"/>
      <c r="V296" s="3093"/>
      <c r="W296" s="3093"/>
      <c r="X296" s="3093"/>
      <c r="Y296" s="3093"/>
      <c r="Z296" s="3093"/>
      <c r="AA296" s="3093"/>
      <c r="AB296" s="3093"/>
      <c r="AC296" s="3083">
        <f t="shared" si="126"/>
        <v>0</v>
      </c>
      <c r="AD296" s="3103"/>
      <c r="AE296" s="3103"/>
      <c r="AF296" s="3103"/>
      <c r="AG296" s="3103"/>
      <c r="AH296" s="3103"/>
      <c r="AI296" s="3103"/>
      <c r="AJ296" s="3103"/>
      <c r="AK296" s="3103"/>
      <c r="AL296" s="3103"/>
      <c r="AM296" s="3103"/>
      <c r="AN296" s="3103"/>
      <c r="AO296" s="3103"/>
      <c r="AP296" s="3103"/>
      <c r="AQ296" s="3103"/>
      <c r="AR296" s="3103"/>
      <c r="AS296" s="3103"/>
      <c r="AT296" s="3113"/>
      <c r="AU296" s="3114"/>
      <c r="AV296" s="1580">
        <f t="shared" si="127"/>
        <v>0</v>
      </c>
      <c r="AW296" s="1580">
        <f t="shared" si="128"/>
        <v>0</v>
      </c>
      <c r="AX296" s="1580">
        <f t="shared" si="129"/>
        <v>0</v>
      </c>
      <c r="AY296" s="3128">
        <f t="shared" si="130"/>
        <v>0</v>
      </c>
      <c r="AZ296" s="3083">
        <f t="shared" si="131"/>
        <v>0</v>
      </c>
      <c r="BA296" s="3083">
        <f t="shared" si="132"/>
        <v>0</v>
      </c>
      <c r="BB296" s="3083">
        <f t="shared" si="133"/>
        <v>0</v>
      </c>
      <c r="BC296" s="3083">
        <f t="shared" si="134"/>
        <v>0</v>
      </c>
      <c r="BD296" s="3083">
        <f t="shared" si="135"/>
        <v>0</v>
      </c>
      <c r="BE296" s="3083">
        <f t="shared" si="136"/>
        <v>0</v>
      </c>
      <c r="BF296" s="3083">
        <f t="shared" si="137"/>
        <v>0</v>
      </c>
      <c r="BG296" s="3083">
        <f t="shared" si="138"/>
        <v>0</v>
      </c>
      <c r="BH296" s="3083">
        <f t="shared" si="139"/>
        <v>0</v>
      </c>
      <c r="BI296" s="3083">
        <f t="shared" si="140"/>
        <v>0</v>
      </c>
      <c r="BJ296" s="3083">
        <f t="shared" si="141"/>
        <v>0</v>
      </c>
      <c r="BK296" s="3083">
        <f t="shared" si="142"/>
        <v>0</v>
      </c>
      <c r="BL296" s="3083">
        <f t="shared" si="143"/>
        <v>0</v>
      </c>
      <c r="BM296" s="3083">
        <f t="shared" si="144"/>
        <v>0</v>
      </c>
      <c r="BN296" s="3083">
        <f t="shared" si="145"/>
        <v>0</v>
      </c>
      <c r="BO296" s="3083">
        <f t="shared" si="146"/>
        <v>0</v>
      </c>
      <c r="BP296" s="3083">
        <f t="shared" si="147"/>
        <v>0</v>
      </c>
      <c r="BQ296" s="3083">
        <f t="shared" si="148"/>
        <v>0</v>
      </c>
      <c r="BR296" s="3083">
        <f t="shared" si="149"/>
        <v>0</v>
      </c>
      <c r="BS296" s="3083">
        <f t="shared" si="150"/>
        <v>0</v>
      </c>
      <c r="BT296" s="3135">
        <f t="shared" si="151"/>
        <v>0</v>
      </c>
    </row>
    <row r="297" spans="1:72">
      <c r="A297" s="3080"/>
      <c r="B297" s="3081"/>
      <c r="C297" s="3081"/>
      <c r="D297" s="3082"/>
      <c r="E297" s="3083">
        <f t="shared" si="123"/>
        <v>0</v>
      </c>
      <c r="F297" s="3084"/>
      <c r="G297" s="3085">
        <f t="shared" si="124"/>
        <v>0</v>
      </c>
      <c r="H297" s="3086">
        <f t="shared" si="125"/>
        <v>0</v>
      </c>
      <c r="I297" s="3093"/>
      <c r="J297" s="3093"/>
      <c r="K297" s="3093"/>
      <c r="L297" s="3093"/>
      <c r="M297" s="3093"/>
      <c r="N297" s="3093"/>
      <c r="O297" s="3093"/>
      <c r="P297" s="3093"/>
      <c r="Q297" s="3093"/>
      <c r="R297" s="3093"/>
      <c r="S297" s="3093"/>
      <c r="T297" s="3093"/>
      <c r="U297" s="3093"/>
      <c r="V297" s="3093"/>
      <c r="W297" s="3093"/>
      <c r="X297" s="3093"/>
      <c r="Y297" s="3093"/>
      <c r="Z297" s="3093"/>
      <c r="AA297" s="3093"/>
      <c r="AB297" s="3093"/>
      <c r="AC297" s="3083">
        <f t="shared" si="126"/>
        <v>0</v>
      </c>
      <c r="AD297" s="3103"/>
      <c r="AE297" s="3103"/>
      <c r="AF297" s="3103"/>
      <c r="AG297" s="3103"/>
      <c r="AH297" s="3103"/>
      <c r="AI297" s="3103"/>
      <c r="AJ297" s="3103"/>
      <c r="AK297" s="3103"/>
      <c r="AL297" s="3103"/>
      <c r="AM297" s="3103"/>
      <c r="AN297" s="3103"/>
      <c r="AO297" s="3103"/>
      <c r="AP297" s="3103"/>
      <c r="AQ297" s="3103"/>
      <c r="AR297" s="3103"/>
      <c r="AS297" s="3103"/>
      <c r="AT297" s="3113"/>
      <c r="AU297" s="3114"/>
      <c r="AV297" s="1580">
        <f t="shared" si="127"/>
        <v>0</v>
      </c>
      <c r="AW297" s="1580">
        <f t="shared" si="128"/>
        <v>0</v>
      </c>
      <c r="AX297" s="1580">
        <f t="shared" si="129"/>
        <v>0</v>
      </c>
      <c r="AY297" s="3128">
        <f t="shared" si="130"/>
        <v>0</v>
      </c>
      <c r="AZ297" s="3083">
        <f t="shared" si="131"/>
        <v>0</v>
      </c>
      <c r="BA297" s="3083">
        <f t="shared" si="132"/>
        <v>0</v>
      </c>
      <c r="BB297" s="3083">
        <f t="shared" si="133"/>
        <v>0</v>
      </c>
      <c r="BC297" s="3083">
        <f t="shared" si="134"/>
        <v>0</v>
      </c>
      <c r="BD297" s="3083">
        <f t="shared" si="135"/>
        <v>0</v>
      </c>
      <c r="BE297" s="3083">
        <f t="shared" si="136"/>
        <v>0</v>
      </c>
      <c r="BF297" s="3083">
        <f t="shared" si="137"/>
        <v>0</v>
      </c>
      <c r="BG297" s="3083">
        <f t="shared" si="138"/>
        <v>0</v>
      </c>
      <c r="BH297" s="3083">
        <f t="shared" si="139"/>
        <v>0</v>
      </c>
      <c r="BI297" s="3083">
        <f t="shared" si="140"/>
        <v>0</v>
      </c>
      <c r="BJ297" s="3083">
        <f t="shared" si="141"/>
        <v>0</v>
      </c>
      <c r="BK297" s="3083">
        <f t="shared" si="142"/>
        <v>0</v>
      </c>
      <c r="BL297" s="3083">
        <f t="shared" si="143"/>
        <v>0</v>
      </c>
      <c r="BM297" s="3083">
        <f t="shared" si="144"/>
        <v>0</v>
      </c>
      <c r="BN297" s="3083">
        <f t="shared" si="145"/>
        <v>0</v>
      </c>
      <c r="BO297" s="3083">
        <f t="shared" si="146"/>
        <v>0</v>
      </c>
      <c r="BP297" s="3083">
        <f t="shared" si="147"/>
        <v>0</v>
      </c>
      <c r="BQ297" s="3083">
        <f t="shared" si="148"/>
        <v>0</v>
      </c>
      <c r="BR297" s="3083">
        <f t="shared" si="149"/>
        <v>0</v>
      </c>
      <c r="BS297" s="3083">
        <f t="shared" si="150"/>
        <v>0</v>
      </c>
      <c r="BT297" s="3135">
        <f t="shared" si="151"/>
        <v>0</v>
      </c>
    </row>
    <row r="298" spans="1:72">
      <c r="A298" s="3080"/>
      <c r="B298" s="3081"/>
      <c r="C298" s="3081"/>
      <c r="D298" s="3082"/>
      <c r="E298" s="3083">
        <f t="shared" si="123"/>
        <v>0</v>
      </c>
      <c r="F298" s="3084"/>
      <c r="G298" s="3085">
        <f t="shared" si="124"/>
        <v>0</v>
      </c>
      <c r="H298" s="3086">
        <f t="shared" si="125"/>
        <v>0</v>
      </c>
      <c r="I298" s="3093"/>
      <c r="J298" s="3093"/>
      <c r="K298" s="3093"/>
      <c r="L298" s="3093"/>
      <c r="M298" s="3093"/>
      <c r="N298" s="3093"/>
      <c r="O298" s="3093"/>
      <c r="P298" s="3093"/>
      <c r="Q298" s="3093"/>
      <c r="R298" s="3093"/>
      <c r="S298" s="3093"/>
      <c r="T298" s="3093"/>
      <c r="U298" s="3093"/>
      <c r="V298" s="3093"/>
      <c r="W298" s="3093"/>
      <c r="X298" s="3093"/>
      <c r="Y298" s="3093"/>
      <c r="Z298" s="3093"/>
      <c r="AA298" s="3093"/>
      <c r="AB298" s="3093"/>
      <c r="AC298" s="3083">
        <f t="shared" si="126"/>
        <v>0</v>
      </c>
      <c r="AD298" s="3103"/>
      <c r="AE298" s="3103"/>
      <c r="AF298" s="3103"/>
      <c r="AG298" s="3103"/>
      <c r="AH298" s="3103"/>
      <c r="AI298" s="3103"/>
      <c r="AJ298" s="3103"/>
      <c r="AK298" s="3103"/>
      <c r="AL298" s="3103"/>
      <c r="AM298" s="3103"/>
      <c r="AN298" s="3103"/>
      <c r="AO298" s="3103"/>
      <c r="AP298" s="3103"/>
      <c r="AQ298" s="3103"/>
      <c r="AR298" s="3103"/>
      <c r="AS298" s="3103"/>
      <c r="AT298" s="3113"/>
      <c r="AU298" s="3114"/>
      <c r="AV298" s="1580">
        <f t="shared" si="127"/>
        <v>0</v>
      </c>
      <c r="AW298" s="1580">
        <f t="shared" si="128"/>
        <v>0</v>
      </c>
      <c r="AX298" s="1580">
        <f t="shared" si="129"/>
        <v>0</v>
      </c>
      <c r="AY298" s="3128">
        <f t="shared" si="130"/>
        <v>0</v>
      </c>
      <c r="AZ298" s="3083">
        <f t="shared" si="131"/>
        <v>0</v>
      </c>
      <c r="BA298" s="3083">
        <f t="shared" si="132"/>
        <v>0</v>
      </c>
      <c r="BB298" s="3083">
        <f t="shared" si="133"/>
        <v>0</v>
      </c>
      <c r="BC298" s="3083">
        <f t="shared" si="134"/>
        <v>0</v>
      </c>
      <c r="BD298" s="3083">
        <f t="shared" si="135"/>
        <v>0</v>
      </c>
      <c r="BE298" s="3083">
        <f t="shared" si="136"/>
        <v>0</v>
      </c>
      <c r="BF298" s="3083">
        <f t="shared" si="137"/>
        <v>0</v>
      </c>
      <c r="BG298" s="3083">
        <f t="shared" si="138"/>
        <v>0</v>
      </c>
      <c r="BH298" s="3083">
        <f t="shared" si="139"/>
        <v>0</v>
      </c>
      <c r="BI298" s="3083">
        <f t="shared" si="140"/>
        <v>0</v>
      </c>
      <c r="BJ298" s="3083">
        <f t="shared" si="141"/>
        <v>0</v>
      </c>
      <c r="BK298" s="3083">
        <f t="shared" si="142"/>
        <v>0</v>
      </c>
      <c r="BL298" s="3083">
        <f t="shared" si="143"/>
        <v>0</v>
      </c>
      <c r="BM298" s="3083">
        <f t="shared" si="144"/>
        <v>0</v>
      </c>
      <c r="BN298" s="3083">
        <f t="shared" si="145"/>
        <v>0</v>
      </c>
      <c r="BO298" s="3083">
        <f t="shared" si="146"/>
        <v>0</v>
      </c>
      <c r="BP298" s="3083">
        <f t="shared" si="147"/>
        <v>0</v>
      </c>
      <c r="BQ298" s="3083">
        <f t="shared" si="148"/>
        <v>0</v>
      </c>
      <c r="BR298" s="3083">
        <f t="shared" si="149"/>
        <v>0</v>
      </c>
      <c r="BS298" s="3083">
        <f t="shared" si="150"/>
        <v>0</v>
      </c>
      <c r="BT298" s="3135">
        <f t="shared" si="151"/>
        <v>0</v>
      </c>
    </row>
    <row r="299" spans="1:72">
      <c r="A299" s="3080"/>
      <c r="B299" s="3081"/>
      <c r="C299" s="3081"/>
      <c r="D299" s="3082"/>
      <c r="E299" s="3083">
        <f t="shared" si="123"/>
        <v>0</v>
      </c>
      <c r="F299" s="3084"/>
      <c r="G299" s="3085">
        <f t="shared" si="124"/>
        <v>0</v>
      </c>
      <c r="H299" s="3086">
        <f t="shared" si="125"/>
        <v>0</v>
      </c>
      <c r="I299" s="3093"/>
      <c r="J299" s="3093"/>
      <c r="K299" s="3093"/>
      <c r="L299" s="3093"/>
      <c r="M299" s="3093"/>
      <c r="N299" s="3093"/>
      <c r="O299" s="3093"/>
      <c r="P299" s="3093"/>
      <c r="Q299" s="3093"/>
      <c r="R299" s="3093"/>
      <c r="S299" s="3093"/>
      <c r="T299" s="3093"/>
      <c r="U299" s="3093"/>
      <c r="V299" s="3093"/>
      <c r="W299" s="3093"/>
      <c r="X299" s="3093"/>
      <c r="Y299" s="3093"/>
      <c r="Z299" s="3093"/>
      <c r="AA299" s="3093"/>
      <c r="AB299" s="3093"/>
      <c r="AC299" s="3083">
        <f t="shared" si="126"/>
        <v>0</v>
      </c>
      <c r="AD299" s="3103"/>
      <c r="AE299" s="3103"/>
      <c r="AF299" s="3103"/>
      <c r="AG299" s="3103"/>
      <c r="AH299" s="3103"/>
      <c r="AI299" s="3103"/>
      <c r="AJ299" s="3103"/>
      <c r="AK299" s="3103"/>
      <c r="AL299" s="3103"/>
      <c r="AM299" s="3103"/>
      <c r="AN299" s="3103"/>
      <c r="AO299" s="3103"/>
      <c r="AP299" s="3103"/>
      <c r="AQ299" s="3103"/>
      <c r="AR299" s="3103"/>
      <c r="AS299" s="3103"/>
      <c r="AT299" s="3113"/>
      <c r="AU299" s="3114"/>
      <c r="AV299" s="1580">
        <f t="shared" si="127"/>
        <v>0</v>
      </c>
      <c r="AW299" s="1580">
        <f t="shared" si="128"/>
        <v>0</v>
      </c>
      <c r="AX299" s="1580">
        <f t="shared" si="129"/>
        <v>0</v>
      </c>
      <c r="AY299" s="3128">
        <f t="shared" si="130"/>
        <v>0</v>
      </c>
      <c r="AZ299" s="3083">
        <f t="shared" si="131"/>
        <v>0</v>
      </c>
      <c r="BA299" s="3083">
        <f t="shared" si="132"/>
        <v>0</v>
      </c>
      <c r="BB299" s="3083">
        <f t="shared" si="133"/>
        <v>0</v>
      </c>
      <c r="BC299" s="3083">
        <f t="shared" si="134"/>
        <v>0</v>
      </c>
      <c r="BD299" s="3083">
        <f t="shared" si="135"/>
        <v>0</v>
      </c>
      <c r="BE299" s="3083">
        <f t="shared" si="136"/>
        <v>0</v>
      </c>
      <c r="BF299" s="3083">
        <f t="shared" si="137"/>
        <v>0</v>
      </c>
      <c r="BG299" s="3083">
        <f t="shared" si="138"/>
        <v>0</v>
      </c>
      <c r="BH299" s="3083">
        <f t="shared" si="139"/>
        <v>0</v>
      </c>
      <c r="BI299" s="3083">
        <f t="shared" si="140"/>
        <v>0</v>
      </c>
      <c r="BJ299" s="3083">
        <f t="shared" si="141"/>
        <v>0</v>
      </c>
      <c r="BK299" s="3083">
        <f t="shared" si="142"/>
        <v>0</v>
      </c>
      <c r="BL299" s="3083">
        <f t="shared" si="143"/>
        <v>0</v>
      </c>
      <c r="BM299" s="3083">
        <f t="shared" si="144"/>
        <v>0</v>
      </c>
      <c r="BN299" s="3083">
        <f t="shared" si="145"/>
        <v>0</v>
      </c>
      <c r="BO299" s="3083">
        <f t="shared" si="146"/>
        <v>0</v>
      </c>
      <c r="BP299" s="3083">
        <f t="shared" si="147"/>
        <v>0</v>
      </c>
      <c r="BQ299" s="3083">
        <f t="shared" si="148"/>
        <v>0</v>
      </c>
      <c r="BR299" s="3083">
        <f t="shared" si="149"/>
        <v>0</v>
      </c>
      <c r="BS299" s="3083">
        <f t="shared" si="150"/>
        <v>0</v>
      </c>
      <c r="BT299" s="3135">
        <f t="shared" si="151"/>
        <v>0</v>
      </c>
    </row>
    <row r="300" spans="1:72">
      <c r="A300" s="3080"/>
      <c r="B300" s="3080"/>
      <c r="C300" s="3080"/>
      <c r="D300" s="3082"/>
      <c r="E300" s="3083">
        <f t="shared" si="123"/>
        <v>0</v>
      </c>
      <c r="F300" s="3136"/>
      <c r="G300" s="3085">
        <f t="shared" ref="G300:G331" si="152">H300+AC300+AT300</f>
        <v>0</v>
      </c>
      <c r="H300" s="3086">
        <f t="shared" ref="H300:H331" si="153">SUMIF(I$12:AB$12,"总值",I300:AB300)</f>
        <v>0</v>
      </c>
      <c r="I300" s="3137"/>
      <c r="J300" s="3137"/>
      <c r="K300" s="3093"/>
      <c r="L300" s="3093"/>
      <c r="M300" s="3093"/>
      <c r="N300" s="3093"/>
      <c r="O300" s="3093"/>
      <c r="P300" s="3093"/>
      <c r="Q300" s="3093"/>
      <c r="R300" s="3093"/>
      <c r="S300" s="3093"/>
      <c r="T300" s="3093"/>
      <c r="U300" s="3093"/>
      <c r="V300" s="3093"/>
      <c r="W300" s="3093"/>
      <c r="X300" s="3093"/>
      <c r="Y300" s="3093"/>
      <c r="Z300" s="3093"/>
      <c r="AA300" s="3093"/>
      <c r="AB300" s="3093"/>
      <c r="AC300" s="3083">
        <f t="shared" ref="AC300:AC331" si="154">SUMIF(AD$12:AS$12,"总值",AD300:AS300)</f>
        <v>0</v>
      </c>
      <c r="AD300" s="3103"/>
      <c r="AE300" s="3103"/>
      <c r="AF300" s="3103"/>
      <c r="AG300" s="3103"/>
      <c r="AH300" s="3103"/>
      <c r="AI300" s="3103"/>
      <c r="AJ300" s="3103"/>
      <c r="AK300" s="3103"/>
      <c r="AL300" s="3103"/>
      <c r="AM300" s="3103"/>
      <c r="AN300" s="3103"/>
      <c r="AO300" s="3103"/>
      <c r="AP300" s="3103"/>
      <c r="AQ300" s="3103"/>
      <c r="AR300" s="3103"/>
      <c r="AS300" s="3103"/>
      <c r="AT300" s="3103"/>
      <c r="AU300" s="3138"/>
      <c r="AV300" s="1580">
        <f t="shared" si="127"/>
        <v>0</v>
      </c>
      <c r="AW300" s="1580">
        <f t="shared" si="128"/>
        <v>0</v>
      </c>
      <c r="AX300" s="1580">
        <f t="shared" si="129"/>
        <v>0</v>
      </c>
      <c r="AY300" s="3128">
        <f t="shared" ref="AY300:AY331" si="155">ROUND($AY$6*AZ300/$AZ$5,2)</f>
        <v>0</v>
      </c>
      <c r="AZ300" s="3083">
        <f t="shared" ref="AZ300:AZ331" si="156">BA300+BL300</f>
        <v>0</v>
      </c>
      <c r="BA300" s="3083">
        <f t="shared" ref="BA300:BA331" si="157">SUM(BB300:BK300)</f>
        <v>0</v>
      </c>
      <c r="BB300" s="3083">
        <f t="shared" ref="BB300:BB331" si="158">IF($D300="是",I300-J300,0)</f>
        <v>0</v>
      </c>
      <c r="BC300" s="3083">
        <f t="shared" ref="BC300:BC331" si="159">IF($D300="是",K300-L300,0)</f>
        <v>0</v>
      </c>
      <c r="BD300" s="3083">
        <f t="shared" ref="BD300:BD331" si="160">IF($D300="是",M300-N300,0)</f>
        <v>0</v>
      </c>
      <c r="BE300" s="3083">
        <f t="shared" ref="BE300:BE331" si="161">IF($D300="是",O300-P300,0)</f>
        <v>0</v>
      </c>
      <c r="BF300" s="3083">
        <f t="shared" ref="BF300:BF331" si="162">IF($D300="是",Q300-R300,0)</f>
        <v>0</v>
      </c>
      <c r="BG300" s="3083">
        <f t="shared" ref="BG300:BG331" si="163">IF($D300="是",S300-T300,0)</f>
        <v>0</v>
      </c>
      <c r="BH300" s="3083">
        <f t="shared" ref="BH300:BH331" si="164">IF($D300="是",U300-V300,0)</f>
        <v>0</v>
      </c>
      <c r="BI300" s="3083">
        <f t="shared" ref="BI300:BI331" si="165">IF($D300="是",W300-X300,0)</f>
        <v>0</v>
      </c>
      <c r="BJ300" s="3083">
        <f t="shared" ref="BJ300:BJ331" si="166">IF($D300="是",Y300-Z300,0)</f>
        <v>0</v>
      </c>
      <c r="BK300" s="3083">
        <f t="shared" ref="BK300:BK331" si="167">IF($D300="是",AA300-AB300,0)</f>
        <v>0</v>
      </c>
      <c r="BL300" s="3083">
        <f t="shared" ref="BL300:BL331" si="168">SUM(BM300:BT300)</f>
        <v>0</v>
      </c>
      <c r="BM300" s="3083">
        <f t="shared" ref="BM300:BM331" si="169">IF($D300="是",AD300-AE300,0)</f>
        <v>0</v>
      </c>
      <c r="BN300" s="3083">
        <f t="shared" ref="BN300:BN331" si="170">IF($D300="是",AF300-AG300,0)</f>
        <v>0</v>
      </c>
      <c r="BO300" s="3083">
        <f t="shared" ref="BO300:BO331" si="171">IF($D300="是",AH300-AI300,0)</f>
        <v>0</v>
      </c>
      <c r="BP300" s="3083">
        <f t="shared" ref="BP300:BP331" si="172">IF($D300="是",AJ300-AK300,0)</f>
        <v>0</v>
      </c>
      <c r="BQ300" s="3083">
        <f t="shared" ref="BQ300:BQ331" si="173">IF($D300="是",AL300-AM300,0)</f>
        <v>0</v>
      </c>
      <c r="BR300" s="3083">
        <f t="shared" ref="BR300:BR331" si="174">IF($D300="是",AN300-AO300,0)</f>
        <v>0</v>
      </c>
      <c r="BS300" s="3083">
        <f t="shared" ref="BS300:BS331" si="175">IF($D300="是",AP300-AQ300,0)</f>
        <v>0</v>
      </c>
      <c r="BT300" s="3135">
        <f t="shared" ref="BT300:BT331" si="176">IF($D300="是",AR300-AS300,0)</f>
        <v>0</v>
      </c>
    </row>
    <row r="301" spans="1:72">
      <c r="A301" s="3080"/>
      <c r="B301" s="3080"/>
      <c r="C301" s="3080"/>
      <c r="D301" s="3082"/>
      <c r="E301" s="3083">
        <f t="shared" si="123"/>
        <v>0</v>
      </c>
      <c r="F301" s="3136"/>
      <c r="G301" s="3085">
        <f t="shared" si="152"/>
        <v>0</v>
      </c>
      <c r="H301" s="3086">
        <f t="shared" si="153"/>
        <v>0</v>
      </c>
      <c r="I301" s="3093"/>
      <c r="J301" s="3093"/>
      <c r="K301" s="3093"/>
      <c r="L301" s="3093"/>
      <c r="M301" s="3093"/>
      <c r="N301" s="3093"/>
      <c r="O301" s="3093"/>
      <c r="P301" s="3093"/>
      <c r="Q301" s="3093"/>
      <c r="R301" s="3093"/>
      <c r="S301" s="3093"/>
      <c r="T301" s="3093"/>
      <c r="U301" s="3093"/>
      <c r="V301" s="3093"/>
      <c r="W301" s="3093"/>
      <c r="X301" s="3093"/>
      <c r="Y301" s="3093"/>
      <c r="Z301" s="3093"/>
      <c r="AA301" s="3093"/>
      <c r="AB301" s="3093"/>
      <c r="AC301" s="3083">
        <f t="shared" si="154"/>
        <v>0</v>
      </c>
      <c r="AD301" s="3103"/>
      <c r="AE301" s="3103"/>
      <c r="AF301" s="3103"/>
      <c r="AG301" s="3103"/>
      <c r="AH301" s="3103"/>
      <c r="AI301" s="3103"/>
      <c r="AJ301" s="3103"/>
      <c r="AK301" s="3103"/>
      <c r="AL301" s="3103"/>
      <c r="AM301" s="3103"/>
      <c r="AN301" s="3103"/>
      <c r="AO301" s="3103"/>
      <c r="AP301" s="3103"/>
      <c r="AQ301" s="3103"/>
      <c r="AR301" s="3103"/>
      <c r="AS301" s="3103"/>
      <c r="AT301" s="3103"/>
      <c r="AU301" s="3138"/>
      <c r="AV301" s="1580">
        <f t="shared" si="127"/>
        <v>0</v>
      </c>
      <c r="AW301" s="1580">
        <f t="shared" si="128"/>
        <v>0</v>
      </c>
      <c r="AX301" s="1580">
        <f t="shared" si="129"/>
        <v>0</v>
      </c>
      <c r="AY301" s="3128">
        <f t="shared" si="155"/>
        <v>0</v>
      </c>
      <c r="AZ301" s="3083">
        <f t="shared" si="156"/>
        <v>0</v>
      </c>
      <c r="BA301" s="3083">
        <f t="shared" si="157"/>
        <v>0</v>
      </c>
      <c r="BB301" s="3083">
        <f t="shared" si="158"/>
        <v>0</v>
      </c>
      <c r="BC301" s="3083">
        <f t="shared" si="159"/>
        <v>0</v>
      </c>
      <c r="BD301" s="3083">
        <f t="shared" si="160"/>
        <v>0</v>
      </c>
      <c r="BE301" s="3083">
        <f t="shared" si="161"/>
        <v>0</v>
      </c>
      <c r="BF301" s="3083">
        <f t="shared" si="162"/>
        <v>0</v>
      </c>
      <c r="BG301" s="3083">
        <f t="shared" si="163"/>
        <v>0</v>
      </c>
      <c r="BH301" s="3083">
        <f t="shared" si="164"/>
        <v>0</v>
      </c>
      <c r="BI301" s="3083">
        <f t="shared" si="165"/>
        <v>0</v>
      </c>
      <c r="BJ301" s="3083">
        <f t="shared" si="166"/>
        <v>0</v>
      </c>
      <c r="BK301" s="3083">
        <f t="shared" si="167"/>
        <v>0</v>
      </c>
      <c r="BL301" s="3083">
        <f t="shared" si="168"/>
        <v>0</v>
      </c>
      <c r="BM301" s="3083">
        <f t="shared" si="169"/>
        <v>0</v>
      </c>
      <c r="BN301" s="3083">
        <f t="shared" si="170"/>
        <v>0</v>
      </c>
      <c r="BO301" s="3083">
        <f t="shared" si="171"/>
        <v>0</v>
      </c>
      <c r="BP301" s="3083">
        <f t="shared" si="172"/>
        <v>0</v>
      </c>
      <c r="BQ301" s="3083">
        <f t="shared" si="173"/>
        <v>0</v>
      </c>
      <c r="BR301" s="3083">
        <f t="shared" si="174"/>
        <v>0</v>
      </c>
      <c r="BS301" s="3083">
        <f t="shared" si="175"/>
        <v>0</v>
      </c>
      <c r="BT301" s="3135">
        <f t="shared" si="176"/>
        <v>0</v>
      </c>
    </row>
    <row r="302" spans="1:72">
      <c r="A302" s="3080"/>
      <c r="B302" s="3080"/>
      <c r="C302" s="3080"/>
      <c r="D302" s="3082"/>
      <c r="E302" s="3083">
        <f t="shared" si="123"/>
        <v>0</v>
      </c>
      <c r="F302" s="3136"/>
      <c r="G302" s="3085">
        <f t="shared" si="152"/>
        <v>0</v>
      </c>
      <c r="H302" s="3086">
        <f t="shared" si="153"/>
        <v>0</v>
      </c>
      <c r="I302" s="3093"/>
      <c r="J302" s="3093"/>
      <c r="K302" s="3093"/>
      <c r="L302" s="3093"/>
      <c r="M302" s="3093"/>
      <c r="N302" s="3093"/>
      <c r="O302" s="3093"/>
      <c r="P302" s="3093"/>
      <c r="Q302" s="3093"/>
      <c r="R302" s="3093"/>
      <c r="S302" s="3093"/>
      <c r="T302" s="3093"/>
      <c r="U302" s="3093"/>
      <c r="V302" s="3093"/>
      <c r="W302" s="3093"/>
      <c r="X302" s="3093"/>
      <c r="Y302" s="3093"/>
      <c r="Z302" s="3093"/>
      <c r="AA302" s="3093"/>
      <c r="AB302" s="3093"/>
      <c r="AC302" s="3083">
        <f t="shared" si="154"/>
        <v>0</v>
      </c>
      <c r="AD302" s="3103"/>
      <c r="AE302" s="3103"/>
      <c r="AF302" s="3103"/>
      <c r="AG302" s="3103"/>
      <c r="AH302" s="3103"/>
      <c r="AI302" s="3103"/>
      <c r="AJ302" s="3103"/>
      <c r="AK302" s="3103"/>
      <c r="AL302" s="3103"/>
      <c r="AM302" s="3103"/>
      <c r="AN302" s="3103"/>
      <c r="AO302" s="3103"/>
      <c r="AP302" s="3103"/>
      <c r="AQ302" s="3103"/>
      <c r="AR302" s="3103"/>
      <c r="AS302" s="3103"/>
      <c r="AT302" s="3103"/>
      <c r="AU302" s="3138"/>
      <c r="AV302" s="1580">
        <f t="shared" si="127"/>
        <v>0</v>
      </c>
      <c r="AW302" s="1580">
        <f t="shared" si="128"/>
        <v>0</v>
      </c>
      <c r="AX302" s="1580">
        <f t="shared" si="129"/>
        <v>0</v>
      </c>
      <c r="AY302" s="3128">
        <f t="shared" si="155"/>
        <v>0</v>
      </c>
      <c r="AZ302" s="3083">
        <f t="shared" si="156"/>
        <v>0</v>
      </c>
      <c r="BA302" s="3083">
        <f t="shared" si="157"/>
        <v>0</v>
      </c>
      <c r="BB302" s="3083">
        <f t="shared" si="158"/>
        <v>0</v>
      </c>
      <c r="BC302" s="3083">
        <f t="shared" si="159"/>
        <v>0</v>
      </c>
      <c r="BD302" s="3083">
        <f t="shared" si="160"/>
        <v>0</v>
      </c>
      <c r="BE302" s="3083">
        <f t="shared" si="161"/>
        <v>0</v>
      </c>
      <c r="BF302" s="3083">
        <f t="shared" si="162"/>
        <v>0</v>
      </c>
      <c r="BG302" s="3083">
        <f t="shared" si="163"/>
        <v>0</v>
      </c>
      <c r="BH302" s="3083">
        <f t="shared" si="164"/>
        <v>0</v>
      </c>
      <c r="BI302" s="3083">
        <f t="shared" si="165"/>
        <v>0</v>
      </c>
      <c r="BJ302" s="3083">
        <f t="shared" si="166"/>
        <v>0</v>
      </c>
      <c r="BK302" s="3083">
        <f t="shared" si="167"/>
        <v>0</v>
      </c>
      <c r="BL302" s="3083">
        <f t="shared" si="168"/>
        <v>0</v>
      </c>
      <c r="BM302" s="3083">
        <f t="shared" si="169"/>
        <v>0</v>
      </c>
      <c r="BN302" s="3083">
        <f t="shared" si="170"/>
        <v>0</v>
      </c>
      <c r="BO302" s="3083">
        <f t="shared" si="171"/>
        <v>0</v>
      </c>
      <c r="BP302" s="3083">
        <f t="shared" si="172"/>
        <v>0</v>
      </c>
      <c r="BQ302" s="3083">
        <f t="shared" si="173"/>
        <v>0</v>
      </c>
      <c r="BR302" s="3083">
        <f t="shared" si="174"/>
        <v>0</v>
      </c>
      <c r="BS302" s="3083">
        <f t="shared" si="175"/>
        <v>0</v>
      </c>
      <c r="BT302" s="3135">
        <f t="shared" si="176"/>
        <v>0</v>
      </c>
    </row>
    <row r="303" spans="1:72">
      <c r="A303" s="3080"/>
      <c r="B303" s="3081"/>
      <c r="C303" s="3081"/>
      <c r="D303" s="3082"/>
      <c r="E303" s="3083">
        <f t="shared" ref="E303:E334" si="177">IF($C$3="是",ROUND($A$3*G303/$B$3,2),ROUND($A$3*(G303-AT303)/$B$3,2))</f>
        <v>0</v>
      </c>
      <c r="F303" s="3084"/>
      <c r="G303" s="3085">
        <f t="shared" si="152"/>
        <v>0</v>
      </c>
      <c r="H303" s="3086">
        <f t="shared" si="153"/>
        <v>0</v>
      </c>
      <c r="I303" s="3093"/>
      <c r="J303" s="3093"/>
      <c r="K303" s="3093"/>
      <c r="L303" s="3093"/>
      <c r="M303" s="3093"/>
      <c r="N303" s="3093"/>
      <c r="O303" s="3093"/>
      <c r="P303" s="3093"/>
      <c r="Q303" s="3093"/>
      <c r="R303" s="3093"/>
      <c r="S303" s="3093"/>
      <c r="T303" s="3093"/>
      <c r="U303" s="3093"/>
      <c r="V303" s="3093"/>
      <c r="W303" s="3093"/>
      <c r="X303" s="3093"/>
      <c r="Y303" s="3093"/>
      <c r="Z303" s="3093"/>
      <c r="AA303" s="3093"/>
      <c r="AB303" s="3093"/>
      <c r="AC303" s="3083">
        <f t="shared" si="154"/>
        <v>0</v>
      </c>
      <c r="AD303" s="3103"/>
      <c r="AE303" s="3103"/>
      <c r="AF303" s="3103"/>
      <c r="AG303" s="3103"/>
      <c r="AH303" s="3103"/>
      <c r="AI303" s="3103"/>
      <c r="AJ303" s="3103"/>
      <c r="AK303" s="3103"/>
      <c r="AL303" s="3103"/>
      <c r="AM303" s="3103"/>
      <c r="AN303" s="3103"/>
      <c r="AO303" s="3103"/>
      <c r="AP303" s="3103"/>
      <c r="AQ303" s="3103"/>
      <c r="AR303" s="3103"/>
      <c r="AS303" s="3103"/>
      <c r="AT303" s="3113"/>
      <c r="AU303" s="3114"/>
      <c r="AV303" s="1580">
        <f t="shared" ref="AV303:AV334" si="178">A303</f>
        <v>0</v>
      </c>
      <c r="AW303" s="1580">
        <f t="shared" ref="AW303:AW334" si="179">B303</f>
        <v>0</v>
      </c>
      <c r="AX303" s="1580">
        <f t="shared" ref="AX303:AX334" si="180">C303</f>
        <v>0</v>
      </c>
      <c r="AY303" s="3128">
        <f t="shared" si="155"/>
        <v>0</v>
      </c>
      <c r="AZ303" s="3083">
        <f t="shared" si="156"/>
        <v>0</v>
      </c>
      <c r="BA303" s="3083">
        <f t="shared" si="157"/>
        <v>0</v>
      </c>
      <c r="BB303" s="3083">
        <f t="shared" si="158"/>
        <v>0</v>
      </c>
      <c r="BC303" s="3083">
        <f t="shared" si="159"/>
        <v>0</v>
      </c>
      <c r="BD303" s="3083">
        <f t="shared" si="160"/>
        <v>0</v>
      </c>
      <c r="BE303" s="3083">
        <f t="shared" si="161"/>
        <v>0</v>
      </c>
      <c r="BF303" s="3083">
        <f t="shared" si="162"/>
        <v>0</v>
      </c>
      <c r="BG303" s="3083">
        <f t="shared" si="163"/>
        <v>0</v>
      </c>
      <c r="BH303" s="3083">
        <f t="shared" si="164"/>
        <v>0</v>
      </c>
      <c r="BI303" s="3083">
        <f t="shared" si="165"/>
        <v>0</v>
      </c>
      <c r="BJ303" s="3083">
        <f t="shared" si="166"/>
        <v>0</v>
      </c>
      <c r="BK303" s="3083">
        <f t="shared" si="167"/>
        <v>0</v>
      </c>
      <c r="BL303" s="3083">
        <f t="shared" si="168"/>
        <v>0</v>
      </c>
      <c r="BM303" s="3083">
        <f t="shared" si="169"/>
        <v>0</v>
      </c>
      <c r="BN303" s="3083">
        <f t="shared" si="170"/>
        <v>0</v>
      </c>
      <c r="BO303" s="3083">
        <f t="shared" si="171"/>
        <v>0</v>
      </c>
      <c r="BP303" s="3083">
        <f t="shared" si="172"/>
        <v>0</v>
      </c>
      <c r="BQ303" s="3083">
        <f t="shared" si="173"/>
        <v>0</v>
      </c>
      <c r="BR303" s="3083">
        <f t="shared" si="174"/>
        <v>0</v>
      </c>
      <c r="BS303" s="3083">
        <f t="shared" si="175"/>
        <v>0</v>
      </c>
      <c r="BT303" s="3135">
        <f t="shared" si="176"/>
        <v>0</v>
      </c>
    </row>
    <row r="304" spans="1:72">
      <c r="A304" s="3080"/>
      <c r="B304" s="3081"/>
      <c r="C304" s="3081"/>
      <c r="D304" s="3082"/>
      <c r="E304" s="3083">
        <f t="shared" si="177"/>
        <v>0</v>
      </c>
      <c r="F304" s="3084"/>
      <c r="G304" s="3085">
        <f t="shared" si="152"/>
        <v>0</v>
      </c>
      <c r="H304" s="3086">
        <f t="shared" si="153"/>
        <v>0</v>
      </c>
      <c r="I304" s="3093"/>
      <c r="J304" s="3093"/>
      <c r="K304" s="3093"/>
      <c r="L304" s="3093"/>
      <c r="M304" s="3093"/>
      <c r="N304" s="3093"/>
      <c r="O304" s="3093"/>
      <c r="P304" s="3093"/>
      <c r="Q304" s="3093"/>
      <c r="R304" s="3093"/>
      <c r="S304" s="3093"/>
      <c r="T304" s="3093"/>
      <c r="U304" s="3093"/>
      <c r="V304" s="3093"/>
      <c r="W304" s="3093"/>
      <c r="X304" s="3093"/>
      <c r="Y304" s="3093"/>
      <c r="Z304" s="3093"/>
      <c r="AA304" s="3093"/>
      <c r="AB304" s="3093"/>
      <c r="AC304" s="3083">
        <f t="shared" si="154"/>
        <v>0</v>
      </c>
      <c r="AD304" s="3103"/>
      <c r="AE304" s="3103"/>
      <c r="AF304" s="3103"/>
      <c r="AG304" s="3103"/>
      <c r="AH304" s="3103"/>
      <c r="AI304" s="3103"/>
      <c r="AJ304" s="3103"/>
      <c r="AK304" s="3103"/>
      <c r="AL304" s="3103"/>
      <c r="AM304" s="3103"/>
      <c r="AN304" s="3103"/>
      <c r="AO304" s="3103"/>
      <c r="AP304" s="3103"/>
      <c r="AQ304" s="3103"/>
      <c r="AR304" s="3103"/>
      <c r="AS304" s="3103"/>
      <c r="AT304" s="3113"/>
      <c r="AU304" s="3114"/>
      <c r="AV304" s="1580">
        <f t="shared" si="178"/>
        <v>0</v>
      </c>
      <c r="AW304" s="1580">
        <f t="shared" si="179"/>
        <v>0</v>
      </c>
      <c r="AX304" s="1580">
        <f t="shared" si="180"/>
        <v>0</v>
      </c>
      <c r="AY304" s="3128">
        <f t="shared" si="155"/>
        <v>0</v>
      </c>
      <c r="AZ304" s="3083">
        <f t="shared" si="156"/>
        <v>0</v>
      </c>
      <c r="BA304" s="3083">
        <f t="shared" si="157"/>
        <v>0</v>
      </c>
      <c r="BB304" s="3083">
        <f t="shared" si="158"/>
        <v>0</v>
      </c>
      <c r="BC304" s="3083">
        <f t="shared" si="159"/>
        <v>0</v>
      </c>
      <c r="BD304" s="3083">
        <f t="shared" si="160"/>
        <v>0</v>
      </c>
      <c r="BE304" s="3083">
        <f t="shared" si="161"/>
        <v>0</v>
      </c>
      <c r="BF304" s="3083">
        <f t="shared" si="162"/>
        <v>0</v>
      </c>
      <c r="BG304" s="3083">
        <f t="shared" si="163"/>
        <v>0</v>
      </c>
      <c r="BH304" s="3083">
        <f t="shared" si="164"/>
        <v>0</v>
      </c>
      <c r="BI304" s="3083">
        <f t="shared" si="165"/>
        <v>0</v>
      </c>
      <c r="BJ304" s="3083">
        <f t="shared" si="166"/>
        <v>0</v>
      </c>
      <c r="BK304" s="3083">
        <f t="shared" si="167"/>
        <v>0</v>
      </c>
      <c r="BL304" s="3083">
        <f t="shared" si="168"/>
        <v>0</v>
      </c>
      <c r="BM304" s="3083">
        <f t="shared" si="169"/>
        <v>0</v>
      </c>
      <c r="BN304" s="3083">
        <f t="shared" si="170"/>
        <v>0</v>
      </c>
      <c r="BO304" s="3083">
        <f t="shared" si="171"/>
        <v>0</v>
      </c>
      <c r="BP304" s="3083">
        <f t="shared" si="172"/>
        <v>0</v>
      </c>
      <c r="BQ304" s="3083">
        <f t="shared" si="173"/>
        <v>0</v>
      </c>
      <c r="BR304" s="3083">
        <f t="shared" si="174"/>
        <v>0</v>
      </c>
      <c r="BS304" s="3083">
        <f t="shared" si="175"/>
        <v>0</v>
      </c>
      <c r="BT304" s="3135">
        <f t="shared" si="176"/>
        <v>0</v>
      </c>
    </row>
    <row r="305" spans="1:72">
      <c r="A305" s="3080"/>
      <c r="B305" s="3081"/>
      <c r="C305" s="3081"/>
      <c r="D305" s="3082"/>
      <c r="E305" s="3083">
        <f t="shared" si="177"/>
        <v>0</v>
      </c>
      <c r="F305" s="3084"/>
      <c r="G305" s="3085">
        <f t="shared" si="152"/>
        <v>0</v>
      </c>
      <c r="H305" s="3086">
        <f t="shared" si="153"/>
        <v>0</v>
      </c>
      <c r="I305" s="3093"/>
      <c r="J305" s="3093"/>
      <c r="K305" s="3093"/>
      <c r="L305" s="3093"/>
      <c r="M305" s="3093"/>
      <c r="N305" s="3093"/>
      <c r="O305" s="3093"/>
      <c r="P305" s="3093"/>
      <c r="Q305" s="3093"/>
      <c r="R305" s="3093"/>
      <c r="S305" s="3093"/>
      <c r="T305" s="3093"/>
      <c r="U305" s="3093"/>
      <c r="V305" s="3093"/>
      <c r="W305" s="3093"/>
      <c r="X305" s="3093"/>
      <c r="Y305" s="3093"/>
      <c r="Z305" s="3093"/>
      <c r="AA305" s="3093"/>
      <c r="AB305" s="3093"/>
      <c r="AC305" s="3083">
        <f t="shared" si="154"/>
        <v>0</v>
      </c>
      <c r="AD305" s="3103"/>
      <c r="AE305" s="3103"/>
      <c r="AF305" s="3103"/>
      <c r="AG305" s="3103"/>
      <c r="AH305" s="3103"/>
      <c r="AI305" s="3103"/>
      <c r="AJ305" s="3103"/>
      <c r="AK305" s="3103"/>
      <c r="AL305" s="3103"/>
      <c r="AM305" s="3103"/>
      <c r="AN305" s="3103"/>
      <c r="AO305" s="3103"/>
      <c r="AP305" s="3103"/>
      <c r="AQ305" s="3103"/>
      <c r="AR305" s="3103"/>
      <c r="AS305" s="3103"/>
      <c r="AT305" s="3113"/>
      <c r="AU305" s="3114"/>
      <c r="AV305" s="1580">
        <f t="shared" si="178"/>
        <v>0</v>
      </c>
      <c r="AW305" s="1580">
        <f t="shared" si="179"/>
        <v>0</v>
      </c>
      <c r="AX305" s="1580">
        <f t="shared" si="180"/>
        <v>0</v>
      </c>
      <c r="AY305" s="3128">
        <f t="shared" si="155"/>
        <v>0</v>
      </c>
      <c r="AZ305" s="3083">
        <f t="shared" si="156"/>
        <v>0</v>
      </c>
      <c r="BA305" s="3083">
        <f t="shared" si="157"/>
        <v>0</v>
      </c>
      <c r="BB305" s="3083">
        <f t="shared" si="158"/>
        <v>0</v>
      </c>
      <c r="BC305" s="3083">
        <f t="shared" si="159"/>
        <v>0</v>
      </c>
      <c r="BD305" s="3083">
        <f t="shared" si="160"/>
        <v>0</v>
      </c>
      <c r="BE305" s="3083">
        <f t="shared" si="161"/>
        <v>0</v>
      </c>
      <c r="BF305" s="3083">
        <f t="shared" si="162"/>
        <v>0</v>
      </c>
      <c r="BG305" s="3083">
        <f t="shared" si="163"/>
        <v>0</v>
      </c>
      <c r="BH305" s="3083">
        <f t="shared" si="164"/>
        <v>0</v>
      </c>
      <c r="BI305" s="3083">
        <f t="shared" si="165"/>
        <v>0</v>
      </c>
      <c r="BJ305" s="3083">
        <f t="shared" si="166"/>
        <v>0</v>
      </c>
      <c r="BK305" s="3083">
        <f t="shared" si="167"/>
        <v>0</v>
      </c>
      <c r="BL305" s="3083">
        <f t="shared" si="168"/>
        <v>0</v>
      </c>
      <c r="BM305" s="3083">
        <f t="shared" si="169"/>
        <v>0</v>
      </c>
      <c r="BN305" s="3083">
        <f t="shared" si="170"/>
        <v>0</v>
      </c>
      <c r="BO305" s="3083">
        <f t="shared" si="171"/>
        <v>0</v>
      </c>
      <c r="BP305" s="3083">
        <f t="shared" si="172"/>
        <v>0</v>
      </c>
      <c r="BQ305" s="3083">
        <f t="shared" si="173"/>
        <v>0</v>
      </c>
      <c r="BR305" s="3083">
        <f t="shared" si="174"/>
        <v>0</v>
      </c>
      <c r="BS305" s="3083">
        <f t="shared" si="175"/>
        <v>0</v>
      </c>
      <c r="BT305" s="3135">
        <f t="shared" si="176"/>
        <v>0</v>
      </c>
    </row>
    <row r="306" spans="1:72">
      <c r="A306" s="3080"/>
      <c r="B306" s="3081"/>
      <c r="C306" s="3081"/>
      <c r="D306" s="3082"/>
      <c r="E306" s="3083">
        <f t="shared" si="177"/>
        <v>0</v>
      </c>
      <c r="F306" s="3084"/>
      <c r="G306" s="3085">
        <f t="shared" si="152"/>
        <v>0</v>
      </c>
      <c r="H306" s="3086">
        <f t="shared" si="153"/>
        <v>0</v>
      </c>
      <c r="I306" s="3093"/>
      <c r="J306" s="3093"/>
      <c r="K306" s="3093"/>
      <c r="L306" s="3093"/>
      <c r="M306" s="3093"/>
      <c r="N306" s="3093"/>
      <c r="O306" s="3093"/>
      <c r="P306" s="3093"/>
      <c r="Q306" s="3093"/>
      <c r="R306" s="3093"/>
      <c r="S306" s="3093"/>
      <c r="T306" s="3093"/>
      <c r="U306" s="3093"/>
      <c r="V306" s="3093"/>
      <c r="W306" s="3093"/>
      <c r="X306" s="3093"/>
      <c r="Y306" s="3093"/>
      <c r="Z306" s="3093"/>
      <c r="AA306" s="3093"/>
      <c r="AB306" s="3093"/>
      <c r="AC306" s="3083">
        <f t="shared" si="154"/>
        <v>0</v>
      </c>
      <c r="AD306" s="3103"/>
      <c r="AE306" s="3103"/>
      <c r="AF306" s="3103"/>
      <c r="AG306" s="3103"/>
      <c r="AH306" s="3103"/>
      <c r="AI306" s="3103"/>
      <c r="AJ306" s="3103"/>
      <c r="AK306" s="3103"/>
      <c r="AL306" s="3103"/>
      <c r="AM306" s="3103"/>
      <c r="AN306" s="3103"/>
      <c r="AO306" s="3103"/>
      <c r="AP306" s="3103"/>
      <c r="AQ306" s="3103"/>
      <c r="AR306" s="3103"/>
      <c r="AS306" s="3103"/>
      <c r="AT306" s="3113"/>
      <c r="AU306" s="3114"/>
      <c r="AV306" s="1580">
        <f t="shared" si="178"/>
        <v>0</v>
      </c>
      <c r="AW306" s="1580">
        <f t="shared" si="179"/>
        <v>0</v>
      </c>
      <c r="AX306" s="1580">
        <f t="shared" si="180"/>
        <v>0</v>
      </c>
      <c r="AY306" s="3128">
        <f t="shared" si="155"/>
        <v>0</v>
      </c>
      <c r="AZ306" s="3083">
        <f t="shared" si="156"/>
        <v>0</v>
      </c>
      <c r="BA306" s="3083">
        <f t="shared" si="157"/>
        <v>0</v>
      </c>
      <c r="BB306" s="3083">
        <f t="shared" si="158"/>
        <v>0</v>
      </c>
      <c r="BC306" s="3083">
        <f t="shared" si="159"/>
        <v>0</v>
      </c>
      <c r="BD306" s="3083">
        <f t="shared" si="160"/>
        <v>0</v>
      </c>
      <c r="BE306" s="3083">
        <f t="shared" si="161"/>
        <v>0</v>
      </c>
      <c r="BF306" s="3083">
        <f t="shared" si="162"/>
        <v>0</v>
      </c>
      <c r="BG306" s="3083">
        <f t="shared" si="163"/>
        <v>0</v>
      </c>
      <c r="BH306" s="3083">
        <f t="shared" si="164"/>
        <v>0</v>
      </c>
      <c r="BI306" s="3083">
        <f t="shared" si="165"/>
        <v>0</v>
      </c>
      <c r="BJ306" s="3083">
        <f t="shared" si="166"/>
        <v>0</v>
      </c>
      <c r="BK306" s="3083">
        <f t="shared" si="167"/>
        <v>0</v>
      </c>
      <c r="BL306" s="3083">
        <f t="shared" si="168"/>
        <v>0</v>
      </c>
      <c r="BM306" s="3083">
        <f t="shared" si="169"/>
        <v>0</v>
      </c>
      <c r="BN306" s="3083">
        <f t="shared" si="170"/>
        <v>0</v>
      </c>
      <c r="BO306" s="3083">
        <f t="shared" si="171"/>
        <v>0</v>
      </c>
      <c r="BP306" s="3083">
        <f t="shared" si="172"/>
        <v>0</v>
      </c>
      <c r="BQ306" s="3083">
        <f t="shared" si="173"/>
        <v>0</v>
      </c>
      <c r="BR306" s="3083">
        <f t="shared" si="174"/>
        <v>0</v>
      </c>
      <c r="BS306" s="3083">
        <f t="shared" si="175"/>
        <v>0</v>
      </c>
      <c r="BT306" s="3135">
        <f t="shared" si="176"/>
        <v>0</v>
      </c>
    </row>
    <row r="307" spans="1:72">
      <c r="A307" s="3080"/>
      <c r="B307" s="3081"/>
      <c r="C307" s="3081"/>
      <c r="D307" s="3082"/>
      <c r="E307" s="3083">
        <f t="shared" si="177"/>
        <v>0</v>
      </c>
      <c r="F307" s="3084"/>
      <c r="G307" s="3085">
        <f t="shared" si="152"/>
        <v>0</v>
      </c>
      <c r="H307" s="3086">
        <f t="shared" si="153"/>
        <v>0</v>
      </c>
      <c r="I307" s="3093"/>
      <c r="J307" s="3093"/>
      <c r="K307" s="3093"/>
      <c r="L307" s="3093"/>
      <c r="M307" s="3093"/>
      <c r="N307" s="3093"/>
      <c r="O307" s="3093"/>
      <c r="P307" s="3093"/>
      <c r="Q307" s="3093"/>
      <c r="R307" s="3093"/>
      <c r="S307" s="3093"/>
      <c r="T307" s="3093"/>
      <c r="U307" s="3093"/>
      <c r="V307" s="3093"/>
      <c r="W307" s="3093"/>
      <c r="X307" s="3093"/>
      <c r="Y307" s="3093"/>
      <c r="Z307" s="3093"/>
      <c r="AA307" s="3093"/>
      <c r="AB307" s="3093"/>
      <c r="AC307" s="3083">
        <f t="shared" si="154"/>
        <v>0</v>
      </c>
      <c r="AD307" s="3103"/>
      <c r="AE307" s="3103"/>
      <c r="AF307" s="3103"/>
      <c r="AG307" s="3103"/>
      <c r="AH307" s="3103"/>
      <c r="AI307" s="3103"/>
      <c r="AJ307" s="3103"/>
      <c r="AK307" s="3103"/>
      <c r="AL307" s="3103"/>
      <c r="AM307" s="3103"/>
      <c r="AN307" s="3103"/>
      <c r="AO307" s="3103"/>
      <c r="AP307" s="3103"/>
      <c r="AQ307" s="3103"/>
      <c r="AR307" s="3103"/>
      <c r="AS307" s="3103"/>
      <c r="AT307" s="3113"/>
      <c r="AU307" s="3114"/>
      <c r="AV307" s="1580">
        <f t="shared" si="178"/>
        <v>0</v>
      </c>
      <c r="AW307" s="1580">
        <f t="shared" si="179"/>
        <v>0</v>
      </c>
      <c r="AX307" s="1580">
        <f t="shared" si="180"/>
        <v>0</v>
      </c>
      <c r="AY307" s="3128">
        <f t="shared" si="155"/>
        <v>0</v>
      </c>
      <c r="AZ307" s="3083">
        <f t="shared" si="156"/>
        <v>0</v>
      </c>
      <c r="BA307" s="3083">
        <f t="shared" si="157"/>
        <v>0</v>
      </c>
      <c r="BB307" s="3083">
        <f t="shared" si="158"/>
        <v>0</v>
      </c>
      <c r="BC307" s="3083">
        <f t="shared" si="159"/>
        <v>0</v>
      </c>
      <c r="BD307" s="3083">
        <f t="shared" si="160"/>
        <v>0</v>
      </c>
      <c r="BE307" s="3083">
        <f t="shared" si="161"/>
        <v>0</v>
      </c>
      <c r="BF307" s="3083">
        <f t="shared" si="162"/>
        <v>0</v>
      </c>
      <c r="BG307" s="3083">
        <f t="shared" si="163"/>
        <v>0</v>
      </c>
      <c r="BH307" s="3083">
        <f t="shared" si="164"/>
        <v>0</v>
      </c>
      <c r="BI307" s="3083">
        <f t="shared" si="165"/>
        <v>0</v>
      </c>
      <c r="BJ307" s="3083">
        <f t="shared" si="166"/>
        <v>0</v>
      </c>
      <c r="BK307" s="3083">
        <f t="shared" si="167"/>
        <v>0</v>
      </c>
      <c r="BL307" s="3083">
        <f t="shared" si="168"/>
        <v>0</v>
      </c>
      <c r="BM307" s="3083">
        <f t="shared" si="169"/>
        <v>0</v>
      </c>
      <c r="BN307" s="3083">
        <f t="shared" si="170"/>
        <v>0</v>
      </c>
      <c r="BO307" s="3083">
        <f t="shared" si="171"/>
        <v>0</v>
      </c>
      <c r="BP307" s="3083">
        <f t="shared" si="172"/>
        <v>0</v>
      </c>
      <c r="BQ307" s="3083">
        <f t="shared" si="173"/>
        <v>0</v>
      </c>
      <c r="BR307" s="3083">
        <f t="shared" si="174"/>
        <v>0</v>
      </c>
      <c r="BS307" s="3083">
        <f t="shared" si="175"/>
        <v>0</v>
      </c>
      <c r="BT307" s="3135">
        <f t="shared" si="176"/>
        <v>0</v>
      </c>
    </row>
    <row r="308" spans="1:72">
      <c r="A308" s="3080"/>
      <c r="B308" s="3081"/>
      <c r="C308" s="3081"/>
      <c r="D308" s="3082"/>
      <c r="E308" s="3083">
        <f t="shared" si="177"/>
        <v>0</v>
      </c>
      <c r="F308" s="3084"/>
      <c r="G308" s="3085">
        <f t="shared" si="152"/>
        <v>0</v>
      </c>
      <c r="H308" s="3086">
        <f t="shared" si="153"/>
        <v>0</v>
      </c>
      <c r="I308" s="3093"/>
      <c r="J308" s="3093"/>
      <c r="K308" s="3093"/>
      <c r="L308" s="3093"/>
      <c r="M308" s="3093"/>
      <c r="N308" s="3093"/>
      <c r="O308" s="3093"/>
      <c r="P308" s="3093"/>
      <c r="Q308" s="3093"/>
      <c r="R308" s="3093"/>
      <c r="S308" s="3093"/>
      <c r="T308" s="3093"/>
      <c r="U308" s="3093"/>
      <c r="V308" s="3093"/>
      <c r="W308" s="3093"/>
      <c r="X308" s="3093"/>
      <c r="Y308" s="3093"/>
      <c r="Z308" s="3093"/>
      <c r="AA308" s="3093"/>
      <c r="AB308" s="3093"/>
      <c r="AC308" s="3083">
        <f t="shared" si="154"/>
        <v>0</v>
      </c>
      <c r="AD308" s="3103"/>
      <c r="AE308" s="3103"/>
      <c r="AF308" s="3103"/>
      <c r="AG308" s="3103"/>
      <c r="AH308" s="3103"/>
      <c r="AI308" s="3103"/>
      <c r="AJ308" s="3103"/>
      <c r="AK308" s="3103"/>
      <c r="AL308" s="3103"/>
      <c r="AM308" s="3103"/>
      <c r="AN308" s="3103"/>
      <c r="AO308" s="3103"/>
      <c r="AP308" s="3103"/>
      <c r="AQ308" s="3103"/>
      <c r="AR308" s="3103"/>
      <c r="AS308" s="3103"/>
      <c r="AT308" s="3113"/>
      <c r="AU308" s="3114"/>
      <c r="AV308" s="1580">
        <f t="shared" si="178"/>
        <v>0</v>
      </c>
      <c r="AW308" s="1580">
        <f t="shared" si="179"/>
        <v>0</v>
      </c>
      <c r="AX308" s="1580">
        <f t="shared" si="180"/>
        <v>0</v>
      </c>
      <c r="AY308" s="3128">
        <f t="shared" si="155"/>
        <v>0</v>
      </c>
      <c r="AZ308" s="3083">
        <f t="shared" si="156"/>
        <v>0</v>
      </c>
      <c r="BA308" s="3083">
        <f t="shared" si="157"/>
        <v>0</v>
      </c>
      <c r="BB308" s="3083">
        <f t="shared" si="158"/>
        <v>0</v>
      </c>
      <c r="BC308" s="3083">
        <f t="shared" si="159"/>
        <v>0</v>
      </c>
      <c r="BD308" s="3083">
        <f t="shared" si="160"/>
        <v>0</v>
      </c>
      <c r="BE308" s="3083">
        <f t="shared" si="161"/>
        <v>0</v>
      </c>
      <c r="BF308" s="3083">
        <f t="shared" si="162"/>
        <v>0</v>
      </c>
      <c r="BG308" s="3083">
        <f t="shared" si="163"/>
        <v>0</v>
      </c>
      <c r="BH308" s="3083">
        <f t="shared" si="164"/>
        <v>0</v>
      </c>
      <c r="BI308" s="3083">
        <f t="shared" si="165"/>
        <v>0</v>
      </c>
      <c r="BJ308" s="3083">
        <f t="shared" si="166"/>
        <v>0</v>
      </c>
      <c r="BK308" s="3083">
        <f t="shared" si="167"/>
        <v>0</v>
      </c>
      <c r="BL308" s="3083">
        <f t="shared" si="168"/>
        <v>0</v>
      </c>
      <c r="BM308" s="3083">
        <f t="shared" si="169"/>
        <v>0</v>
      </c>
      <c r="BN308" s="3083">
        <f t="shared" si="170"/>
        <v>0</v>
      </c>
      <c r="BO308" s="3083">
        <f t="shared" si="171"/>
        <v>0</v>
      </c>
      <c r="BP308" s="3083">
        <f t="shared" si="172"/>
        <v>0</v>
      </c>
      <c r="BQ308" s="3083">
        <f t="shared" si="173"/>
        <v>0</v>
      </c>
      <c r="BR308" s="3083">
        <f t="shared" si="174"/>
        <v>0</v>
      </c>
      <c r="BS308" s="3083">
        <f t="shared" si="175"/>
        <v>0</v>
      </c>
      <c r="BT308" s="3135">
        <f t="shared" si="176"/>
        <v>0</v>
      </c>
    </row>
    <row r="309" spans="1:72">
      <c r="A309" s="3080"/>
      <c r="B309" s="3081"/>
      <c r="C309" s="3081"/>
      <c r="D309" s="3082"/>
      <c r="E309" s="3083">
        <f t="shared" si="177"/>
        <v>0</v>
      </c>
      <c r="F309" s="3084"/>
      <c r="G309" s="3085">
        <f t="shared" si="152"/>
        <v>0</v>
      </c>
      <c r="H309" s="3086">
        <f t="shared" si="153"/>
        <v>0</v>
      </c>
      <c r="I309" s="3093"/>
      <c r="J309" s="3093"/>
      <c r="K309" s="3093"/>
      <c r="L309" s="3093"/>
      <c r="M309" s="3093"/>
      <c r="N309" s="3093"/>
      <c r="O309" s="3093"/>
      <c r="P309" s="3093"/>
      <c r="Q309" s="3093"/>
      <c r="R309" s="3093"/>
      <c r="S309" s="3093"/>
      <c r="T309" s="3093"/>
      <c r="U309" s="3093"/>
      <c r="V309" s="3093"/>
      <c r="W309" s="3093"/>
      <c r="X309" s="3093"/>
      <c r="Y309" s="3093"/>
      <c r="Z309" s="3093"/>
      <c r="AA309" s="3093"/>
      <c r="AB309" s="3093"/>
      <c r="AC309" s="3083">
        <f t="shared" si="154"/>
        <v>0</v>
      </c>
      <c r="AD309" s="3103"/>
      <c r="AE309" s="3103"/>
      <c r="AF309" s="3103"/>
      <c r="AG309" s="3103"/>
      <c r="AH309" s="3103"/>
      <c r="AI309" s="3103"/>
      <c r="AJ309" s="3103"/>
      <c r="AK309" s="3103"/>
      <c r="AL309" s="3103"/>
      <c r="AM309" s="3103"/>
      <c r="AN309" s="3103"/>
      <c r="AO309" s="3103"/>
      <c r="AP309" s="3103"/>
      <c r="AQ309" s="3103"/>
      <c r="AR309" s="3103"/>
      <c r="AS309" s="3103"/>
      <c r="AT309" s="3113"/>
      <c r="AU309" s="3114"/>
      <c r="AV309" s="1580">
        <f t="shared" si="178"/>
        <v>0</v>
      </c>
      <c r="AW309" s="1580">
        <f t="shared" si="179"/>
        <v>0</v>
      </c>
      <c r="AX309" s="1580">
        <f t="shared" si="180"/>
        <v>0</v>
      </c>
      <c r="AY309" s="3128">
        <f t="shared" si="155"/>
        <v>0</v>
      </c>
      <c r="AZ309" s="3083">
        <f t="shared" si="156"/>
        <v>0</v>
      </c>
      <c r="BA309" s="3083">
        <f t="shared" si="157"/>
        <v>0</v>
      </c>
      <c r="BB309" s="3083">
        <f t="shared" si="158"/>
        <v>0</v>
      </c>
      <c r="BC309" s="3083">
        <f t="shared" si="159"/>
        <v>0</v>
      </c>
      <c r="BD309" s="3083">
        <f t="shared" si="160"/>
        <v>0</v>
      </c>
      <c r="BE309" s="3083">
        <f t="shared" si="161"/>
        <v>0</v>
      </c>
      <c r="BF309" s="3083">
        <f t="shared" si="162"/>
        <v>0</v>
      </c>
      <c r="BG309" s="3083">
        <f t="shared" si="163"/>
        <v>0</v>
      </c>
      <c r="BH309" s="3083">
        <f t="shared" si="164"/>
        <v>0</v>
      </c>
      <c r="BI309" s="3083">
        <f t="shared" si="165"/>
        <v>0</v>
      </c>
      <c r="BJ309" s="3083">
        <f t="shared" si="166"/>
        <v>0</v>
      </c>
      <c r="BK309" s="3083">
        <f t="shared" si="167"/>
        <v>0</v>
      </c>
      <c r="BL309" s="3083">
        <f t="shared" si="168"/>
        <v>0</v>
      </c>
      <c r="BM309" s="3083">
        <f t="shared" si="169"/>
        <v>0</v>
      </c>
      <c r="BN309" s="3083">
        <f t="shared" si="170"/>
        <v>0</v>
      </c>
      <c r="BO309" s="3083">
        <f t="shared" si="171"/>
        <v>0</v>
      </c>
      <c r="BP309" s="3083">
        <f t="shared" si="172"/>
        <v>0</v>
      </c>
      <c r="BQ309" s="3083">
        <f t="shared" si="173"/>
        <v>0</v>
      </c>
      <c r="BR309" s="3083">
        <f t="shared" si="174"/>
        <v>0</v>
      </c>
      <c r="BS309" s="3083">
        <f t="shared" si="175"/>
        <v>0</v>
      </c>
      <c r="BT309" s="3135">
        <f t="shared" si="176"/>
        <v>0</v>
      </c>
    </row>
    <row r="310" spans="1:72">
      <c r="A310" s="3080"/>
      <c r="B310" s="3081"/>
      <c r="C310" s="3081"/>
      <c r="D310" s="3082"/>
      <c r="E310" s="3083">
        <f t="shared" si="177"/>
        <v>0</v>
      </c>
      <c r="F310" s="3084"/>
      <c r="G310" s="3085">
        <f t="shared" si="152"/>
        <v>0</v>
      </c>
      <c r="H310" s="3086">
        <f t="shared" si="153"/>
        <v>0</v>
      </c>
      <c r="I310" s="3093"/>
      <c r="J310" s="3093"/>
      <c r="K310" s="3093"/>
      <c r="L310" s="3093"/>
      <c r="M310" s="3093"/>
      <c r="N310" s="3093"/>
      <c r="O310" s="3093"/>
      <c r="P310" s="3093"/>
      <c r="Q310" s="3093"/>
      <c r="R310" s="3093"/>
      <c r="S310" s="3093"/>
      <c r="T310" s="3093"/>
      <c r="U310" s="3093"/>
      <c r="V310" s="3093"/>
      <c r="W310" s="3093"/>
      <c r="X310" s="3093"/>
      <c r="Y310" s="3093"/>
      <c r="Z310" s="3093"/>
      <c r="AA310" s="3093"/>
      <c r="AB310" s="3093"/>
      <c r="AC310" s="3083">
        <f t="shared" si="154"/>
        <v>0</v>
      </c>
      <c r="AD310" s="3103"/>
      <c r="AE310" s="3103"/>
      <c r="AF310" s="3103"/>
      <c r="AG310" s="3103"/>
      <c r="AH310" s="3103"/>
      <c r="AI310" s="3103"/>
      <c r="AJ310" s="3103"/>
      <c r="AK310" s="3103"/>
      <c r="AL310" s="3103"/>
      <c r="AM310" s="3103"/>
      <c r="AN310" s="3103"/>
      <c r="AO310" s="3103"/>
      <c r="AP310" s="3103"/>
      <c r="AQ310" s="3103"/>
      <c r="AR310" s="3103"/>
      <c r="AS310" s="3103"/>
      <c r="AT310" s="3113"/>
      <c r="AU310" s="3114"/>
      <c r="AV310" s="1580">
        <f t="shared" si="178"/>
        <v>0</v>
      </c>
      <c r="AW310" s="1580">
        <f t="shared" si="179"/>
        <v>0</v>
      </c>
      <c r="AX310" s="1580">
        <f t="shared" si="180"/>
        <v>0</v>
      </c>
      <c r="AY310" s="3128">
        <f t="shared" si="155"/>
        <v>0</v>
      </c>
      <c r="AZ310" s="3083">
        <f t="shared" si="156"/>
        <v>0</v>
      </c>
      <c r="BA310" s="3083">
        <f t="shared" si="157"/>
        <v>0</v>
      </c>
      <c r="BB310" s="3083">
        <f t="shared" si="158"/>
        <v>0</v>
      </c>
      <c r="BC310" s="3083">
        <f t="shared" si="159"/>
        <v>0</v>
      </c>
      <c r="BD310" s="3083">
        <f t="shared" si="160"/>
        <v>0</v>
      </c>
      <c r="BE310" s="3083">
        <f t="shared" si="161"/>
        <v>0</v>
      </c>
      <c r="BF310" s="3083">
        <f t="shared" si="162"/>
        <v>0</v>
      </c>
      <c r="BG310" s="3083">
        <f t="shared" si="163"/>
        <v>0</v>
      </c>
      <c r="BH310" s="3083">
        <f t="shared" si="164"/>
        <v>0</v>
      </c>
      <c r="BI310" s="3083">
        <f t="shared" si="165"/>
        <v>0</v>
      </c>
      <c r="BJ310" s="3083">
        <f t="shared" si="166"/>
        <v>0</v>
      </c>
      <c r="BK310" s="3083">
        <f t="shared" si="167"/>
        <v>0</v>
      </c>
      <c r="BL310" s="3083">
        <f t="shared" si="168"/>
        <v>0</v>
      </c>
      <c r="BM310" s="3083">
        <f t="shared" si="169"/>
        <v>0</v>
      </c>
      <c r="BN310" s="3083">
        <f t="shared" si="170"/>
        <v>0</v>
      </c>
      <c r="BO310" s="3083">
        <f t="shared" si="171"/>
        <v>0</v>
      </c>
      <c r="BP310" s="3083">
        <f t="shared" si="172"/>
        <v>0</v>
      </c>
      <c r="BQ310" s="3083">
        <f t="shared" si="173"/>
        <v>0</v>
      </c>
      <c r="BR310" s="3083">
        <f t="shared" si="174"/>
        <v>0</v>
      </c>
      <c r="BS310" s="3083">
        <f t="shared" si="175"/>
        <v>0</v>
      </c>
      <c r="BT310" s="3135">
        <f t="shared" si="176"/>
        <v>0</v>
      </c>
    </row>
    <row r="311" spans="1:72">
      <c r="A311" s="3080"/>
      <c r="B311" s="3081"/>
      <c r="C311" s="3081"/>
      <c r="D311" s="3082"/>
      <c r="E311" s="3083">
        <f t="shared" si="177"/>
        <v>0</v>
      </c>
      <c r="F311" s="3084"/>
      <c r="G311" s="3085">
        <f t="shared" si="152"/>
        <v>0</v>
      </c>
      <c r="H311" s="3086">
        <f t="shared" si="153"/>
        <v>0</v>
      </c>
      <c r="I311" s="3093"/>
      <c r="J311" s="3093"/>
      <c r="K311" s="3093"/>
      <c r="L311" s="3093"/>
      <c r="M311" s="3093"/>
      <c r="N311" s="3093"/>
      <c r="O311" s="3093"/>
      <c r="P311" s="3093"/>
      <c r="Q311" s="3093"/>
      <c r="R311" s="3093"/>
      <c r="S311" s="3093"/>
      <c r="T311" s="3093"/>
      <c r="U311" s="3093"/>
      <c r="V311" s="3093"/>
      <c r="W311" s="3093"/>
      <c r="X311" s="3093"/>
      <c r="Y311" s="3093"/>
      <c r="Z311" s="3093"/>
      <c r="AA311" s="3093"/>
      <c r="AB311" s="3093"/>
      <c r="AC311" s="3083">
        <f t="shared" si="154"/>
        <v>0</v>
      </c>
      <c r="AD311" s="3103"/>
      <c r="AE311" s="3103"/>
      <c r="AF311" s="3103"/>
      <c r="AG311" s="3103"/>
      <c r="AH311" s="3103"/>
      <c r="AI311" s="3103"/>
      <c r="AJ311" s="3103"/>
      <c r="AK311" s="3103"/>
      <c r="AL311" s="3103"/>
      <c r="AM311" s="3103"/>
      <c r="AN311" s="3103"/>
      <c r="AO311" s="3103"/>
      <c r="AP311" s="3103"/>
      <c r="AQ311" s="3103"/>
      <c r="AR311" s="3103"/>
      <c r="AS311" s="3103"/>
      <c r="AT311" s="3113"/>
      <c r="AU311" s="3114"/>
      <c r="AV311" s="1580">
        <f t="shared" si="178"/>
        <v>0</v>
      </c>
      <c r="AW311" s="1580">
        <f t="shared" si="179"/>
        <v>0</v>
      </c>
      <c r="AX311" s="1580">
        <f t="shared" si="180"/>
        <v>0</v>
      </c>
      <c r="AY311" s="3128">
        <f t="shared" si="155"/>
        <v>0</v>
      </c>
      <c r="AZ311" s="3083">
        <f t="shared" si="156"/>
        <v>0</v>
      </c>
      <c r="BA311" s="3083">
        <f t="shared" si="157"/>
        <v>0</v>
      </c>
      <c r="BB311" s="3083">
        <f t="shared" si="158"/>
        <v>0</v>
      </c>
      <c r="BC311" s="3083">
        <f t="shared" si="159"/>
        <v>0</v>
      </c>
      <c r="BD311" s="3083">
        <f t="shared" si="160"/>
        <v>0</v>
      </c>
      <c r="BE311" s="3083">
        <f t="shared" si="161"/>
        <v>0</v>
      </c>
      <c r="BF311" s="3083">
        <f t="shared" si="162"/>
        <v>0</v>
      </c>
      <c r="BG311" s="3083">
        <f t="shared" si="163"/>
        <v>0</v>
      </c>
      <c r="BH311" s="3083">
        <f t="shared" si="164"/>
        <v>0</v>
      </c>
      <c r="BI311" s="3083">
        <f t="shared" si="165"/>
        <v>0</v>
      </c>
      <c r="BJ311" s="3083">
        <f t="shared" si="166"/>
        <v>0</v>
      </c>
      <c r="BK311" s="3083">
        <f t="shared" si="167"/>
        <v>0</v>
      </c>
      <c r="BL311" s="3083">
        <f t="shared" si="168"/>
        <v>0</v>
      </c>
      <c r="BM311" s="3083">
        <f t="shared" si="169"/>
        <v>0</v>
      </c>
      <c r="BN311" s="3083">
        <f t="shared" si="170"/>
        <v>0</v>
      </c>
      <c r="BO311" s="3083">
        <f t="shared" si="171"/>
        <v>0</v>
      </c>
      <c r="BP311" s="3083">
        <f t="shared" si="172"/>
        <v>0</v>
      </c>
      <c r="BQ311" s="3083">
        <f t="shared" si="173"/>
        <v>0</v>
      </c>
      <c r="BR311" s="3083">
        <f t="shared" si="174"/>
        <v>0</v>
      </c>
      <c r="BS311" s="3083">
        <f t="shared" si="175"/>
        <v>0</v>
      </c>
      <c r="BT311" s="3135">
        <f t="shared" si="176"/>
        <v>0</v>
      </c>
    </row>
    <row r="312" spans="1:72">
      <c r="A312" s="3080"/>
      <c r="B312" s="3081"/>
      <c r="C312" s="3081"/>
      <c r="D312" s="3082"/>
      <c r="E312" s="3083">
        <f t="shared" si="177"/>
        <v>0</v>
      </c>
      <c r="F312" s="3084"/>
      <c r="G312" s="3085">
        <f t="shared" si="152"/>
        <v>0</v>
      </c>
      <c r="H312" s="3086">
        <f t="shared" si="153"/>
        <v>0</v>
      </c>
      <c r="I312" s="3093"/>
      <c r="J312" s="3093"/>
      <c r="K312" s="3093"/>
      <c r="L312" s="3093"/>
      <c r="M312" s="3093"/>
      <c r="N312" s="3093"/>
      <c r="O312" s="3093"/>
      <c r="P312" s="3093"/>
      <c r="Q312" s="3093"/>
      <c r="R312" s="3093"/>
      <c r="S312" s="3093"/>
      <c r="T312" s="3093"/>
      <c r="U312" s="3093"/>
      <c r="V312" s="3093"/>
      <c r="W312" s="3093"/>
      <c r="X312" s="3093"/>
      <c r="Y312" s="3093"/>
      <c r="Z312" s="3093"/>
      <c r="AA312" s="3093"/>
      <c r="AB312" s="3093"/>
      <c r="AC312" s="3083">
        <f t="shared" si="154"/>
        <v>0</v>
      </c>
      <c r="AD312" s="3103"/>
      <c r="AE312" s="3103"/>
      <c r="AF312" s="3103"/>
      <c r="AG312" s="3103"/>
      <c r="AH312" s="3103"/>
      <c r="AI312" s="3103"/>
      <c r="AJ312" s="3103"/>
      <c r="AK312" s="3103"/>
      <c r="AL312" s="3103"/>
      <c r="AM312" s="3103"/>
      <c r="AN312" s="3103"/>
      <c r="AO312" s="3103"/>
      <c r="AP312" s="3103"/>
      <c r="AQ312" s="3103"/>
      <c r="AR312" s="3103"/>
      <c r="AS312" s="3103"/>
      <c r="AT312" s="3113"/>
      <c r="AU312" s="3114"/>
      <c r="AV312" s="1580">
        <f t="shared" si="178"/>
        <v>0</v>
      </c>
      <c r="AW312" s="1580">
        <f t="shared" si="179"/>
        <v>0</v>
      </c>
      <c r="AX312" s="1580">
        <f t="shared" si="180"/>
        <v>0</v>
      </c>
      <c r="AY312" s="3128">
        <f t="shared" si="155"/>
        <v>0</v>
      </c>
      <c r="AZ312" s="3083">
        <f t="shared" si="156"/>
        <v>0</v>
      </c>
      <c r="BA312" s="3083">
        <f t="shared" si="157"/>
        <v>0</v>
      </c>
      <c r="BB312" s="3083">
        <f t="shared" si="158"/>
        <v>0</v>
      </c>
      <c r="BC312" s="3083">
        <f t="shared" si="159"/>
        <v>0</v>
      </c>
      <c r="BD312" s="3083">
        <f t="shared" si="160"/>
        <v>0</v>
      </c>
      <c r="BE312" s="3083">
        <f t="shared" si="161"/>
        <v>0</v>
      </c>
      <c r="BF312" s="3083">
        <f t="shared" si="162"/>
        <v>0</v>
      </c>
      <c r="BG312" s="3083">
        <f t="shared" si="163"/>
        <v>0</v>
      </c>
      <c r="BH312" s="3083">
        <f t="shared" si="164"/>
        <v>0</v>
      </c>
      <c r="BI312" s="3083">
        <f t="shared" si="165"/>
        <v>0</v>
      </c>
      <c r="BJ312" s="3083">
        <f t="shared" si="166"/>
        <v>0</v>
      </c>
      <c r="BK312" s="3083">
        <f t="shared" si="167"/>
        <v>0</v>
      </c>
      <c r="BL312" s="3083">
        <f t="shared" si="168"/>
        <v>0</v>
      </c>
      <c r="BM312" s="3083">
        <f t="shared" si="169"/>
        <v>0</v>
      </c>
      <c r="BN312" s="3083">
        <f t="shared" si="170"/>
        <v>0</v>
      </c>
      <c r="BO312" s="3083">
        <f t="shared" si="171"/>
        <v>0</v>
      </c>
      <c r="BP312" s="3083">
        <f t="shared" si="172"/>
        <v>0</v>
      </c>
      <c r="BQ312" s="3083">
        <f t="shared" si="173"/>
        <v>0</v>
      </c>
      <c r="BR312" s="3083">
        <f t="shared" si="174"/>
        <v>0</v>
      </c>
      <c r="BS312" s="3083">
        <f t="shared" si="175"/>
        <v>0</v>
      </c>
      <c r="BT312" s="3135">
        <f t="shared" si="176"/>
        <v>0</v>
      </c>
    </row>
    <row r="313" spans="1:72">
      <c r="A313" s="3080"/>
      <c r="B313" s="3081"/>
      <c r="C313" s="3081"/>
      <c r="D313" s="3082"/>
      <c r="E313" s="3083">
        <f t="shared" si="177"/>
        <v>0</v>
      </c>
      <c r="F313" s="3084"/>
      <c r="G313" s="3085">
        <f t="shared" si="152"/>
        <v>0</v>
      </c>
      <c r="H313" s="3086">
        <f t="shared" si="153"/>
        <v>0</v>
      </c>
      <c r="I313" s="3093"/>
      <c r="J313" s="3093"/>
      <c r="K313" s="3093"/>
      <c r="L313" s="3093"/>
      <c r="M313" s="3093"/>
      <c r="N313" s="3093"/>
      <c r="O313" s="3093"/>
      <c r="P313" s="3093"/>
      <c r="Q313" s="3093"/>
      <c r="R313" s="3093"/>
      <c r="S313" s="3093"/>
      <c r="T313" s="3093"/>
      <c r="U313" s="3093"/>
      <c r="V313" s="3093"/>
      <c r="W313" s="3093"/>
      <c r="X313" s="3093"/>
      <c r="Y313" s="3093"/>
      <c r="Z313" s="3093"/>
      <c r="AA313" s="3093"/>
      <c r="AB313" s="3093"/>
      <c r="AC313" s="3083">
        <f t="shared" si="154"/>
        <v>0</v>
      </c>
      <c r="AD313" s="3103"/>
      <c r="AE313" s="3103"/>
      <c r="AF313" s="3103"/>
      <c r="AG313" s="3103"/>
      <c r="AH313" s="3103"/>
      <c r="AI313" s="3103"/>
      <c r="AJ313" s="3103"/>
      <c r="AK313" s="3103"/>
      <c r="AL313" s="3103"/>
      <c r="AM313" s="3103"/>
      <c r="AN313" s="3103"/>
      <c r="AO313" s="3103"/>
      <c r="AP313" s="3103"/>
      <c r="AQ313" s="3103"/>
      <c r="AR313" s="3103"/>
      <c r="AS313" s="3103"/>
      <c r="AT313" s="3113"/>
      <c r="AU313" s="3114"/>
      <c r="AV313" s="1580">
        <f t="shared" si="178"/>
        <v>0</v>
      </c>
      <c r="AW313" s="1580">
        <f t="shared" si="179"/>
        <v>0</v>
      </c>
      <c r="AX313" s="1580">
        <f t="shared" si="180"/>
        <v>0</v>
      </c>
      <c r="AY313" s="3128">
        <f t="shared" si="155"/>
        <v>0</v>
      </c>
      <c r="AZ313" s="3083">
        <f t="shared" si="156"/>
        <v>0</v>
      </c>
      <c r="BA313" s="3083">
        <f t="shared" si="157"/>
        <v>0</v>
      </c>
      <c r="BB313" s="3083">
        <f t="shared" si="158"/>
        <v>0</v>
      </c>
      <c r="BC313" s="3083">
        <f t="shared" si="159"/>
        <v>0</v>
      </c>
      <c r="BD313" s="3083">
        <f t="shared" si="160"/>
        <v>0</v>
      </c>
      <c r="BE313" s="3083">
        <f t="shared" si="161"/>
        <v>0</v>
      </c>
      <c r="BF313" s="3083">
        <f t="shared" si="162"/>
        <v>0</v>
      </c>
      <c r="BG313" s="3083">
        <f t="shared" si="163"/>
        <v>0</v>
      </c>
      <c r="BH313" s="3083">
        <f t="shared" si="164"/>
        <v>0</v>
      </c>
      <c r="BI313" s="3083">
        <f t="shared" si="165"/>
        <v>0</v>
      </c>
      <c r="BJ313" s="3083">
        <f t="shared" si="166"/>
        <v>0</v>
      </c>
      <c r="BK313" s="3083">
        <f t="shared" si="167"/>
        <v>0</v>
      </c>
      <c r="BL313" s="3083">
        <f t="shared" si="168"/>
        <v>0</v>
      </c>
      <c r="BM313" s="3083">
        <f t="shared" si="169"/>
        <v>0</v>
      </c>
      <c r="BN313" s="3083">
        <f t="shared" si="170"/>
        <v>0</v>
      </c>
      <c r="BO313" s="3083">
        <f t="shared" si="171"/>
        <v>0</v>
      </c>
      <c r="BP313" s="3083">
        <f t="shared" si="172"/>
        <v>0</v>
      </c>
      <c r="BQ313" s="3083">
        <f t="shared" si="173"/>
        <v>0</v>
      </c>
      <c r="BR313" s="3083">
        <f t="shared" si="174"/>
        <v>0</v>
      </c>
      <c r="BS313" s="3083">
        <f t="shared" si="175"/>
        <v>0</v>
      </c>
      <c r="BT313" s="3135">
        <f t="shared" si="176"/>
        <v>0</v>
      </c>
    </row>
    <row r="314" spans="1:72">
      <c r="A314" s="3080"/>
      <c r="B314" s="3081"/>
      <c r="C314" s="3081"/>
      <c r="D314" s="3082"/>
      <c r="E314" s="3083">
        <f t="shared" si="177"/>
        <v>0</v>
      </c>
      <c r="F314" s="3084"/>
      <c r="G314" s="3085">
        <f t="shared" si="152"/>
        <v>0</v>
      </c>
      <c r="H314" s="3086">
        <f t="shared" si="153"/>
        <v>0</v>
      </c>
      <c r="I314" s="3093"/>
      <c r="J314" s="3093"/>
      <c r="K314" s="3093"/>
      <c r="L314" s="3093"/>
      <c r="M314" s="3093"/>
      <c r="N314" s="3093"/>
      <c r="O314" s="3093"/>
      <c r="P314" s="3093"/>
      <c r="Q314" s="3093"/>
      <c r="R314" s="3093"/>
      <c r="S314" s="3093"/>
      <c r="T314" s="3093"/>
      <c r="U314" s="3093"/>
      <c r="V314" s="3093"/>
      <c r="W314" s="3093"/>
      <c r="X314" s="3093"/>
      <c r="Y314" s="3093"/>
      <c r="Z314" s="3093"/>
      <c r="AA314" s="3093"/>
      <c r="AB314" s="3093"/>
      <c r="AC314" s="3083">
        <f t="shared" si="154"/>
        <v>0</v>
      </c>
      <c r="AD314" s="3103"/>
      <c r="AE314" s="3103"/>
      <c r="AF314" s="3103"/>
      <c r="AG314" s="3103"/>
      <c r="AH314" s="3103"/>
      <c r="AI314" s="3103"/>
      <c r="AJ314" s="3103"/>
      <c r="AK314" s="3103"/>
      <c r="AL314" s="3103"/>
      <c r="AM314" s="3103"/>
      <c r="AN314" s="3103"/>
      <c r="AO314" s="3103"/>
      <c r="AP314" s="3103"/>
      <c r="AQ314" s="3103"/>
      <c r="AR314" s="3103"/>
      <c r="AS314" s="3103"/>
      <c r="AT314" s="3113"/>
      <c r="AU314" s="3114"/>
      <c r="AV314" s="1580">
        <f t="shared" si="178"/>
        <v>0</v>
      </c>
      <c r="AW314" s="1580">
        <f t="shared" si="179"/>
        <v>0</v>
      </c>
      <c r="AX314" s="1580">
        <f t="shared" si="180"/>
        <v>0</v>
      </c>
      <c r="AY314" s="3128">
        <f t="shared" si="155"/>
        <v>0</v>
      </c>
      <c r="AZ314" s="3083">
        <f t="shared" si="156"/>
        <v>0</v>
      </c>
      <c r="BA314" s="3083">
        <f t="shared" si="157"/>
        <v>0</v>
      </c>
      <c r="BB314" s="3083">
        <f t="shared" si="158"/>
        <v>0</v>
      </c>
      <c r="BC314" s="3083">
        <f t="shared" si="159"/>
        <v>0</v>
      </c>
      <c r="BD314" s="3083">
        <f t="shared" si="160"/>
        <v>0</v>
      </c>
      <c r="BE314" s="3083">
        <f t="shared" si="161"/>
        <v>0</v>
      </c>
      <c r="BF314" s="3083">
        <f t="shared" si="162"/>
        <v>0</v>
      </c>
      <c r="BG314" s="3083">
        <f t="shared" si="163"/>
        <v>0</v>
      </c>
      <c r="BH314" s="3083">
        <f t="shared" si="164"/>
        <v>0</v>
      </c>
      <c r="BI314" s="3083">
        <f t="shared" si="165"/>
        <v>0</v>
      </c>
      <c r="BJ314" s="3083">
        <f t="shared" si="166"/>
        <v>0</v>
      </c>
      <c r="BK314" s="3083">
        <f t="shared" si="167"/>
        <v>0</v>
      </c>
      <c r="BL314" s="3083">
        <f t="shared" si="168"/>
        <v>0</v>
      </c>
      <c r="BM314" s="3083">
        <f t="shared" si="169"/>
        <v>0</v>
      </c>
      <c r="BN314" s="3083">
        <f t="shared" si="170"/>
        <v>0</v>
      </c>
      <c r="BO314" s="3083">
        <f t="shared" si="171"/>
        <v>0</v>
      </c>
      <c r="BP314" s="3083">
        <f t="shared" si="172"/>
        <v>0</v>
      </c>
      <c r="BQ314" s="3083">
        <f t="shared" si="173"/>
        <v>0</v>
      </c>
      <c r="BR314" s="3083">
        <f t="shared" si="174"/>
        <v>0</v>
      </c>
      <c r="BS314" s="3083">
        <f t="shared" si="175"/>
        <v>0</v>
      </c>
      <c r="BT314" s="3135">
        <f t="shared" si="176"/>
        <v>0</v>
      </c>
    </row>
    <row r="315" spans="1:72">
      <c r="A315" s="3080"/>
      <c r="B315" s="3081"/>
      <c r="C315" s="3081"/>
      <c r="D315" s="3082"/>
      <c r="E315" s="3083">
        <f t="shared" si="177"/>
        <v>0</v>
      </c>
      <c r="F315" s="3084"/>
      <c r="G315" s="3085">
        <f t="shared" si="152"/>
        <v>0</v>
      </c>
      <c r="H315" s="3086">
        <f t="shared" si="153"/>
        <v>0</v>
      </c>
      <c r="I315" s="3093"/>
      <c r="J315" s="3093"/>
      <c r="K315" s="3093"/>
      <c r="L315" s="3093"/>
      <c r="M315" s="3093"/>
      <c r="N315" s="3093"/>
      <c r="O315" s="3093"/>
      <c r="P315" s="3093"/>
      <c r="Q315" s="3093"/>
      <c r="R315" s="3093"/>
      <c r="S315" s="3093"/>
      <c r="T315" s="3093"/>
      <c r="U315" s="3093"/>
      <c r="V315" s="3093"/>
      <c r="W315" s="3093"/>
      <c r="X315" s="3093"/>
      <c r="Y315" s="3093"/>
      <c r="Z315" s="3093"/>
      <c r="AA315" s="3093"/>
      <c r="AB315" s="3093"/>
      <c r="AC315" s="3083">
        <f t="shared" si="154"/>
        <v>0</v>
      </c>
      <c r="AD315" s="3103"/>
      <c r="AE315" s="3103"/>
      <c r="AF315" s="3103"/>
      <c r="AG315" s="3103"/>
      <c r="AH315" s="3103"/>
      <c r="AI315" s="3103"/>
      <c r="AJ315" s="3103"/>
      <c r="AK315" s="3103"/>
      <c r="AL315" s="3103"/>
      <c r="AM315" s="3103"/>
      <c r="AN315" s="3103"/>
      <c r="AO315" s="3103"/>
      <c r="AP315" s="3103"/>
      <c r="AQ315" s="3103"/>
      <c r="AR315" s="3103"/>
      <c r="AS315" s="3103"/>
      <c r="AT315" s="3113"/>
      <c r="AU315" s="3114"/>
      <c r="AV315" s="1580">
        <f t="shared" si="178"/>
        <v>0</v>
      </c>
      <c r="AW315" s="1580">
        <f t="shared" si="179"/>
        <v>0</v>
      </c>
      <c r="AX315" s="1580">
        <f t="shared" si="180"/>
        <v>0</v>
      </c>
      <c r="AY315" s="3128">
        <f t="shared" si="155"/>
        <v>0</v>
      </c>
      <c r="AZ315" s="3083">
        <f t="shared" si="156"/>
        <v>0</v>
      </c>
      <c r="BA315" s="3083">
        <f t="shared" si="157"/>
        <v>0</v>
      </c>
      <c r="BB315" s="3083">
        <f t="shared" si="158"/>
        <v>0</v>
      </c>
      <c r="BC315" s="3083">
        <f t="shared" si="159"/>
        <v>0</v>
      </c>
      <c r="BD315" s="3083">
        <f t="shared" si="160"/>
        <v>0</v>
      </c>
      <c r="BE315" s="3083">
        <f t="shared" si="161"/>
        <v>0</v>
      </c>
      <c r="BF315" s="3083">
        <f t="shared" si="162"/>
        <v>0</v>
      </c>
      <c r="BG315" s="3083">
        <f t="shared" si="163"/>
        <v>0</v>
      </c>
      <c r="BH315" s="3083">
        <f t="shared" si="164"/>
        <v>0</v>
      </c>
      <c r="BI315" s="3083">
        <f t="shared" si="165"/>
        <v>0</v>
      </c>
      <c r="BJ315" s="3083">
        <f t="shared" si="166"/>
        <v>0</v>
      </c>
      <c r="BK315" s="3083">
        <f t="shared" si="167"/>
        <v>0</v>
      </c>
      <c r="BL315" s="3083">
        <f t="shared" si="168"/>
        <v>0</v>
      </c>
      <c r="BM315" s="3083">
        <f t="shared" si="169"/>
        <v>0</v>
      </c>
      <c r="BN315" s="3083">
        <f t="shared" si="170"/>
        <v>0</v>
      </c>
      <c r="BO315" s="3083">
        <f t="shared" si="171"/>
        <v>0</v>
      </c>
      <c r="BP315" s="3083">
        <f t="shared" si="172"/>
        <v>0</v>
      </c>
      <c r="BQ315" s="3083">
        <f t="shared" si="173"/>
        <v>0</v>
      </c>
      <c r="BR315" s="3083">
        <f t="shared" si="174"/>
        <v>0</v>
      </c>
      <c r="BS315" s="3083">
        <f t="shared" si="175"/>
        <v>0</v>
      </c>
      <c r="BT315" s="3135">
        <f t="shared" si="176"/>
        <v>0</v>
      </c>
    </row>
    <row r="316" spans="1:72">
      <c r="A316" s="3080"/>
      <c r="B316" s="3081"/>
      <c r="C316" s="3081"/>
      <c r="D316" s="3082"/>
      <c r="E316" s="3083">
        <f t="shared" si="177"/>
        <v>0</v>
      </c>
      <c r="F316" s="3084"/>
      <c r="G316" s="3085">
        <f t="shared" si="152"/>
        <v>0</v>
      </c>
      <c r="H316" s="3086">
        <f t="shared" si="153"/>
        <v>0</v>
      </c>
      <c r="I316" s="3093"/>
      <c r="J316" s="3093"/>
      <c r="K316" s="3093"/>
      <c r="L316" s="3093"/>
      <c r="M316" s="3093"/>
      <c r="N316" s="3093"/>
      <c r="O316" s="3093"/>
      <c r="P316" s="3093"/>
      <c r="Q316" s="3093"/>
      <c r="R316" s="3093"/>
      <c r="S316" s="3093"/>
      <c r="T316" s="3093"/>
      <c r="U316" s="3093"/>
      <c r="V316" s="3093"/>
      <c r="W316" s="3093"/>
      <c r="X316" s="3093"/>
      <c r="Y316" s="3093"/>
      <c r="Z316" s="3093"/>
      <c r="AA316" s="3093"/>
      <c r="AB316" s="3093"/>
      <c r="AC316" s="3083">
        <f t="shared" si="154"/>
        <v>0</v>
      </c>
      <c r="AD316" s="3103"/>
      <c r="AE316" s="3103"/>
      <c r="AF316" s="3103"/>
      <c r="AG316" s="3103"/>
      <c r="AH316" s="3103"/>
      <c r="AI316" s="3103"/>
      <c r="AJ316" s="3103"/>
      <c r="AK316" s="3103"/>
      <c r="AL316" s="3103"/>
      <c r="AM316" s="3103"/>
      <c r="AN316" s="3103"/>
      <c r="AO316" s="3103"/>
      <c r="AP316" s="3103"/>
      <c r="AQ316" s="3103"/>
      <c r="AR316" s="3103"/>
      <c r="AS316" s="3103"/>
      <c r="AT316" s="3113"/>
      <c r="AU316" s="3114"/>
      <c r="AV316" s="1580">
        <f t="shared" si="178"/>
        <v>0</v>
      </c>
      <c r="AW316" s="1580">
        <f t="shared" si="179"/>
        <v>0</v>
      </c>
      <c r="AX316" s="1580">
        <f t="shared" si="180"/>
        <v>0</v>
      </c>
      <c r="AY316" s="3128">
        <f t="shared" si="155"/>
        <v>0</v>
      </c>
      <c r="AZ316" s="3083">
        <f t="shared" si="156"/>
        <v>0</v>
      </c>
      <c r="BA316" s="3083">
        <f t="shared" si="157"/>
        <v>0</v>
      </c>
      <c r="BB316" s="3083">
        <f t="shared" si="158"/>
        <v>0</v>
      </c>
      <c r="BC316" s="3083">
        <f t="shared" si="159"/>
        <v>0</v>
      </c>
      <c r="BD316" s="3083">
        <f t="shared" si="160"/>
        <v>0</v>
      </c>
      <c r="BE316" s="3083">
        <f t="shared" si="161"/>
        <v>0</v>
      </c>
      <c r="BF316" s="3083">
        <f t="shared" si="162"/>
        <v>0</v>
      </c>
      <c r="BG316" s="3083">
        <f t="shared" si="163"/>
        <v>0</v>
      </c>
      <c r="BH316" s="3083">
        <f t="shared" si="164"/>
        <v>0</v>
      </c>
      <c r="BI316" s="3083">
        <f t="shared" si="165"/>
        <v>0</v>
      </c>
      <c r="BJ316" s="3083">
        <f t="shared" si="166"/>
        <v>0</v>
      </c>
      <c r="BK316" s="3083">
        <f t="shared" si="167"/>
        <v>0</v>
      </c>
      <c r="BL316" s="3083">
        <f t="shared" si="168"/>
        <v>0</v>
      </c>
      <c r="BM316" s="3083">
        <f t="shared" si="169"/>
        <v>0</v>
      </c>
      <c r="BN316" s="3083">
        <f t="shared" si="170"/>
        <v>0</v>
      </c>
      <c r="BO316" s="3083">
        <f t="shared" si="171"/>
        <v>0</v>
      </c>
      <c r="BP316" s="3083">
        <f t="shared" si="172"/>
        <v>0</v>
      </c>
      <c r="BQ316" s="3083">
        <f t="shared" si="173"/>
        <v>0</v>
      </c>
      <c r="BR316" s="3083">
        <f t="shared" si="174"/>
        <v>0</v>
      </c>
      <c r="BS316" s="3083">
        <f t="shared" si="175"/>
        <v>0</v>
      </c>
      <c r="BT316" s="3135">
        <f t="shared" si="176"/>
        <v>0</v>
      </c>
    </row>
    <row r="317" spans="1:72">
      <c r="A317" s="3080"/>
      <c r="B317" s="3081"/>
      <c r="C317" s="3081"/>
      <c r="D317" s="3082"/>
      <c r="E317" s="3083">
        <f t="shared" si="177"/>
        <v>0</v>
      </c>
      <c r="F317" s="3084"/>
      <c r="G317" s="3085">
        <f t="shared" si="152"/>
        <v>0</v>
      </c>
      <c r="H317" s="3086">
        <f t="shared" si="153"/>
        <v>0</v>
      </c>
      <c r="I317" s="3093"/>
      <c r="J317" s="3093"/>
      <c r="K317" s="3093"/>
      <c r="L317" s="3093"/>
      <c r="M317" s="3093"/>
      <c r="N317" s="3093"/>
      <c r="O317" s="3093"/>
      <c r="P317" s="3093"/>
      <c r="Q317" s="3093"/>
      <c r="R317" s="3093"/>
      <c r="S317" s="3093"/>
      <c r="T317" s="3093"/>
      <c r="U317" s="3093"/>
      <c r="V317" s="3093"/>
      <c r="W317" s="3093"/>
      <c r="X317" s="3093"/>
      <c r="Y317" s="3093"/>
      <c r="Z317" s="3093"/>
      <c r="AA317" s="3093"/>
      <c r="AB317" s="3093"/>
      <c r="AC317" s="3083">
        <f t="shared" si="154"/>
        <v>0</v>
      </c>
      <c r="AD317" s="3103"/>
      <c r="AE317" s="3103"/>
      <c r="AF317" s="3103"/>
      <c r="AG317" s="3103"/>
      <c r="AH317" s="3103"/>
      <c r="AI317" s="3103"/>
      <c r="AJ317" s="3103"/>
      <c r="AK317" s="3103"/>
      <c r="AL317" s="3103"/>
      <c r="AM317" s="3103"/>
      <c r="AN317" s="3103"/>
      <c r="AO317" s="3103"/>
      <c r="AP317" s="3103"/>
      <c r="AQ317" s="3103"/>
      <c r="AR317" s="3103"/>
      <c r="AS317" s="3103"/>
      <c r="AT317" s="3113"/>
      <c r="AU317" s="3114"/>
      <c r="AV317" s="1580">
        <f t="shared" si="178"/>
        <v>0</v>
      </c>
      <c r="AW317" s="1580">
        <f t="shared" si="179"/>
        <v>0</v>
      </c>
      <c r="AX317" s="1580">
        <f t="shared" si="180"/>
        <v>0</v>
      </c>
      <c r="AY317" s="3128">
        <f t="shared" si="155"/>
        <v>0</v>
      </c>
      <c r="AZ317" s="3083">
        <f t="shared" si="156"/>
        <v>0</v>
      </c>
      <c r="BA317" s="3083">
        <f t="shared" si="157"/>
        <v>0</v>
      </c>
      <c r="BB317" s="3083">
        <f t="shared" si="158"/>
        <v>0</v>
      </c>
      <c r="BC317" s="3083">
        <f t="shared" si="159"/>
        <v>0</v>
      </c>
      <c r="BD317" s="3083">
        <f t="shared" si="160"/>
        <v>0</v>
      </c>
      <c r="BE317" s="3083">
        <f t="shared" si="161"/>
        <v>0</v>
      </c>
      <c r="BF317" s="3083">
        <f t="shared" si="162"/>
        <v>0</v>
      </c>
      <c r="BG317" s="3083">
        <f t="shared" si="163"/>
        <v>0</v>
      </c>
      <c r="BH317" s="3083">
        <f t="shared" si="164"/>
        <v>0</v>
      </c>
      <c r="BI317" s="3083">
        <f t="shared" si="165"/>
        <v>0</v>
      </c>
      <c r="BJ317" s="3083">
        <f t="shared" si="166"/>
        <v>0</v>
      </c>
      <c r="BK317" s="3083">
        <f t="shared" si="167"/>
        <v>0</v>
      </c>
      <c r="BL317" s="3083">
        <f t="shared" si="168"/>
        <v>0</v>
      </c>
      <c r="BM317" s="3083">
        <f t="shared" si="169"/>
        <v>0</v>
      </c>
      <c r="BN317" s="3083">
        <f t="shared" si="170"/>
        <v>0</v>
      </c>
      <c r="BO317" s="3083">
        <f t="shared" si="171"/>
        <v>0</v>
      </c>
      <c r="BP317" s="3083">
        <f t="shared" si="172"/>
        <v>0</v>
      </c>
      <c r="BQ317" s="3083">
        <f t="shared" si="173"/>
        <v>0</v>
      </c>
      <c r="BR317" s="3083">
        <f t="shared" si="174"/>
        <v>0</v>
      </c>
      <c r="BS317" s="3083">
        <f t="shared" si="175"/>
        <v>0</v>
      </c>
      <c r="BT317" s="3135">
        <f t="shared" si="176"/>
        <v>0</v>
      </c>
    </row>
    <row r="318" spans="1:72">
      <c r="A318" s="3080"/>
      <c r="B318" s="3081"/>
      <c r="C318" s="3081"/>
      <c r="D318" s="3082"/>
      <c r="E318" s="3083">
        <f t="shared" si="177"/>
        <v>0</v>
      </c>
      <c r="F318" s="3084"/>
      <c r="G318" s="3085">
        <f t="shared" si="152"/>
        <v>0</v>
      </c>
      <c r="H318" s="3086">
        <f t="shared" si="153"/>
        <v>0</v>
      </c>
      <c r="I318" s="3093"/>
      <c r="J318" s="3093"/>
      <c r="K318" s="3093"/>
      <c r="L318" s="3093"/>
      <c r="M318" s="3093"/>
      <c r="N318" s="3093"/>
      <c r="O318" s="3093"/>
      <c r="P318" s="3093"/>
      <c r="Q318" s="3093"/>
      <c r="R318" s="3093"/>
      <c r="S318" s="3093"/>
      <c r="T318" s="3093"/>
      <c r="U318" s="3093"/>
      <c r="V318" s="3093"/>
      <c r="W318" s="3093"/>
      <c r="X318" s="3093"/>
      <c r="Y318" s="3093"/>
      <c r="Z318" s="3093"/>
      <c r="AA318" s="3093"/>
      <c r="AB318" s="3093"/>
      <c r="AC318" s="3083">
        <f t="shared" si="154"/>
        <v>0</v>
      </c>
      <c r="AD318" s="3103"/>
      <c r="AE318" s="3103"/>
      <c r="AF318" s="3103"/>
      <c r="AG318" s="3103"/>
      <c r="AH318" s="3103"/>
      <c r="AI318" s="3103"/>
      <c r="AJ318" s="3103"/>
      <c r="AK318" s="3103"/>
      <c r="AL318" s="3103"/>
      <c r="AM318" s="3103"/>
      <c r="AN318" s="3103"/>
      <c r="AO318" s="3103"/>
      <c r="AP318" s="3103"/>
      <c r="AQ318" s="3103"/>
      <c r="AR318" s="3103"/>
      <c r="AS318" s="3103"/>
      <c r="AT318" s="3113"/>
      <c r="AU318" s="3114"/>
      <c r="AV318" s="1580">
        <f t="shared" si="178"/>
        <v>0</v>
      </c>
      <c r="AW318" s="1580">
        <f t="shared" si="179"/>
        <v>0</v>
      </c>
      <c r="AX318" s="1580">
        <f t="shared" si="180"/>
        <v>0</v>
      </c>
      <c r="AY318" s="3128">
        <f t="shared" si="155"/>
        <v>0</v>
      </c>
      <c r="AZ318" s="3083">
        <f t="shared" si="156"/>
        <v>0</v>
      </c>
      <c r="BA318" s="3083">
        <f t="shared" si="157"/>
        <v>0</v>
      </c>
      <c r="BB318" s="3083">
        <f t="shared" si="158"/>
        <v>0</v>
      </c>
      <c r="BC318" s="3083">
        <f t="shared" si="159"/>
        <v>0</v>
      </c>
      <c r="BD318" s="3083">
        <f t="shared" si="160"/>
        <v>0</v>
      </c>
      <c r="BE318" s="3083">
        <f t="shared" si="161"/>
        <v>0</v>
      </c>
      <c r="BF318" s="3083">
        <f t="shared" si="162"/>
        <v>0</v>
      </c>
      <c r="BG318" s="3083">
        <f t="shared" si="163"/>
        <v>0</v>
      </c>
      <c r="BH318" s="3083">
        <f t="shared" si="164"/>
        <v>0</v>
      </c>
      <c r="BI318" s="3083">
        <f t="shared" si="165"/>
        <v>0</v>
      </c>
      <c r="BJ318" s="3083">
        <f t="shared" si="166"/>
        <v>0</v>
      </c>
      <c r="BK318" s="3083">
        <f t="shared" si="167"/>
        <v>0</v>
      </c>
      <c r="BL318" s="3083">
        <f t="shared" si="168"/>
        <v>0</v>
      </c>
      <c r="BM318" s="3083">
        <f t="shared" si="169"/>
        <v>0</v>
      </c>
      <c r="BN318" s="3083">
        <f t="shared" si="170"/>
        <v>0</v>
      </c>
      <c r="BO318" s="3083">
        <f t="shared" si="171"/>
        <v>0</v>
      </c>
      <c r="BP318" s="3083">
        <f t="shared" si="172"/>
        <v>0</v>
      </c>
      <c r="BQ318" s="3083">
        <f t="shared" si="173"/>
        <v>0</v>
      </c>
      <c r="BR318" s="3083">
        <f t="shared" si="174"/>
        <v>0</v>
      </c>
      <c r="BS318" s="3083">
        <f t="shared" si="175"/>
        <v>0</v>
      </c>
      <c r="BT318" s="3135">
        <f t="shared" si="176"/>
        <v>0</v>
      </c>
    </row>
    <row r="319" spans="1:72">
      <c r="A319" s="3080"/>
      <c r="B319" s="3081"/>
      <c r="C319" s="3081"/>
      <c r="D319" s="3082"/>
      <c r="E319" s="3083">
        <f t="shared" si="177"/>
        <v>0</v>
      </c>
      <c r="F319" s="3084"/>
      <c r="G319" s="3085">
        <f t="shared" si="152"/>
        <v>0</v>
      </c>
      <c r="H319" s="3086">
        <f t="shared" si="153"/>
        <v>0</v>
      </c>
      <c r="I319" s="3093"/>
      <c r="J319" s="3093"/>
      <c r="K319" s="3093"/>
      <c r="L319" s="3093"/>
      <c r="M319" s="3093"/>
      <c r="N319" s="3093"/>
      <c r="O319" s="3093"/>
      <c r="P319" s="3093"/>
      <c r="Q319" s="3093"/>
      <c r="R319" s="3093"/>
      <c r="S319" s="3093"/>
      <c r="T319" s="3093"/>
      <c r="U319" s="3093"/>
      <c r="V319" s="3093"/>
      <c r="W319" s="3093"/>
      <c r="X319" s="3093"/>
      <c r="Y319" s="3093"/>
      <c r="Z319" s="3093"/>
      <c r="AA319" s="3093"/>
      <c r="AB319" s="3093"/>
      <c r="AC319" s="3083">
        <f t="shared" si="154"/>
        <v>0</v>
      </c>
      <c r="AD319" s="3103"/>
      <c r="AE319" s="3103"/>
      <c r="AF319" s="3103"/>
      <c r="AG319" s="3103"/>
      <c r="AH319" s="3103"/>
      <c r="AI319" s="3103"/>
      <c r="AJ319" s="3103"/>
      <c r="AK319" s="3103"/>
      <c r="AL319" s="3103"/>
      <c r="AM319" s="3103"/>
      <c r="AN319" s="3103"/>
      <c r="AO319" s="3103"/>
      <c r="AP319" s="3103"/>
      <c r="AQ319" s="3103"/>
      <c r="AR319" s="3103"/>
      <c r="AS319" s="3103"/>
      <c r="AT319" s="3113"/>
      <c r="AU319" s="3114"/>
      <c r="AV319" s="1580">
        <f t="shared" si="178"/>
        <v>0</v>
      </c>
      <c r="AW319" s="1580">
        <f t="shared" si="179"/>
        <v>0</v>
      </c>
      <c r="AX319" s="1580">
        <f t="shared" si="180"/>
        <v>0</v>
      </c>
      <c r="AY319" s="3128">
        <f t="shared" si="155"/>
        <v>0</v>
      </c>
      <c r="AZ319" s="3083">
        <f t="shared" si="156"/>
        <v>0</v>
      </c>
      <c r="BA319" s="3083">
        <f t="shared" si="157"/>
        <v>0</v>
      </c>
      <c r="BB319" s="3083">
        <f t="shared" si="158"/>
        <v>0</v>
      </c>
      <c r="BC319" s="3083">
        <f t="shared" si="159"/>
        <v>0</v>
      </c>
      <c r="BD319" s="3083">
        <f t="shared" si="160"/>
        <v>0</v>
      </c>
      <c r="BE319" s="3083">
        <f t="shared" si="161"/>
        <v>0</v>
      </c>
      <c r="BF319" s="3083">
        <f t="shared" si="162"/>
        <v>0</v>
      </c>
      <c r="BG319" s="3083">
        <f t="shared" si="163"/>
        <v>0</v>
      </c>
      <c r="BH319" s="3083">
        <f t="shared" si="164"/>
        <v>0</v>
      </c>
      <c r="BI319" s="3083">
        <f t="shared" si="165"/>
        <v>0</v>
      </c>
      <c r="BJ319" s="3083">
        <f t="shared" si="166"/>
        <v>0</v>
      </c>
      <c r="BK319" s="3083">
        <f t="shared" si="167"/>
        <v>0</v>
      </c>
      <c r="BL319" s="3083">
        <f t="shared" si="168"/>
        <v>0</v>
      </c>
      <c r="BM319" s="3083">
        <f t="shared" si="169"/>
        <v>0</v>
      </c>
      <c r="BN319" s="3083">
        <f t="shared" si="170"/>
        <v>0</v>
      </c>
      <c r="BO319" s="3083">
        <f t="shared" si="171"/>
        <v>0</v>
      </c>
      <c r="BP319" s="3083">
        <f t="shared" si="172"/>
        <v>0</v>
      </c>
      <c r="BQ319" s="3083">
        <f t="shared" si="173"/>
        <v>0</v>
      </c>
      <c r="BR319" s="3083">
        <f t="shared" si="174"/>
        <v>0</v>
      </c>
      <c r="BS319" s="3083">
        <f t="shared" si="175"/>
        <v>0</v>
      </c>
      <c r="BT319" s="3135">
        <f t="shared" si="176"/>
        <v>0</v>
      </c>
    </row>
    <row r="320" spans="1:72">
      <c r="A320" s="3080"/>
      <c r="B320" s="3081"/>
      <c r="C320" s="3081"/>
      <c r="D320" s="3082"/>
      <c r="E320" s="3083">
        <f t="shared" si="177"/>
        <v>0</v>
      </c>
      <c r="F320" s="3084"/>
      <c r="G320" s="3085">
        <f t="shared" si="152"/>
        <v>0</v>
      </c>
      <c r="H320" s="3086">
        <f t="shared" si="153"/>
        <v>0</v>
      </c>
      <c r="I320" s="3093"/>
      <c r="J320" s="3093"/>
      <c r="K320" s="3093"/>
      <c r="L320" s="3093"/>
      <c r="M320" s="3093"/>
      <c r="N320" s="3093"/>
      <c r="O320" s="3093"/>
      <c r="P320" s="3093"/>
      <c r="Q320" s="3093"/>
      <c r="R320" s="3093"/>
      <c r="S320" s="3093"/>
      <c r="T320" s="3093"/>
      <c r="U320" s="3093"/>
      <c r="V320" s="3093"/>
      <c r="W320" s="3093"/>
      <c r="X320" s="3093"/>
      <c r="Y320" s="3093"/>
      <c r="Z320" s="3093"/>
      <c r="AA320" s="3093"/>
      <c r="AB320" s="3093"/>
      <c r="AC320" s="3083">
        <f t="shared" si="154"/>
        <v>0</v>
      </c>
      <c r="AD320" s="3103"/>
      <c r="AE320" s="3103"/>
      <c r="AF320" s="3103"/>
      <c r="AG320" s="3103"/>
      <c r="AH320" s="3103"/>
      <c r="AI320" s="3103"/>
      <c r="AJ320" s="3103"/>
      <c r="AK320" s="3103"/>
      <c r="AL320" s="3103"/>
      <c r="AM320" s="3103"/>
      <c r="AN320" s="3103"/>
      <c r="AO320" s="3103"/>
      <c r="AP320" s="3103"/>
      <c r="AQ320" s="3103"/>
      <c r="AR320" s="3103"/>
      <c r="AS320" s="3103"/>
      <c r="AT320" s="3113"/>
      <c r="AU320" s="3114"/>
      <c r="AV320" s="1580">
        <f t="shared" si="178"/>
        <v>0</v>
      </c>
      <c r="AW320" s="1580">
        <f t="shared" si="179"/>
        <v>0</v>
      </c>
      <c r="AX320" s="1580">
        <f t="shared" si="180"/>
        <v>0</v>
      </c>
      <c r="AY320" s="3128">
        <f t="shared" si="155"/>
        <v>0</v>
      </c>
      <c r="AZ320" s="3083">
        <f t="shared" si="156"/>
        <v>0</v>
      </c>
      <c r="BA320" s="3083">
        <f t="shared" si="157"/>
        <v>0</v>
      </c>
      <c r="BB320" s="3083">
        <f t="shared" si="158"/>
        <v>0</v>
      </c>
      <c r="BC320" s="3083">
        <f t="shared" si="159"/>
        <v>0</v>
      </c>
      <c r="BD320" s="3083">
        <f t="shared" si="160"/>
        <v>0</v>
      </c>
      <c r="BE320" s="3083">
        <f t="shared" si="161"/>
        <v>0</v>
      </c>
      <c r="BF320" s="3083">
        <f t="shared" si="162"/>
        <v>0</v>
      </c>
      <c r="BG320" s="3083">
        <f t="shared" si="163"/>
        <v>0</v>
      </c>
      <c r="BH320" s="3083">
        <f t="shared" si="164"/>
        <v>0</v>
      </c>
      <c r="BI320" s="3083">
        <f t="shared" si="165"/>
        <v>0</v>
      </c>
      <c r="BJ320" s="3083">
        <f t="shared" si="166"/>
        <v>0</v>
      </c>
      <c r="BK320" s="3083">
        <f t="shared" si="167"/>
        <v>0</v>
      </c>
      <c r="BL320" s="3083">
        <f t="shared" si="168"/>
        <v>0</v>
      </c>
      <c r="BM320" s="3083">
        <f t="shared" si="169"/>
        <v>0</v>
      </c>
      <c r="BN320" s="3083">
        <f t="shared" si="170"/>
        <v>0</v>
      </c>
      <c r="BO320" s="3083">
        <f t="shared" si="171"/>
        <v>0</v>
      </c>
      <c r="BP320" s="3083">
        <f t="shared" si="172"/>
        <v>0</v>
      </c>
      <c r="BQ320" s="3083">
        <f t="shared" si="173"/>
        <v>0</v>
      </c>
      <c r="BR320" s="3083">
        <f t="shared" si="174"/>
        <v>0</v>
      </c>
      <c r="BS320" s="3083">
        <f t="shared" si="175"/>
        <v>0</v>
      </c>
      <c r="BT320" s="3135">
        <f t="shared" si="176"/>
        <v>0</v>
      </c>
    </row>
    <row r="321" spans="1:72">
      <c r="A321" s="3080"/>
      <c r="B321" s="3081"/>
      <c r="C321" s="3081"/>
      <c r="D321" s="3082"/>
      <c r="E321" s="3083">
        <f t="shared" si="177"/>
        <v>0</v>
      </c>
      <c r="F321" s="3084"/>
      <c r="G321" s="3085">
        <f t="shared" si="152"/>
        <v>0</v>
      </c>
      <c r="H321" s="3086">
        <f t="shared" si="153"/>
        <v>0</v>
      </c>
      <c r="I321" s="3093"/>
      <c r="J321" s="3093"/>
      <c r="K321" s="3093"/>
      <c r="L321" s="3093"/>
      <c r="M321" s="3093"/>
      <c r="N321" s="3093"/>
      <c r="O321" s="3093"/>
      <c r="P321" s="3093"/>
      <c r="Q321" s="3093"/>
      <c r="R321" s="3093"/>
      <c r="S321" s="3093"/>
      <c r="T321" s="3093"/>
      <c r="U321" s="3093"/>
      <c r="V321" s="3093"/>
      <c r="W321" s="3093"/>
      <c r="X321" s="3093"/>
      <c r="Y321" s="3093"/>
      <c r="Z321" s="3093"/>
      <c r="AA321" s="3093"/>
      <c r="AB321" s="3093"/>
      <c r="AC321" s="3083">
        <f t="shared" si="154"/>
        <v>0</v>
      </c>
      <c r="AD321" s="3103"/>
      <c r="AE321" s="3103"/>
      <c r="AF321" s="3103"/>
      <c r="AG321" s="3103"/>
      <c r="AH321" s="3103"/>
      <c r="AI321" s="3103"/>
      <c r="AJ321" s="3103"/>
      <c r="AK321" s="3103"/>
      <c r="AL321" s="3103"/>
      <c r="AM321" s="3103"/>
      <c r="AN321" s="3103"/>
      <c r="AO321" s="3103"/>
      <c r="AP321" s="3103"/>
      <c r="AQ321" s="3103"/>
      <c r="AR321" s="3103"/>
      <c r="AS321" s="3103"/>
      <c r="AT321" s="3113"/>
      <c r="AU321" s="3114"/>
      <c r="AV321" s="1580">
        <f t="shared" si="178"/>
        <v>0</v>
      </c>
      <c r="AW321" s="1580">
        <f t="shared" si="179"/>
        <v>0</v>
      </c>
      <c r="AX321" s="1580">
        <f t="shared" si="180"/>
        <v>0</v>
      </c>
      <c r="AY321" s="3128">
        <f t="shared" si="155"/>
        <v>0</v>
      </c>
      <c r="AZ321" s="3083">
        <f t="shared" si="156"/>
        <v>0</v>
      </c>
      <c r="BA321" s="3083">
        <f t="shared" si="157"/>
        <v>0</v>
      </c>
      <c r="BB321" s="3083">
        <f t="shared" si="158"/>
        <v>0</v>
      </c>
      <c r="BC321" s="3083">
        <f t="shared" si="159"/>
        <v>0</v>
      </c>
      <c r="BD321" s="3083">
        <f t="shared" si="160"/>
        <v>0</v>
      </c>
      <c r="BE321" s="3083">
        <f t="shared" si="161"/>
        <v>0</v>
      </c>
      <c r="BF321" s="3083">
        <f t="shared" si="162"/>
        <v>0</v>
      </c>
      <c r="BG321" s="3083">
        <f t="shared" si="163"/>
        <v>0</v>
      </c>
      <c r="BH321" s="3083">
        <f t="shared" si="164"/>
        <v>0</v>
      </c>
      <c r="BI321" s="3083">
        <f t="shared" si="165"/>
        <v>0</v>
      </c>
      <c r="BJ321" s="3083">
        <f t="shared" si="166"/>
        <v>0</v>
      </c>
      <c r="BK321" s="3083">
        <f t="shared" si="167"/>
        <v>0</v>
      </c>
      <c r="BL321" s="3083">
        <f t="shared" si="168"/>
        <v>0</v>
      </c>
      <c r="BM321" s="3083">
        <f t="shared" si="169"/>
        <v>0</v>
      </c>
      <c r="BN321" s="3083">
        <f t="shared" si="170"/>
        <v>0</v>
      </c>
      <c r="BO321" s="3083">
        <f t="shared" si="171"/>
        <v>0</v>
      </c>
      <c r="BP321" s="3083">
        <f t="shared" si="172"/>
        <v>0</v>
      </c>
      <c r="BQ321" s="3083">
        <f t="shared" si="173"/>
        <v>0</v>
      </c>
      <c r="BR321" s="3083">
        <f t="shared" si="174"/>
        <v>0</v>
      </c>
      <c r="BS321" s="3083">
        <f t="shared" si="175"/>
        <v>0</v>
      </c>
      <c r="BT321" s="3135">
        <f t="shared" si="176"/>
        <v>0</v>
      </c>
    </row>
    <row r="322" spans="1:72">
      <c r="A322" s="3080"/>
      <c r="B322" s="3081"/>
      <c r="C322" s="3081"/>
      <c r="D322" s="3082"/>
      <c r="E322" s="3083">
        <f t="shared" si="177"/>
        <v>0</v>
      </c>
      <c r="F322" s="3084"/>
      <c r="G322" s="3085">
        <f t="shared" si="152"/>
        <v>0</v>
      </c>
      <c r="H322" s="3086">
        <f t="shared" si="153"/>
        <v>0</v>
      </c>
      <c r="I322" s="3093"/>
      <c r="J322" s="3093"/>
      <c r="K322" s="3093"/>
      <c r="L322" s="3093"/>
      <c r="M322" s="3093"/>
      <c r="N322" s="3093"/>
      <c r="O322" s="3093"/>
      <c r="P322" s="3093"/>
      <c r="Q322" s="3093"/>
      <c r="R322" s="3093"/>
      <c r="S322" s="3093"/>
      <c r="T322" s="3093"/>
      <c r="U322" s="3093"/>
      <c r="V322" s="3093"/>
      <c r="W322" s="3093"/>
      <c r="X322" s="3093"/>
      <c r="Y322" s="3093"/>
      <c r="Z322" s="3093"/>
      <c r="AA322" s="3093"/>
      <c r="AB322" s="3093"/>
      <c r="AC322" s="3083">
        <f t="shared" si="154"/>
        <v>0</v>
      </c>
      <c r="AD322" s="3103"/>
      <c r="AE322" s="3103"/>
      <c r="AF322" s="3103"/>
      <c r="AG322" s="3103"/>
      <c r="AH322" s="3103"/>
      <c r="AI322" s="3103"/>
      <c r="AJ322" s="3103"/>
      <c r="AK322" s="3103"/>
      <c r="AL322" s="3103"/>
      <c r="AM322" s="3103"/>
      <c r="AN322" s="3103"/>
      <c r="AO322" s="3103"/>
      <c r="AP322" s="3103"/>
      <c r="AQ322" s="3103"/>
      <c r="AR322" s="3103"/>
      <c r="AS322" s="3103"/>
      <c r="AT322" s="3113"/>
      <c r="AU322" s="3114"/>
      <c r="AV322" s="1580">
        <f t="shared" si="178"/>
        <v>0</v>
      </c>
      <c r="AW322" s="1580">
        <f t="shared" si="179"/>
        <v>0</v>
      </c>
      <c r="AX322" s="1580">
        <f t="shared" si="180"/>
        <v>0</v>
      </c>
      <c r="AY322" s="3128">
        <f t="shared" si="155"/>
        <v>0</v>
      </c>
      <c r="AZ322" s="3083">
        <f t="shared" si="156"/>
        <v>0</v>
      </c>
      <c r="BA322" s="3083">
        <f t="shared" si="157"/>
        <v>0</v>
      </c>
      <c r="BB322" s="3083">
        <f t="shared" si="158"/>
        <v>0</v>
      </c>
      <c r="BC322" s="3083">
        <f t="shared" si="159"/>
        <v>0</v>
      </c>
      <c r="BD322" s="3083">
        <f t="shared" si="160"/>
        <v>0</v>
      </c>
      <c r="BE322" s="3083">
        <f t="shared" si="161"/>
        <v>0</v>
      </c>
      <c r="BF322" s="3083">
        <f t="shared" si="162"/>
        <v>0</v>
      </c>
      <c r="BG322" s="3083">
        <f t="shared" si="163"/>
        <v>0</v>
      </c>
      <c r="BH322" s="3083">
        <f t="shared" si="164"/>
        <v>0</v>
      </c>
      <c r="BI322" s="3083">
        <f t="shared" si="165"/>
        <v>0</v>
      </c>
      <c r="BJ322" s="3083">
        <f t="shared" si="166"/>
        <v>0</v>
      </c>
      <c r="BK322" s="3083">
        <f t="shared" si="167"/>
        <v>0</v>
      </c>
      <c r="BL322" s="3083">
        <f t="shared" si="168"/>
        <v>0</v>
      </c>
      <c r="BM322" s="3083">
        <f t="shared" si="169"/>
        <v>0</v>
      </c>
      <c r="BN322" s="3083">
        <f t="shared" si="170"/>
        <v>0</v>
      </c>
      <c r="BO322" s="3083">
        <f t="shared" si="171"/>
        <v>0</v>
      </c>
      <c r="BP322" s="3083">
        <f t="shared" si="172"/>
        <v>0</v>
      </c>
      <c r="BQ322" s="3083">
        <f t="shared" si="173"/>
        <v>0</v>
      </c>
      <c r="BR322" s="3083">
        <f t="shared" si="174"/>
        <v>0</v>
      </c>
      <c r="BS322" s="3083">
        <f t="shared" si="175"/>
        <v>0</v>
      </c>
      <c r="BT322" s="3135">
        <f t="shared" si="176"/>
        <v>0</v>
      </c>
    </row>
    <row r="323" spans="1:72">
      <c r="A323" s="3080"/>
      <c r="B323" s="3081"/>
      <c r="C323" s="3081"/>
      <c r="D323" s="3082"/>
      <c r="E323" s="3083">
        <f t="shared" si="177"/>
        <v>0</v>
      </c>
      <c r="F323" s="3084"/>
      <c r="G323" s="3085">
        <f t="shared" si="152"/>
        <v>0</v>
      </c>
      <c r="H323" s="3086">
        <f t="shared" si="153"/>
        <v>0</v>
      </c>
      <c r="I323" s="3093"/>
      <c r="J323" s="3093"/>
      <c r="K323" s="3093"/>
      <c r="L323" s="3093"/>
      <c r="M323" s="3093"/>
      <c r="N323" s="3093"/>
      <c r="O323" s="3093"/>
      <c r="P323" s="3093"/>
      <c r="Q323" s="3093"/>
      <c r="R323" s="3093"/>
      <c r="S323" s="3093"/>
      <c r="T323" s="3093"/>
      <c r="U323" s="3093"/>
      <c r="V323" s="3093"/>
      <c r="W323" s="3093"/>
      <c r="X323" s="3093"/>
      <c r="Y323" s="3093"/>
      <c r="Z323" s="3093"/>
      <c r="AA323" s="3093"/>
      <c r="AB323" s="3093"/>
      <c r="AC323" s="3083">
        <f t="shared" si="154"/>
        <v>0</v>
      </c>
      <c r="AD323" s="3103"/>
      <c r="AE323" s="3103"/>
      <c r="AF323" s="3103"/>
      <c r="AG323" s="3103"/>
      <c r="AH323" s="3103"/>
      <c r="AI323" s="3103"/>
      <c r="AJ323" s="3103"/>
      <c r="AK323" s="3103"/>
      <c r="AL323" s="3103"/>
      <c r="AM323" s="3103"/>
      <c r="AN323" s="3103"/>
      <c r="AO323" s="3103"/>
      <c r="AP323" s="3103"/>
      <c r="AQ323" s="3103"/>
      <c r="AR323" s="3103"/>
      <c r="AS323" s="3103"/>
      <c r="AT323" s="3113"/>
      <c r="AU323" s="3114"/>
      <c r="AV323" s="1580">
        <f t="shared" si="178"/>
        <v>0</v>
      </c>
      <c r="AW323" s="1580">
        <f t="shared" si="179"/>
        <v>0</v>
      </c>
      <c r="AX323" s="1580">
        <f t="shared" si="180"/>
        <v>0</v>
      </c>
      <c r="AY323" s="3128">
        <f t="shared" si="155"/>
        <v>0</v>
      </c>
      <c r="AZ323" s="3083">
        <f t="shared" si="156"/>
        <v>0</v>
      </c>
      <c r="BA323" s="3083">
        <f t="shared" si="157"/>
        <v>0</v>
      </c>
      <c r="BB323" s="3083">
        <f t="shared" si="158"/>
        <v>0</v>
      </c>
      <c r="BC323" s="3083">
        <f t="shared" si="159"/>
        <v>0</v>
      </c>
      <c r="BD323" s="3083">
        <f t="shared" si="160"/>
        <v>0</v>
      </c>
      <c r="BE323" s="3083">
        <f t="shared" si="161"/>
        <v>0</v>
      </c>
      <c r="BF323" s="3083">
        <f t="shared" si="162"/>
        <v>0</v>
      </c>
      <c r="BG323" s="3083">
        <f t="shared" si="163"/>
        <v>0</v>
      </c>
      <c r="BH323" s="3083">
        <f t="shared" si="164"/>
        <v>0</v>
      </c>
      <c r="BI323" s="3083">
        <f t="shared" si="165"/>
        <v>0</v>
      </c>
      <c r="BJ323" s="3083">
        <f t="shared" si="166"/>
        <v>0</v>
      </c>
      <c r="BK323" s="3083">
        <f t="shared" si="167"/>
        <v>0</v>
      </c>
      <c r="BL323" s="3083">
        <f t="shared" si="168"/>
        <v>0</v>
      </c>
      <c r="BM323" s="3083">
        <f t="shared" si="169"/>
        <v>0</v>
      </c>
      <c r="BN323" s="3083">
        <f t="shared" si="170"/>
        <v>0</v>
      </c>
      <c r="BO323" s="3083">
        <f t="shared" si="171"/>
        <v>0</v>
      </c>
      <c r="BP323" s="3083">
        <f t="shared" si="172"/>
        <v>0</v>
      </c>
      <c r="BQ323" s="3083">
        <f t="shared" si="173"/>
        <v>0</v>
      </c>
      <c r="BR323" s="3083">
        <f t="shared" si="174"/>
        <v>0</v>
      </c>
      <c r="BS323" s="3083">
        <f t="shared" si="175"/>
        <v>0</v>
      </c>
      <c r="BT323" s="3135">
        <f t="shared" si="176"/>
        <v>0</v>
      </c>
    </row>
    <row r="324" spans="1:72">
      <c r="A324" s="3080"/>
      <c r="B324" s="3081"/>
      <c r="C324" s="3081"/>
      <c r="D324" s="3082"/>
      <c r="E324" s="3083">
        <f t="shared" si="177"/>
        <v>0</v>
      </c>
      <c r="F324" s="3084"/>
      <c r="G324" s="3085">
        <f t="shared" si="152"/>
        <v>0</v>
      </c>
      <c r="H324" s="3086">
        <f t="shared" si="153"/>
        <v>0</v>
      </c>
      <c r="I324" s="3093"/>
      <c r="J324" s="3093"/>
      <c r="K324" s="3093"/>
      <c r="L324" s="3093"/>
      <c r="M324" s="3093"/>
      <c r="N324" s="3093"/>
      <c r="O324" s="3093"/>
      <c r="P324" s="3093"/>
      <c r="Q324" s="3093"/>
      <c r="R324" s="3093"/>
      <c r="S324" s="3093"/>
      <c r="T324" s="3093"/>
      <c r="U324" s="3093"/>
      <c r="V324" s="3093"/>
      <c r="W324" s="3093"/>
      <c r="X324" s="3093"/>
      <c r="Y324" s="3093"/>
      <c r="Z324" s="3093"/>
      <c r="AA324" s="3093"/>
      <c r="AB324" s="3093"/>
      <c r="AC324" s="3083">
        <f t="shared" si="154"/>
        <v>0</v>
      </c>
      <c r="AD324" s="3103"/>
      <c r="AE324" s="3103"/>
      <c r="AF324" s="3103"/>
      <c r="AG324" s="3103"/>
      <c r="AH324" s="3103"/>
      <c r="AI324" s="3103"/>
      <c r="AJ324" s="3103"/>
      <c r="AK324" s="3103"/>
      <c r="AL324" s="3103"/>
      <c r="AM324" s="3103"/>
      <c r="AN324" s="3103"/>
      <c r="AO324" s="3103"/>
      <c r="AP324" s="3103"/>
      <c r="AQ324" s="3103"/>
      <c r="AR324" s="3103"/>
      <c r="AS324" s="3103"/>
      <c r="AT324" s="3113"/>
      <c r="AU324" s="3114"/>
      <c r="AV324" s="1580">
        <f t="shared" si="178"/>
        <v>0</v>
      </c>
      <c r="AW324" s="1580">
        <f t="shared" si="179"/>
        <v>0</v>
      </c>
      <c r="AX324" s="1580">
        <f t="shared" si="180"/>
        <v>0</v>
      </c>
      <c r="AY324" s="3128">
        <f t="shared" si="155"/>
        <v>0</v>
      </c>
      <c r="AZ324" s="3083">
        <f t="shared" si="156"/>
        <v>0</v>
      </c>
      <c r="BA324" s="3083">
        <f t="shared" si="157"/>
        <v>0</v>
      </c>
      <c r="BB324" s="3083">
        <f t="shared" si="158"/>
        <v>0</v>
      </c>
      <c r="BC324" s="3083">
        <f t="shared" si="159"/>
        <v>0</v>
      </c>
      <c r="BD324" s="3083">
        <f t="shared" si="160"/>
        <v>0</v>
      </c>
      <c r="BE324" s="3083">
        <f t="shared" si="161"/>
        <v>0</v>
      </c>
      <c r="BF324" s="3083">
        <f t="shared" si="162"/>
        <v>0</v>
      </c>
      <c r="BG324" s="3083">
        <f t="shared" si="163"/>
        <v>0</v>
      </c>
      <c r="BH324" s="3083">
        <f t="shared" si="164"/>
        <v>0</v>
      </c>
      <c r="BI324" s="3083">
        <f t="shared" si="165"/>
        <v>0</v>
      </c>
      <c r="BJ324" s="3083">
        <f t="shared" si="166"/>
        <v>0</v>
      </c>
      <c r="BK324" s="3083">
        <f t="shared" si="167"/>
        <v>0</v>
      </c>
      <c r="BL324" s="3083">
        <f t="shared" si="168"/>
        <v>0</v>
      </c>
      <c r="BM324" s="3083">
        <f t="shared" si="169"/>
        <v>0</v>
      </c>
      <c r="BN324" s="3083">
        <f t="shared" si="170"/>
        <v>0</v>
      </c>
      <c r="BO324" s="3083">
        <f t="shared" si="171"/>
        <v>0</v>
      </c>
      <c r="BP324" s="3083">
        <f t="shared" si="172"/>
        <v>0</v>
      </c>
      <c r="BQ324" s="3083">
        <f t="shared" si="173"/>
        <v>0</v>
      </c>
      <c r="BR324" s="3083">
        <f t="shared" si="174"/>
        <v>0</v>
      </c>
      <c r="BS324" s="3083">
        <f t="shared" si="175"/>
        <v>0</v>
      </c>
      <c r="BT324" s="3135">
        <f t="shared" si="176"/>
        <v>0</v>
      </c>
    </row>
    <row r="325" spans="1:72">
      <c r="A325" s="3080"/>
      <c r="B325" s="3081"/>
      <c r="C325" s="3081"/>
      <c r="D325" s="3082"/>
      <c r="E325" s="3083">
        <f t="shared" si="177"/>
        <v>0</v>
      </c>
      <c r="F325" s="3084"/>
      <c r="G325" s="3085">
        <f t="shared" si="152"/>
        <v>0</v>
      </c>
      <c r="H325" s="3086">
        <f t="shared" si="153"/>
        <v>0</v>
      </c>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83">
        <f t="shared" si="154"/>
        <v>0</v>
      </c>
      <c r="AD325" s="3103"/>
      <c r="AE325" s="3103"/>
      <c r="AF325" s="3103"/>
      <c r="AG325" s="3103"/>
      <c r="AH325" s="3103"/>
      <c r="AI325" s="3103"/>
      <c r="AJ325" s="3103"/>
      <c r="AK325" s="3103"/>
      <c r="AL325" s="3103"/>
      <c r="AM325" s="3103"/>
      <c r="AN325" s="3103"/>
      <c r="AO325" s="3103"/>
      <c r="AP325" s="3103"/>
      <c r="AQ325" s="3103"/>
      <c r="AR325" s="3103"/>
      <c r="AS325" s="3103"/>
      <c r="AT325" s="3113"/>
      <c r="AU325" s="3114"/>
      <c r="AV325" s="1580">
        <f t="shared" si="178"/>
        <v>0</v>
      </c>
      <c r="AW325" s="1580">
        <f t="shared" si="179"/>
        <v>0</v>
      </c>
      <c r="AX325" s="1580">
        <f t="shared" si="180"/>
        <v>0</v>
      </c>
      <c r="AY325" s="3128">
        <f t="shared" si="155"/>
        <v>0</v>
      </c>
      <c r="AZ325" s="3083">
        <f t="shared" si="156"/>
        <v>0</v>
      </c>
      <c r="BA325" s="3083">
        <f t="shared" si="157"/>
        <v>0</v>
      </c>
      <c r="BB325" s="3083">
        <f t="shared" si="158"/>
        <v>0</v>
      </c>
      <c r="BC325" s="3083">
        <f t="shared" si="159"/>
        <v>0</v>
      </c>
      <c r="BD325" s="3083">
        <f t="shared" si="160"/>
        <v>0</v>
      </c>
      <c r="BE325" s="3083">
        <f t="shared" si="161"/>
        <v>0</v>
      </c>
      <c r="BF325" s="3083">
        <f t="shared" si="162"/>
        <v>0</v>
      </c>
      <c r="BG325" s="3083">
        <f t="shared" si="163"/>
        <v>0</v>
      </c>
      <c r="BH325" s="3083">
        <f t="shared" si="164"/>
        <v>0</v>
      </c>
      <c r="BI325" s="3083">
        <f t="shared" si="165"/>
        <v>0</v>
      </c>
      <c r="BJ325" s="3083">
        <f t="shared" si="166"/>
        <v>0</v>
      </c>
      <c r="BK325" s="3083">
        <f t="shared" si="167"/>
        <v>0</v>
      </c>
      <c r="BL325" s="3083">
        <f t="shared" si="168"/>
        <v>0</v>
      </c>
      <c r="BM325" s="3083">
        <f t="shared" si="169"/>
        <v>0</v>
      </c>
      <c r="BN325" s="3083">
        <f t="shared" si="170"/>
        <v>0</v>
      </c>
      <c r="BO325" s="3083">
        <f t="shared" si="171"/>
        <v>0</v>
      </c>
      <c r="BP325" s="3083">
        <f t="shared" si="172"/>
        <v>0</v>
      </c>
      <c r="BQ325" s="3083">
        <f t="shared" si="173"/>
        <v>0</v>
      </c>
      <c r="BR325" s="3083">
        <f t="shared" si="174"/>
        <v>0</v>
      </c>
      <c r="BS325" s="3083">
        <f t="shared" si="175"/>
        <v>0</v>
      </c>
      <c r="BT325" s="3135">
        <f t="shared" si="176"/>
        <v>0</v>
      </c>
    </row>
    <row r="326" spans="1:72">
      <c r="A326" s="3080"/>
      <c r="B326" s="3081"/>
      <c r="C326" s="3081"/>
      <c r="D326" s="3082"/>
      <c r="E326" s="3083">
        <f t="shared" si="177"/>
        <v>0</v>
      </c>
      <c r="F326" s="3084"/>
      <c r="G326" s="3085">
        <f t="shared" si="152"/>
        <v>0</v>
      </c>
      <c r="H326" s="3086">
        <f t="shared" si="153"/>
        <v>0</v>
      </c>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83">
        <f t="shared" si="154"/>
        <v>0</v>
      </c>
      <c r="AD326" s="3103"/>
      <c r="AE326" s="3103"/>
      <c r="AF326" s="3103"/>
      <c r="AG326" s="3103"/>
      <c r="AH326" s="3103"/>
      <c r="AI326" s="3103"/>
      <c r="AJ326" s="3103"/>
      <c r="AK326" s="3103"/>
      <c r="AL326" s="3103"/>
      <c r="AM326" s="3103"/>
      <c r="AN326" s="3103"/>
      <c r="AO326" s="3103"/>
      <c r="AP326" s="3103"/>
      <c r="AQ326" s="3103"/>
      <c r="AR326" s="3103"/>
      <c r="AS326" s="3103"/>
      <c r="AT326" s="3113"/>
      <c r="AU326" s="3114"/>
      <c r="AV326" s="1580">
        <f t="shared" si="178"/>
        <v>0</v>
      </c>
      <c r="AW326" s="1580">
        <f t="shared" si="179"/>
        <v>0</v>
      </c>
      <c r="AX326" s="1580">
        <f t="shared" si="180"/>
        <v>0</v>
      </c>
      <c r="AY326" s="3128">
        <f t="shared" si="155"/>
        <v>0</v>
      </c>
      <c r="AZ326" s="3083">
        <f t="shared" si="156"/>
        <v>0</v>
      </c>
      <c r="BA326" s="3083">
        <f t="shared" si="157"/>
        <v>0</v>
      </c>
      <c r="BB326" s="3083">
        <f t="shared" si="158"/>
        <v>0</v>
      </c>
      <c r="BC326" s="3083">
        <f t="shared" si="159"/>
        <v>0</v>
      </c>
      <c r="BD326" s="3083">
        <f t="shared" si="160"/>
        <v>0</v>
      </c>
      <c r="BE326" s="3083">
        <f t="shared" si="161"/>
        <v>0</v>
      </c>
      <c r="BF326" s="3083">
        <f t="shared" si="162"/>
        <v>0</v>
      </c>
      <c r="BG326" s="3083">
        <f t="shared" si="163"/>
        <v>0</v>
      </c>
      <c r="BH326" s="3083">
        <f t="shared" si="164"/>
        <v>0</v>
      </c>
      <c r="BI326" s="3083">
        <f t="shared" si="165"/>
        <v>0</v>
      </c>
      <c r="BJ326" s="3083">
        <f t="shared" si="166"/>
        <v>0</v>
      </c>
      <c r="BK326" s="3083">
        <f t="shared" si="167"/>
        <v>0</v>
      </c>
      <c r="BL326" s="3083">
        <f t="shared" si="168"/>
        <v>0</v>
      </c>
      <c r="BM326" s="3083">
        <f t="shared" si="169"/>
        <v>0</v>
      </c>
      <c r="BN326" s="3083">
        <f t="shared" si="170"/>
        <v>0</v>
      </c>
      <c r="BO326" s="3083">
        <f t="shared" si="171"/>
        <v>0</v>
      </c>
      <c r="BP326" s="3083">
        <f t="shared" si="172"/>
        <v>0</v>
      </c>
      <c r="BQ326" s="3083">
        <f t="shared" si="173"/>
        <v>0</v>
      </c>
      <c r="BR326" s="3083">
        <f t="shared" si="174"/>
        <v>0</v>
      </c>
      <c r="BS326" s="3083">
        <f t="shared" si="175"/>
        <v>0</v>
      </c>
      <c r="BT326" s="3135">
        <f t="shared" si="176"/>
        <v>0</v>
      </c>
    </row>
    <row r="327" spans="1:72">
      <c r="A327" s="3080"/>
      <c r="B327" s="3081"/>
      <c r="C327" s="3081"/>
      <c r="D327" s="3082"/>
      <c r="E327" s="3083">
        <f t="shared" si="177"/>
        <v>0</v>
      </c>
      <c r="F327" s="3084"/>
      <c r="G327" s="3085">
        <f t="shared" si="152"/>
        <v>0</v>
      </c>
      <c r="H327" s="3086">
        <f t="shared" si="153"/>
        <v>0</v>
      </c>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83">
        <f t="shared" si="154"/>
        <v>0</v>
      </c>
      <c r="AD327" s="3103"/>
      <c r="AE327" s="3103"/>
      <c r="AF327" s="3103"/>
      <c r="AG327" s="3103"/>
      <c r="AH327" s="3103"/>
      <c r="AI327" s="3103"/>
      <c r="AJ327" s="3103"/>
      <c r="AK327" s="3103"/>
      <c r="AL327" s="3103"/>
      <c r="AM327" s="3103"/>
      <c r="AN327" s="3103"/>
      <c r="AO327" s="3103"/>
      <c r="AP327" s="3103"/>
      <c r="AQ327" s="3103"/>
      <c r="AR327" s="3103"/>
      <c r="AS327" s="3103"/>
      <c r="AT327" s="3113"/>
      <c r="AU327" s="3114"/>
      <c r="AV327" s="1580">
        <f t="shared" si="178"/>
        <v>0</v>
      </c>
      <c r="AW327" s="1580">
        <f t="shared" si="179"/>
        <v>0</v>
      </c>
      <c r="AX327" s="1580">
        <f t="shared" si="180"/>
        <v>0</v>
      </c>
      <c r="AY327" s="3128">
        <f t="shared" si="155"/>
        <v>0</v>
      </c>
      <c r="AZ327" s="3083">
        <f t="shared" si="156"/>
        <v>0</v>
      </c>
      <c r="BA327" s="3083">
        <f t="shared" si="157"/>
        <v>0</v>
      </c>
      <c r="BB327" s="3083">
        <f t="shared" si="158"/>
        <v>0</v>
      </c>
      <c r="BC327" s="3083">
        <f t="shared" si="159"/>
        <v>0</v>
      </c>
      <c r="BD327" s="3083">
        <f t="shared" si="160"/>
        <v>0</v>
      </c>
      <c r="BE327" s="3083">
        <f t="shared" si="161"/>
        <v>0</v>
      </c>
      <c r="BF327" s="3083">
        <f t="shared" si="162"/>
        <v>0</v>
      </c>
      <c r="BG327" s="3083">
        <f t="shared" si="163"/>
        <v>0</v>
      </c>
      <c r="BH327" s="3083">
        <f t="shared" si="164"/>
        <v>0</v>
      </c>
      <c r="BI327" s="3083">
        <f t="shared" si="165"/>
        <v>0</v>
      </c>
      <c r="BJ327" s="3083">
        <f t="shared" si="166"/>
        <v>0</v>
      </c>
      <c r="BK327" s="3083">
        <f t="shared" si="167"/>
        <v>0</v>
      </c>
      <c r="BL327" s="3083">
        <f t="shared" si="168"/>
        <v>0</v>
      </c>
      <c r="BM327" s="3083">
        <f t="shared" si="169"/>
        <v>0</v>
      </c>
      <c r="BN327" s="3083">
        <f t="shared" si="170"/>
        <v>0</v>
      </c>
      <c r="BO327" s="3083">
        <f t="shared" si="171"/>
        <v>0</v>
      </c>
      <c r="BP327" s="3083">
        <f t="shared" si="172"/>
        <v>0</v>
      </c>
      <c r="BQ327" s="3083">
        <f t="shared" si="173"/>
        <v>0</v>
      </c>
      <c r="BR327" s="3083">
        <f t="shared" si="174"/>
        <v>0</v>
      </c>
      <c r="BS327" s="3083">
        <f t="shared" si="175"/>
        <v>0</v>
      </c>
      <c r="BT327" s="3135">
        <f t="shared" si="176"/>
        <v>0</v>
      </c>
    </row>
    <row r="328" spans="1:72">
      <c r="A328" s="3080"/>
      <c r="B328" s="3081"/>
      <c r="C328" s="3081"/>
      <c r="D328" s="3082"/>
      <c r="E328" s="3083">
        <f t="shared" si="177"/>
        <v>0</v>
      </c>
      <c r="F328" s="3084"/>
      <c r="G328" s="3085">
        <f t="shared" si="152"/>
        <v>0</v>
      </c>
      <c r="H328" s="3086">
        <f t="shared" si="153"/>
        <v>0</v>
      </c>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83">
        <f t="shared" si="154"/>
        <v>0</v>
      </c>
      <c r="AD328" s="3103"/>
      <c r="AE328" s="3103"/>
      <c r="AF328" s="3103"/>
      <c r="AG328" s="3103"/>
      <c r="AH328" s="3103"/>
      <c r="AI328" s="3103"/>
      <c r="AJ328" s="3103"/>
      <c r="AK328" s="3103"/>
      <c r="AL328" s="3103"/>
      <c r="AM328" s="3103"/>
      <c r="AN328" s="3103"/>
      <c r="AO328" s="3103"/>
      <c r="AP328" s="3103"/>
      <c r="AQ328" s="3103"/>
      <c r="AR328" s="3103"/>
      <c r="AS328" s="3103"/>
      <c r="AT328" s="3113"/>
      <c r="AU328" s="3114"/>
      <c r="AV328" s="1580">
        <f t="shared" si="178"/>
        <v>0</v>
      </c>
      <c r="AW328" s="1580">
        <f t="shared" si="179"/>
        <v>0</v>
      </c>
      <c r="AX328" s="1580">
        <f t="shared" si="180"/>
        <v>0</v>
      </c>
      <c r="AY328" s="3128">
        <f t="shared" si="155"/>
        <v>0</v>
      </c>
      <c r="AZ328" s="3083">
        <f t="shared" si="156"/>
        <v>0</v>
      </c>
      <c r="BA328" s="3083">
        <f t="shared" si="157"/>
        <v>0</v>
      </c>
      <c r="BB328" s="3083">
        <f t="shared" si="158"/>
        <v>0</v>
      </c>
      <c r="BC328" s="3083">
        <f t="shared" si="159"/>
        <v>0</v>
      </c>
      <c r="BD328" s="3083">
        <f t="shared" si="160"/>
        <v>0</v>
      </c>
      <c r="BE328" s="3083">
        <f t="shared" si="161"/>
        <v>0</v>
      </c>
      <c r="BF328" s="3083">
        <f t="shared" si="162"/>
        <v>0</v>
      </c>
      <c r="BG328" s="3083">
        <f t="shared" si="163"/>
        <v>0</v>
      </c>
      <c r="BH328" s="3083">
        <f t="shared" si="164"/>
        <v>0</v>
      </c>
      <c r="BI328" s="3083">
        <f t="shared" si="165"/>
        <v>0</v>
      </c>
      <c r="BJ328" s="3083">
        <f t="shared" si="166"/>
        <v>0</v>
      </c>
      <c r="BK328" s="3083">
        <f t="shared" si="167"/>
        <v>0</v>
      </c>
      <c r="BL328" s="3083">
        <f t="shared" si="168"/>
        <v>0</v>
      </c>
      <c r="BM328" s="3083">
        <f t="shared" si="169"/>
        <v>0</v>
      </c>
      <c r="BN328" s="3083">
        <f t="shared" si="170"/>
        <v>0</v>
      </c>
      <c r="BO328" s="3083">
        <f t="shared" si="171"/>
        <v>0</v>
      </c>
      <c r="BP328" s="3083">
        <f t="shared" si="172"/>
        <v>0</v>
      </c>
      <c r="BQ328" s="3083">
        <f t="shared" si="173"/>
        <v>0</v>
      </c>
      <c r="BR328" s="3083">
        <f t="shared" si="174"/>
        <v>0</v>
      </c>
      <c r="BS328" s="3083">
        <f t="shared" si="175"/>
        <v>0</v>
      </c>
      <c r="BT328" s="3135">
        <f t="shared" si="176"/>
        <v>0</v>
      </c>
    </row>
    <row r="329" spans="1:72">
      <c r="A329" s="3080"/>
      <c r="B329" s="3081"/>
      <c r="C329" s="3081"/>
      <c r="D329" s="3082"/>
      <c r="E329" s="3083">
        <f t="shared" si="177"/>
        <v>0</v>
      </c>
      <c r="F329" s="3084"/>
      <c r="G329" s="3085">
        <f t="shared" si="152"/>
        <v>0</v>
      </c>
      <c r="H329" s="3086">
        <f t="shared" si="153"/>
        <v>0</v>
      </c>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83">
        <f t="shared" si="154"/>
        <v>0</v>
      </c>
      <c r="AD329" s="3103"/>
      <c r="AE329" s="3103"/>
      <c r="AF329" s="3103"/>
      <c r="AG329" s="3103"/>
      <c r="AH329" s="3103"/>
      <c r="AI329" s="3103"/>
      <c r="AJ329" s="3103"/>
      <c r="AK329" s="3103"/>
      <c r="AL329" s="3103"/>
      <c r="AM329" s="3103"/>
      <c r="AN329" s="3103"/>
      <c r="AO329" s="3103"/>
      <c r="AP329" s="3103"/>
      <c r="AQ329" s="3103"/>
      <c r="AR329" s="3103"/>
      <c r="AS329" s="3103"/>
      <c r="AT329" s="3113"/>
      <c r="AU329" s="3114"/>
      <c r="AV329" s="1580">
        <f t="shared" si="178"/>
        <v>0</v>
      </c>
      <c r="AW329" s="1580">
        <f t="shared" si="179"/>
        <v>0</v>
      </c>
      <c r="AX329" s="1580">
        <f t="shared" si="180"/>
        <v>0</v>
      </c>
      <c r="AY329" s="3128">
        <f t="shared" si="155"/>
        <v>0</v>
      </c>
      <c r="AZ329" s="3083">
        <f t="shared" si="156"/>
        <v>0</v>
      </c>
      <c r="BA329" s="3083">
        <f t="shared" si="157"/>
        <v>0</v>
      </c>
      <c r="BB329" s="3083">
        <f t="shared" si="158"/>
        <v>0</v>
      </c>
      <c r="BC329" s="3083">
        <f t="shared" si="159"/>
        <v>0</v>
      </c>
      <c r="BD329" s="3083">
        <f t="shared" si="160"/>
        <v>0</v>
      </c>
      <c r="BE329" s="3083">
        <f t="shared" si="161"/>
        <v>0</v>
      </c>
      <c r="BF329" s="3083">
        <f t="shared" si="162"/>
        <v>0</v>
      </c>
      <c r="BG329" s="3083">
        <f t="shared" si="163"/>
        <v>0</v>
      </c>
      <c r="BH329" s="3083">
        <f t="shared" si="164"/>
        <v>0</v>
      </c>
      <c r="BI329" s="3083">
        <f t="shared" si="165"/>
        <v>0</v>
      </c>
      <c r="BJ329" s="3083">
        <f t="shared" si="166"/>
        <v>0</v>
      </c>
      <c r="BK329" s="3083">
        <f t="shared" si="167"/>
        <v>0</v>
      </c>
      <c r="BL329" s="3083">
        <f t="shared" si="168"/>
        <v>0</v>
      </c>
      <c r="BM329" s="3083">
        <f t="shared" si="169"/>
        <v>0</v>
      </c>
      <c r="BN329" s="3083">
        <f t="shared" si="170"/>
        <v>0</v>
      </c>
      <c r="BO329" s="3083">
        <f t="shared" si="171"/>
        <v>0</v>
      </c>
      <c r="BP329" s="3083">
        <f t="shared" si="172"/>
        <v>0</v>
      </c>
      <c r="BQ329" s="3083">
        <f t="shared" si="173"/>
        <v>0</v>
      </c>
      <c r="BR329" s="3083">
        <f t="shared" si="174"/>
        <v>0</v>
      </c>
      <c r="BS329" s="3083">
        <f t="shared" si="175"/>
        <v>0</v>
      </c>
      <c r="BT329" s="3135">
        <f t="shared" si="176"/>
        <v>0</v>
      </c>
    </row>
    <row r="330" spans="1:72">
      <c r="A330" s="3080"/>
      <c r="B330" s="3081"/>
      <c r="C330" s="3081"/>
      <c r="D330" s="3082"/>
      <c r="E330" s="3083">
        <f t="shared" si="177"/>
        <v>0</v>
      </c>
      <c r="F330" s="3084"/>
      <c r="G330" s="3085">
        <f t="shared" si="152"/>
        <v>0</v>
      </c>
      <c r="H330" s="3086">
        <f t="shared" si="153"/>
        <v>0</v>
      </c>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83">
        <f t="shared" si="154"/>
        <v>0</v>
      </c>
      <c r="AD330" s="3103"/>
      <c r="AE330" s="3103"/>
      <c r="AF330" s="3103"/>
      <c r="AG330" s="3103"/>
      <c r="AH330" s="3103"/>
      <c r="AI330" s="3103"/>
      <c r="AJ330" s="3103"/>
      <c r="AK330" s="3103"/>
      <c r="AL330" s="3103"/>
      <c r="AM330" s="3103"/>
      <c r="AN330" s="3103"/>
      <c r="AO330" s="3103"/>
      <c r="AP330" s="3103"/>
      <c r="AQ330" s="3103"/>
      <c r="AR330" s="3103"/>
      <c r="AS330" s="3103"/>
      <c r="AT330" s="3113"/>
      <c r="AU330" s="3114"/>
      <c r="AV330" s="1580">
        <f t="shared" si="178"/>
        <v>0</v>
      </c>
      <c r="AW330" s="1580">
        <f t="shared" si="179"/>
        <v>0</v>
      </c>
      <c r="AX330" s="1580">
        <f t="shared" si="180"/>
        <v>0</v>
      </c>
      <c r="AY330" s="3128">
        <f t="shared" si="155"/>
        <v>0</v>
      </c>
      <c r="AZ330" s="3083">
        <f t="shared" si="156"/>
        <v>0</v>
      </c>
      <c r="BA330" s="3083">
        <f t="shared" si="157"/>
        <v>0</v>
      </c>
      <c r="BB330" s="3083">
        <f t="shared" si="158"/>
        <v>0</v>
      </c>
      <c r="BC330" s="3083">
        <f t="shared" si="159"/>
        <v>0</v>
      </c>
      <c r="BD330" s="3083">
        <f t="shared" si="160"/>
        <v>0</v>
      </c>
      <c r="BE330" s="3083">
        <f t="shared" si="161"/>
        <v>0</v>
      </c>
      <c r="BF330" s="3083">
        <f t="shared" si="162"/>
        <v>0</v>
      </c>
      <c r="BG330" s="3083">
        <f t="shared" si="163"/>
        <v>0</v>
      </c>
      <c r="BH330" s="3083">
        <f t="shared" si="164"/>
        <v>0</v>
      </c>
      <c r="BI330" s="3083">
        <f t="shared" si="165"/>
        <v>0</v>
      </c>
      <c r="BJ330" s="3083">
        <f t="shared" si="166"/>
        <v>0</v>
      </c>
      <c r="BK330" s="3083">
        <f t="shared" si="167"/>
        <v>0</v>
      </c>
      <c r="BL330" s="3083">
        <f t="shared" si="168"/>
        <v>0</v>
      </c>
      <c r="BM330" s="3083">
        <f t="shared" si="169"/>
        <v>0</v>
      </c>
      <c r="BN330" s="3083">
        <f t="shared" si="170"/>
        <v>0</v>
      </c>
      <c r="BO330" s="3083">
        <f t="shared" si="171"/>
        <v>0</v>
      </c>
      <c r="BP330" s="3083">
        <f t="shared" si="172"/>
        <v>0</v>
      </c>
      <c r="BQ330" s="3083">
        <f t="shared" si="173"/>
        <v>0</v>
      </c>
      <c r="BR330" s="3083">
        <f t="shared" si="174"/>
        <v>0</v>
      </c>
      <c r="BS330" s="3083">
        <f t="shared" si="175"/>
        <v>0</v>
      </c>
      <c r="BT330" s="3135">
        <f t="shared" si="176"/>
        <v>0</v>
      </c>
    </row>
    <row r="331" spans="1:72">
      <c r="A331" s="3080"/>
      <c r="B331" s="3081"/>
      <c r="C331" s="3081"/>
      <c r="D331" s="3082"/>
      <c r="E331" s="3083">
        <f t="shared" si="177"/>
        <v>0</v>
      </c>
      <c r="F331" s="3084"/>
      <c r="G331" s="3085">
        <f t="shared" si="152"/>
        <v>0</v>
      </c>
      <c r="H331" s="3086">
        <f t="shared" si="153"/>
        <v>0</v>
      </c>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83">
        <f t="shared" si="154"/>
        <v>0</v>
      </c>
      <c r="AD331" s="3103"/>
      <c r="AE331" s="3103"/>
      <c r="AF331" s="3103"/>
      <c r="AG331" s="3103"/>
      <c r="AH331" s="3103"/>
      <c r="AI331" s="3103"/>
      <c r="AJ331" s="3103"/>
      <c r="AK331" s="3103"/>
      <c r="AL331" s="3103"/>
      <c r="AM331" s="3103"/>
      <c r="AN331" s="3103"/>
      <c r="AO331" s="3103"/>
      <c r="AP331" s="3103"/>
      <c r="AQ331" s="3103"/>
      <c r="AR331" s="3103"/>
      <c r="AS331" s="3103"/>
      <c r="AT331" s="3113"/>
      <c r="AU331" s="3114"/>
      <c r="AV331" s="1580">
        <f t="shared" si="178"/>
        <v>0</v>
      </c>
      <c r="AW331" s="1580">
        <f t="shared" si="179"/>
        <v>0</v>
      </c>
      <c r="AX331" s="1580">
        <f t="shared" si="180"/>
        <v>0</v>
      </c>
      <c r="AY331" s="3128">
        <f t="shared" si="155"/>
        <v>0</v>
      </c>
      <c r="AZ331" s="3083">
        <f t="shared" si="156"/>
        <v>0</v>
      </c>
      <c r="BA331" s="3083">
        <f t="shared" si="157"/>
        <v>0</v>
      </c>
      <c r="BB331" s="3083">
        <f t="shared" si="158"/>
        <v>0</v>
      </c>
      <c r="BC331" s="3083">
        <f t="shared" si="159"/>
        <v>0</v>
      </c>
      <c r="BD331" s="3083">
        <f t="shared" si="160"/>
        <v>0</v>
      </c>
      <c r="BE331" s="3083">
        <f t="shared" si="161"/>
        <v>0</v>
      </c>
      <c r="BF331" s="3083">
        <f t="shared" si="162"/>
        <v>0</v>
      </c>
      <c r="BG331" s="3083">
        <f t="shared" si="163"/>
        <v>0</v>
      </c>
      <c r="BH331" s="3083">
        <f t="shared" si="164"/>
        <v>0</v>
      </c>
      <c r="BI331" s="3083">
        <f t="shared" si="165"/>
        <v>0</v>
      </c>
      <c r="BJ331" s="3083">
        <f t="shared" si="166"/>
        <v>0</v>
      </c>
      <c r="BK331" s="3083">
        <f t="shared" si="167"/>
        <v>0</v>
      </c>
      <c r="BL331" s="3083">
        <f t="shared" si="168"/>
        <v>0</v>
      </c>
      <c r="BM331" s="3083">
        <f t="shared" si="169"/>
        <v>0</v>
      </c>
      <c r="BN331" s="3083">
        <f t="shared" si="170"/>
        <v>0</v>
      </c>
      <c r="BO331" s="3083">
        <f t="shared" si="171"/>
        <v>0</v>
      </c>
      <c r="BP331" s="3083">
        <f t="shared" si="172"/>
        <v>0</v>
      </c>
      <c r="BQ331" s="3083">
        <f t="shared" si="173"/>
        <v>0</v>
      </c>
      <c r="BR331" s="3083">
        <f t="shared" si="174"/>
        <v>0</v>
      </c>
      <c r="BS331" s="3083">
        <f t="shared" si="175"/>
        <v>0</v>
      </c>
      <c r="BT331" s="3135">
        <f t="shared" si="176"/>
        <v>0</v>
      </c>
    </row>
    <row r="332" spans="1:72">
      <c r="A332" s="3080"/>
      <c r="B332" s="3081"/>
      <c r="C332" s="3081"/>
      <c r="D332" s="3082"/>
      <c r="E332" s="3083">
        <f t="shared" si="177"/>
        <v>0</v>
      </c>
      <c r="F332" s="3084"/>
      <c r="G332" s="3085">
        <f t="shared" ref="G332:G363" si="181">H332+AC332+AT332</f>
        <v>0</v>
      </c>
      <c r="H332" s="3086">
        <f t="shared" ref="H332:H363" si="182">SUMIF(I$12:AB$12,"总值",I332:AB332)</f>
        <v>0</v>
      </c>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83">
        <f t="shared" ref="AC332:AC363" si="183">SUMIF(AD$12:AS$12,"总值",AD332:AS332)</f>
        <v>0</v>
      </c>
      <c r="AD332" s="3103"/>
      <c r="AE332" s="3103"/>
      <c r="AF332" s="3103"/>
      <c r="AG332" s="3103"/>
      <c r="AH332" s="3103"/>
      <c r="AI332" s="3103"/>
      <c r="AJ332" s="3103"/>
      <c r="AK332" s="3103"/>
      <c r="AL332" s="3103"/>
      <c r="AM332" s="3103"/>
      <c r="AN332" s="3103"/>
      <c r="AO332" s="3103"/>
      <c r="AP332" s="3103"/>
      <c r="AQ332" s="3103"/>
      <c r="AR332" s="3103"/>
      <c r="AS332" s="3103"/>
      <c r="AT332" s="3113"/>
      <c r="AU332" s="3114"/>
      <c r="AV332" s="1580">
        <f t="shared" si="178"/>
        <v>0</v>
      </c>
      <c r="AW332" s="1580">
        <f t="shared" si="179"/>
        <v>0</v>
      </c>
      <c r="AX332" s="1580">
        <f t="shared" si="180"/>
        <v>0</v>
      </c>
      <c r="AY332" s="3128">
        <f t="shared" ref="AY332:AY363" si="184">ROUND($AY$6*AZ332/$AZ$5,2)</f>
        <v>0</v>
      </c>
      <c r="AZ332" s="3083">
        <f t="shared" ref="AZ332:AZ363" si="185">BA332+BL332</f>
        <v>0</v>
      </c>
      <c r="BA332" s="3083">
        <f t="shared" ref="BA332:BA363" si="186">SUM(BB332:BK332)</f>
        <v>0</v>
      </c>
      <c r="BB332" s="3083">
        <f t="shared" ref="BB332:BB363" si="187">IF($D332="是",I332-J332,0)</f>
        <v>0</v>
      </c>
      <c r="BC332" s="3083">
        <f t="shared" ref="BC332:BC363" si="188">IF($D332="是",K332-L332,0)</f>
        <v>0</v>
      </c>
      <c r="BD332" s="3083">
        <f t="shared" ref="BD332:BD363" si="189">IF($D332="是",M332-N332,0)</f>
        <v>0</v>
      </c>
      <c r="BE332" s="3083">
        <f t="shared" ref="BE332:BE363" si="190">IF($D332="是",O332-P332,0)</f>
        <v>0</v>
      </c>
      <c r="BF332" s="3083">
        <f t="shared" ref="BF332:BF363" si="191">IF($D332="是",Q332-R332,0)</f>
        <v>0</v>
      </c>
      <c r="BG332" s="3083">
        <f t="shared" ref="BG332:BG363" si="192">IF($D332="是",S332-T332,0)</f>
        <v>0</v>
      </c>
      <c r="BH332" s="3083">
        <f t="shared" ref="BH332:BH363" si="193">IF($D332="是",U332-V332,0)</f>
        <v>0</v>
      </c>
      <c r="BI332" s="3083">
        <f t="shared" ref="BI332:BI363" si="194">IF($D332="是",W332-X332,0)</f>
        <v>0</v>
      </c>
      <c r="BJ332" s="3083">
        <f t="shared" ref="BJ332:BJ363" si="195">IF($D332="是",Y332-Z332,0)</f>
        <v>0</v>
      </c>
      <c r="BK332" s="3083">
        <f t="shared" ref="BK332:BK363" si="196">IF($D332="是",AA332-AB332,0)</f>
        <v>0</v>
      </c>
      <c r="BL332" s="3083">
        <f t="shared" ref="BL332:BL363" si="197">SUM(BM332:BT332)</f>
        <v>0</v>
      </c>
      <c r="BM332" s="3083">
        <f t="shared" ref="BM332:BM363" si="198">IF($D332="是",AD332-AE332,0)</f>
        <v>0</v>
      </c>
      <c r="BN332" s="3083">
        <f t="shared" ref="BN332:BN363" si="199">IF($D332="是",AF332-AG332,0)</f>
        <v>0</v>
      </c>
      <c r="BO332" s="3083">
        <f t="shared" ref="BO332:BO363" si="200">IF($D332="是",AH332-AI332,0)</f>
        <v>0</v>
      </c>
      <c r="BP332" s="3083">
        <f t="shared" ref="BP332:BP363" si="201">IF($D332="是",AJ332-AK332,0)</f>
        <v>0</v>
      </c>
      <c r="BQ332" s="3083">
        <f t="shared" ref="BQ332:BQ363" si="202">IF($D332="是",AL332-AM332,0)</f>
        <v>0</v>
      </c>
      <c r="BR332" s="3083">
        <f t="shared" ref="BR332:BR363" si="203">IF($D332="是",AN332-AO332,0)</f>
        <v>0</v>
      </c>
      <c r="BS332" s="3083">
        <f t="shared" ref="BS332:BS363" si="204">IF($D332="是",AP332-AQ332,0)</f>
        <v>0</v>
      </c>
      <c r="BT332" s="3135">
        <f t="shared" ref="BT332:BT363" si="205">IF($D332="是",AR332-AS332,0)</f>
        <v>0</v>
      </c>
    </row>
    <row r="333" spans="1:72">
      <c r="A333" s="3080"/>
      <c r="B333" s="3081"/>
      <c r="C333" s="3081"/>
      <c r="D333" s="3082"/>
      <c r="E333" s="3083">
        <f t="shared" si="177"/>
        <v>0</v>
      </c>
      <c r="F333" s="3084"/>
      <c r="G333" s="3085">
        <f t="shared" si="181"/>
        <v>0</v>
      </c>
      <c r="H333" s="3086">
        <f t="shared" si="182"/>
        <v>0</v>
      </c>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83">
        <f t="shared" si="183"/>
        <v>0</v>
      </c>
      <c r="AD333" s="3103"/>
      <c r="AE333" s="3103"/>
      <c r="AF333" s="3103"/>
      <c r="AG333" s="3103"/>
      <c r="AH333" s="3103"/>
      <c r="AI333" s="3103"/>
      <c r="AJ333" s="3103"/>
      <c r="AK333" s="3103"/>
      <c r="AL333" s="3103"/>
      <c r="AM333" s="3103"/>
      <c r="AN333" s="3103"/>
      <c r="AO333" s="3103"/>
      <c r="AP333" s="3103"/>
      <c r="AQ333" s="3103"/>
      <c r="AR333" s="3103"/>
      <c r="AS333" s="3103"/>
      <c r="AT333" s="3113"/>
      <c r="AU333" s="3114"/>
      <c r="AV333" s="1580">
        <f t="shared" si="178"/>
        <v>0</v>
      </c>
      <c r="AW333" s="1580">
        <f t="shared" si="179"/>
        <v>0</v>
      </c>
      <c r="AX333" s="1580">
        <f t="shared" si="180"/>
        <v>0</v>
      </c>
      <c r="AY333" s="3128">
        <f t="shared" si="184"/>
        <v>0</v>
      </c>
      <c r="AZ333" s="3083">
        <f t="shared" si="185"/>
        <v>0</v>
      </c>
      <c r="BA333" s="3083">
        <f t="shared" si="186"/>
        <v>0</v>
      </c>
      <c r="BB333" s="3083">
        <f t="shared" si="187"/>
        <v>0</v>
      </c>
      <c r="BC333" s="3083">
        <f t="shared" si="188"/>
        <v>0</v>
      </c>
      <c r="BD333" s="3083">
        <f t="shared" si="189"/>
        <v>0</v>
      </c>
      <c r="BE333" s="3083">
        <f t="shared" si="190"/>
        <v>0</v>
      </c>
      <c r="BF333" s="3083">
        <f t="shared" si="191"/>
        <v>0</v>
      </c>
      <c r="BG333" s="3083">
        <f t="shared" si="192"/>
        <v>0</v>
      </c>
      <c r="BH333" s="3083">
        <f t="shared" si="193"/>
        <v>0</v>
      </c>
      <c r="BI333" s="3083">
        <f t="shared" si="194"/>
        <v>0</v>
      </c>
      <c r="BJ333" s="3083">
        <f t="shared" si="195"/>
        <v>0</v>
      </c>
      <c r="BK333" s="3083">
        <f t="shared" si="196"/>
        <v>0</v>
      </c>
      <c r="BL333" s="3083">
        <f t="shared" si="197"/>
        <v>0</v>
      </c>
      <c r="BM333" s="3083">
        <f t="shared" si="198"/>
        <v>0</v>
      </c>
      <c r="BN333" s="3083">
        <f t="shared" si="199"/>
        <v>0</v>
      </c>
      <c r="BO333" s="3083">
        <f t="shared" si="200"/>
        <v>0</v>
      </c>
      <c r="BP333" s="3083">
        <f t="shared" si="201"/>
        <v>0</v>
      </c>
      <c r="BQ333" s="3083">
        <f t="shared" si="202"/>
        <v>0</v>
      </c>
      <c r="BR333" s="3083">
        <f t="shared" si="203"/>
        <v>0</v>
      </c>
      <c r="BS333" s="3083">
        <f t="shared" si="204"/>
        <v>0</v>
      </c>
      <c r="BT333" s="3135">
        <f t="shared" si="205"/>
        <v>0</v>
      </c>
    </row>
    <row r="334" spans="1:72">
      <c r="A334" s="3080"/>
      <c r="B334" s="3081"/>
      <c r="C334" s="3081"/>
      <c r="D334" s="3082"/>
      <c r="E334" s="3083">
        <f t="shared" si="177"/>
        <v>0</v>
      </c>
      <c r="F334" s="3084"/>
      <c r="G334" s="3085">
        <f t="shared" si="181"/>
        <v>0</v>
      </c>
      <c r="H334" s="3086">
        <f t="shared" si="182"/>
        <v>0</v>
      </c>
      <c r="I334" s="3093"/>
      <c r="J334" s="3093"/>
      <c r="K334" s="3093"/>
      <c r="L334" s="3093"/>
      <c r="M334" s="3093"/>
      <c r="N334" s="3093"/>
      <c r="O334" s="3093"/>
      <c r="P334" s="3093"/>
      <c r="Q334" s="3093"/>
      <c r="R334" s="3093"/>
      <c r="S334" s="3093"/>
      <c r="T334" s="3093"/>
      <c r="U334" s="3093"/>
      <c r="V334" s="3093"/>
      <c r="W334" s="3093"/>
      <c r="X334" s="3093"/>
      <c r="Y334" s="3093"/>
      <c r="Z334" s="3093"/>
      <c r="AA334" s="3093"/>
      <c r="AB334" s="3093"/>
      <c r="AC334" s="3083">
        <f t="shared" si="183"/>
        <v>0</v>
      </c>
      <c r="AD334" s="3103"/>
      <c r="AE334" s="3103"/>
      <c r="AF334" s="3103"/>
      <c r="AG334" s="3103"/>
      <c r="AH334" s="3103"/>
      <c r="AI334" s="3103"/>
      <c r="AJ334" s="3103"/>
      <c r="AK334" s="3103"/>
      <c r="AL334" s="3103"/>
      <c r="AM334" s="3103"/>
      <c r="AN334" s="3103"/>
      <c r="AO334" s="3103"/>
      <c r="AP334" s="3103"/>
      <c r="AQ334" s="3103"/>
      <c r="AR334" s="3103"/>
      <c r="AS334" s="3103"/>
      <c r="AT334" s="3113"/>
      <c r="AU334" s="3114"/>
      <c r="AV334" s="1580">
        <f t="shared" si="178"/>
        <v>0</v>
      </c>
      <c r="AW334" s="1580">
        <f t="shared" si="179"/>
        <v>0</v>
      </c>
      <c r="AX334" s="1580">
        <f t="shared" si="180"/>
        <v>0</v>
      </c>
      <c r="AY334" s="3128">
        <f t="shared" si="184"/>
        <v>0</v>
      </c>
      <c r="AZ334" s="3083">
        <f t="shared" si="185"/>
        <v>0</v>
      </c>
      <c r="BA334" s="3083">
        <f t="shared" si="186"/>
        <v>0</v>
      </c>
      <c r="BB334" s="3083">
        <f t="shared" si="187"/>
        <v>0</v>
      </c>
      <c r="BC334" s="3083">
        <f t="shared" si="188"/>
        <v>0</v>
      </c>
      <c r="BD334" s="3083">
        <f t="shared" si="189"/>
        <v>0</v>
      </c>
      <c r="BE334" s="3083">
        <f t="shared" si="190"/>
        <v>0</v>
      </c>
      <c r="BF334" s="3083">
        <f t="shared" si="191"/>
        <v>0</v>
      </c>
      <c r="BG334" s="3083">
        <f t="shared" si="192"/>
        <v>0</v>
      </c>
      <c r="BH334" s="3083">
        <f t="shared" si="193"/>
        <v>0</v>
      </c>
      <c r="BI334" s="3083">
        <f t="shared" si="194"/>
        <v>0</v>
      </c>
      <c r="BJ334" s="3083">
        <f t="shared" si="195"/>
        <v>0</v>
      </c>
      <c r="BK334" s="3083">
        <f t="shared" si="196"/>
        <v>0</v>
      </c>
      <c r="BL334" s="3083">
        <f t="shared" si="197"/>
        <v>0</v>
      </c>
      <c r="BM334" s="3083">
        <f t="shared" si="198"/>
        <v>0</v>
      </c>
      <c r="BN334" s="3083">
        <f t="shared" si="199"/>
        <v>0</v>
      </c>
      <c r="BO334" s="3083">
        <f t="shared" si="200"/>
        <v>0</v>
      </c>
      <c r="BP334" s="3083">
        <f t="shared" si="201"/>
        <v>0</v>
      </c>
      <c r="BQ334" s="3083">
        <f t="shared" si="202"/>
        <v>0</v>
      </c>
      <c r="BR334" s="3083">
        <f t="shared" si="203"/>
        <v>0</v>
      </c>
      <c r="BS334" s="3083">
        <f t="shared" si="204"/>
        <v>0</v>
      </c>
      <c r="BT334" s="3135">
        <f t="shared" si="205"/>
        <v>0</v>
      </c>
    </row>
    <row r="335" spans="1:72">
      <c r="A335" s="3080"/>
      <c r="B335" s="3081"/>
      <c r="C335" s="3081"/>
      <c r="D335" s="3082"/>
      <c r="E335" s="3083">
        <f t="shared" ref="E335:E366" si="206">IF($C$3="是",ROUND($A$3*G335/$B$3,2),ROUND($A$3*(G335-AT335)/$B$3,2))</f>
        <v>0</v>
      </c>
      <c r="F335" s="3084"/>
      <c r="G335" s="3085">
        <f t="shared" si="181"/>
        <v>0</v>
      </c>
      <c r="H335" s="3086">
        <f t="shared" si="182"/>
        <v>0</v>
      </c>
      <c r="I335" s="3093"/>
      <c r="J335" s="3093"/>
      <c r="K335" s="3093"/>
      <c r="L335" s="3093"/>
      <c r="M335" s="3093"/>
      <c r="N335" s="3093"/>
      <c r="O335" s="3093"/>
      <c r="P335" s="3093"/>
      <c r="Q335" s="3093"/>
      <c r="R335" s="3093"/>
      <c r="S335" s="3093"/>
      <c r="T335" s="3093"/>
      <c r="U335" s="3093"/>
      <c r="V335" s="3093"/>
      <c r="W335" s="3093"/>
      <c r="X335" s="3093"/>
      <c r="Y335" s="3093"/>
      <c r="Z335" s="3093"/>
      <c r="AA335" s="3093"/>
      <c r="AB335" s="3093"/>
      <c r="AC335" s="3083">
        <f t="shared" si="183"/>
        <v>0</v>
      </c>
      <c r="AD335" s="3103"/>
      <c r="AE335" s="3103"/>
      <c r="AF335" s="3103"/>
      <c r="AG335" s="3103"/>
      <c r="AH335" s="3103"/>
      <c r="AI335" s="3103"/>
      <c r="AJ335" s="3103"/>
      <c r="AK335" s="3103"/>
      <c r="AL335" s="3103"/>
      <c r="AM335" s="3103"/>
      <c r="AN335" s="3103"/>
      <c r="AO335" s="3103"/>
      <c r="AP335" s="3103"/>
      <c r="AQ335" s="3103"/>
      <c r="AR335" s="3103"/>
      <c r="AS335" s="3103"/>
      <c r="AT335" s="3113"/>
      <c r="AU335" s="3114"/>
      <c r="AV335" s="1580">
        <f t="shared" ref="AV335:AV366" si="207">A335</f>
        <v>0</v>
      </c>
      <c r="AW335" s="1580">
        <f t="shared" ref="AW335:AW366" si="208">B335</f>
        <v>0</v>
      </c>
      <c r="AX335" s="1580">
        <f t="shared" ref="AX335:AX366" si="209">C335</f>
        <v>0</v>
      </c>
      <c r="AY335" s="3128">
        <f t="shared" si="184"/>
        <v>0</v>
      </c>
      <c r="AZ335" s="3083">
        <f t="shared" si="185"/>
        <v>0</v>
      </c>
      <c r="BA335" s="3083">
        <f t="shared" si="186"/>
        <v>0</v>
      </c>
      <c r="BB335" s="3083">
        <f t="shared" si="187"/>
        <v>0</v>
      </c>
      <c r="BC335" s="3083">
        <f t="shared" si="188"/>
        <v>0</v>
      </c>
      <c r="BD335" s="3083">
        <f t="shared" si="189"/>
        <v>0</v>
      </c>
      <c r="BE335" s="3083">
        <f t="shared" si="190"/>
        <v>0</v>
      </c>
      <c r="BF335" s="3083">
        <f t="shared" si="191"/>
        <v>0</v>
      </c>
      <c r="BG335" s="3083">
        <f t="shared" si="192"/>
        <v>0</v>
      </c>
      <c r="BH335" s="3083">
        <f t="shared" si="193"/>
        <v>0</v>
      </c>
      <c r="BI335" s="3083">
        <f t="shared" si="194"/>
        <v>0</v>
      </c>
      <c r="BJ335" s="3083">
        <f t="shared" si="195"/>
        <v>0</v>
      </c>
      <c r="BK335" s="3083">
        <f t="shared" si="196"/>
        <v>0</v>
      </c>
      <c r="BL335" s="3083">
        <f t="shared" si="197"/>
        <v>0</v>
      </c>
      <c r="BM335" s="3083">
        <f t="shared" si="198"/>
        <v>0</v>
      </c>
      <c r="BN335" s="3083">
        <f t="shared" si="199"/>
        <v>0</v>
      </c>
      <c r="BO335" s="3083">
        <f t="shared" si="200"/>
        <v>0</v>
      </c>
      <c r="BP335" s="3083">
        <f t="shared" si="201"/>
        <v>0</v>
      </c>
      <c r="BQ335" s="3083">
        <f t="shared" si="202"/>
        <v>0</v>
      </c>
      <c r="BR335" s="3083">
        <f t="shared" si="203"/>
        <v>0</v>
      </c>
      <c r="BS335" s="3083">
        <f t="shared" si="204"/>
        <v>0</v>
      </c>
      <c r="BT335" s="3135">
        <f t="shared" si="205"/>
        <v>0</v>
      </c>
    </row>
    <row r="336" spans="1:72">
      <c r="A336" s="3080"/>
      <c r="B336" s="3081"/>
      <c r="C336" s="3081"/>
      <c r="D336" s="3082"/>
      <c r="E336" s="3083">
        <f t="shared" si="206"/>
        <v>0</v>
      </c>
      <c r="F336" s="3084"/>
      <c r="G336" s="3085">
        <f t="shared" si="181"/>
        <v>0</v>
      </c>
      <c r="H336" s="3086">
        <f t="shared" si="182"/>
        <v>0</v>
      </c>
      <c r="I336" s="3093"/>
      <c r="J336" s="3093"/>
      <c r="K336" s="3093"/>
      <c r="L336" s="3093"/>
      <c r="M336" s="3093"/>
      <c r="N336" s="3093"/>
      <c r="O336" s="3093"/>
      <c r="P336" s="3093"/>
      <c r="Q336" s="3093"/>
      <c r="R336" s="3093"/>
      <c r="S336" s="3093"/>
      <c r="T336" s="3093"/>
      <c r="U336" s="3093"/>
      <c r="V336" s="3093"/>
      <c r="W336" s="3093"/>
      <c r="X336" s="3093"/>
      <c r="Y336" s="3093"/>
      <c r="Z336" s="3093"/>
      <c r="AA336" s="3093"/>
      <c r="AB336" s="3093"/>
      <c r="AC336" s="3083">
        <f t="shared" si="183"/>
        <v>0</v>
      </c>
      <c r="AD336" s="3103"/>
      <c r="AE336" s="3103"/>
      <c r="AF336" s="3103"/>
      <c r="AG336" s="3103"/>
      <c r="AH336" s="3103"/>
      <c r="AI336" s="3103"/>
      <c r="AJ336" s="3103"/>
      <c r="AK336" s="3103"/>
      <c r="AL336" s="3103"/>
      <c r="AM336" s="3103"/>
      <c r="AN336" s="3103"/>
      <c r="AO336" s="3103"/>
      <c r="AP336" s="3103"/>
      <c r="AQ336" s="3103"/>
      <c r="AR336" s="3103"/>
      <c r="AS336" s="3103"/>
      <c r="AT336" s="3113"/>
      <c r="AU336" s="3114"/>
      <c r="AV336" s="1580">
        <f t="shared" si="207"/>
        <v>0</v>
      </c>
      <c r="AW336" s="1580">
        <f t="shared" si="208"/>
        <v>0</v>
      </c>
      <c r="AX336" s="1580">
        <f t="shared" si="209"/>
        <v>0</v>
      </c>
      <c r="AY336" s="3128">
        <f t="shared" si="184"/>
        <v>0</v>
      </c>
      <c r="AZ336" s="3083">
        <f t="shared" si="185"/>
        <v>0</v>
      </c>
      <c r="BA336" s="3083">
        <f t="shared" si="186"/>
        <v>0</v>
      </c>
      <c r="BB336" s="3083">
        <f t="shared" si="187"/>
        <v>0</v>
      </c>
      <c r="BC336" s="3083">
        <f t="shared" si="188"/>
        <v>0</v>
      </c>
      <c r="BD336" s="3083">
        <f t="shared" si="189"/>
        <v>0</v>
      </c>
      <c r="BE336" s="3083">
        <f t="shared" si="190"/>
        <v>0</v>
      </c>
      <c r="BF336" s="3083">
        <f t="shared" si="191"/>
        <v>0</v>
      </c>
      <c r="BG336" s="3083">
        <f t="shared" si="192"/>
        <v>0</v>
      </c>
      <c r="BH336" s="3083">
        <f t="shared" si="193"/>
        <v>0</v>
      </c>
      <c r="BI336" s="3083">
        <f t="shared" si="194"/>
        <v>0</v>
      </c>
      <c r="BJ336" s="3083">
        <f t="shared" si="195"/>
        <v>0</v>
      </c>
      <c r="BK336" s="3083">
        <f t="shared" si="196"/>
        <v>0</v>
      </c>
      <c r="BL336" s="3083">
        <f t="shared" si="197"/>
        <v>0</v>
      </c>
      <c r="BM336" s="3083">
        <f t="shared" si="198"/>
        <v>0</v>
      </c>
      <c r="BN336" s="3083">
        <f t="shared" si="199"/>
        <v>0</v>
      </c>
      <c r="BO336" s="3083">
        <f t="shared" si="200"/>
        <v>0</v>
      </c>
      <c r="BP336" s="3083">
        <f t="shared" si="201"/>
        <v>0</v>
      </c>
      <c r="BQ336" s="3083">
        <f t="shared" si="202"/>
        <v>0</v>
      </c>
      <c r="BR336" s="3083">
        <f t="shared" si="203"/>
        <v>0</v>
      </c>
      <c r="BS336" s="3083">
        <f t="shared" si="204"/>
        <v>0</v>
      </c>
      <c r="BT336" s="3135">
        <f t="shared" si="205"/>
        <v>0</v>
      </c>
    </row>
    <row r="337" spans="1:72">
      <c r="A337" s="3080"/>
      <c r="B337" s="3081"/>
      <c r="C337" s="3081"/>
      <c r="D337" s="3082"/>
      <c r="E337" s="3083">
        <f t="shared" si="206"/>
        <v>0</v>
      </c>
      <c r="F337" s="3084"/>
      <c r="G337" s="3085">
        <f t="shared" si="181"/>
        <v>0</v>
      </c>
      <c r="H337" s="3086">
        <f t="shared" si="182"/>
        <v>0</v>
      </c>
      <c r="I337" s="3093"/>
      <c r="J337" s="3093"/>
      <c r="K337" s="3093"/>
      <c r="L337" s="3093"/>
      <c r="M337" s="3093"/>
      <c r="N337" s="3093"/>
      <c r="O337" s="3093"/>
      <c r="P337" s="3093"/>
      <c r="Q337" s="3093"/>
      <c r="R337" s="3093"/>
      <c r="S337" s="3093"/>
      <c r="T337" s="3093"/>
      <c r="U337" s="3093"/>
      <c r="V337" s="3093"/>
      <c r="W337" s="3093"/>
      <c r="X337" s="3093"/>
      <c r="Y337" s="3093"/>
      <c r="Z337" s="3093"/>
      <c r="AA337" s="3093"/>
      <c r="AB337" s="3093"/>
      <c r="AC337" s="3083">
        <f t="shared" si="183"/>
        <v>0</v>
      </c>
      <c r="AD337" s="3103"/>
      <c r="AE337" s="3103"/>
      <c r="AF337" s="3103"/>
      <c r="AG337" s="3103"/>
      <c r="AH337" s="3103"/>
      <c r="AI337" s="3103"/>
      <c r="AJ337" s="3103"/>
      <c r="AK337" s="3103"/>
      <c r="AL337" s="3103"/>
      <c r="AM337" s="3103"/>
      <c r="AN337" s="3103"/>
      <c r="AO337" s="3103"/>
      <c r="AP337" s="3103"/>
      <c r="AQ337" s="3103"/>
      <c r="AR337" s="3103"/>
      <c r="AS337" s="3103"/>
      <c r="AT337" s="3113"/>
      <c r="AU337" s="3114"/>
      <c r="AV337" s="1580">
        <f t="shared" si="207"/>
        <v>0</v>
      </c>
      <c r="AW337" s="1580">
        <f t="shared" si="208"/>
        <v>0</v>
      </c>
      <c r="AX337" s="1580">
        <f t="shared" si="209"/>
        <v>0</v>
      </c>
      <c r="AY337" s="3128">
        <f t="shared" si="184"/>
        <v>0</v>
      </c>
      <c r="AZ337" s="3083">
        <f t="shared" si="185"/>
        <v>0</v>
      </c>
      <c r="BA337" s="3083">
        <f t="shared" si="186"/>
        <v>0</v>
      </c>
      <c r="BB337" s="3083">
        <f t="shared" si="187"/>
        <v>0</v>
      </c>
      <c r="BC337" s="3083">
        <f t="shared" si="188"/>
        <v>0</v>
      </c>
      <c r="BD337" s="3083">
        <f t="shared" si="189"/>
        <v>0</v>
      </c>
      <c r="BE337" s="3083">
        <f t="shared" si="190"/>
        <v>0</v>
      </c>
      <c r="BF337" s="3083">
        <f t="shared" si="191"/>
        <v>0</v>
      </c>
      <c r="BG337" s="3083">
        <f t="shared" si="192"/>
        <v>0</v>
      </c>
      <c r="BH337" s="3083">
        <f t="shared" si="193"/>
        <v>0</v>
      </c>
      <c r="BI337" s="3083">
        <f t="shared" si="194"/>
        <v>0</v>
      </c>
      <c r="BJ337" s="3083">
        <f t="shared" si="195"/>
        <v>0</v>
      </c>
      <c r="BK337" s="3083">
        <f t="shared" si="196"/>
        <v>0</v>
      </c>
      <c r="BL337" s="3083">
        <f t="shared" si="197"/>
        <v>0</v>
      </c>
      <c r="BM337" s="3083">
        <f t="shared" si="198"/>
        <v>0</v>
      </c>
      <c r="BN337" s="3083">
        <f t="shared" si="199"/>
        <v>0</v>
      </c>
      <c r="BO337" s="3083">
        <f t="shared" si="200"/>
        <v>0</v>
      </c>
      <c r="BP337" s="3083">
        <f t="shared" si="201"/>
        <v>0</v>
      </c>
      <c r="BQ337" s="3083">
        <f t="shared" si="202"/>
        <v>0</v>
      </c>
      <c r="BR337" s="3083">
        <f t="shared" si="203"/>
        <v>0</v>
      </c>
      <c r="BS337" s="3083">
        <f t="shared" si="204"/>
        <v>0</v>
      </c>
      <c r="BT337" s="3135">
        <f t="shared" si="205"/>
        <v>0</v>
      </c>
    </row>
    <row r="338" spans="1:72">
      <c r="A338" s="3080"/>
      <c r="B338" s="3081"/>
      <c r="C338" s="3081"/>
      <c r="D338" s="3082"/>
      <c r="E338" s="3083">
        <f t="shared" si="206"/>
        <v>0</v>
      </c>
      <c r="F338" s="3084"/>
      <c r="G338" s="3085">
        <f t="shared" si="181"/>
        <v>0</v>
      </c>
      <c r="H338" s="3086">
        <f t="shared" si="182"/>
        <v>0</v>
      </c>
      <c r="I338" s="3093"/>
      <c r="J338" s="3093"/>
      <c r="K338" s="3093"/>
      <c r="L338" s="3093"/>
      <c r="M338" s="3093"/>
      <c r="N338" s="3093"/>
      <c r="O338" s="3093"/>
      <c r="P338" s="3093"/>
      <c r="Q338" s="3093"/>
      <c r="R338" s="3093"/>
      <c r="S338" s="3093"/>
      <c r="T338" s="3093"/>
      <c r="U338" s="3093"/>
      <c r="V338" s="3093"/>
      <c r="W338" s="3093"/>
      <c r="X338" s="3093"/>
      <c r="Y338" s="3093"/>
      <c r="Z338" s="3093"/>
      <c r="AA338" s="3093"/>
      <c r="AB338" s="3093"/>
      <c r="AC338" s="3083">
        <f t="shared" si="183"/>
        <v>0</v>
      </c>
      <c r="AD338" s="3103"/>
      <c r="AE338" s="3103"/>
      <c r="AF338" s="3103"/>
      <c r="AG338" s="3103"/>
      <c r="AH338" s="3103"/>
      <c r="AI338" s="3103"/>
      <c r="AJ338" s="3103"/>
      <c r="AK338" s="3103"/>
      <c r="AL338" s="3103"/>
      <c r="AM338" s="3103"/>
      <c r="AN338" s="3103"/>
      <c r="AO338" s="3103"/>
      <c r="AP338" s="3103"/>
      <c r="AQ338" s="3103"/>
      <c r="AR338" s="3103"/>
      <c r="AS338" s="3103"/>
      <c r="AT338" s="3113"/>
      <c r="AU338" s="3114"/>
      <c r="AV338" s="1580">
        <f t="shared" si="207"/>
        <v>0</v>
      </c>
      <c r="AW338" s="1580">
        <f t="shared" si="208"/>
        <v>0</v>
      </c>
      <c r="AX338" s="1580">
        <f t="shared" si="209"/>
        <v>0</v>
      </c>
      <c r="AY338" s="3128">
        <f t="shared" si="184"/>
        <v>0</v>
      </c>
      <c r="AZ338" s="3083">
        <f t="shared" si="185"/>
        <v>0</v>
      </c>
      <c r="BA338" s="3083">
        <f t="shared" si="186"/>
        <v>0</v>
      </c>
      <c r="BB338" s="3083">
        <f t="shared" si="187"/>
        <v>0</v>
      </c>
      <c r="BC338" s="3083">
        <f t="shared" si="188"/>
        <v>0</v>
      </c>
      <c r="BD338" s="3083">
        <f t="shared" si="189"/>
        <v>0</v>
      </c>
      <c r="BE338" s="3083">
        <f t="shared" si="190"/>
        <v>0</v>
      </c>
      <c r="BF338" s="3083">
        <f t="shared" si="191"/>
        <v>0</v>
      </c>
      <c r="BG338" s="3083">
        <f t="shared" si="192"/>
        <v>0</v>
      </c>
      <c r="BH338" s="3083">
        <f t="shared" si="193"/>
        <v>0</v>
      </c>
      <c r="BI338" s="3083">
        <f t="shared" si="194"/>
        <v>0</v>
      </c>
      <c r="BJ338" s="3083">
        <f t="shared" si="195"/>
        <v>0</v>
      </c>
      <c r="BK338" s="3083">
        <f t="shared" si="196"/>
        <v>0</v>
      </c>
      <c r="BL338" s="3083">
        <f t="shared" si="197"/>
        <v>0</v>
      </c>
      <c r="BM338" s="3083">
        <f t="shared" si="198"/>
        <v>0</v>
      </c>
      <c r="BN338" s="3083">
        <f t="shared" si="199"/>
        <v>0</v>
      </c>
      <c r="BO338" s="3083">
        <f t="shared" si="200"/>
        <v>0</v>
      </c>
      <c r="BP338" s="3083">
        <f t="shared" si="201"/>
        <v>0</v>
      </c>
      <c r="BQ338" s="3083">
        <f t="shared" si="202"/>
        <v>0</v>
      </c>
      <c r="BR338" s="3083">
        <f t="shared" si="203"/>
        <v>0</v>
      </c>
      <c r="BS338" s="3083">
        <f t="shared" si="204"/>
        <v>0</v>
      </c>
      <c r="BT338" s="3135">
        <f t="shared" si="205"/>
        <v>0</v>
      </c>
    </row>
    <row r="339" spans="1:72">
      <c r="A339" s="3080"/>
      <c r="B339" s="3081"/>
      <c r="C339" s="3081"/>
      <c r="D339" s="3082"/>
      <c r="E339" s="3083">
        <f t="shared" si="206"/>
        <v>0</v>
      </c>
      <c r="F339" s="3084"/>
      <c r="G339" s="3085">
        <f t="shared" si="181"/>
        <v>0</v>
      </c>
      <c r="H339" s="3086">
        <f t="shared" si="182"/>
        <v>0</v>
      </c>
      <c r="I339" s="3093"/>
      <c r="J339" s="3093"/>
      <c r="K339" s="3093"/>
      <c r="L339" s="3093"/>
      <c r="M339" s="3093"/>
      <c r="N339" s="3093"/>
      <c r="O339" s="3093"/>
      <c r="P339" s="3093"/>
      <c r="Q339" s="3093"/>
      <c r="R339" s="3093"/>
      <c r="S339" s="3093"/>
      <c r="T339" s="3093"/>
      <c r="U339" s="3093"/>
      <c r="V339" s="3093"/>
      <c r="W339" s="3093"/>
      <c r="X339" s="3093"/>
      <c r="Y339" s="3093"/>
      <c r="Z339" s="3093"/>
      <c r="AA339" s="3093"/>
      <c r="AB339" s="3093"/>
      <c r="AC339" s="3083">
        <f t="shared" si="183"/>
        <v>0</v>
      </c>
      <c r="AD339" s="3103"/>
      <c r="AE339" s="3103"/>
      <c r="AF339" s="3103"/>
      <c r="AG339" s="3103"/>
      <c r="AH339" s="3103"/>
      <c r="AI339" s="3103"/>
      <c r="AJ339" s="3103"/>
      <c r="AK339" s="3103"/>
      <c r="AL339" s="3103"/>
      <c r="AM339" s="3103"/>
      <c r="AN339" s="3103"/>
      <c r="AO339" s="3103"/>
      <c r="AP339" s="3103"/>
      <c r="AQ339" s="3103"/>
      <c r="AR339" s="3103"/>
      <c r="AS339" s="3103"/>
      <c r="AT339" s="3113"/>
      <c r="AU339" s="3114"/>
      <c r="AV339" s="1580">
        <f t="shared" si="207"/>
        <v>0</v>
      </c>
      <c r="AW339" s="1580">
        <f t="shared" si="208"/>
        <v>0</v>
      </c>
      <c r="AX339" s="1580">
        <f t="shared" si="209"/>
        <v>0</v>
      </c>
      <c r="AY339" s="3128">
        <f t="shared" si="184"/>
        <v>0</v>
      </c>
      <c r="AZ339" s="3083">
        <f t="shared" si="185"/>
        <v>0</v>
      </c>
      <c r="BA339" s="3083">
        <f t="shared" si="186"/>
        <v>0</v>
      </c>
      <c r="BB339" s="3083">
        <f t="shared" si="187"/>
        <v>0</v>
      </c>
      <c r="BC339" s="3083">
        <f t="shared" si="188"/>
        <v>0</v>
      </c>
      <c r="BD339" s="3083">
        <f t="shared" si="189"/>
        <v>0</v>
      </c>
      <c r="BE339" s="3083">
        <f t="shared" si="190"/>
        <v>0</v>
      </c>
      <c r="BF339" s="3083">
        <f t="shared" si="191"/>
        <v>0</v>
      </c>
      <c r="BG339" s="3083">
        <f t="shared" si="192"/>
        <v>0</v>
      </c>
      <c r="BH339" s="3083">
        <f t="shared" si="193"/>
        <v>0</v>
      </c>
      <c r="BI339" s="3083">
        <f t="shared" si="194"/>
        <v>0</v>
      </c>
      <c r="BJ339" s="3083">
        <f t="shared" si="195"/>
        <v>0</v>
      </c>
      <c r="BK339" s="3083">
        <f t="shared" si="196"/>
        <v>0</v>
      </c>
      <c r="BL339" s="3083">
        <f t="shared" si="197"/>
        <v>0</v>
      </c>
      <c r="BM339" s="3083">
        <f t="shared" si="198"/>
        <v>0</v>
      </c>
      <c r="BN339" s="3083">
        <f t="shared" si="199"/>
        <v>0</v>
      </c>
      <c r="BO339" s="3083">
        <f t="shared" si="200"/>
        <v>0</v>
      </c>
      <c r="BP339" s="3083">
        <f t="shared" si="201"/>
        <v>0</v>
      </c>
      <c r="BQ339" s="3083">
        <f t="shared" si="202"/>
        <v>0</v>
      </c>
      <c r="BR339" s="3083">
        <f t="shared" si="203"/>
        <v>0</v>
      </c>
      <c r="BS339" s="3083">
        <f t="shared" si="204"/>
        <v>0</v>
      </c>
      <c r="BT339" s="3135">
        <f t="shared" si="205"/>
        <v>0</v>
      </c>
    </row>
    <row r="340" spans="1:72">
      <c r="A340" s="3080"/>
      <c r="B340" s="3081"/>
      <c r="C340" s="3081"/>
      <c r="D340" s="3082"/>
      <c r="E340" s="3083">
        <f t="shared" si="206"/>
        <v>0</v>
      </c>
      <c r="F340" s="3084"/>
      <c r="G340" s="3085">
        <f t="shared" si="181"/>
        <v>0</v>
      </c>
      <c r="H340" s="3086">
        <f t="shared" si="182"/>
        <v>0</v>
      </c>
      <c r="I340" s="3093"/>
      <c r="J340" s="3093"/>
      <c r="K340" s="3093"/>
      <c r="L340" s="3093"/>
      <c r="M340" s="3093"/>
      <c r="N340" s="3093"/>
      <c r="O340" s="3093"/>
      <c r="P340" s="3093"/>
      <c r="Q340" s="3093"/>
      <c r="R340" s="3093"/>
      <c r="S340" s="3093"/>
      <c r="T340" s="3093"/>
      <c r="U340" s="3093"/>
      <c r="V340" s="3093"/>
      <c r="W340" s="3093"/>
      <c r="X340" s="3093"/>
      <c r="Y340" s="3093"/>
      <c r="Z340" s="3093"/>
      <c r="AA340" s="3093"/>
      <c r="AB340" s="3093"/>
      <c r="AC340" s="3083">
        <f t="shared" si="183"/>
        <v>0</v>
      </c>
      <c r="AD340" s="3103"/>
      <c r="AE340" s="3103"/>
      <c r="AF340" s="3103"/>
      <c r="AG340" s="3103"/>
      <c r="AH340" s="3103"/>
      <c r="AI340" s="3103"/>
      <c r="AJ340" s="3103"/>
      <c r="AK340" s="3103"/>
      <c r="AL340" s="3103"/>
      <c r="AM340" s="3103"/>
      <c r="AN340" s="3103"/>
      <c r="AO340" s="3103"/>
      <c r="AP340" s="3103"/>
      <c r="AQ340" s="3103"/>
      <c r="AR340" s="3103"/>
      <c r="AS340" s="3103"/>
      <c r="AT340" s="3113"/>
      <c r="AU340" s="3114"/>
      <c r="AV340" s="1580">
        <f t="shared" si="207"/>
        <v>0</v>
      </c>
      <c r="AW340" s="1580">
        <f t="shared" si="208"/>
        <v>0</v>
      </c>
      <c r="AX340" s="1580">
        <f t="shared" si="209"/>
        <v>0</v>
      </c>
      <c r="AY340" s="3128">
        <f t="shared" si="184"/>
        <v>0</v>
      </c>
      <c r="AZ340" s="3083">
        <f t="shared" si="185"/>
        <v>0</v>
      </c>
      <c r="BA340" s="3083">
        <f t="shared" si="186"/>
        <v>0</v>
      </c>
      <c r="BB340" s="3083">
        <f t="shared" si="187"/>
        <v>0</v>
      </c>
      <c r="BC340" s="3083">
        <f t="shared" si="188"/>
        <v>0</v>
      </c>
      <c r="BD340" s="3083">
        <f t="shared" si="189"/>
        <v>0</v>
      </c>
      <c r="BE340" s="3083">
        <f t="shared" si="190"/>
        <v>0</v>
      </c>
      <c r="BF340" s="3083">
        <f t="shared" si="191"/>
        <v>0</v>
      </c>
      <c r="BG340" s="3083">
        <f t="shared" si="192"/>
        <v>0</v>
      </c>
      <c r="BH340" s="3083">
        <f t="shared" si="193"/>
        <v>0</v>
      </c>
      <c r="BI340" s="3083">
        <f t="shared" si="194"/>
        <v>0</v>
      </c>
      <c r="BJ340" s="3083">
        <f t="shared" si="195"/>
        <v>0</v>
      </c>
      <c r="BK340" s="3083">
        <f t="shared" si="196"/>
        <v>0</v>
      </c>
      <c r="BL340" s="3083">
        <f t="shared" si="197"/>
        <v>0</v>
      </c>
      <c r="BM340" s="3083">
        <f t="shared" si="198"/>
        <v>0</v>
      </c>
      <c r="BN340" s="3083">
        <f t="shared" si="199"/>
        <v>0</v>
      </c>
      <c r="BO340" s="3083">
        <f t="shared" si="200"/>
        <v>0</v>
      </c>
      <c r="BP340" s="3083">
        <f t="shared" si="201"/>
        <v>0</v>
      </c>
      <c r="BQ340" s="3083">
        <f t="shared" si="202"/>
        <v>0</v>
      </c>
      <c r="BR340" s="3083">
        <f t="shared" si="203"/>
        <v>0</v>
      </c>
      <c r="BS340" s="3083">
        <f t="shared" si="204"/>
        <v>0</v>
      </c>
      <c r="BT340" s="3135">
        <f t="shared" si="205"/>
        <v>0</v>
      </c>
    </row>
    <row r="341" spans="1:72">
      <c r="A341" s="3080"/>
      <c r="B341" s="3081"/>
      <c r="C341" s="3081"/>
      <c r="D341" s="3082"/>
      <c r="E341" s="3083">
        <f t="shared" si="206"/>
        <v>0</v>
      </c>
      <c r="F341" s="3084"/>
      <c r="G341" s="3085">
        <f t="shared" si="181"/>
        <v>0</v>
      </c>
      <c r="H341" s="3086">
        <f t="shared" si="182"/>
        <v>0</v>
      </c>
      <c r="I341" s="3093"/>
      <c r="J341" s="3093"/>
      <c r="K341" s="3093"/>
      <c r="L341" s="3093"/>
      <c r="M341" s="3093"/>
      <c r="N341" s="3093"/>
      <c r="O341" s="3093"/>
      <c r="P341" s="3093"/>
      <c r="Q341" s="3093"/>
      <c r="R341" s="3093"/>
      <c r="S341" s="3093"/>
      <c r="T341" s="3093"/>
      <c r="U341" s="3093"/>
      <c r="V341" s="3093"/>
      <c r="W341" s="3093"/>
      <c r="X341" s="3093"/>
      <c r="Y341" s="3093"/>
      <c r="Z341" s="3093"/>
      <c r="AA341" s="3093"/>
      <c r="AB341" s="3093"/>
      <c r="AC341" s="3083">
        <f t="shared" si="183"/>
        <v>0</v>
      </c>
      <c r="AD341" s="3103"/>
      <c r="AE341" s="3103"/>
      <c r="AF341" s="3103"/>
      <c r="AG341" s="3103"/>
      <c r="AH341" s="3103"/>
      <c r="AI341" s="3103"/>
      <c r="AJ341" s="3103"/>
      <c r="AK341" s="3103"/>
      <c r="AL341" s="3103"/>
      <c r="AM341" s="3103"/>
      <c r="AN341" s="3103"/>
      <c r="AO341" s="3103"/>
      <c r="AP341" s="3103"/>
      <c r="AQ341" s="3103"/>
      <c r="AR341" s="3103"/>
      <c r="AS341" s="3103"/>
      <c r="AT341" s="3113"/>
      <c r="AU341" s="3114"/>
      <c r="AV341" s="1580">
        <f t="shared" si="207"/>
        <v>0</v>
      </c>
      <c r="AW341" s="1580">
        <f t="shared" si="208"/>
        <v>0</v>
      </c>
      <c r="AX341" s="1580">
        <f t="shared" si="209"/>
        <v>0</v>
      </c>
      <c r="AY341" s="3128">
        <f t="shared" si="184"/>
        <v>0</v>
      </c>
      <c r="AZ341" s="3083">
        <f t="shared" si="185"/>
        <v>0</v>
      </c>
      <c r="BA341" s="3083">
        <f t="shared" si="186"/>
        <v>0</v>
      </c>
      <c r="BB341" s="3083">
        <f t="shared" si="187"/>
        <v>0</v>
      </c>
      <c r="BC341" s="3083">
        <f t="shared" si="188"/>
        <v>0</v>
      </c>
      <c r="BD341" s="3083">
        <f t="shared" si="189"/>
        <v>0</v>
      </c>
      <c r="BE341" s="3083">
        <f t="shared" si="190"/>
        <v>0</v>
      </c>
      <c r="BF341" s="3083">
        <f t="shared" si="191"/>
        <v>0</v>
      </c>
      <c r="BG341" s="3083">
        <f t="shared" si="192"/>
        <v>0</v>
      </c>
      <c r="BH341" s="3083">
        <f t="shared" si="193"/>
        <v>0</v>
      </c>
      <c r="BI341" s="3083">
        <f t="shared" si="194"/>
        <v>0</v>
      </c>
      <c r="BJ341" s="3083">
        <f t="shared" si="195"/>
        <v>0</v>
      </c>
      <c r="BK341" s="3083">
        <f t="shared" si="196"/>
        <v>0</v>
      </c>
      <c r="BL341" s="3083">
        <f t="shared" si="197"/>
        <v>0</v>
      </c>
      <c r="BM341" s="3083">
        <f t="shared" si="198"/>
        <v>0</v>
      </c>
      <c r="BN341" s="3083">
        <f t="shared" si="199"/>
        <v>0</v>
      </c>
      <c r="BO341" s="3083">
        <f t="shared" si="200"/>
        <v>0</v>
      </c>
      <c r="BP341" s="3083">
        <f t="shared" si="201"/>
        <v>0</v>
      </c>
      <c r="BQ341" s="3083">
        <f t="shared" si="202"/>
        <v>0</v>
      </c>
      <c r="BR341" s="3083">
        <f t="shared" si="203"/>
        <v>0</v>
      </c>
      <c r="BS341" s="3083">
        <f t="shared" si="204"/>
        <v>0</v>
      </c>
      <c r="BT341" s="3135">
        <f t="shared" si="205"/>
        <v>0</v>
      </c>
    </row>
    <row r="342" spans="1:72">
      <c r="A342" s="3080"/>
      <c r="B342" s="3081"/>
      <c r="C342" s="3081"/>
      <c r="D342" s="3082"/>
      <c r="E342" s="3083">
        <f t="shared" si="206"/>
        <v>0</v>
      </c>
      <c r="F342" s="3084"/>
      <c r="G342" s="3085">
        <f t="shared" si="181"/>
        <v>0</v>
      </c>
      <c r="H342" s="3086">
        <f t="shared" si="182"/>
        <v>0</v>
      </c>
      <c r="I342" s="3093"/>
      <c r="J342" s="3093"/>
      <c r="K342" s="3093"/>
      <c r="L342" s="3093"/>
      <c r="M342" s="3093"/>
      <c r="N342" s="3093"/>
      <c r="O342" s="3093"/>
      <c r="P342" s="3093"/>
      <c r="Q342" s="3093"/>
      <c r="R342" s="3093"/>
      <c r="S342" s="3093"/>
      <c r="T342" s="3093"/>
      <c r="U342" s="3093"/>
      <c r="V342" s="3093"/>
      <c r="W342" s="3093"/>
      <c r="X342" s="3093"/>
      <c r="Y342" s="3093"/>
      <c r="Z342" s="3093"/>
      <c r="AA342" s="3093"/>
      <c r="AB342" s="3093"/>
      <c r="AC342" s="3083">
        <f t="shared" si="183"/>
        <v>0</v>
      </c>
      <c r="AD342" s="3103"/>
      <c r="AE342" s="3103"/>
      <c r="AF342" s="3103"/>
      <c r="AG342" s="3103"/>
      <c r="AH342" s="3103"/>
      <c r="AI342" s="3103"/>
      <c r="AJ342" s="3103"/>
      <c r="AK342" s="3103"/>
      <c r="AL342" s="3103"/>
      <c r="AM342" s="3103"/>
      <c r="AN342" s="3103"/>
      <c r="AO342" s="3103"/>
      <c r="AP342" s="3103"/>
      <c r="AQ342" s="3103"/>
      <c r="AR342" s="3103"/>
      <c r="AS342" s="3103"/>
      <c r="AT342" s="3113"/>
      <c r="AU342" s="3114"/>
      <c r="AV342" s="1580">
        <f t="shared" si="207"/>
        <v>0</v>
      </c>
      <c r="AW342" s="1580">
        <f t="shared" si="208"/>
        <v>0</v>
      </c>
      <c r="AX342" s="1580">
        <f t="shared" si="209"/>
        <v>0</v>
      </c>
      <c r="AY342" s="3128">
        <f t="shared" si="184"/>
        <v>0</v>
      </c>
      <c r="AZ342" s="3083">
        <f t="shared" si="185"/>
        <v>0</v>
      </c>
      <c r="BA342" s="3083">
        <f t="shared" si="186"/>
        <v>0</v>
      </c>
      <c r="BB342" s="3083">
        <f t="shared" si="187"/>
        <v>0</v>
      </c>
      <c r="BC342" s="3083">
        <f t="shared" si="188"/>
        <v>0</v>
      </c>
      <c r="BD342" s="3083">
        <f t="shared" si="189"/>
        <v>0</v>
      </c>
      <c r="BE342" s="3083">
        <f t="shared" si="190"/>
        <v>0</v>
      </c>
      <c r="BF342" s="3083">
        <f t="shared" si="191"/>
        <v>0</v>
      </c>
      <c r="BG342" s="3083">
        <f t="shared" si="192"/>
        <v>0</v>
      </c>
      <c r="BH342" s="3083">
        <f t="shared" si="193"/>
        <v>0</v>
      </c>
      <c r="BI342" s="3083">
        <f t="shared" si="194"/>
        <v>0</v>
      </c>
      <c r="BJ342" s="3083">
        <f t="shared" si="195"/>
        <v>0</v>
      </c>
      <c r="BK342" s="3083">
        <f t="shared" si="196"/>
        <v>0</v>
      </c>
      <c r="BL342" s="3083">
        <f t="shared" si="197"/>
        <v>0</v>
      </c>
      <c r="BM342" s="3083">
        <f t="shared" si="198"/>
        <v>0</v>
      </c>
      <c r="BN342" s="3083">
        <f t="shared" si="199"/>
        <v>0</v>
      </c>
      <c r="BO342" s="3083">
        <f t="shared" si="200"/>
        <v>0</v>
      </c>
      <c r="BP342" s="3083">
        <f t="shared" si="201"/>
        <v>0</v>
      </c>
      <c r="BQ342" s="3083">
        <f t="shared" si="202"/>
        <v>0</v>
      </c>
      <c r="BR342" s="3083">
        <f t="shared" si="203"/>
        <v>0</v>
      </c>
      <c r="BS342" s="3083">
        <f t="shared" si="204"/>
        <v>0</v>
      </c>
      <c r="BT342" s="3135">
        <f t="shared" si="205"/>
        <v>0</v>
      </c>
    </row>
    <row r="343" spans="1:72">
      <c r="A343" s="3080"/>
      <c r="B343" s="3081"/>
      <c r="C343" s="3081"/>
      <c r="D343" s="3082"/>
      <c r="E343" s="3083">
        <f t="shared" si="206"/>
        <v>0</v>
      </c>
      <c r="F343" s="3084"/>
      <c r="G343" s="3085">
        <f t="shared" si="181"/>
        <v>0</v>
      </c>
      <c r="H343" s="3086">
        <f t="shared" si="182"/>
        <v>0</v>
      </c>
      <c r="I343" s="3093"/>
      <c r="J343" s="3093"/>
      <c r="K343" s="3093"/>
      <c r="L343" s="3093"/>
      <c r="M343" s="3093"/>
      <c r="N343" s="3093"/>
      <c r="O343" s="3093"/>
      <c r="P343" s="3093"/>
      <c r="Q343" s="3093"/>
      <c r="R343" s="3093"/>
      <c r="S343" s="3093"/>
      <c r="T343" s="3093"/>
      <c r="U343" s="3093"/>
      <c r="V343" s="3093"/>
      <c r="W343" s="3093"/>
      <c r="X343" s="3093"/>
      <c r="Y343" s="3093"/>
      <c r="Z343" s="3093"/>
      <c r="AA343" s="3093"/>
      <c r="AB343" s="3093"/>
      <c r="AC343" s="3083">
        <f t="shared" si="183"/>
        <v>0</v>
      </c>
      <c r="AD343" s="3103"/>
      <c r="AE343" s="3103"/>
      <c r="AF343" s="3103"/>
      <c r="AG343" s="3103"/>
      <c r="AH343" s="3103"/>
      <c r="AI343" s="3103"/>
      <c r="AJ343" s="3103"/>
      <c r="AK343" s="3103"/>
      <c r="AL343" s="3103"/>
      <c r="AM343" s="3103"/>
      <c r="AN343" s="3103"/>
      <c r="AO343" s="3103"/>
      <c r="AP343" s="3103"/>
      <c r="AQ343" s="3103"/>
      <c r="AR343" s="3103"/>
      <c r="AS343" s="3103"/>
      <c r="AT343" s="3113"/>
      <c r="AU343" s="3114"/>
      <c r="AV343" s="1580">
        <f t="shared" si="207"/>
        <v>0</v>
      </c>
      <c r="AW343" s="1580">
        <f t="shared" si="208"/>
        <v>0</v>
      </c>
      <c r="AX343" s="1580">
        <f t="shared" si="209"/>
        <v>0</v>
      </c>
      <c r="AY343" s="3128">
        <f t="shared" si="184"/>
        <v>0</v>
      </c>
      <c r="AZ343" s="3083">
        <f t="shared" si="185"/>
        <v>0</v>
      </c>
      <c r="BA343" s="3083">
        <f t="shared" si="186"/>
        <v>0</v>
      </c>
      <c r="BB343" s="3083">
        <f t="shared" si="187"/>
        <v>0</v>
      </c>
      <c r="BC343" s="3083">
        <f t="shared" si="188"/>
        <v>0</v>
      </c>
      <c r="BD343" s="3083">
        <f t="shared" si="189"/>
        <v>0</v>
      </c>
      <c r="BE343" s="3083">
        <f t="shared" si="190"/>
        <v>0</v>
      </c>
      <c r="BF343" s="3083">
        <f t="shared" si="191"/>
        <v>0</v>
      </c>
      <c r="BG343" s="3083">
        <f t="shared" si="192"/>
        <v>0</v>
      </c>
      <c r="BH343" s="3083">
        <f t="shared" si="193"/>
        <v>0</v>
      </c>
      <c r="BI343" s="3083">
        <f t="shared" si="194"/>
        <v>0</v>
      </c>
      <c r="BJ343" s="3083">
        <f t="shared" si="195"/>
        <v>0</v>
      </c>
      <c r="BK343" s="3083">
        <f t="shared" si="196"/>
        <v>0</v>
      </c>
      <c r="BL343" s="3083">
        <f t="shared" si="197"/>
        <v>0</v>
      </c>
      <c r="BM343" s="3083">
        <f t="shared" si="198"/>
        <v>0</v>
      </c>
      <c r="BN343" s="3083">
        <f t="shared" si="199"/>
        <v>0</v>
      </c>
      <c r="BO343" s="3083">
        <f t="shared" si="200"/>
        <v>0</v>
      </c>
      <c r="BP343" s="3083">
        <f t="shared" si="201"/>
        <v>0</v>
      </c>
      <c r="BQ343" s="3083">
        <f t="shared" si="202"/>
        <v>0</v>
      </c>
      <c r="BR343" s="3083">
        <f t="shared" si="203"/>
        <v>0</v>
      </c>
      <c r="BS343" s="3083">
        <f t="shared" si="204"/>
        <v>0</v>
      </c>
      <c r="BT343" s="3135">
        <f t="shared" si="205"/>
        <v>0</v>
      </c>
    </row>
    <row r="344" spans="1:72">
      <c r="A344" s="3080"/>
      <c r="B344" s="3081"/>
      <c r="C344" s="3081"/>
      <c r="D344" s="3082"/>
      <c r="E344" s="3083">
        <f t="shared" si="206"/>
        <v>0</v>
      </c>
      <c r="F344" s="3084"/>
      <c r="G344" s="3085">
        <f t="shared" si="181"/>
        <v>0</v>
      </c>
      <c r="H344" s="3086">
        <f t="shared" si="182"/>
        <v>0</v>
      </c>
      <c r="I344" s="3093"/>
      <c r="J344" s="3093"/>
      <c r="K344" s="3093"/>
      <c r="L344" s="3093"/>
      <c r="M344" s="3093"/>
      <c r="N344" s="3093"/>
      <c r="O344" s="3093"/>
      <c r="P344" s="3093"/>
      <c r="Q344" s="3093"/>
      <c r="R344" s="3093"/>
      <c r="S344" s="3093"/>
      <c r="T344" s="3093"/>
      <c r="U344" s="3093"/>
      <c r="V344" s="3093"/>
      <c r="W344" s="3093"/>
      <c r="X344" s="3093"/>
      <c r="Y344" s="3093"/>
      <c r="Z344" s="3093"/>
      <c r="AA344" s="3093"/>
      <c r="AB344" s="3093"/>
      <c r="AC344" s="3083">
        <f t="shared" si="183"/>
        <v>0</v>
      </c>
      <c r="AD344" s="3103"/>
      <c r="AE344" s="3103"/>
      <c r="AF344" s="3103"/>
      <c r="AG344" s="3103"/>
      <c r="AH344" s="3103"/>
      <c r="AI344" s="3103"/>
      <c r="AJ344" s="3103"/>
      <c r="AK344" s="3103"/>
      <c r="AL344" s="3103"/>
      <c r="AM344" s="3103"/>
      <c r="AN344" s="3103"/>
      <c r="AO344" s="3103"/>
      <c r="AP344" s="3103"/>
      <c r="AQ344" s="3103"/>
      <c r="AR344" s="3103"/>
      <c r="AS344" s="3103"/>
      <c r="AT344" s="3113"/>
      <c r="AU344" s="3114"/>
      <c r="AV344" s="1580">
        <f t="shared" si="207"/>
        <v>0</v>
      </c>
      <c r="AW344" s="1580">
        <f t="shared" si="208"/>
        <v>0</v>
      </c>
      <c r="AX344" s="1580">
        <f t="shared" si="209"/>
        <v>0</v>
      </c>
      <c r="AY344" s="3128">
        <f t="shared" si="184"/>
        <v>0</v>
      </c>
      <c r="AZ344" s="3083">
        <f t="shared" si="185"/>
        <v>0</v>
      </c>
      <c r="BA344" s="3083">
        <f t="shared" si="186"/>
        <v>0</v>
      </c>
      <c r="BB344" s="3083">
        <f t="shared" si="187"/>
        <v>0</v>
      </c>
      <c r="BC344" s="3083">
        <f t="shared" si="188"/>
        <v>0</v>
      </c>
      <c r="BD344" s="3083">
        <f t="shared" si="189"/>
        <v>0</v>
      </c>
      <c r="BE344" s="3083">
        <f t="shared" si="190"/>
        <v>0</v>
      </c>
      <c r="BF344" s="3083">
        <f t="shared" si="191"/>
        <v>0</v>
      </c>
      <c r="BG344" s="3083">
        <f t="shared" si="192"/>
        <v>0</v>
      </c>
      <c r="BH344" s="3083">
        <f t="shared" si="193"/>
        <v>0</v>
      </c>
      <c r="BI344" s="3083">
        <f t="shared" si="194"/>
        <v>0</v>
      </c>
      <c r="BJ344" s="3083">
        <f t="shared" si="195"/>
        <v>0</v>
      </c>
      <c r="BK344" s="3083">
        <f t="shared" si="196"/>
        <v>0</v>
      </c>
      <c r="BL344" s="3083">
        <f t="shared" si="197"/>
        <v>0</v>
      </c>
      <c r="BM344" s="3083">
        <f t="shared" si="198"/>
        <v>0</v>
      </c>
      <c r="BN344" s="3083">
        <f t="shared" si="199"/>
        <v>0</v>
      </c>
      <c r="BO344" s="3083">
        <f t="shared" si="200"/>
        <v>0</v>
      </c>
      <c r="BP344" s="3083">
        <f t="shared" si="201"/>
        <v>0</v>
      </c>
      <c r="BQ344" s="3083">
        <f t="shared" si="202"/>
        <v>0</v>
      </c>
      <c r="BR344" s="3083">
        <f t="shared" si="203"/>
        <v>0</v>
      </c>
      <c r="BS344" s="3083">
        <f t="shared" si="204"/>
        <v>0</v>
      </c>
      <c r="BT344" s="3135">
        <f t="shared" si="205"/>
        <v>0</v>
      </c>
    </row>
    <row r="345" spans="1:72">
      <c r="A345" s="3080"/>
      <c r="B345" s="3081"/>
      <c r="C345" s="3081"/>
      <c r="D345" s="3082"/>
      <c r="E345" s="3083">
        <f t="shared" si="206"/>
        <v>0</v>
      </c>
      <c r="F345" s="3084"/>
      <c r="G345" s="3085">
        <f t="shared" si="181"/>
        <v>0</v>
      </c>
      <c r="H345" s="3086">
        <f t="shared" si="182"/>
        <v>0</v>
      </c>
      <c r="I345" s="3093"/>
      <c r="J345" s="3093"/>
      <c r="K345" s="3093"/>
      <c r="L345" s="3093"/>
      <c r="M345" s="3093"/>
      <c r="N345" s="3093"/>
      <c r="O345" s="3093"/>
      <c r="P345" s="3093"/>
      <c r="Q345" s="3093"/>
      <c r="R345" s="3093"/>
      <c r="S345" s="3093"/>
      <c r="T345" s="3093"/>
      <c r="U345" s="3093"/>
      <c r="V345" s="3093"/>
      <c r="W345" s="3093"/>
      <c r="X345" s="3093"/>
      <c r="Y345" s="3093"/>
      <c r="Z345" s="3093"/>
      <c r="AA345" s="3093"/>
      <c r="AB345" s="3093"/>
      <c r="AC345" s="3083">
        <f t="shared" si="183"/>
        <v>0</v>
      </c>
      <c r="AD345" s="3103"/>
      <c r="AE345" s="3103"/>
      <c r="AF345" s="3103"/>
      <c r="AG345" s="3103"/>
      <c r="AH345" s="3103"/>
      <c r="AI345" s="3103"/>
      <c r="AJ345" s="3103"/>
      <c r="AK345" s="3103"/>
      <c r="AL345" s="3103"/>
      <c r="AM345" s="3103"/>
      <c r="AN345" s="3103"/>
      <c r="AO345" s="3103"/>
      <c r="AP345" s="3103"/>
      <c r="AQ345" s="3103"/>
      <c r="AR345" s="3103"/>
      <c r="AS345" s="3103"/>
      <c r="AT345" s="3113"/>
      <c r="AU345" s="3114"/>
      <c r="AV345" s="1580">
        <f t="shared" si="207"/>
        <v>0</v>
      </c>
      <c r="AW345" s="1580">
        <f t="shared" si="208"/>
        <v>0</v>
      </c>
      <c r="AX345" s="1580">
        <f t="shared" si="209"/>
        <v>0</v>
      </c>
      <c r="AY345" s="3128">
        <f t="shared" si="184"/>
        <v>0</v>
      </c>
      <c r="AZ345" s="3083">
        <f t="shared" si="185"/>
        <v>0</v>
      </c>
      <c r="BA345" s="3083">
        <f t="shared" si="186"/>
        <v>0</v>
      </c>
      <c r="BB345" s="3083">
        <f t="shared" si="187"/>
        <v>0</v>
      </c>
      <c r="BC345" s="3083">
        <f t="shared" si="188"/>
        <v>0</v>
      </c>
      <c r="BD345" s="3083">
        <f t="shared" si="189"/>
        <v>0</v>
      </c>
      <c r="BE345" s="3083">
        <f t="shared" si="190"/>
        <v>0</v>
      </c>
      <c r="BF345" s="3083">
        <f t="shared" si="191"/>
        <v>0</v>
      </c>
      <c r="BG345" s="3083">
        <f t="shared" si="192"/>
        <v>0</v>
      </c>
      <c r="BH345" s="3083">
        <f t="shared" si="193"/>
        <v>0</v>
      </c>
      <c r="BI345" s="3083">
        <f t="shared" si="194"/>
        <v>0</v>
      </c>
      <c r="BJ345" s="3083">
        <f t="shared" si="195"/>
        <v>0</v>
      </c>
      <c r="BK345" s="3083">
        <f t="shared" si="196"/>
        <v>0</v>
      </c>
      <c r="BL345" s="3083">
        <f t="shared" si="197"/>
        <v>0</v>
      </c>
      <c r="BM345" s="3083">
        <f t="shared" si="198"/>
        <v>0</v>
      </c>
      <c r="BN345" s="3083">
        <f t="shared" si="199"/>
        <v>0</v>
      </c>
      <c r="BO345" s="3083">
        <f t="shared" si="200"/>
        <v>0</v>
      </c>
      <c r="BP345" s="3083">
        <f t="shared" si="201"/>
        <v>0</v>
      </c>
      <c r="BQ345" s="3083">
        <f t="shared" si="202"/>
        <v>0</v>
      </c>
      <c r="BR345" s="3083">
        <f t="shared" si="203"/>
        <v>0</v>
      </c>
      <c r="BS345" s="3083">
        <f t="shared" si="204"/>
        <v>0</v>
      </c>
      <c r="BT345" s="3135">
        <f t="shared" si="205"/>
        <v>0</v>
      </c>
    </row>
    <row r="346" spans="1:72">
      <c r="A346" s="3080"/>
      <c r="B346" s="3081"/>
      <c r="C346" s="3081"/>
      <c r="D346" s="3082"/>
      <c r="E346" s="3083">
        <f t="shared" si="206"/>
        <v>0</v>
      </c>
      <c r="F346" s="3084"/>
      <c r="G346" s="3085">
        <f t="shared" si="181"/>
        <v>0</v>
      </c>
      <c r="H346" s="3086">
        <f t="shared" si="182"/>
        <v>0</v>
      </c>
      <c r="I346" s="3093"/>
      <c r="J346" s="3093"/>
      <c r="K346" s="3093"/>
      <c r="L346" s="3093"/>
      <c r="M346" s="3093"/>
      <c r="N346" s="3093"/>
      <c r="O346" s="3093"/>
      <c r="P346" s="3093"/>
      <c r="Q346" s="3093"/>
      <c r="R346" s="3093"/>
      <c r="S346" s="3093"/>
      <c r="T346" s="3093"/>
      <c r="U346" s="3093"/>
      <c r="V346" s="3093"/>
      <c r="W346" s="3093"/>
      <c r="X346" s="3093"/>
      <c r="Y346" s="3093"/>
      <c r="Z346" s="3093"/>
      <c r="AA346" s="3093"/>
      <c r="AB346" s="3093"/>
      <c r="AC346" s="3083">
        <f t="shared" si="183"/>
        <v>0</v>
      </c>
      <c r="AD346" s="3103"/>
      <c r="AE346" s="3103"/>
      <c r="AF346" s="3103"/>
      <c r="AG346" s="3103"/>
      <c r="AH346" s="3103"/>
      <c r="AI346" s="3103"/>
      <c r="AJ346" s="3103"/>
      <c r="AK346" s="3103"/>
      <c r="AL346" s="3103"/>
      <c r="AM346" s="3103"/>
      <c r="AN346" s="3103"/>
      <c r="AO346" s="3103"/>
      <c r="AP346" s="3103"/>
      <c r="AQ346" s="3103"/>
      <c r="AR346" s="3103"/>
      <c r="AS346" s="3103"/>
      <c r="AT346" s="3113"/>
      <c r="AU346" s="3114"/>
      <c r="AV346" s="1580">
        <f t="shared" si="207"/>
        <v>0</v>
      </c>
      <c r="AW346" s="1580">
        <f t="shared" si="208"/>
        <v>0</v>
      </c>
      <c r="AX346" s="1580">
        <f t="shared" si="209"/>
        <v>0</v>
      </c>
      <c r="AY346" s="3128">
        <f t="shared" si="184"/>
        <v>0</v>
      </c>
      <c r="AZ346" s="3083">
        <f t="shared" si="185"/>
        <v>0</v>
      </c>
      <c r="BA346" s="3083">
        <f t="shared" si="186"/>
        <v>0</v>
      </c>
      <c r="BB346" s="3083">
        <f t="shared" si="187"/>
        <v>0</v>
      </c>
      <c r="BC346" s="3083">
        <f t="shared" si="188"/>
        <v>0</v>
      </c>
      <c r="BD346" s="3083">
        <f t="shared" si="189"/>
        <v>0</v>
      </c>
      <c r="BE346" s="3083">
        <f t="shared" si="190"/>
        <v>0</v>
      </c>
      <c r="BF346" s="3083">
        <f t="shared" si="191"/>
        <v>0</v>
      </c>
      <c r="BG346" s="3083">
        <f t="shared" si="192"/>
        <v>0</v>
      </c>
      <c r="BH346" s="3083">
        <f t="shared" si="193"/>
        <v>0</v>
      </c>
      <c r="BI346" s="3083">
        <f t="shared" si="194"/>
        <v>0</v>
      </c>
      <c r="BJ346" s="3083">
        <f t="shared" si="195"/>
        <v>0</v>
      </c>
      <c r="BK346" s="3083">
        <f t="shared" si="196"/>
        <v>0</v>
      </c>
      <c r="BL346" s="3083">
        <f t="shared" si="197"/>
        <v>0</v>
      </c>
      <c r="BM346" s="3083">
        <f t="shared" si="198"/>
        <v>0</v>
      </c>
      <c r="BN346" s="3083">
        <f t="shared" si="199"/>
        <v>0</v>
      </c>
      <c r="BO346" s="3083">
        <f t="shared" si="200"/>
        <v>0</v>
      </c>
      <c r="BP346" s="3083">
        <f t="shared" si="201"/>
        <v>0</v>
      </c>
      <c r="BQ346" s="3083">
        <f t="shared" si="202"/>
        <v>0</v>
      </c>
      <c r="BR346" s="3083">
        <f t="shared" si="203"/>
        <v>0</v>
      </c>
      <c r="BS346" s="3083">
        <f t="shared" si="204"/>
        <v>0</v>
      </c>
      <c r="BT346" s="3135">
        <f t="shared" si="205"/>
        <v>0</v>
      </c>
    </row>
    <row r="347" spans="1:72">
      <c r="A347" s="3080"/>
      <c r="B347" s="3081"/>
      <c r="C347" s="3081"/>
      <c r="D347" s="3082"/>
      <c r="E347" s="3083">
        <f t="shared" si="206"/>
        <v>0</v>
      </c>
      <c r="F347" s="3084"/>
      <c r="G347" s="3085">
        <f t="shared" si="181"/>
        <v>0</v>
      </c>
      <c r="H347" s="3086">
        <f t="shared" si="182"/>
        <v>0</v>
      </c>
      <c r="I347" s="3093"/>
      <c r="J347" s="3093"/>
      <c r="K347" s="3093"/>
      <c r="L347" s="3093"/>
      <c r="M347" s="3093"/>
      <c r="N347" s="3093"/>
      <c r="O347" s="3093"/>
      <c r="P347" s="3093"/>
      <c r="Q347" s="3093"/>
      <c r="R347" s="3093"/>
      <c r="S347" s="3093"/>
      <c r="T347" s="3093"/>
      <c r="U347" s="3093"/>
      <c r="V347" s="3093"/>
      <c r="W347" s="3093"/>
      <c r="X347" s="3093"/>
      <c r="Y347" s="3093"/>
      <c r="Z347" s="3093"/>
      <c r="AA347" s="3093"/>
      <c r="AB347" s="3093"/>
      <c r="AC347" s="3083">
        <f t="shared" si="183"/>
        <v>0</v>
      </c>
      <c r="AD347" s="3103"/>
      <c r="AE347" s="3103"/>
      <c r="AF347" s="3103"/>
      <c r="AG347" s="3103"/>
      <c r="AH347" s="3103"/>
      <c r="AI347" s="3103"/>
      <c r="AJ347" s="3103"/>
      <c r="AK347" s="3103"/>
      <c r="AL347" s="3103"/>
      <c r="AM347" s="3103"/>
      <c r="AN347" s="3103"/>
      <c r="AO347" s="3103"/>
      <c r="AP347" s="3103"/>
      <c r="AQ347" s="3103"/>
      <c r="AR347" s="3103"/>
      <c r="AS347" s="3103"/>
      <c r="AT347" s="3113"/>
      <c r="AU347" s="3114"/>
      <c r="AV347" s="1580">
        <f t="shared" si="207"/>
        <v>0</v>
      </c>
      <c r="AW347" s="1580">
        <f t="shared" si="208"/>
        <v>0</v>
      </c>
      <c r="AX347" s="1580">
        <f t="shared" si="209"/>
        <v>0</v>
      </c>
      <c r="AY347" s="3128">
        <f t="shared" si="184"/>
        <v>0</v>
      </c>
      <c r="AZ347" s="3083">
        <f t="shared" si="185"/>
        <v>0</v>
      </c>
      <c r="BA347" s="3083">
        <f t="shared" si="186"/>
        <v>0</v>
      </c>
      <c r="BB347" s="3083">
        <f t="shared" si="187"/>
        <v>0</v>
      </c>
      <c r="BC347" s="3083">
        <f t="shared" si="188"/>
        <v>0</v>
      </c>
      <c r="BD347" s="3083">
        <f t="shared" si="189"/>
        <v>0</v>
      </c>
      <c r="BE347" s="3083">
        <f t="shared" si="190"/>
        <v>0</v>
      </c>
      <c r="BF347" s="3083">
        <f t="shared" si="191"/>
        <v>0</v>
      </c>
      <c r="BG347" s="3083">
        <f t="shared" si="192"/>
        <v>0</v>
      </c>
      <c r="BH347" s="3083">
        <f t="shared" si="193"/>
        <v>0</v>
      </c>
      <c r="BI347" s="3083">
        <f t="shared" si="194"/>
        <v>0</v>
      </c>
      <c r="BJ347" s="3083">
        <f t="shared" si="195"/>
        <v>0</v>
      </c>
      <c r="BK347" s="3083">
        <f t="shared" si="196"/>
        <v>0</v>
      </c>
      <c r="BL347" s="3083">
        <f t="shared" si="197"/>
        <v>0</v>
      </c>
      <c r="BM347" s="3083">
        <f t="shared" si="198"/>
        <v>0</v>
      </c>
      <c r="BN347" s="3083">
        <f t="shared" si="199"/>
        <v>0</v>
      </c>
      <c r="BO347" s="3083">
        <f t="shared" si="200"/>
        <v>0</v>
      </c>
      <c r="BP347" s="3083">
        <f t="shared" si="201"/>
        <v>0</v>
      </c>
      <c r="BQ347" s="3083">
        <f t="shared" si="202"/>
        <v>0</v>
      </c>
      <c r="BR347" s="3083">
        <f t="shared" si="203"/>
        <v>0</v>
      </c>
      <c r="BS347" s="3083">
        <f t="shared" si="204"/>
        <v>0</v>
      </c>
      <c r="BT347" s="3135">
        <f t="shared" si="205"/>
        <v>0</v>
      </c>
    </row>
    <row r="348" spans="1:72">
      <c r="A348" s="3080"/>
      <c r="B348" s="3081"/>
      <c r="C348" s="3081"/>
      <c r="D348" s="3082"/>
      <c r="E348" s="3083">
        <f t="shared" si="206"/>
        <v>0</v>
      </c>
      <c r="F348" s="3084"/>
      <c r="G348" s="3085">
        <f t="shared" si="181"/>
        <v>0</v>
      </c>
      <c r="H348" s="3086">
        <f t="shared" si="182"/>
        <v>0</v>
      </c>
      <c r="I348" s="3093"/>
      <c r="J348" s="3093"/>
      <c r="K348" s="3093"/>
      <c r="L348" s="3093"/>
      <c r="M348" s="3093"/>
      <c r="N348" s="3093"/>
      <c r="O348" s="3093"/>
      <c r="P348" s="3093"/>
      <c r="Q348" s="3093"/>
      <c r="R348" s="3093"/>
      <c r="S348" s="3093"/>
      <c r="T348" s="3093"/>
      <c r="U348" s="3093"/>
      <c r="V348" s="3093"/>
      <c r="W348" s="3093"/>
      <c r="X348" s="3093"/>
      <c r="Y348" s="3093"/>
      <c r="Z348" s="3093"/>
      <c r="AA348" s="3093"/>
      <c r="AB348" s="3093"/>
      <c r="AC348" s="3083">
        <f t="shared" si="183"/>
        <v>0</v>
      </c>
      <c r="AD348" s="3103"/>
      <c r="AE348" s="3103"/>
      <c r="AF348" s="3103"/>
      <c r="AG348" s="3103"/>
      <c r="AH348" s="3103"/>
      <c r="AI348" s="3103"/>
      <c r="AJ348" s="3103"/>
      <c r="AK348" s="3103"/>
      <c r="AL348" s="3103"/>
      <c r="AM348" s="3103"/>
      <c r="AN348" s="3103"/>
      <c r="AO348" s="3103"/>
      <c r="AP348" s="3103"/>
      <c r="AQ348" s="3103"/>
      <c r="AR348" s="3103"/>
      <c r="AS348" s="3103"/>
      <c r="AT348" s="3113"/>
      <c r="AU348" s="3114"/>
      <c r="AV348" s="1580">
        <f t="shared" si="207"/>
        <v>0</v>
      </c>
      <c r="AW348" s="1580">
        <f t="shared" si="208"/>
        <v>0</v>
      </c>
      <c r="AX348" s="1580">
        <f t="shared" si="209"/>
        <v>0</v>
      </c>
      <c r="AY348" s="3128">
        <f t="shared" si="184"/>
        <v>0</v>
      </c>
      <c r="AZ348" s="3083">
        <f t="shared" si="185"/>
        <v>0</v>
      </c>
      <c r="BA348" s="3083">
        <f t="shared" si="186"/>
        <v>0</v>
      </c>
      <c r="BB348" s="3083">
        <f t="shared" si="187"/>
        <v>0</v>
      </c>
      <c r="BC348" s="3083">
        <f t="shared" si="188"/>
        <v>0</v>
      </c>
      <c r="BD348" s="3083">
        <f t="shared" si="189"/>
        <v>0</v>
      </c>
      <c r="BE348" s="3083">
        <f t="shared" si="190"/>
        <v>0</v>
      </c>
      <c r="BF348" s="3083">
        <f t="shared" si="191"/>
        <v>0</v>
      </c>
      <c r="BG348" s="3083">
        <f t="shared" si="192"/>
        <v>0</v>
      </c>
      <c r="BH348" s="3083">
        <f t="shared" si="193"/>
        <v>0</v>
      </c>
      <c r="BI348" s="3083">
        <f t="shared" si="194"/>
        <v>0</v>
      </c>
      <c r="BJ348" s="3083">
        <f t="shared" si="195"/>
        <v>0</v>
      </c>
      <c r="BK348" s="3083">
        <f t="shared" si="196"/>
        <v>0</v>
      </c>
      <c r="BL348" s="3083">
        <f t="shared" si="197"/>
        <v>0</v>
      </c>
      <c r="BM348" s="3083">
        <f t="shared" si="198"/>
        <v>0</v>
      </c>
      <c r="BN348" s="3083">
        <f t="shared" si="199"/>
        <v>0</v>
      </c>
      <c r="BO348" s="3083">
        <f t="shared" si="200"/>
        <v>0</v>
      </c>
      <c r="BP348" s="3083">
        <f t="shared" si="201"/>
        <v>0</v>
      </c>
      <c r="BQ348" s="3083">
        <f t="shared" si="202"/>
        <v>0</v>
      </c>
      <c r="BR348" s="3083">
        <f t="shared" si="203"/>
        <v>0</v>
      </c>
      <c r="BS348" s="3083">
        <f t="shared" si="204"/>
        <v>0</v>
      </c>
      <c r="BT348" s="3135">
        <f t="shared" si="205"/>
        <v>0</v>
      </c>
    </row>
    <row r="349" spans="1:72">
      <c r="A349" s="3080"/>
      <c r="B349" s="3081"/>
      <c r="C349" s="3081"/>
      <c r="D349" s="3082"/>
      <c r="E349" s="3083">
        <f t="shared" si="206"/>
        <v>0</v>
      </c>
      <c r="F349" s="3084"/>
      <c r="G349" s="3085">
        <f t="shared" si="181"/>
        <v>0</v>
      </c>
      <c r="H349" s="3086">
        <f t="shared" si="182"/>
        <v>0</v>
      </c>
      <c r="I349" s="3093"/>
      <c r="J349" s="3093"/>
      <c r="K349" s="3093"/>
      <c r="L349" s="3093"/>
      <c r="M349" s="3093"/>
      <c r="N349" s="3093"/>
      <c r="O349" s="3093"/>
      <c r="P349" s="3093"/>
      <c r="Q349" s="3093"/>
      <c r="R349" s="3093"/>
      <c r="S349" s="3093"/>
      <c r="T349" s="3093"/>
      <c r="U349" s="3093"/>
      <c r="V349" s="3093"/>
      <c r="W349" s="3093"/>
      <c r="X349" s="3093"/>
      <c r="Y349" s="3093"/>
      <c r="Z349" s="3093"/>
      <c r="AA349" s="3093"/>
      <c r="AB349" s="3093"/>
      <c r="AC349" s="3083">
        <f t="shared" si="183"/>
        <v>0</v>
      </c>
      <c r="AD349" s="3103"/>
      <c r="AE349" s="3103"/>
      <c r="AF349" s="3103"/>
      <c r="AG349" s="3103"/>
      <c r="AH349" s="3103"/>
      <c r="AI349" s="3103"/>
      <c r="AJ349" s="3103"/>
      <c r="AK349" s="3103"/>
      <c r="AL349" s="3103"/>
      <c r="AM349" s="3103"/>
      <c r="AN349" s="3103"/>
      <c r="AO349" s="3103"/>
      <c r="AP349" s="3103"/>
      <c r="AQ349" s="3103"/>
      <c r="AR349" s="3103"/>
      <c r="AS349" s="3103"/>
      <c r="AT349" s="3113"/>
      <c r="AU349" s="3114"/>
      <c r="AV349" s="1580">
        <f t="shared" si="207"/>
        <v>0</v>
      </c>
      <c r="AW349" s="1580">
        <f t="shared" si="208"/>
        <v>0</v>
      </c>
      <c r="AX349" s="1580">
        <f t="shared" si="209"/>
        <v>0</v>
      </c>
      <c r="AY349" s="3128">
        <f t="shared" si="184"/>
        <v>0</v>
      </c>
      <c r="AZ349" s="3083">
        <f t="shared" si="185"/>
        <v>0</v>
      </c>
      <c r="BA349" s="3083">
        <f t="shared" si="186"/>
        <v>0</v>
      </c>
      <c r="BB349" s="3083">
        <f t="shared" si="187"/>
        <v>0</v>
      </c>
      <c r="BC349" s="3083">
        <f t="shared" si="188"/>
        <v>0</v>
      </c>
      <c r="BD349" s="3083">
        <f t="shared" si="189"/>
        <v>0</v>
      </c>
      <c r="BE349" s="3083">
        <f t="shared" si="190"/>
        <v>0</v>
      </c>
      <c r="BF349" s="3083">
        <f t="shared" si="191"/>
        <v>0</v>
      </c>
      <c r="BG349" s="3083">
        <f t="shared" si="192"/>
        <v>0</v>
      </c>
      <c r="BH349" s="3083">
        <f t="shared" si="193"/>
        <v>0</v>
      </c>
      <c r="BI349" s="3083">
        <f t="shared" si="194"/>
        <v>0</v>
      </c>
      <c r="BJ349" s="3083">
        <f t="shared" si="195"/>
        <v>0</v>
      </c>
      <c r="BK349" s="3083">
        <f t="shared" si="196"/>
        <v>0</v>
      </c>
      <c r="BL349" s="3083">
        <f t="shared" si="197"/>
        <v>0</v>
      </c>
      <c r="BM349" s="3083">
        <f t="shared" si="198"/>
        <v>0</v>
      </c>
      <c r="BN349" s="3083">
        <f t="shared" si="199"/>
        <v>0</v>
      </c>
      <c r="BO349" s="3083">
        <f t="shared" si="200"/>
        <v>0</v>
      </c>
      <c r="BP349" s="3083">
        <f t="shared" si="201"/>
        <v>0</v>
      </c>
      <c r="BQ349" s="3083">
        <f t="shared" si="202"/>
        <v>0</v>
      </c>
      <c r="BR349" s="3083">
        <f t="shared" si="203"/>
        <v>0</v>
      </c>
      <c r="BS349" s="3083">
        <f t="shared" si="204"/>
        <v>0</v>
      </c>
      <c r="BT349" s="3135">
        <f t="shared" si="205"/>
        <v>0</v>
      </c>
    </row>
    <row r="350" spans="1:72">
      <c r="A350" s="3080"/>
      <c r="B350" s="3081"/>
      <c r="C350" s="3081"/>
      <c r="D350" s="3082"/>
      <c r="E350" s="3083">
        <f t="shared" si="206"/>
        <v>0</v>
      </c>
      <c r="F350" s="3084"/>
      <c r="G350" s="3085">
        <f t="shared" si="181"/>
        <v>0</v>
      </c>
      <c r="H350" s="3086">
        <f t="shared" si="182"/>
        <v>0</v>
      </c>
      <c r="I350" s="3093"/>
      <c r="J350" s="3093"/>
      <c r="K350" s="3093"/>
      <c r="L350" s="3093"/>
      <c r="M350" s="3093"/>
      <c r="N350" s="3093"/>
      <c r="O350" s="3093"/>
      <c r="P350" s="3093"/>
      <c r="Q350" s="3093"/>
      <c r="R350" s="3093"/>
      <c r="S350" s="3093"/>
      <c r="T350" s="3093"/>
      <c r="U350" s="3093"/>
      <c r="V350" s="3093"/>
      <c r="W350" s="3093"/>
      <c r="X350" s="3093"/>
      <c r="Y350" s="3093"/>
      <c r="Z350" s="3093"/>
      <c r="AA350" s="3093"/>
      <c r="AB350" s="3093"/>
      <c r="AC350" s="3083">
        <f t="shared" si="183"/>
        <v>0</v>
      </c>
      <c r="AD350" s="3103"/>
      <c r="AE350" s="3103"/>
      <c r="AF350" s="3103"/>
      <c r="AG350" s="3103"/>
      <c r="AH350" s="3103"/>
      <c r="AI350" s="3103"/>
      <c r="AJ350" s="3103"/>
      <c r="AK350" s="3103"/>
      <c r="AL350" s="3103"/>
      <c r="AM350" s="3103"/>
      <c r="AN350" s="3103"/>
      <c r="AO350" s="3103"/>
      <c r="AP350" s="3103"/>
      <c r="AQ350" s="3103"/>
      <c r="AR350" s="3103"/>
      <c r="AS350" s="3103"/>
      <c r="AT350" s="3113"/>
      <c r="AU350" s="3114"/>
      <c r="AV350" s="1580">
        <f t="shared" si="207"/>
        <v>0</v>
      </c>
      <c r="AW350" s="1580">
        <f t="shared" si="208"/>
        <v>0</v>
      </c>
      <c r="AX350" s="1580">
        <f t="shared" si="209"/>
        <v>0</v>
      </c>
      <c r="AY350" s="3128">
        <f t="shared" si="184"/>
        <v>0</v>
      </c>
      <c r="AZ350" s="3083">
        <f t="shared" si="185"/>
        <v>0</v>
      </c>
      <c r="BA350" s="3083">
        <f t="shared" si="186"/>
        <v>0</v>
      </c>
      <c r="BB350" s="3083">
        <f t="shared" si="187"/>
        <v>0</v>
      </c>
      <c r="BC350" s="3083">
        <f t="shared" si="188"/>
        <v>0</v>
      </c>
      <c r="BD350" s="3083">
        <f t="shared" si="189"/>
        <v>0</v>
      </c>
      <c r="BE350" s="3083">
        <f t="shared" si="190"/>
        <v>0</v>
      </c>
      <c r="BF350" s="3083">
        <f t="shared" si="191"/>
        <v>0</v>
      </c>
      <c r="BG350" s="3083">
        <f t="shared" si="192"/>
        <v>0</v>
      </c>
      <c r="BH350" s="3083">
        <f t="shared" si="193"/>
        <v>0</v>
      </c>
      <c r="BI350" s="3083">
        <f t="shared" si="194"/>
        <v>0</v>
      </c>
      <c r="BJ350" s="3083">
        <f t="shared" si="195"/>
        <v>0</v>
      </c>
      <c r="BK350" s="3083">
        <f t="shared" si="196"/>
        <v>0</v>
      </c>
      <c r="BL350" s="3083">
        <f t="shared" si="197"/>
        <v>0</v>
      </c>
      <c r="BM350" s="3083">
        <f t="shared" si="198"/>
        <v>0</v>
      </c>
      <c r="BN350" s="3083">
        <f t="shared" si="199"/>
        <v>0</v>
      </c>
      <c r="BO350" s="3083">
        <f t="shared" si="200"/>
        <v>0</v>
      </c>
      <c r="BP350" s="3083">
        <f t="shared" si="201"/>
        <v>0</v>
      </c>
      <c r="BQ350" s="3083">
        <f t="shared" si="202"/>
        <v>0</v>
      </c>
      <c r="BR350" s="3083">
        <f t="shared" si="203"/>
        <v>0</v>
      </c>
      <c r="BS350" s="3083">
        <f t="shared" si="204"/>
        <v>0</v>
      </c>
      <c r="BT350" s="3135">
        <f t="shared" si="205"/>
        <v>0</v>
      </c>
    </row>
    <row r="351" spans="1:72">
      <c r="A351" s="3080"/>
      <c r="B351" s="3081"/>
      <c r="C351" s="3081"/>
      <c r="D351" s="3082"/>
      <c r="E351" s="3083">
        <f t="shared" si="206"/>
        <v>0</v>
      </c>
      <c r="F351" s="3084"/>
      <c r="G351" s="3085">
        <f t="shared" si="181"/>
        <v>0</v>
      </c>
      <c r="H351" s="3086">
        <f t="shared" si="182"/>
        <v>0</v>
      </c>
      <c r="I351" s="3093"/>
      <c r="J351" s="3093"/>
      <c r="K351" s="3093"/>
      <c r="L351" s="3093"/>
      <c r="M351" s="3093"/>
      <c r="N351" s="3093"/>
      <c r="O351" s="3093"/>
      <c r="P351" s="3093"/>
      <c r="Q351" s="3093"/>
      <c r="R351" s="3093"/>
      <c r="S351" s="3093"/>
      <c r="T351" s="3093"/>
      <c r="U351" s="3093"/>
      <c r="V351" s="3093"/>
      <c r="W351" s="3093"/>
      <c r="X351" s="3093"/>
      <c r="Y351" s="3093"/>
      <c r="Z351" s="3093"/>
      <c r="AA351" s="3093"/>
      <c r="AB351" s="3093"/>
      <c r="AC351" s="3083">
        <f t="shared" si="183"/>
        <v>0</v>
      </c>
      <c r="AD351" s="3103"/>
      <c r="AE351" s="3103"/>
      <c r="AF351" s="3103"/>
      <c r="AG351" s="3103"/>
      <c r="AH351" s="3103"/>
      <c r="AI351" s="3103"/>
      <c r="AJ351" s="3103"/>
      <c r="AK351" s="3103"/>
      <c r="AL351" s="3103"/>
      <c r="AM351" s="3103"/>
      <c r="AN351" s="3103"/>
      <c r="AO351" s="3103"/>
      <c r="AP351" s="3103"/>
      <c r="AQ351" s="3103"/>
      <c r="AR351" s="3103"/>
      <c r="AS351" s="3103"/>
      <c r="AT351" s="3113"/>
      <c r="AU351" s="3114"/>
      <c r="AV351" s="1580">
        <f t="shared" si="207"/>
        <v>0</v>
      </c>
      <c r="AW351" s="1580">
        <f t="shared" si="208"/>
        <v>0</v>
      </c>
      <c r="AX351" s="1580">
        <f t="shared" si="209"/>
        <v>0</v>
      </c>
      <c r="AY351" s="3128">
        <f t="shared" si="184"/>
        <v>0</v>
      </c>
      <c r="AZ351" s="3083">
        <f t="shared" si="185"/>
        <v>0</v>
      </c>
      <c r="BA351" s="3083">
        <f t="shared" si="186"/>
        <v>0</v>
      </c>
      <c r="BB351" s="3083">
        <f t="shared" si="187"/>
        <v>0</v>
      </c>
      <c r="BC351" s="3083">
        <f t="shared" si="188"/>
        <v>0</v>
      </c>
      <c r="BD351" s="3083">
        <f t="shared" si="189"/>
        <v>0</v>
      </c>
      <c r="BE351" s="3083">
        <f t="shared" si="190"/>
        <v>0</v>
      </c>
      <c r="BF351" s="3083">
        <f t="shared" si="191"/>
        <v>0</v>
      </c>
      <c r="BG351" s="3083">
        <f t="shared" si="192"/>
        <v>0</v>
      </c>
      <c r="BH351" s="3083">
        <f t="shared" si="193"/>
        <v>0</v>
      </c>
      <c r="BI351" s="3083">
        <f t="shared" si="194"/>
        <v>0</v>
      </c>
      <c r="BJ351" s="3083">
        <f t="shared" si="195"/>
        <v>0</v>
      </c>
      <c r="BK351" s="3083">
        <f t="shared" si="196"/>
        <v>0</v>
      </c>
      <c r="BL351" s="3083">
        <f t="shared" si="197"/>
        <v>0</v>
      </c>
      <c r="BM351" s="3083">
        <f t="shared" si="198"/>
        <v>0</v>
      </c>
      <c r="BN351" s="3083">
        <f t="shared" si="199"/>
        <v>0</v>
      </c>
      <c r="BO351" s="3083">
        <f t="shared" si="200"/>
        <v>0</v>
      </c>
      <c r="BP351" s="3083">
        <f t="shared" si="201"/>
        <v>0</v>
      </c>
      <c r="BQ351" s="3083">
        <f t="shared" si="202"/>
        <v>0</v>
      </c>
      <c r="BR351" s="3083">
        <f t="shared" si="203"/>
        <v>0</v>
      </c>
      <c r="BS351" s="3083">
        <f t="shared" si="204"/>
        <v>0</v>
      </c>
      <c r="BT351" s="3135">
        <f t="shared" si="205"/>
        <v>0</v>
      </c>
    </row>
    <row r="352" spans="1:72">
      <c r="A352" s="3080"/>
      <c r="B352" s="3081"/>
      <c r="C352" s="3081"/>
      <c r="D352" s="3082"/>
      <c r="E352" s="3083">
        <f t="shared" si="206"/>
        <v>0</v>
      </c>
      <c r="F352" s="3084"/>
      <c r="G352" s="3085">
        <f t="shared" si="181"/>
        <v>0</v>
      </c>
      <c r="H352" s="3086">
        <f t="shared" si="182"/>
        <v>0</v>
      </c>
      <c r="I352" s="3093"/>
      <c r="J352" s="3093"/>
      <c r="K352" s="3093"/>
      <c r="L352" s="3093"/>
      <c r="M352" s="3093"/>
      <c r="N352" s="3093"/>
      <c r="O352" s="3093"/>
      <c r="P352" s="3093"/>
      <c r="Q352" s="3093"/>
      <c r="R352" s="3093"/>
      <c r="S352" s="3093"/>
      <c r="T352" s="3093"/>
      <c r="U352" s="3093"/>
      <c r="V352" s="3093"/>
      <c r="W352" s="3093"/>
      <c r="X352" s="3093"/>
      <c r="Y352" s="3093"/>
      <c r="Z352" s="3093"/>
      <c r="AA352" s="3093"/>
      <c r="AB352" s="3093"/>
      <c r="AC352" s="3083">
        <f t="shared" si="183"/>
        <v>0</v>
      </c>
      <c r="AD352" s="3103"/>
      <c r="AE352" s="3103"/>
      <c r="AF352" s="3103"/>
      <c r="AG352" s="3103"/>
      <c r="AH352" s="3103"/>
      <c r="AI352" s="3103"/>
      <c r="AJ352" s="3103"/>
      <c r="AK352" s="3103"/>
      <c r="AL352" s="3103"/>
      <c r="AM352" s="3103"/>
      <c r="AN352" s="3103"/>
      <c r="AO352" s="3103"/>
      <c r="AP352" s="3103"/>
      <c r="AQ352" s="3103"/>
      <c r="AR352" s="3103"/>
      <c r="AS352" s="3103"/>
      <c r="AT352" s="3113"/>
      <c r="AU352" s="3114"/>
      <c r="AV352" s="1580">
        <f t="shared" si="207"/>
        <v>0</v>
      </c>
      <c r="AW352" s="1580">
        <f t="shared" si="208"/>
        <v>0</v>
      </c>
      <c r="AX352" s="1580">
        <f t="shared" si="209"/>
        <v>0</v>
      </c>
      <c r="AY352" s="3128">
        <f t="shared" si="184"/>
        <v>0</v>
      </c>
      <c r="AZ352" s="3083">
        <f t="shared" si="185"/>
        <v>0</v>
      </c>
      <c r="BA352" s="3083">
        <f t="shared" si="186"/>
        <v>0</v>
      </c>
      <c r="BB352" s="3083">
        <f t="shared" si="187"/>
        <v>0</v>
      </c>
      <c r="BC352" s="3083">
        <f t="shared" si="188"/>
        <v>0</v>
      </c>
      <c r="BD352" s="3083">
        <f t="shared" si="189"/>
        <v>0</v>
      </c>
      <c r="BE352" s="3083">
        <f t="shared" si="190"/>
        <v>0</v>
      </c>
      <c r="BF352" s="3083">
        <f t="shared" si="191"/>
        <v>0</v>
      </c>
      <c r="BG352" s="3083">
        <f t="shared" si="192"/>
        <v>0</v>
      </c>
      <c r="BH352" s="3083">
        <f t="shared" si="193"/>
        <v>0</v>
      </c>
      <c r="BI352" s="3083">
        <f t="shared" si="194"/>
        <v>0</v>
      </c>
      <c r="BJ352" s="3083">
        <f t="shared" si="195"/>
        <v>0</v>
      </c>
      <c r="BK352" s="3083">
        <f t="shared" si="196"/>
        <v>0</v>
      </c>
      <c r="BL352" s="3083">
        <f t="shared" si="197"/>
        <v>0</v>
      </c>
      <c r="BM352" s="3083">
        <f t="shared" si="198"/>
        <v>0</v>
      </c>
      <c r="BN352" s="3083">
        <f t="shared" si="199"/>
        <v>0</v>
      </c>
      <c r="BO352" s="3083">
        <f t="shared" si="200"/>
        <v>0</v>
      </c>
      <c r="BP352" s="3083">
        <f t="shared" si="201"/>
        <v>0</v>
      </c>
      <c r="BQ352" s="3083">
        <f t="shared" si="202"/>
        <v>0</v>
      </c>
      <c r="BR352" s="3083">
        <f t="shared" si="203"/>
        <v>0</v>
      </c>
      <c r="BS352" s="3083">
        <f t="shared" si="204"/>
        <v>0</v>
      </c>
      <c r="BT352" s="3135">
        <f t="shared" si="205"/>
        <v>0</v>
      </c>
    </row>
    <row r="353" spans="1:72">
      <c r="A353" s="3080"/>
      <c r="B353" s="3081"/>
      <c r="C353" s="3081"/>
      <c r="D353" s="3082"/>
      <c r="E353" s="3083">
        <f t="shared" si="206"/>
        <v>0</v>
      </c>
      <c r="F353" s="3084"/>
      <c r="G353" s="3085">
        <f t="shared" si="181"/>
        <v>0</v>
      </c>
      <c r="H353" s="3086">
        <f t="shared" si="182"/>
        <v>0</v>
      </c>
      <c r="I353" s="3093"/>
      <c r="J353" s="3093"/>
      <c r="K353" s="3093"/>
      <c r="L353" s="3093"/>
      <c r="M353" s="3093"/>
      <c r="N353" s="3093"/>
      <c r="O353" s="3093"/>
      <c r="P353" s="3093"/>
      <c r="Q353" s="3093"/>
      <c r="R353" s="3093"/>
      <c r="S353" s="3093"/>
      <c r="T353" s="3093"/>
      <c r="U353" s="3093"/>
      <c r="V353" s="3093"/>
      <c r="W353" s="3093"/>
      <c r="X353" s="3093"/>
      <c r="Y353" s="3093"/>
      <c r="Z353" s="3093"/>
      <c r="AA353" s="3093"/>
      <c r="AB353" s="3093"/>
      <c r="AC353" s="3083">
        <f t="shared" si="183"/>
        <v>0</v>
      </c>
      <c r="AD353" s="3103"/>
      <c r="AE353" s="3103"/>
      <c r="AF353" s="3103"/>
      <c r="AG353" s="3103"/>
      <c r="AH353" s="3103"/>
      <c r="AI353" s="3103"/>
      <c r="AJ353" s="3103"/>
      <c r="AK353" s="3103"/>
      <c r="AL353" s="3103"/>
      <c r="AM353" s="3103"/>
      <c r="AN353" s="3103"/>
      <c r="AO353" s="3103"/>
      <c r="AP353" s="3103"/>
      <c r="AQ353" s="3103"/>
      <c r="AR353" s="3103"/>
      <c r="AS353" s="3103"/>
      <c r="AT353" s="3113"/>
      <c r="AU353" s="3114"/>
      <c r="AV353" s="1580">
        <f t="shared" si="207"/>
        <v>0</v>
      </c>
      <c r="AW353" s="1580">
        <f t="shared" si="208"/>
        <v>0</v>
      </c>
      <c r="AX353" s="1580">
        <f t="shared" si="209"/>
        <v>0</v>
      </c>
      <c r="AY353" s="3128">
        <f t="shared" si="184"/>
        <v>0</v>
      </c>
      <c r="AZ353" s="3083">
        <f t="shared" si="185"/>
        <v>0</v>
      </c>
      <c r="BA353" s="3083">
        <f t="shared" si="186"/>
        <v>0</v>
      </c>
      <c r="BB353" s="3083">
        <f t="shared" si="187"/>
        <v>0</v>
      </c>
      <c r="BC353" s="3083">
        <f t="shared" si="188"/>
        <v>0</v>
      </c>
      <c r="BD353" s="3083">
        <f t="shared" si="189"/>
        <v>0</v>
      </c>
      <c r="BE353" s="3083">
        <f t="shared" si="190"/>
        <v>0</v>
      </c>
      <c r="BF353" s="3083">
        <f t="shared" si="191"/>
        <v>0</v>
      </c>
      <c r="BG353" s="3083">
        <f t="shared" si="192"/>
        <v>0</v>
      </c>
      <c r="BH353" s="3083">
        <f t="shared" si="193"/>
        <v>0</v>
      </c>
      <c r="BI353" s="3083">
        <f t="shared" si="194"/>
        <v>0</v>
      </c>
      <c r="BJ353" s="3083">
        <f t="shared" si="195"/>
        <v>0</v>
      </c>
      <c r="BK353" s="3083">
        <f t="shared" si="196"/>
        <v>0</v>
      </c>
      <c r="BL353" s="3083">
        <f t="shared" si="197"/>
        <v>0</v>
      </c>
      <c r="BM353" s="3083">
        <f t="shared" si="198"/>
        <v>0</v>
      </c>
      <c r="BN353" s="3083">
        <f t="shared" si="199"/>
        <v>0</v>
      </c>
      <c r="BO353" s="3083">
        <f t="shared" si="200"/>
        <v>0</v>
      </c>
      <c r="BP353" s="3083">
        <f t="shared" si="201"/>
        <v>0</v>
      </c>
      <c r="BQ353" s="3083">
        <f t="shared" si="202"/>
        <v>0</v>
      </c>
      <c r="BR353" s="3083">
        <f t="shared" si="203"/>
        <v>0</v>
      </c>
      <c r="BS353" s="3083">
        <f t="shared" si="204"/>
        <v>0</v>
      </c>
      <c r="BT353" s="3135">
        <f t="shared" si="205"/>
        <v>0</v>
      </c>
    </row>
    <row r="354" spans="1:72">
      <c r="A354" s="3080"/>
      <c r="B354" s="3081"/>
      <c r="C354" s="3081"/>
      <c r="D354" s="3082"/>
      <c r="E354" s="3083">
        <f t="shared" si="206"/>
        <v>0</v>
      </c>
      <c r="F354" s="3084"/>
      <c r="G354" s="3085">
        <f t="shared" si="181"/>
        <v>0</v>
      </c>
      <c r="H354" s="3086">
        <f t="shared" si="182"/>
        <v>0</v>
      </c>
      <c r="I354" s="3093"/>
      <c r="J354" s="3093"/>
      <c r="K354" s="3093"/>
      <c r="L354" s="3093"/>
      <c r="M354" s="3093"/>
      <c r="N354" s="3093"/>
      <c r="O354" s="3093"/>
      <c r="P354" s="3093"/>
      <c r="Q354" s="3093"/>
      <c r="R354" s="3093"/>
      <c r="S354" s="3093"/>
      <c r="T354" s="3093"/>
      <c r="U354" s="3093"/>
      <c r="V354" s="3093"/>
      <c r="W354" s="3093"/>
      <c r="X354" s="3093"/>
      <c r="Y354" s="3093"/>
      <c r="Z354" s="3093"/>
      <c r="AA354" s="3093"/>
      <c r="AB354" s="3093"/>
      <c r="AC354" s="3083">
        <f t="shared" si="183"/>
        <v>0</v>
      </c>
      <c r="AD354" s="3103"/>
      <c r="AE354" s="3103"/>
      <c r="AF354" s="3103"/>
      <c r="AG354" s="3103"/>
      <c r="AH354" s="3103"/>
      <c r="AI354" s="3103"/>
      <c r="AJ354" s="3103"/>
      <c r="AK354" s="3103"/>
      <c r="AL354" s="3103"/>
      <c r="AM354" s="3103"/>
      <c r="AN354" s="3103"/>
      <c r="AO354" s="3103"/>
      <c r="AP354" s="3103"/>
      <c r="AQ354" s="3103"/>
      <c r="AR354" s="3103"/>
      <c r="AS354" s="3103"/>
      <c r="AT354" s="3113"/>
      <c r="AU354" s="3114"/>
      <c r="AV354" s="1580">
        <f t="shared" si="207"/>
        <v>0</v>
      </c>
      <c r="AW354" s="1580">
        <f t="shared" si="208"/>
        <v>0</v>
      </c>
      <c r="AX354" s="1580">
        <f t="shared" si="209"/>
        <v>0</v>
      </c>
      <c r="AY354" s="3128">
        <f t="shared" si="184"/>
        <v>0</v>
      </c>
      <c r="AZ354" s="3083">
        <f t="shared" si="185"/>
        <v>0</v>
      </c>
      <c r="BA354" s="3083">
        <f t="shared" si="186"/>
        <v>0</v>
      </c>
      <c r="BB354" s="3083">
        <f t="shared" si="187"/>
        <v>0</v>
      </c>
      <c r="BC354" s="3083">
        <f t="shared" si="188"/>
        <v>0</v>
      </c>
      <c r="BD354" s="3083">
        <f t="shared" si="189"/>
        <v>0</v>
      </c>
      <c r="BE354" s="3083">
        <f t="shared" si="190"/>
        <v>0</v>
      </c>
      <c r="BF354" s="3083">
        <f t="shared" si="191"/>
        <v>0</v>
      </c>
      <c r="BG354" s="3083">
        <f t="shared" si="192"/>
        <v>0</v>
      </c>
      <c r="BH354" s="3083">
        <f t="shared" si="193"/>
        <v>0</v>
      </c>
      <c r="BI354" s="3083">
        <f t="shared" si="194"/>
        <v>0</v>
      </c>
      <c r="BJ354" s="3083">
        <f t="shared" si="195"/>
        <v>0</v>
      </c>
      <c r="BK354" s="3083">
        <f t="shared" si="196"/>
        <v>0</v>
      </c>
      <c r="BL354" s="3083">
        <f t="shared" si="197"/>
        <v>0</v>
      </c>
      <c r="BM354" s="3083">
        <f t="shared" si="198"/>
        <v>0</v>
      </c>
      <c r="BN354" s="3083">
        <f t="shared" si="199"/>
        <v>0</v>
      </c>
      <c r="BO354" s="3083">
        <f t="shared" si="200"/>
        <v>0</v>
      </c>
      <c r="BP354" s="3083">
        <f t="shared" si="201"/>
        <v>0</v>
      </c>
      <c r="BQ354" s="3083">
        <f t="shared" si="202"/>
        <v>0</v>
      </c>
      <c r="BR354" s="3083">
        <f t="shared" si="203"/>
        <v>0</v>
      </c>
      <c r="BS354" s="3083">
        <f t="shared" si="204"/>
        <v>0</v>
      </c>
      <c r="BT354" s="3135">
        <f t="shared" si="205"/>
        <v>0</v>
      </c>
    </row>
    <row r="355" spans="1:72">
      <c r="A355" s="3080"/>
      <c r="B355" s="3081"/>
      <c r="C355" s="3081"/>
      <c r="D355" s="3082"/>
      <c r="E355" s="3083">
        <f t="shared" si="206"/>
        <v>0</v>
      </c>
      <c r="F355" s="3084"/>
      <c r="G355" s="3085">
        <f t="shared" si="181"/>
        <v>0</v>
      </c>
      <c r="H355" s="3086">
        <f t="shared" si="182"/>
        <v>0</v>
      </c>
      <c r="I355" s="3093"/>
      <c r="J355" s="3093"/>
      <c r="K355" s="3093"/>
      <c r="L355" s="3093"/>
      <c r="M355" s="3093"/>
      <c r="N355" s="3093"/>
      <c r="O355" s="3093"/>
      <c r="P355" s="3093"/>
      <c r="Q355" s="3093"/>
      <c r="R355" s="3093"/>
      <c r="S355" s="3093"/>
      <c r="T355" s="3093"/>
      <c r="U355" s="3093"/>
      <c r="V355" s="3093"/>
      <c r="W355" s="3093"/>
      <c r="X355" s="3093"/>
      <c r="Y355" s="3093"/>
      <c r="Z355" s="3093"/>
      <c r="AA355" s="3093"/>
      <c r="AB355" s="3093"/>
      <c r="AC355" s="3083">
        <f t="shared" si="183"/>
        <v>0</v>
      </c>
      <c r="AD355" s="3103"/>
      <c r="AE355" s="3103"/>
      <c r="AF355" s="3103"/>
      <c r="AG355" s="3103"/>
      <c r="AH355" s="3103"/>
      <c r="AI355" s="3103"/>
      <c r="AJ355" s="3103"/>
      <c r="AK355" s="3103"/>
      <c r="AL355" s="3103"/>
      <c r="AM355" s="3103"/>
      <c r="AN355" s="3103"/>
      <c r="AO355" s="3103"/>
      <c r="AP355" s="3103"/>
      <c r="AQ355" s="3103"/>
      <c r="AR355" s="3103"/>
      <c r="AS355" s="3103"/>
      <c r="AT355" s="3113"/>
      <c r="AU355" s="3114"/>
      <c r="AV355" s="1580">
        <f t="shared" si="207"/>
        <v>0</v>
      </c>
      <c r="AW355" s="1580">
        <f t="shared" si="208"/>
        <v>0</v>
      </c>
      <c r="AX355" s="1580">
        <f t="shared" si="209"/>
        <v>0</v>
      </c>
      <c r="AY355" s="3128">
        <f t="shared" si="184"/>
        <v>0</v>
      </c>
      <c r="AZ355" s="3083">
        <f t="shared" si="185"/>
        <v>0</v>
      </c>
      <c r="BA355" s="3083">
        <f t="shared" si="186"/>
        <v>0</v>
      </c>
      <c r="BB355" s="3083">
        <f t="shared" si="187"/>
        <v>0</v>
      </c>
      <c r="BC355" s="3083">
        <f t="shared" si="188"/>
        <v>0</v>
      </c>
      <c r="BD355" s="3083">
        <f t="shared" si="189"/>
        <v>0</v>
      </c>
      <c r="BE355" s="3083">
        <f t="shared" si="190"/>
        <v>0</v>
      </c>
      <c r="BF355" s="3083">
        <f t="shared" si="191"/>
        <v>0</v>
      </c>
      <c r="BG355" s="3083">
        <f t="shared" si="192"/>
        <v>0</v>
      </c>
      <c r="BH355" s="3083">
        <f t="shared" si="193"/>
        <v>0</v>
      </c>
      <c r="BI355" s="3083">
        <f t="shared" si="194"/>
        <v>0</v>
      </c>
      <c r="BJ355" s="3083">
        <f t="shared" si="195"/>
        <v>0</v>
      </c>
      <c r="BK355" s="3083">
        <f t="shared" si="196"/>
        <v>0</v>
      </c>
      <c r="BL355" s="3083">
        <f t="shared" si="197"/>
        <v>0</v>
      </c>
      <c r="BM355" s="3083">
        <f t="shared" si="198"/>
        <v>0</v>
      </c>
      <c r="BN355" s="3083">
        <f t="shared" si="199"/>
        <v>0</v>
      </c>
      <c r="BO355" s="3083">
        <f t="shared" si="200"/>
        <v>0</v>
      </c>
      <c r="BP355" s="3083">
        <f t="shared" si="201"/>
        <v>0</v>
      </c>
      <c r="BQ355" s="3083">
        <f t="shared" si="202"/>
        <v>0</v>
      </c>
      <c r="BR355" s="3083">
        <f t="shared" si="203"/>
        <v>0</v>
      </c>
      <c r="BS355" s="3083">
        <f t="shared" si="204"/>
        <v>0</v>
      </c>
      <c r="BT355" s="3135">
        <f t="shared" si="205"/>
        <v>0</v>
      </c>
    </row>
    <row r="356" spans="1:72">
      <c r="A356" s="3080"/>
      <c r="B356" s="3081"/>
      <c r="C356" s="3081"/>
      <c r="D356" s="3082"/>
      <c r="E356" s="3083">
        <f t="shared" si="206"/>
        <v>0</v>
      </c>
      <c r="F356" s="3084"/>
      <c r="G356" s="3085">
        <f t="shared" si="181"/>
        <v>0</v>
      </c>
      <c r="H356" s="3086">
        <f t="shared" si="182"/>
        <v>0</v>
      </c>
      <c r="I356" s="3093"/>
      <c r="J356" s="3093"/>
      <c r="K356" s="3093"/>
      <c r="L356" s="3093"/>
      <c r="M356" s="3093"/>
      <c r="N356" s="3093"/>
      <c r="O356" s="3093"/>
      <c r="P356" s="3093"/>
      <c r="Q356" s="3093"/>
      <c r="R356" s="3093"/>
      <c r="S356" s="3093"/>
      <c r="T356" s="3093"/>
      <c r="U356" s="3093"/>
      <c r="V356" s="3093"/>
      <c r="W356" s="3093"/>
      <c r="X356" s="3093"/>
      <c r="Y356" s="3093"/>
      <c r="Z356" s="3093"/>
      <c r="AA356" s="3093"/>
      <c r="AB356" s="3093"/>
      <c r="AC356" s="3083">
        <f t="shared" si="183"/>
        <v>0</v>
      </c>
      <c r="AD356" s="3103"/>
      <c r="AE356" s="3103"/>
      <c r="AF356" s="3103"/>
      <c r="AG356" s="3103"/>
      <c r="AH356" s="3103"/>
      <c r="AI356" s="3103"/>
      <c r="AJ356" s="3103"/>
      <c r="AK356" s="3103"/>
      <c r="AL356" s="3103"/>
      <c r="AM356" s="3103"/>
      <c r="AN356" s="3103"/>
      <c r="AO356" s="3103"/>
      <c r="AP356" s="3103"/>
      <c r="AQ356" s="3103"/>
      <c r="AR356" s="3103"/>
      <c r="AS356" s="3103"/>
      <c r="AT356" s="3113"/>
      <c r="AU356" s="3114"/>
      <c r="AV356" s="1580">
        <f t="shared" si="207"/>
        <v>0</v>
      </c>
      <c r="AW356" s="1580">
        <f t="shared" si="208"/>
        <v>0</v>
      </c>
      <c r="AX356" s="1580">
        <f t="shared" si="209"/>
        <v>0</v>
      </c>
      <c r="AY356" s="3128">
        <f t="shared" si="184"/>
        <v>0</v>
      </c>
      <c r="AZ356" s="3083">
        <f t="shared" si="185"/>
        <v>0</v>
      </c>
      <c r="BA356" s="3083">
        <f t="shared" si="186"/>
        <v>0</v>
      </c>
      <c r="BB356" s="3083">
        <f t="shared" si="187"/>
        <v>0</v>
      </c>
      <c r="BC356" s="3083">
        <f t="shared" si="188"/>
        <v>0</v>
      </c>
      <c r="BD356" s="3083">
        <f t="shared" si="189"/>
        <v>0</v>
      </c>
      <c r="BE356" s="3083">
        <f t="shared" si="190"/>
        <v>0</v>
      </c>
      <c r="BF356" s="3083">
        <f t="shared" si="191"/>
        <v>0</v>
      </c>
      <c r="BG356" s="3083">
        <f t="shared" si="192"/>
        <v>0</v>
      </c>
      <c r="BH356" s="3083">
        <f t="shared" si="193"/>
        <v>0</v>
      </c>
      <c r="BI356" s="3083">
        <f t="shared" si="194"/>
        <v>0</v>
      </c>
      <c r="BJ356" s="3083">
        <f t="shared" si="195"/>
        <v>0</v>
      </c>
      <c r="BK356" s="3083">
        <f t="shared" si="196"/>
        <v>0</v>
      </c>
      <c r="BL356" s="3083">
        <f t="shared" si="197"/>
        <v>0</v>
      </c>
      <c r="BM356" s="3083">
        <f t="shared" si="198"/>
        <v>0</v>
      </c>
      <c r="BN356" s="3083">
        <f t="shared" si="199"/>
        <v>0</v>
      </c>
      <c r="BO356" s="3083">
        <f t="shared" si="200"/>
        <v>0</v>
      </c>
      <c r="BP356" s="3083">
        <f t="shared" si="201"/>
        <v>0</v>
      </c>
      <c r="BQ356" s="3083">
        <f t="shared" si="202"/>
        <v>0</v>
      </c>
      <c r="BR356" s="3083">
        <f t="shared" si="203"/>
        <v>0</v>
      </c>
      <c r="BS356" s="3083">
        <f t="shared" si="204"/>
        <v>0</v>
      </c>
      <c r="BT356" s="3135">
        <f t="shared" si="205"/>
        <v>0</v>
      </c>
    </row>
    <row r="357" spans="1:72">
      <c r="A357" s="3080"/>
      <c r="B357" s="3081"/>
      <c r="C357" s="3081"/>
      <c r="D357" s="3082"/>
      <c r="E357" s="3083">
        <f t="shared" si="206"/>
        <v>0</v>
      </c>
      <c r="F357" s="3084"/>
      <c r="G357" s="3085">
        <f t="shared" si="181"/>
        <v>0</v>
      </c>
      <c r="H357" s="3086">
        <f t="shared" si="182"/>
        <v>0</v>
      </c>
      <c r="I357" s="3093"/>
      <c r="J357" s="3093"/>
      <c r="K357" s="3093"/>
      <c r="L357" s="3093"/>
      <c r="M357" s="3093"/>
      <c r="N357" s="3093"/>
      <c r="O357" s="3093"/>
      <c r="P357" s="3093"/>
      <c r="Q357" s="3093"/>
      <c r="R357" s="3093"/>
      <c r="S357" s="3093"/>
      <c r="T357" s="3093"/>
      <c r="U357" s="3093"/>
      <c r="V357" s="3093"/>
      <c r="W357" s="3093"/>
      <c r="X357" s="3093"/>
      <c r="Y357" s="3093"/>
      <c r="Z357" s="3093"/>
      <c r="AA357" s="3093"/>
      <c r="AB357" s="3093"/>
      <c r="AC357" s="3083">
        <f t="shared" si="183"/>
        <v>0</v>
      </c>
      <c r="AD357" s="3103"/>
      <c r="AE357" s="3103"/>
      <c r="AF357" s="3103"/>
      <c r="AG357" s="3103"/>
      <c r="AH357" s="3103"/>
      <c r="AI357" s="3103"/>
      <c r="AJ357" s="3103"/>
      <c r="AK357" s="3103"/>
      <c r="AL357" s="3103"/>
      <c r="AM357" s="3103"/>
      <c r="AN357" s="3103"/>
      <c r="AO357" s="3103"/>
      <c r="AP357" s="3103"/>
      <c r="AQ357" s="3103"/>
      <c r="AR357" s="3103"/>
      <c r="AS357" s="3103"/>
      <c r="AT357" s="3113"/>
      <c r="AU357" s="3114"/>
      <c r="AV357" s="1580">
        <f t="shared" si="207"/>
        <v>0</v>
      </c>
      <c r="AW357" s="1580">
        <f t="shared" si="208"/>
        <v>0</v>
      </c>
      <c r="AX357" s="1580">
        <f t="shared" si="209"/>
        <v>0</v>
      </c>
      <c r="AY357" s="3128">
        <f t="shared" si="184"/>
        <v>0</v>
      </c>
      <c r="AZ357" s="3083">
        <f t="shared" si="185"/>
        <v>0</v>
      </c>
      <c r="BA357" s="3083">
        <f t="shared" si="186"/>
        <v>0</v>
      </c>
      <c r="BB357" s="3083">
        <f t="shared" si="187"/>
        <v>0</v>
      </c>
      <c r="BC357" s="3083">
        <f t="shared" si="188"/>
        <v>0</v>
      </c>
      <c r="BD357" s="3083">
        <f t="shared" si="189"/>
        <v>0</v>
      </c>
      <c r="BE357" s="3083">
        <f t="shared" si="190"/>
        <v>0</v>
      </c>
      <c r="BF357" s="3083">
        <f t="shared" si="191"/>
        <v>0</v>
      </c>
      <c r="BG357" s="3083">
        <f t="shared" si="192"/>
        <v>0</v>
      </c>
      <c r="BH357" s="3083">
        <f t="shared" si="193"/>
        <v>0</v>
      </c>
      <c r="BI357" s="3083">
        <f t="shared" si="194"/>
        <v>0</v>
      </c>
      <c r="BJ357" s="3083">
        <f t="shared" si="195"/>
        <v>0</v>
      </c>
      <c r="BK357" s="3083">
        <f t="shared" si="196"/>
        <v>0</v>
      </c>
      <c r="BL357" s="3083">
        <f t="shared" si="197"/>
        <v>0</v>
      </c>
      <c r="BM357" s="3083">
        <f t="shared" si="198"/>
        <v>0</v>
      </c>
      <c r="BN357" s="3083">
        <f t="shared" si="199"/>
        <v>0</v>
      </c>
      <c r="BO357" s="3083">
        <f t="shared" si="200"/>
        <v>0</v>
      </c>
      <c r="BP357" s="3083">
        <f t="shared" si="201"/>
        <v>0</v>
      </c>
      <c r="BQ357" s="3083">
        <f t="shared" si="202"/>
        <v>0</v>
      </c>
      <c r="BR357" s="3083">
        <f t="shared" si="203"/>
        <v>0</v>
      </c>
      <c r="BS357" s="3083">
        <f t="shared" si="204"/>
        <v>0</v>
      </c>
      <c r="BT357" s="3135">
        <f t="shared" si="205"/>
        <v>0</v>
      </c>
    </row>
    <row r="358" spans="1:72">
      <c r="A358" s="3080"/>
      <c r="B358" s="3081"/>
      <c r="C358" s="3081"/>
      <c r="D358" s="3082"/>
      <c r="E358" s="3083">
        <f t="shared" si="206"/>
        <v>0</v>
      </c>
      <c r="F358" s="3084"/>
      <c r="G358" s="3085">
        <f t="shared" si="181"/>
        <v>0</v>
      </c>
      <c r="H358" s="3086">
        <f t="shared" si="182"/>
        <v>0</v>
      </c>
      <c r="I358" s="3093"/>
      <c r="J358" s="3093"/>
      <c r="K358" s="3093"/>
      <c r="L358" s="3093"/>
      <c r="M358" s="3093"/>
      <c r="N358" s="3093"/>
      <c r="O358" s="3093"/>
      <c r="P358" s="3093"/>
      <c r="Q358" s="3093"/>
      <c r="R358" s="3093"/>
      <c r="S358" s="3093"/>
      <c r="T358" s="3093"/>
      <c r="U358" s="3093"/>
      <c r="V358" s="3093"/>
      <c r="W358" s="3093"/>
      <c r="X358" s="3093"/>
      <c r="Y358" s="3093"/>
      <c r="Z358" s="3093"/>
      <c r="AA358" s="3093"/>
      <c r="AB358" s="3093"/>
      <c r="AC358" s="3083">
        <f t="shared" si="183"/>
        <v>0</v>
      </c>
      <c r="AD358" s="3103"/>
      <c r="AE358" s="3103"/>
      <c r="AF358" s="3103"/>
      <c r="AG358" s="3103"/>
      <c r="AH358" s="3103"/>
      <c r="AI358" s="3103"/>
      <c r="AJ358" s="3103"/>
      <c r="AK358" s="3103"/>
      <c r="AL358" s="3103"/>
      <c r="AM358" s="3103"/>
      <c r="AN358" s="3103"/>
      <c r="AO358" s="3103"/>
      <c r="AP358" s="3103"/>
      <c r="AQ358" s="3103"/>
      <c r="AR358" s="3103"/>
      <c r="AS358" s="3103"/>
      <c r="AT358" s="3113"/>
      <c r="AU358" s="3114"/>
      <c r="AV358" s="1580">
        <f t="shared" si="207"/>
        <v>0</v>
      </c>
      <c r="AW358" s="1580">
        <f t="shared" si="208"/>
        <v>0</v>
      </c>
      <c r="AX358" s="1580">
        <f t="shared" si="209"/>
        <v>0</v>
      </c>
      <c r="AY358" s="3128">
        <f t="shared" si="184"/>
        <v>0</v>
      </c>
      <c r="AZ358" s="3083">
        <f t="shared" si="185"/>
        <v>0</v>
      </c>
      <c r="BA358" s="3083">
        <f t="shared" si="186"/>
        <v>0</v>
      </c>
      <c r="BB358" s="3083">
        <f t="shared" si="187"/>
        <v>0</v>
      </c>
      <c r="BC358" s="3083">
        <f t="shared" si="188"/>
        <v>0</v>
      </c>
      <c r="BD358" s="3083">
        <f t="shared" si="189"/>
        <v>0</v>
      </c>
      <c r="BE358" s="3083">
        <f t="shared" si="190"/>
        <v>0</v>
      </c>
      <c r="BF358" s="3083">
        <f t="shared" si="191"/>
        <v>0</v>
      </c>
      <c r="BG358" s="3083">
        <f t="shared" si="192"/>
        <v>0</v>
      </c>
      <c r="BH358" s="3083">
        <f t="shared" si="193"/>
        <v>0</v>
      </c>
      <c r="BI358" s="3083">
        <f t="shared" si="194"/>
        <v>0</v>
      </c>
      <c r="BJ358" s="3083">
        <f t="shared" si="195"/>
        <v>0</v>
      </c>
      <c r="BK358" s="3083">
        <f t="shared" si="196"/>
        <v>0</v>
      </c>
      <c r="BL358" s="3083">
        <f t="shared" si="197"/>
        <v>0</v>
      </c>
      <c r="BM358" s="3083">
        <f t="shared" si="198"/>
        <v>0</v>
      </c>
      <c r="BN358" s="3083">
        <f t="shared" si="199"/>
        <v>0</v>
      </c>
      <c r="BO358" s="3083">
        <f t="shared" si="200"/>
        <v>0</v>
      </c>
      <c r="BP358" s="3083">
        <f t="shared" si="201"/>
        <v>0</v>
      </c>
      <c r="BQ358" s="3083">
        <f t="shared" si="202"/>
        <v>0</v>
      </c>
      <c r="BR358" s="3083">
        <f t="shared" si="203"/>
        <v>0</v>
      </c>
      <c r="BS358" s="3083">
        <f t="shared" si="204"/>
        <v>0</v>
      </c>
      <c r="BT358" s="3135">
        <f t="shared" si="205"/>
        <v>0</v>
      </c>
    </row>
    <row r="359" spans="1:72">
      <c r="A359" s="3080"/>
      <c r="B359" s="3081"/>
      <c r="C359" s="3081"/>
      <c r="D359" s="3082"/>
      <c r="E359" s="3083">
        <f t="shared" si="206"/>
        <v>0</v>
      </c>
      <c r="F359" s="3084"/>
      <c r="G359" s="3085">
        <f t="shared" si="181"/>
        <v>0</v>
      </c>
      <c r="H359" s="3086">
        <f t="shared" si="182"/>
        <v>0</v>
      </c>
      <c r="I359" s="3093"/>
      <c r="J359" s="3093"/>
      <c r="K359" s="3093"/>
      <c r="L359" s="3093"/>
      <c r="M359" s="3093"/>
      <c r="N359" s="3093"/>
      <c r="O359" s="3093"/>
      <c r="P359" s="3093"/>
      <c r="Q359" s="3093"/>
      <c r="R359" s="3093"/>
      <c r="S359" s="3093"/>
      <c r="T359" s="3093"/>
      <c r="U359" s="3093"/>
      <c r="V359" s="3093"/>
      <c r="W359" s="3093"/>
      <c r="X359" s="3093"/>
      <c r="Y359" s="3093"/>
      <c r="Z359" s="3093"/>
      <c r="AA359" s="3093"/>
      <c r="AB359" s="3093"/>
      <c r="AC359" s="3083">
        <f t="shared" si="183"/>
        <v>0</v>
      </c>
      <c r="AD359" s="3103"/>
      <c r="AE359" s="3103"/>
      <c r="AF359" s="3103"/>
      <c r="AG359" s="3103"/>
      <c r="AH359" s="3103"/>
      <c r="AI359" s="3103"/>
      <c r="AJ359" s="3103"/>
      <c r="AK359" s="3103"/>
      <c r="AL359" s="3103"/>
      <c r="AM359" s="3103"/>
      <c r="AN359" s="3103"/>
      <c r="AO359" s="3103"/>
      <c r="AP359" s="3103"/>
      <c r="AQ359" s="3103"/>
      <c r="AR359" s="3103"/>
      <c r="AS359" s="3103"/>
      <c r="AT359" s="3113"/>
      <c r="AU359" s="3114"/>
      <c r="AV359" s="1580">
        <f t="shared" si="207"/>
        <v>0</v>
      </c>
      <c r="AW359" s="1580">
        <f t="shared" si="208"/>
        <v>0</v>
      </c>
      <c r="AX359" s="1580">
        <f t="shared" si="209"/>
        <v>0</v>
      </c>
      <c r="AY359" s="3128">
        <f t="shared" si="184"/>
        <v>0</v>
      </c>
      <c r="AZ359" s="3083">
        <f t="shared" si="185"/>
        <v>0</v>
      </c>
      <c r="BA359" s="3083">
        <f t="shared" si="186"/>
        <v>0</v>
      </c>
      <c r="BB359" s="3083">
        <f t="shared" si="187"/>
        <v>0</v>
      </c>
      <c r="BC359" s="3083">
        <f t="shared" si="188"/>
        <v>0</v>
      </c>
      <c r="BD359" s="3083">
        <f t="shared" si="189"/>
        <v>0</v>
      </c>
      <c r="BE359" s="3083">
        <f t="shared" si="190"/>
        <v>0</v>
      </c>
      <c r="BF359" s="3083">
        <f t="shared" si="191"/>
        <v>0</v>
      </c>
      <c r="BG359" s="3083">
        <f t="shared" si="192"/>
        <v>0</v>
      </c>
      <c r="BH359" s="3083">
        <f t="shared" si="193"/>
        <v>0</v>
      </c>
      <c r="BI359" s="3083">
        <f t="shared" si="194"/>
        <v>0</v>
      </c>
      <c r="BJ359" s="3083">
        <f t="shared" si="195"/>
        <v>0</v>
      </c>
      <c r="BK359" s="3083">
        <f t="shared" si="196"/>
        <v>0</v>
      </c>
      <c r="BL359" s="3083">
        <f t="shared" si="197"/>
        <v>0</v>
      </c>
      <c r="BM359" s="3083">
        <f t="shared" si="198"/>
        <v>0</v>
      </c>
      <c r="BN359" s="3083">
        <f t="shared" si="199"/>
        <v>0</v>
      </c>
      <c r="BO359" s="3083">
        <f t="shared" si="200"/>
        <v>0</v>
      </c>
      <c r="BP359" s="3083">
        <f t="shared" si="201"/>
        <v>0</v>
      </c>
      <c r="BQ359" s="3083">
        <f t="shared" si="202"/>
        <v>0</v>
      </c>
      <c r="BR359" s="3083">
        <f t="shared" si="203"/>
        <v>0</v>
      </c>
      <c r="BS359" s="3083">
        <f t="shared" si="204"/>
        <v>0</v>
      </c>
      <c r="BT359" s="3135">
        <f t="shared" si="205"/>
        <v>0</v>
      </c>
    </row>
    <row r="360" spans="1:72">
      <c r="A360" s="3080"/>
      <c r="B360" s="3081"/>
      <c r="C360" s="3081"/>
      <c r="D360" s="3082"/>
      <c r="E360" s="3083">
        <f t="shared" si="206"/>
        <v>0</v>
      </c>
      <c r="F360" s="3084"/>
      <c r="G360" s="3085">
        <f t="shared" si="181"/>
        <v>0</v>
      </c>
      <c r="H360" s="3086">
        <f t="shared" si="182"/>
        <v>0</v>
      </c>
      <c r="I360" s="3093"/>
      <c r="J360" s="3093"/>
      <c r="K360" s="3093"/>
      <c r="L360" s="3093"/>
      <c r="M360" s="3093"/>
      <c r="N360" s="3093"/>
      <c r="O360" s="3093"/>
      <c r="P360" s="3093"/>
      <c r="Q360" s="3093"/>
      <c r="R360" s="3093"/>
      <c r="S360" s="3093"/>
      <c r="T360" s="3093"/>
      <c r="U360" s="3093"/>
      <c r="V360" s="3093"/>
      <c r="W360" s="3093"/>
      <c r="X360" s="3093"/>
      <c r="Y360" s="3093"/>
      <c r="Z360" s="3093"/>
      <c r="AA360" s="3093"/>
      <c r="AB360" s="3093"/>
      <c r="AC360" s="3083">
        <f t="shared" si="183"/>
        <v>0</v>
      </c>
      <c r="AD360" s="3103"/>
      <c r="AE360" s="3103"/>
      <c r="AF360" s="3103"/>
      <c r="AG360" s="3103"/>
      <c r="AH360" s="3103"/>
      <c r="AI360" s="3103"/>
      <c r="AJ360" s="3103"/>
      <c r="AK360" s="3103"/>
      <c r="AL360" s="3103"/>
      <c r="AM360" s="3103"/>
      <c r="AN360" s="3103"/>
      <c r="AO360" s="3103"/>
      <c r="AP360" s="3103"/>
      <c r="AQ360" s="3103"/>
      <c r="AR360" s="3103"/>
      <c r="AS360" s="3103"/>
      <c r="AT360" s="3113"/>
      <c r="AU360" s="3114"/>
      <c r="AV360" s="1580">
        <f t="shared" si="207"/>
        <v>0</v>
      </c>
      <c r="AW360" s="1580">
        <f t="shared" si="208"/>
        <v>0</v>
      </c>
      <c r="AX360" s="1580">
        <f t="shared" si="209"/>
        <v>0</v>
      </c>
      <c r="AY360" s="3128">
        <f t="shared" si="184"/>
        <v>0</v>
      </c>
      <c r="AZ360" s="3083">
        <f t="shared" si="185"/>
        <v>0</v>
      </c>
      <c r="BA360" s="3083">
        <f t="shared" si="186"/>
        <v>0</v>
      </c>
      <c r="BB360" s="3083">
        <f t="shared" si="187"/>
        <v>0</v>
      </c>
      <c r="BC360" s="3083">
        <f t="shared" si="188"/>
        <v>0</v>
      </c>
      <c r="BD360" s="3083">
        <f t="shared" si="189"/>
        <v>0</v>
      </c>
      <c r="BE360" s="3083">
        <f t="shared" si="190"/>
        <v>0</v>
      </c>
      <c r="BF360" s="3083">
        <f t="shared" si="191"/>
        <v>0</v>
      </c>
      <c r="BG360" s="3083">
        <f t="shared" si="192"/>
        <v>0</v>
      </c>
      <c r="BH360" s="3083">
        <f t="shared" si="193"/>
        <v>0</v>
      </c>
      <c r="BI360" s="3083">
        <f t="shared" si="194"/>
        <v>0</v>
      </c>
      <c r="BJ360" s="3083">
        <f t="shared" si="195"/>
        <v>0</v>
      </c>
      <c r="BK360" s="3083">
        <f t="shared" si="196"/>
        <v>0</v>
      </c>
      <c r="BL360" s="3083">
        <f t="shared" si="197"/>
        <v>0</v>
      </c>
      <c r="BM360" s="3083">
        <f t="shared" si="198"/>
        <v>0</v>
      </c>
      <c r="BN360" s="3083">
        <f t="shared" si="199"/>
        <v>0</v>
      </c>
      <c r="BO360" s="3083">
        <f t="shared" si="200"/>
        <v>0</v>
      </c>
      <c r="BP360" s="3083">
        <f t="shared" si="201"/>
        <v>0</v>
      </c>
      <c r="BQ360" s="3083">
        <f t="shared" si="202"/>
        <v>0</v>
      </c>
      <c r="BR360" s="3083">
        <f t="shared" si="203"/>
        <v>0</v>
      </c>
      <c r="BS360" s="3083">
        <f t="shared" si="204"/>
        <v>0</v>
      </c>
      <c r="BT360" s="3135">
        <f t="shared" si="205"/>
        <v>0</v>
      </c>
    </row>
    <row r="361" spans="1:72">
      <c r="A361" s="3080"/>
      <c r="B361" s="3081"/>
      <c r="C361" s="3081"/>
      <c r="D361" s="3082"/>
      <c r="E361" s="3083">
        <f t="shared" si="206"/>
        <v>0</v>
      </c>
      <c r="F361" s="3084"/>
      <c r="G361" s="3085">
        <f t="shared" si="181"/>
        <v>0</v>
      </c>
      <c r="H361" s="3086">
        <f t="shared" si="182"/>
        <v>0</v>
      </c>
      <c r="I361" s="3093"/>
      <c r="J361" s="3093"/>
      <c r="K361" s="3093"/>
      <c r="L361" s="3093"/>
      <c r="M361" s="3093"/>
      <c r="N361" s="3093"/>
      <c r="O361" s="3093"/>
      <c r="P361" s="3093"/>
      <c r="Q361" s="3093"/>
      <c r="R361" s="3093"/>
      <c r="S361" s="3093"/>
      <c r="T361" s="3093"/>
      <c r="U361" s="3093"/>
      <c r="V361" s="3093"/>
      <c r="W361" s="3093"/>
      <c r="X361" s="3093"/>
      <c r="Y361" s="3093"/>
      <c r="Z361" s="3093"/>
      <c r="AA361" s="3093"/>
      <c r="AB361" s="3093"/>
      <c r="AC361" s="3083">
        <f t="shared" si="183"/>
        <v>0</v>
      </c>
      <c r="AD361" s="3103"/>
      <c r="AE361" s="3103"/>
      <c r="AF361" s="3103"/>
      <c r="AG361" s="3103"/>
      <c r="AH361" s="3103"/>
      <c r="AI361" s="3103"/>
      <c r="AJ361" s="3103"/>
      <c r="AK361" s="3103"/>
      <c r="AL361" s="3103"/>
      <c r="AM361" s="3103"/>
      <c r="AN361" s="3103"/>
      <c r="AO361" s="3103"/>
      <c r="AP361" s="3103"/>
      <c r="AQ361" s="3103"/>
      <c r="AR361" s="3103"/>
      <c r="AS361" s="3103"/>
      <c r="AT361" s="3113"/>
      <c r="AU361" s="3114"/>
      <c r="AV361" s="1580">
        <f t="shared" si="207"/>
        <v>0</v>
      </c>
      <c r="AW361" s="1580">
        <f t="shared" si="208"/>
        <v>0</v>
      </c>
      <c r="AX361" s="1580">
        <f t="shared" si="209"/>
        <v>0</v>
      </c>
      <c r="AY361" s="3128">
        <f t="shared" si="184"/>
        <v>0</v>
      </c>
      <c r="AZ361" s="3083">
        <f t="shared" si="185"/>
        <v>0</v>
      </c>
      <c r="BA361" s="3083">
        <f t="shared" si="186"/>
        <v>0</v>
      </c>
      <c r="BB361" s="3083">
        <f t="shared" si="187"/>
        <v>0</v>
      </c>
      <c r="BC361" s="3083">
        <f t="shared" si="188"/>
        <v>0</v>
      </c>
      <c r="BD361" s="3083">
        <f t="shared" si="189"/>
        <v>0</v>
      </c>
      <c r="BE361" s="3083">
        <f t="shared" si="190"/>
        <v>0</v>
      </c>
      <c r="BF361" s="3083">
        <f t="shared" si="191"/>
        <v>0</v>
      </c>
      <c r="BG361" s="3083">
        <f t="shared" si="192"/>
        <v>0</v>
      </c>
      <c r="BH361" s="3083">
        <f t="shared" si="193"/>
        <v>0</v>
      </c>
      <c r="BI361" s="3083">
        <f t="shared" si="194"/>
        <v>0</v>
      </c>
      <c r="BJ361" s="3083">
        <f t="shared" si="195"/>
        <v>0</v>
      </c>
      <c r="BK361" s="3083">
        <f t="shared" si="196"/>
        <v>0</v>
      </c>
      <c r="BL361" s="3083">
        <f t="shared" si="197"/>
        <v>0</v>
      </c>
      <c r="BM361" s="3083">
        <f t="shared" si="198"/>
        <v>0</v>
      </c>
      <c r="BN361" s="3083">
        <f t="shared" si="199"/>
        <v>0</v>
      </c>
      <c r="BO361" s="3083">
        <f t="shared" si="200"/>
        <v>0</v>
      </c>
      <c r="BP361" s="3083">
        <f t="shared" si="201"/>
        <v>0</v>
      </c>
      <c r="BQ361" s="3083">
        <f t="shared" si="202"/>
        <v>0</v>
      </c>
      <c r="BR361" s="3083">
        <f t="shared" si="203"/>
        <v>0</v>
      </c>
      <c r="BS361" s="3083">
        <f t="shared" si="204"/>
        <v>0</v>
      </c>
      <c r="BT361" s="3135">
        <f t="shared" si="205"/>
        <v>0</v>
      </c>
    </row>
    <row r="362" spans="1:72">
      <c r="A362" s="3080"/>
      <c r="B362" s="3081"/>
      <c r="C362" s="3081"/>
      <c r="D362" s="3082"/>
      <c r="E362" s="3083">
        <f t="shared" si="206"/>
        <v>0</v>
      </c>
      <c r="F362" s="3084"/>
      <c r="G362" s="3085">
        <f t="shared" si="181"/>
        <v>0</v>
      </c>
      <c r="H362" s="3086">
        <f t="shared" si="182"/>
        <v>0</v>
      </c>
      <c r="I362" s="3093"/>
      <c r="J362" s="3093"/>
      <c r="K362" s="3093"/>
      <c r="L362" s="3093"/>
      <c r="M362" s="3093"/>
      <c r="N362" s="3093"/>
      <c r="O362" s="3093"/>
      <c r="P362" s="3093"/>
      <c r="Q362" s="3093"/>
      <c r="R362" s="3093"/>
      <c r="S362" s="3093"/>
      <c r="T362" s="3093"/>
      <c r="U362" s="3093"/>
      <c r="V362" s="3093"/>
      <c r="W362" s="3093"/>
      <c r="X362" s="3093"/>
      <c r="Y362" s="3093"/>
      <c r="Z362" s="3093"/>
      <c r="AA362" s="3093"/>
      <c r="AB362" s="3093"/>
      <c r="AC362" s="3083">
        <f t="shared" si="183"/>
        <v>0</v>
      </c>
      <c r="AD362" s="3103"/>
      <c r="AE362" s="3103"/>
      <c r="AF362" s="3103"/>
      <c r="AG362" s="3103"/>
      <c r="AH362" s="3103"/>
      <c r="AI362" s="3103"/>
      <c r="AJ362" s="3103"/>
      <c r="AK362" s="3103"/>
      <c r="AL362" s="3103"/>
      <c r="AM362" s="3103"/>
      <c r="AN362" s="3103"/>
      <c r="AO362" s="3103"/>
      <c r="AP362" s="3103"/>
      <c r="AQ362" s="3103"/>
      <c r="AR362" s="3103"/>
      <c r="AS362" s="3103"/>
      <c r="AT362" s="3113"/>
      <c r="AU362" s="3114"/>
      <c r="AV362" s="1580">
        <f t="shared" si="207"/>
        <v>0</v>
      </c>
      <c r="AW362" s="1580">
        <f t="shared" si="208"/>
        <v>0</v>
      </c>
      <c r="AX362" s="1580">
        <f t="shared" si="209"/>
        <v>0</v>
      </c>
      <c r="AY362" s="3128">
        <f t="shared" si="184"/>
        <v>0</v>
      </c>
      <c r="AZ362" s="3083">
        <f t="shared" si="185"/>
        <v>0</v>
      </c>
      <c r="BA362" s="3083">
        <f t="shared" si="186"/>
        <v>0</v>
      </c>
      <c r="BB362" s="3083">
        <f t="shared" si="187"/>
        <v>0</v>
      </c>
      <c r="BC362" s="3083">
        <f t="shared" si="188"/>
        <v>0</v>
      </c>
      <c r="BD362" s="3083">
        <f t="shared" si="189"/>
        <v>0</v>
      </c>
      <c r="BE362" s="3083">
        <f t="shared" si="190"/>
        <v>0</v>
      </c>
      <c r="BF362" s="3083">
        <f t="shared" si="191"/>
        <v>0</v>
      </c>
      <c r="BG362" s="3083">
        <f t="shared" si="192"/>
        <v>0</v>
      </c>
      <c r="BH362" s="3083">
        <f t="shared" si="193"/>
        <v>0</v>
      </c>
      <c r="BI362" s="3083">
        <f t="shared" si="194"/>
        <v>0</v>
      </c>
      <c r="BJ362" s="3083">
        <f t="shared" si="195"/>
        <v>0</v>
      </c>
      <c r="BK362" s="3083">
        <f t="shared" si="196"/>
        <v>0</v>
      </c>
      <c r="BL362" s="3083">
        <f t="shared" si="197"/>
        <v>0</v>
      </c>
      <c r="BM362" s="3083">
        <f t="shared" si="198"/>
        <v>0</v>
      </c>
      <c r="BN362" s="3083">
        <f t="shared" si="199"/>
        <v>0</v>
      </c>
      <c r="BO362" s="3083">
        <f t="shared" si="200"/>
        <v>0</v>
      </c>
      <c r="BP362" s="3083">
        <f t="shared" si="201"/>
        <v>0</v>
      </c>
      <c r="BQ362" s="3083">
        <f t="shared" si="202"/>
        <v>0</v>
      </c>
      <c r="BR362" s="3083">
        <f t="shared" si="203"/>
        <v>0</v>
      </c>
      <c r="BS362" s="3083">
        <f t="shared" si="204"/>
        <v>0</v>
      </c>
      <c r="BT362" s="3135">
        <f t="shared" si="205"/>
        <v>0</v>
      </c>
    </row>
    <row r="363" spans="1:72">
      <c r="A363" s="3080"/>
      <c r="B363" s="3081"/>
      <c r="C363" s="3081"/>
      <c r="D363" s="3082"/>
      <c r="E363" s="3083">
        <f t="shared" si="206"/>
        <v>0</v>
      </c>
      <c r="F363" s="3084"/>
      <c r="G363" s="3085">
        <f t="shared" si="181"/>
        <v>0</v>
      </c>
      <c r="H363" s="3086">
        <f t="shared" si="182"/>
        <v>0</v>
      </c>
      <c r="I363" s="3093"/>
      <c r="J363" s="3093"/>
      <c r="K363" s="3093"/>
      <c r="L363" s="3093"/>
      <c r="M363" s="3093"/>
      <c r="N363" s="3093"/>
      <c r="O363" s="3093"/>
      <c r="P363" s="3093"/>
      <c r="Q363" s="3093"/>
      <c r="R363" s="3093"/>
      <c r="S363" s="3093"/>
      <c r="T363" s="3093"/>
      <c r="U363" s="3093"/>
      <c r="V363" s="3093"/>
      <c r="W363" s="3093"/>
      <c r="X363" s="3093"/>
      <c r="Y363" s="3093"/>
      <c r="Z363" s="3093"/>
      <c r="AA363" s="3093"/>
      <c r="AB363" s="3093"/>
      <c r="AC363" s="3083">
        <f t="shared" si="183"/>
        <v>0</v>
      </c>
      <c r="AD363" s="3103"/>
      <c r="AE363" s="3103"/>
      <c r="AF363" s="3103"/>
      <c r="AG363" s="3103"/>
      <c r="AH363" s="3103"/>
      <c r="AI363" s="3103"/>
      <c r="AJ363" s="3103"/>
      <c r="AK363" s="3103"/>
      <c r="AL363" s="3103"/>
      <c r="AM363" s="3103"/>
      <c r="AN363" s="3103"/>
      <c r="AO363" s="3103"/>
      <c r="AP363" s="3103"/>
      <c r="AQ363" s="3103"/>
      <c r="AR363" s="3103"/>
      <c r="AS363" s="3103"/>
      <c r="AT363" s="3113"/>
      <c r="AU363" s="3114"/>
      <c r="AV363" s="1580">
        <f t="shared" si="207"/>
        <v>0</v>
      </c>
      <c r="AW363" s="1580">
        <f t="shared" si="208"/>
        <v>0</v>
      </c>
      <c r="AX363" s="1580">
        <f t="shared" si="209"/>
        <v>0</v>
      </c>
      <c r="AY363" s="3128">
        <f t="shared" si="184"/>
        <v>0</v>
      </c>
      <c r="AZ363" s="3083">
        <f t="shared" si="185"/>
        <v>0</v>
      </c>
      <c r="BA363" s="3083">
        <f t="shared" si="186"/>
        <v>0</v>
      </c>
      <c r="BB363" s="3083">
        <f t="shared" si="187"/>
        <v>0</v>
      </c>
      <c r="BC363" s="3083">
        <f t="shared" si="188"/>
        <v>0</v>
      </c>
      <c r="BD363" s="3083">
        <f t="shared" si="189"/>
        <v>0</v>
      </c>
      <c r="BE363" s="3083">
        <f t="shared" si="190"/>
        <v>0</v>
      </c>
      <c r="BF363" s="3083">
        <f t="shared" si="191"/>
        <v>0</v>
      </c>
      <c r="BG363" s="3083">
        <f t="shared" si="192"/>
        <v>0</v>
      </c>
      <c r="BH363" s="3083">
        <f t="shared" si="193"/>
        <v>0</v>
      </c>
      <c r="BI363" s="3083">
        <f t="shared" si="194"/>
        <v>0</v>
      </c>
      <c r="BJ363" s="3083">
        <f t="shared" si="195"/>
        <v>0</v>
      </c>
      <c r="BK363" s="3083">
        <f t="shared" si="196"/>
        <v>0</v>
      </c>
      <c r="BL363" s="3083">
        <f t="shared" si="197"/>
        <v>0</v>
      </c>
      <c r="BM363" s="3083">
        <f t="shared" si="198"/>
        <v>0</v>
      </c>
      <c r="BN363" s="3083">
        <f t="shared" si="199"/>
        <v>0</v>
      </c>
      <c r="BO363" s="3083">
        <f t="shared" si="200"/>
        <v>0</v>
      </c>
      <c r="BP363" s="3083">
        <f t="shared" si="201"/>
        <v>0</v>
      </c>
      <c r="BQ363" s="3083">
        <f t="shared" si="202"/>
        <v>0</v>
      </c>
      <c r="BR363" s="3083">
        <f t="shared" si="203"/>
        <v>0</v>
      </c>
      <c r="BS363" s="3083">
        <f t="shared" si="204"/>
        <v>0</v>
      </c>
      <c r="BT363" s="3135">
        <f t="shared" si="205"/>
        <v>0</v>
      </c>
    </row>
    <row r="364" spans="1:72">
      <c r="A364" s="3080"/>
      <c r="B364" s="3081"/>
      <c r="C364" s="3081"/>
      <c r="D364" s="3082"/>
      <c r="E364" s="3083">
        <f t="shared" si="206"/>
        <v>0</v>
      </c>
      <c r="F364" s="3084"/>
      <c r="G364" s="3085">
        <f t="shared" ref="G364:G397" si="210">H364+AC364+AT364</f>
        <v>0</v>
      </c>
      <c r="H364" s="3086">
        <f t="shared" ref="H364:H397" si="211">SUMIF(I$12:AB$12,"总值",I364:AB364)</f>
        <v>0</v>
      </c>
      <c r="I364" s="3093"/>
      <c r="J364" s="3093"/>
      <c r="K364" s="3093"/>
      <c r="L364" s="3093"/>
      <c r="M364" s="3093"/>
      <c r="N364" s="3093"/>
      <c r="O364" s="3093"/>
      <c r="P364" s="3093"/>
      <c r="Q364" s="3093"/>
      <c r="R364" s="3093"/>
      <c r="S364" s="3093"/>
      <c r="T364" s="3093"/>
      <c r="U364" s="3093"/>
      <c r="V364" s="3093"/>
      <c r="W364" s="3093"/>
      <c r="X364" s="3093"/>
      <c r="Y364" s="3093"/>
      <c r="Z364" s="3093"/>
      <c r="AA364" s="3093"/>
      <c r="AB364" s="3093"/>
      <c r="AC364" s="3083">
        <f t="shared" ref="AC364:AC397" si="212">SUMIF(AD$12:AS$12,"总值",AD364:AS364)</f>
        <v>0</v>
      </c>
      <c r="AD364" s="3103"/>
      <c r="AE364" s="3103"/>
      <c r="AF364" s="3103"/>
      <c r="AG364" s="3103"/>
      <c r="AH364" s="3103"/>
      <c r="AI364" s="3103"/>
      <c r="AJ364" s="3103"/>
      <c r="AK364" s="3103"/>
      <c r="AL364" s="3103"/>
      <c r="AM364" s="3103"/>
      <c r="AN364" s="3103"/>
      <c r="AO364" s="3103"/>
      <c r="AP364" s="3103"/>
      <c r="AQ364" s="3103"/>
      <c r="AR364" s="3103"/>
      <c r="AS364" s="3103"/>
      <c r="AT364" s="3113"/>
      <c r="AU364" s="3114"/>
      <c r="AV364" s="1580">
        <f t="shared" si="207"/>
        <v>0</v>
      </c>
      <c r="AW364" s="1580">
        <f t="shared" si="208"/>
        <v>0</v>
      </c>
      <c r="AX364" s="1580">
        <f t="shared" si="209"/>
        <v>0</v>
      </c>
      <c r="AY364" s="3128">
        <f t="shared" ref="AY364:AY397" si="213">ROUND($AY$6*AZ364/$AZ$5,2)</f>
        <v>0</v>
      </c>
      <c r="AZ364" s="3083">
        <f t="shared" ref="AZ364:AZ397" si="214">BA364+BL364</f>
        <v>0</v>
      </c>
      <c r="BA364" s="3083">
        <f t="shared" ref="BA364:BA397" si="215">SUM(BB364:BK364)</f>
        <v>0</v>
      </c>
      <c r="BB364" s="3083">
        <f t="shared" ref="BB364:BB397" si="216">IF($D364="是",I364-J364,0)</f>
        <v>0</v>
      </c>
      <c r="BC364" s="3083">
        <f t="shared" ref="BC364:BC397" si="217">IF($D364="是",K364-L364,0)</f>
        <v>0</v>
      </c>
      <c r="BD364" s="3083">
        <f t="shared" ref="BD364:BD397" si="218">IF($D364="是",M364-N364,0)</f>
        <v>0</v>
      </c>
      <c r="BE364" s="3083">
        <f t="shared" ref="BE364:BE397" si="219">IF($D364="是",O364-P364,0)</f>
        <v>0</v>
      </c>
      <c r="BF364" s="3083">
        <f t="shared" ref="BF364:BF397" si="220">IF($D364="是",Q364-R364,0)</f>
        <v>0</v>
      </c>
      <c r="BG364" s="3083">
        <f t="shared" ref="BG364:BG397" si="221">IF($D364="是",S364-T364,0)</f>
        <v>0</v>
      </c>
      <c r="BH364" s="3083">
        <f t="shared" ref="BH364:BH397" si="222">IF($D364="是",U364-V364,0)</f>
        <v>0</v>
      </c>
      <c r="BI364" s="3083">
        <f t="shared" ref="BI364:BI397" si="223">IF($D364="是",W364-X364,0)</f>
        <v>0</v>
      </c>
      <c r="BJ364" s="3083">
        <f t="shared" ref="BJ364:BJ397" si="224">IF($D364="是",Y364-Z364,0)</f>
        <v>0</v>
      </c>
      <c r="BK364" s="3083">
        <f t="shared" ref="BK364:BK397" si="225">IF($D364="是",AA364-AB364,0)</f>
        <v>0</v>
      </c>
      <c r="BL364" s="3083">
        <f t="shared" ref="BL364:BL397" si="226">SUM(BM364:BT364)</f>
        <v>0</v>
      </c>
      <c r="BM364" s="3083">
        <f t="shared" ref="BM364:BM397" si="227">IF($D364="是",AD364-AE364,0)</f>
        <v>0</v>
      </c>
      <c r="BN364" s="3083">
        <f t="shared" ref="BN364:BN397" si="228">IF($D364="是",AF364-AG364,0)</f>
        <v>0</v>
      </c>
      <c r="BO364" s="3083">
        <f t="shared" ref="BO364:BO397" si="229">IF($D364="是",AH364-AI364,0)</f>
        <v>0</v>
      </c>
      <c r="BP364" s="3083">
        <f t="shared" ref="BP364:BP397" si="230">IF($D364="是",AJ364-AK364,0)</f>
        <v>0</v>
      </c>
      <c r="BQ364" s="3083">
        <f t="shared" ref="BQ364:BQ397" si="231">IF($D364="是",AL364-AM364,0)</f>
        <v>0</v>
      </c>
      <c r="BR364" s="3083">
        <f t="shared" ref="BR364:BR397" si="232">IF($D364="是",AN364-AO364,0)</f>
        <v>0</v>
      </c>
      <c r="BS364" s="3083">
        <f t="shared" ref="BS364:BS397" si="233">IF($D364="是",AP364-AQ364,0)</f>
        <v>0</v>
      </c>
      <c r="BT364" s="3135">
        <f t="shared" ref="BT364:BT397" si="234">IF($D364="是",AR364-AS364,0)</f>
        <v>0</v>
      </c>
    </row>
    <row r="365" spans="1:72">
      <c r="A365" s="3080"/>
      <c r="B365" s="3081"/>
      <c r="C365" s="3081"/>
      <c r="D365" s="3082"/>
      <c r="E365" s="3083">
        <f t="shared" si="206"/>
        <v>0</v>
      </c>
      <c r="F365" s="3084"/>
      <c r="G365" s="3085">
        <f t="shared" si="210"/>
        <v>0</v>
      </c>
      <c r="H365" s="3086">
        <f t="shared" si="211"/>
        <v>0</v>
      </c>
      <c r="I365" s="3093"/>
      <c r="J365" s="3093"/>
      <c r="K365" s="3093"/>
      <c r="L365" s="3093"/>
      <c r="M365" s="3093"/>
      <c r="N365" s="3093"/>
      <c r="O365" s="3093"/>
      <c r="P365" s="3093"/>
      <c r="Q365" s="3093"/>
      <c r="R365" s="3093"/>
      <c r="S365" s="3093"/>
      <c r="T365" s="3093"/>
      <c r="U365" s="3093"/>
      <c r="V365" s="3093"/>
      <c r="W365" s="3093"/>
      <c r="X365" s="3093"/>
      <c r="Y365" s="3093"/>
      <c r="Z365" s="3093"/>
      <c r="AA365" s="3093"/>
      <c r="AB365" s="3093"/>
      <c r="AC365" s="3083">
        <f t="shared" si="212"/>
        <v>0</v>
      </c>
      <c r="AD365" s="3103"/>
      <c r="AE365" s="3103"/>
      <c r="AF365" s="3103"/>
      <c r="AG365" s="3103"/>
      <c r="AH365" s="3103"/>
      <c r="AI365" s="3103"/>
      <c r="AJ365" s="3103"/>
      <c r="AK365" s="3103"/>
      <c r="AL365" s="3103"/>
      <c r="AM365" s="3103"/>
      <c r="AN365" s="3103"/>
      <c r="AO365" s="3103"/>
      <c r="AP365" s="3103"/>
      <c r="AQ365" s="3103"/>
      <c r="AR365" s="3103"/>
      <c r="AS365" s="3103"/>
      <c r="AT365" s="3113"/>
      <c r="AU365" s="3114"/>
      <c r="AV365" s="1580">
        <f t="shared" si="207"/>
        <v>0</v>
      </c>
      <c r="AW365" s="1580">
        <f t="shared" si="208"/>
        <v>0</v>
      </c>
      <c r="AX365" s="1580">
        <f t="shared" si="209"/>
        <v>0</v>
      </c>
      <c r="AY365" s="3128">
        <f t="shared" si="213"/>
        <v>0</v>
      </c>
      <c r="AZ365" s="3083">
        <f t="shared" si="214"/>
        <v>0</v>
      </c>
      <c r="BA365" s="3083">
        <f t="shared" si="215"/>
        <v>0</v>
      </c>
      <c r="BB365" s="3083">
        <f t="shared" si="216"/>
        <v>0</v>
      </c>
      <c r="BC365" s="3083">
        <f t="shared" si="217"/>
        <v>0</v>
      </c>
      <c r="BD365" s="3083">
        <f t="shared" si="218"/>
        <v>0</v>
      </c>
      <c r="BE365" s="3083">
        <f t="shared" si="219"/>
        <v>0</v>
      </c>
      <c r="BF365" s="3083">
        <f t="shared" si="220"/>
        <v>0</v>
      </c>
      <c r="BG365" s="3083">
        <f t="shared" si="221"/>
        <v>0</v>
      </c>
      <c r="BH365" s="3083">
        <f t="shared" si="222"/>
        <v>0</v>
      </c>
      <c r="BI365" s="3083">
        <f t="shared" si="223"/>
        <v>0</v>
      </c>
      <c r="BJ365" s="3083">
        <f t="shared" si="224"/>
        <v>0</v>
      </c>
      <c r="BK365" s="3083">
        <f t="shared" si="225"/>
        <v>0</v>
      </c>
      <c r="BL365" s="3083">
        <f t="shared" si="226"/>
        <v>0</v>
      </c>
      <c r="BM365" s="3083">
        <f t="shared" si="227"/>
        <v>0</v>
      </c>
      <c r="BN365" s="3083">
        <f t="shared" si="228"/>
        <v>0</v>
      </c>
      <c r="BO365" s="3083">
        <f t="shared" si="229"/>
        <v>0</v>
      </c>
      <c r="BP365" s="3083">
        <f t="shared" si="230"/>
        <v>0</v>
      </c>
      <c r="BQ365" s="3083">
        <f t="shared" si="231"/>
        <v>0</v>
      </c>
      <c r="BR365" s="3083">
        <f t="shared" si="232"/>
        <v>0</v>
      </c>
      <c r="BS365" s="3083">
        <f t="shared" si="233"/>
        <v>0</v>
      </c>
      <c r="BT365" s="3135">
        <f t="shared" si="234"/>
        <v>0</v>
      </c>
    </row>
    <row r="366" spans="1:72">
      <c r="A366" s="3080"/>
      <c r="B366" s="3081"/>
      <c r="C366" s="3081"/>
      <c r="D366" s="3082"/>
      <c r="E366" s="3083">
        <f t="shared" si="206"/>
        <v>0</v>
      </c>
      <c r="F366" s="3084"/>
      <c r="G366" s="3085">
        <f t="shared" si="210"/>
        <v>0</v>
      </c>
      <c r="H366" s="3086">
        <f t="shared" si="211"/>
        <v>0</v>
      </c>
      <c r="I366" s="3093"/>
      <c r="J366" s="3093"/>
      <c r="K366" s="3093"/>
      <c r="L366" s="3093"/>
      <c r="M366" s="3093"/>
      <c r="N366" s="3093"/>
      <c r="O366" s="3093"/>
      <c r="P366" s="3093"/>
      <c r="Q366" s="3093"/>
      <c r="R366" s="3093"/>
      <c r="S366" s="3093"/>
      <c r="T366" s="3093"/>
      <c r="U366" s="3093"/>
      <c r="V366" s="3093"/>
      <c r="W366" s="3093"/>
      <c r="X366" s="3093"/>
      <c r="Y366" s="3093"/>
      <c r="Z366" s="3093"/>
      <c r="AA366" s="3093"/>
      <c r="AB366" s="3093"/>
      <c r="AC366" s="3083">
        <f t="shared" si="212"/>
        <v>0</v>
      </c>
      <c r="AD366" s="3103"/>
      <c r="AE366" s="3103"/>
      <c r="AF366" s="3103"/>
      <c r="AG366" s="3103"/>
      <c r="AH366" s="3103"/>
      <c r="AI366" s="3103"/>
      <c r="AJ366" s="3103"/>
      <c r="AK366" s="3103"/>
      <c r="AL366" s="3103"/>
      <c r="AM366" s="3103"/>
      <c r="AN366" s="3103"/>
      <c r="AO366" s="3103"/>
      <c r="AP366" s="3103"/>
      <c r="AQ366" s="3103"/>
      <c r="AR366" s="3103"/>
      <c r="AS366" s="3103"/>
      <c r="AT366" s="3113"/>
      <c r="AU366" s="3114"/>
      <c r="AV366" s="1580">
        <f t="shared" si="207"/>
        <v>0</v>
      </c>
      <c r="AW366" s="1580">
        <f t="shared" si="208"/>
        <v>0</v>
      </c>
      <c r="AX366" s="1580">
        <f t="shared" si="209"/>
        <v>0</v>
      </c>
      <c r="AY366" s="3128">
        <f t="shared" si="213"/>
        <v>0</v>
      </c>
      <c r="AZ366" s="3083">
        <f t="shared" si="214"/>
        <v>0</v>
      </c>
      <c r="BA366" s="3083">
        <f t="shared" si="215"/>
        <v>0</v>
      </c>
      <c r="BB366" s="3083">
        <f t="shared" si="216"/>
        <v>0</v>
      </c>
      <c r="BC366" s="3083">
        <f t="shared" si="217"/>
        <v>0</v>
      </c>
      <c r="BD366" s="3083">
        <f t="shared" si="218"/>
        <v>0</v>
      </c>
      <c r="BE366" s="3083">
        <f t="shared" si="219"/>
        <v>0</v>
      </c>
      <c r="BF366" s="3083">
        <f t="shared" si="220"/>
        <v>0</v>
      </c>
      <c r="BG366" s="3083">
        <f t="shared" si="221"/>
        <v>0</v>
      </c>
      <c r="BH366" s="3083">
        <f t="shared" si="222"/>
        <v>0</v>
      </c>
      <c r="BI366" s="3083">
        <f t="shared" si="223"/>
        <v>0</v>
      </c>
      <c r="BJ366" s="3083">
        <f t="shared" si="224"/>
        <v>0</v>
      </c>
      <c r="BK366" s="3083">
        <f t="shared" si="225"/>
        <v>0</v>
      </c>
      <c r="BL366" s="3083">
        <f t="shared" si="226"/>
        <v>0</v>
      </c>
      <c r="BM366" s="3083">
        <f t="shared" si="227"/>
        <v>0</v>
      </c>
      <c r="BN366" s="3083">
        <f t="shared" si="228"/>
        <v>0</v>
      </c>
      <c r="BO366" s="3083">
        <f t="shared" si="229"/>
        <v>0</v>
      </c>
      <c r="BP366" s="3083">
        <f t="shared" si="230"/>
        <v>0</v>
      </c>
      <c r="BQ366" s="3083">
        <f t="shared" si="231"/>
        <v>0</v>
      </c>
      <c r="BR366" s="3083">
        <f t="shared" si="232"/>
        <v>0</v>
      </c>
      <c r="BS366" s="3083">
        <f t="shared" si="233"/>
        <v>0</v>
      </c>
      <c r="BT366" s="3135">
        <f t="shared" si="234"/>
        <v>0</v>
      </c>
    </row>
    <row r="367" spans="1:72">
      <c r="A367" s="3080"/>
      <c r="B367" s="3081"/>
      <c r="C367" s="3081"/>
      <c r="D367" s="3082"/>
      <c r="E367" s="3083">
        <f t="shared" ref="E367:E397" si="235">IF($C$3="是",ROUND($A$3*G367/$B$3,2),ROUND($A$3*(G367-AT367)/$B$3,2))</f>
        <v>0</v>
      </c>
      <c r="F367" s="3084"/>
      <c r="G367" s="3085">
        <f t="shared" si="210"/>
        <v>0</v>
      </c>
      <c r="H367" s="3086">
        <f t="shared" si="211"/>
        <v>0</v>
      </c>
      <c r="I367" s="3093"/>
      <c r="J367" s="3093"/>
      <c r="K367" s="3093"/>
      <c r="L367" s="3093"/>
      <c r="M367" s="3093"/>
      <c r="N367" s="3093"/>
      <c r="O367" s="3093"/>
      <c r="P367" s="3093"/>
      <c r="Q367" s="3093"/>
      <c r="R367" s="3093"/>
      <c r="S367" s="3093"/>
      <c r="T367" s="3093"/>
      <c r="U367" s="3093"/>
      <c r="V367" s="3093"/>
      <c r="W367" s="3093"/>
      <c r="X367" s="3093"/>
      <c r="Y367" s="3093"/>
      <c r="Z367" s="3093"/>
      <c r="AA367" s="3093"/>
      <c r="AB367" s="3093"/>
      <c r="AC367" s="3083">
        <f t="shared" si="212"/>
        <v>0</v>
      </c>
      <c r="AD367" s="3103"/>
      <c r="AE367" s="3103"/>
      <c r="AF367" s="3103"/>
      <c r="AG367" s="3103"/>
      <c r="AH367" s="3103"/>
      <c r="AI367" s="3103"/>
      <c r="AJ367" s="3103"/>
      <c r="AK367" s="3103"/>
      <c r="AL367" s="3103"/>
      <c r="AM367" s="3103"/>
      <c r="AN367" s="3103"/>
      <c r="AO367" s="3103"/>
      <c r="AP367" s="3103"/>
      <c r="AQ367" s="3103"/>
      <c r="AR367" s="3103"/>
      <c r="AS367" s="3103"/>
      <c r="AT367" s="3113"/>
      <c r="AU367" s="3114"/>
      <c r="AV367" s="1580">
        <f t="shared" ref="AV367:AV397" si="236">A367</f>
        <v>0</v>
      </c>
      <c r="AW367" s="1580">
        <f t="shared" ref="AW367:AW397" si="237">B367</f>
        <v>0</v>
      </c>
      <c r="AX367" s="1580">
        <f t="shared" ref="AX367:AX397" si="238">C367</f>
        <v>0</v>
      </c>
      <c r="AY367" s="3128">
        <f t="shared" si="213"/>
        <v>0</v>
      </c>
      <c r="AZ367" s="3083">
        <f t="shared" si="214"/>
        <v>0</v>
      </c>
      <c r="BA367" s="3083">
        <f t="shared" si="215"/>
        <v>0</v>
      </c>
      <c r="BB367" s="3083">
        <f t="shared" si="216"/>
        <v>0</v>
      </c>
      <c r="BC367" s="3083">
        <f t="shared" si="217"/>
        <v>0</v>
      </c>
      <c r="BD367" s="3083">
        <f t="shared" si="218"/>
        <v>0</v>
      </c>
      <c r="BE367" s="3083">
        <f t="shared" si="219"/>
        <v>0</v>
      </c>
      <c r="BF367" s="3083">
        <f t="shared" si="220"/>
        <v>0</v>
      </c>
      <c r="BG367" s="3083">
        <f t="shared" si="221"/>
        <v>0</v>
      </c>
      <c r="BH367" s="3083">
        <f t="shared" si="222"/>
        <v>0</v>
      </c>
      <c r="BI367" s="3083">
        <f t="shared" si="223"/>
        <v>0</v>
      </c>
      <c r="BJ367" s="3083">
        <f t="shared" si="224"/>
        <v>0</v>
      </c>
      <c r="BK367" s="3083">
        <f t="shared" si="225"/>
        <v>0</v>
      </c>
      <c r="BL367" s="3083">
        <f t="shared" si="226"/>
        <v>0</v>
      </c>
      <c r="BM367" s="3083">
        <f t="shared" si="227"/>
        <v>0</v>
      </c>
      <c r="BN367" s="3083">
        <f t="shared" si="228"/>
        <v>0</v>
      </c>
      <c r="BO367" s="3083">
        <f t="shared" si="229"/>
        <v>0</v>
      </c>
      <c r="BP367" s="3083">
        <f t="shared" si="230"/>
        <v>0</v>
      </c>
      <c r="BQ367" s="3083">
        <f t="shared" si="231"/>
        <v>0</v>
      </c>
      <c r="BR367" s="3083">
        <f t="shared" si="232"/>
        <v>0</v>
      </c>
      <c r="BS367" s="3083">
        <f t="shared" si="233"/>
        <v>0</v>
      </c>
      <c r="BT367" s="3135">
        <f t="shared" si="234"/>
        <v>0</v>
      </c>
    </row>
    <row r="368" spans="1:72">
      <c r="A368" s="3080"/>
      <c r="B368" s="3081"/>
      <c r="C368" s="3081"/>
      <c r="D368" s="3082"/>
      <c r="E368" s="3083">
        <f t="shared" si="235"/>
        <v>0</v>
      </c>
      <c r="F368" s="3084"/>
      <c r="G368" s="3085">
        <f t="shared" si="210"/>
        <v>0</v>
      </c>
      <c r="H368" s="3086">
        <f t="shared" si="211"/>
        <v>0</v>
      </c>
      <c r="I368" s="3093"/>
      <c r="J368" s="3093"/>
      <c r="K368" s="3093"/>
      <c r="L368" s="3093"/>
      <c r="M368" s="3093"/>
      <c r="N368" s="3093"/>
      <c r="O368" s="3093"/>
      <c r="P368" s="3093"/>
      <c r="Q368" s="3093"/>
      <c r="R368" s="3093"/>
      <c r="S368" s="3093"/>
      <c r="T368" s="3093"/>
      <c r="U368" s="3093"/>
      <c r="V368" s="3093"/>
      <c r="W368" s="3093"/>
      <c r="X368" s="3093"/>
      <c r="Y368" s="3093"/>
      <c r="Z368" s="3093"/>
      <c r="AA368" s="3093"/>
      <c r="AB368" s="3093"/>
      <c r="AC368" s="3083">
        <f t="shared" si="212"/>
        <v>0</v>
      </c>
      <c r="AD368" s="3103"/>
      <c r="AE368" s="3103"/>
      <c r="AF368" s="3103"/>
      <c r="AG368" s="3103"/>
      <c r="AH368" s="3103"/>
      <c r="AI368" s="3103"/>
      <c r="AJ368" s="3103"/>
      <c r="AK368" s="3103"/>
      <c r="AL368" s="3103"/>
      <c r="AM368" s="3103"/>
      <c r="AN368" s="3103"/>
      <c r="AO368" s="3103"/>
      <c r="AP368" s="3103"/>
      <c r="AQ368" s="3103"/>
      <c r="AR368" s="3103"/>
      <c r="AS368" s="3103"/>
      <c r="AT368" s="3113"/>
      <c r="AU368" s="3114"/>
      <c r="AV368" s="1580">
        <f t="shared" si="236"/>
        <v>0</v>
      </c>
      <c r="AW368" s="1580">
        <f t="shared" si="237"/>
        <v>0</v>
      </c>
      <c r="AX368" s="1580">
        <f t="shared" si="238"/>
        <v>0</v>
      </c>
      <c r="AY368" s="3128">
        <f t="shared" si="213"/>
        <v>0</v>
      </c>
      <c r="AZ368" s="3083">
        <f t="shared" si="214"/>
        <v>0</v>
      </c>
      <c r="BA368" s="3083">
        <f t="shared" si="215"/>
        <v>0</v>
      </c>
      <c r="BB368" s="3083">
        <f t="shared" si="216"/>
        <v>0</v>
      </c>
      <c r="BC368" s="3083">
        <f t="shared" si="217"/>
        <v>0</v>
      </c>
      <c r="BD368" s="3083">
        <f t="shared" si="218"/>
        <v>0</v>
      </c>
      <c r="BE368" s="3083">
        <f t="shared" si="219"/>
        <v>0</v>
      </c>
      <c r="BF368" s="3083">
        <f t="shared" si="220"/>
        <v>0</v>
      </c>
      <c r="BG368" s="3083">
        <f t="shared" si="221"/>
        <v>0</v>
      </c>
      <c r="BH368" s="3083">
        <f t="shared" si="222"/>
        <v>0</v>
      </c>
      <c r="BI368" s="3083">
        <f t="shared" si="223"/>
        <v>0</v>
      </c>
      <c r="BJ368" s="3083">
        <f t="shared" si="224"/>
        <v>0</v>
      </c>
      <c r="BK368" s="3083">
        <f t="shared" si="225"/>
        <v>0</v>
      </c>
      <c r="BL368" s="3083">
        <f t="shared" si="226"/>
        <v>0</v>
      </c>
      <c r="BM368" s="3083">
        <f t="shared" si="227"/>
        <v>0</v>
      </c>
      <c r="BN368" s="3083">
        <f t="shared" si="228"/>
        <v>0</v>
      </c>
      <c r="BO368" s="3083">
        <f t="shared" si="229"/>
        <v>0</v>
      </c>
      <c r="BP368" s="3083">
        <f t="shared" si="230"/>
        <v>0</v>
      </c>
      <c r="BQ368" s="3083">
        <f t="shared" si="231"/>
        <v>0</v>
      </c>
      <c r="BR368" s="3083">
        <f t="shared" si="232"/>
        <v>0</v>
      </c>
      <c r="BS368" s="3083">
        <f t="shared" si="233"/>
        <v>0</v>
      </c>
      <c r="BT368" s="3135">
        <f t="shared" si="234"/>
        <v>0</v>
      </c>
    </row>
    <row r="369" spans="1:72">
      <c r="A369" s="3080"/>
      <c r="B369" s="3081"/>
      <c r="C369" s="3081"/>
      <c r="D369" s="3082"/>
      <c r="E369" s="3083">
        <f t="shared" si="235"/>
        <v>0</v>
      </c>
      <c r="F369" s="3084"/>
      <c r="G369" s="3085">
        <f t="shared" si="210"/>
        <v>0</v>
      </c>
      <c r="H369" s="3086">
        <f t="shared" si="211"/>
        <v>0</v>
      </c>
      <c r="I369" s="3093"/>
      <c r="J369" s="3093"/>
      <c r="K369" s="3093"/>
      <c r="L369" s="3093"/>
      <c r="M369" s="3093"/>
      <c r="N369" s="3093"/>
      <c r="O369" s="3093"/>
      <c r="P369" s="3093"/>
      <c r="Q369" s="3093"/>
      <c r="R369" s="3093"/>
      <c r="S369" s="3093"/>
      <c r="T369" s="3093"/>
      <c r="U369" s="3093"/>
      <c r="V369" s="3093"/>
      <c r="W369" s="3093"/>
      <c r="X369" s="3093"/>
      <c r="Y369" s="3093"/>
      <c r="Z369" s="3093"/>
      <c r="AA369" s="3093"/>
      <c r="AB369" s="3093"/>
      <c r="AC369" s="3083">
        <f t="shared" si="212"/>
        <v>0</v>
      </c>
      <c r="AD369" s="3103"/>
      <c r="AE369" s="3103"/>
      <c r="AF369" s="3103"/>
      <c r="AG369" s="3103"/>
      <c r="AH369" s="3103"/>
      <c r="AI369" s="3103"/>
      <c r="AJ369" s="3103"/>
      <c r="AK369" s="3103"/>
      <c r="AL369" s="3103"/>
      <c r="AM369" s="3103"/>
      <c r="AN369" s="3103"/>
      <c r="AO369" s="3103"/>
      <c r="AP369" s="3103"/>
      <c r="AQ369" s="3103"/>
      <c r="AR369" s="3103"/>
      <c r="AS369" s="3103"/>
      <c r="AT369" s="3113"/>
      <c r="AU369" s="3114"/>
      <c r="AV369" s="1580">
        <f t="shared" si="236"/>
        <v>0</v>
      </c>
      <c r="AW369" s="1580">
        <f t="shared" si="237"/>
        <v>0</v>
      </c>
      <c r="AX369" s="1580">
        <f t="shared" si="238"/>
        <v>0</v>
      </c>
      <c r="AY369" s="3128">
        <f t="shared" si="213"/>
        <v>0</v>
      </c>
      <c r="AZ369" s="3083">
        <f t="shared" si="214"/>
        <v>0</v>
      </c>
      <c r="BA369" s="3083">
        <f t="shared" si="215"/>
        <v>0</v>
      </c>
      <c r="BB369" s="3083">
        <f t="shared" si="216"/>
        <v>0</v>
      </c>
      <c r="BC369" s="3083">
        <f t="shared" si="217"/>
        <v>0</v>
      </c>
      <c r="BD369" s="3083">
        <f t="shared" si="218"/>
        <v>0</v>
      </c>
      <c r="BE369" s="3083">
        <f t="shared" si="219"/>
        <v>0</v>
      </c>
      <c r="BF369" s="3083">
        <f t="shared" si="220"/>
        <v>0</v>
      </c>
      <c r="BG369" s="3083">
        <f t="shared" si="221"/>
        <v>0</v>
      </c>
      <c r="BH369" s="3083">
        <f t="shared" si="222"/>
        <v>0</v>
      </c>
      <c r="BI369" s="3083">
        <f t="shared" si="223"/>
        <v>0</v>
      </c>
      <c r="BJ369" s="3083">
        <f t="shared" si="224"/>
        <v>0</v>
      </c>
      <c r="BK369" s="3083">
        <f t="shared" si="225"/>
        <v>0</v>
      </c>
      <c r="BL369" s="3083">
        <f t="shared" si="226"/>
        <v>0</v>
      </c>
      <c r="BM369" s="3083">
        <f t="shared" si="227"/>
        <v>0</v>
      </c>
      <c r="BN369" s="3083">
        <f t="shared" si="228"/>
        <v>0</v>
      </c>
      <c r="BO369" s="3083">
        <f t="shared" si="229"/>
        <v>0</v>
      </c>
      <c r="BP369" s="3083">
        <f t="shared" si="230"/>
        <v>0</v>
      </c>
      <c r="BQ369" s="3083">
        <f t="shared" si="231"/>
        <v>0</v>
      </c>
      <c r="BR369" s="3083">
        <f t="shared" si="232"/>
        <v>0</v>
      </c>
      <c r="BS369" s="3083">
        <f t="shared" si="233"/>
        <v>0</v>
      </c>
      <c r="BT369" s="3135">
        <f t="shared" si="234"/>
        <v>0</v>
      </c>
    </row>
    <row r="370" spans="1:72">
      <c r="A370" s="3080"/>
      <c r="B370" s="3081"/>
      <c r="C370" s="3081"/>
      <c r="D370" s="3082"/>
      <c r="E370" s="3083">
        <f t="shared" si="235"/>
        <v>0</v>
      </c>
      <c r="F370" s="3084"/>
      <c r="G370" s="3085">
        <f t="shared" si="210"/>
        <v>0</v>
      </c>
      <c r="H370" s="3086">
        <f t="shared" si="211"/>
        <v>0</v>
      </c>
      <c r="I370" s="3093"/>
      <c r="J370" s="3093"/>
      <c r="K370" s="3093"/>
      <c r="L370" s="3093"/>
      <c r="M370" s="3093"/>
      <c r="N370" s="3093"/>
      <c r="O370" s="3093"/>
      <c r="P370" s="3093"/>
      <c r="Q370" s="3093"/>
      <c r="R370" s="3093"/>
      <c r="S370" s="3093"/>
      <c r="T370" s="3093"/>
      <c r="U370" s="3093"/>
      <c r="V370" s="3093"/>
      <c r="W370" s="3093"/>
      <c r="X370" s="3093"/>
      <c r="Y370" s="3093"/>
      <c r="Z370" s="3093"/>
      <c r="AA370" s="3093"/>
      <c r="AB370" s="3093"/>
      <c r="AC370" s="3083">
        <f t="shared" si="212"/>
        <v>0</v>
      </c>
      <c r="AD370" s="3103"/>
      <c r="AE370" s="3103"/>
      <c r="AF370" s="3103"/>
      <c r="AG370" s="3103"/>
      <c r="AH370" s="3103"/>
      <c r="AI370" s="3103"/>
      <c r="AJ370" s="3103"/>
      <c r="AK370" s="3103"/>
      <c r="AL370" s="3103"/>
      <c r="AM370" s="3103"/>
      <c r="AN370" s="3103"/>
      <c r="AO370" s="3103"/>
      <c r="AP370" s="3103"/>
      <c r="AQ370" s="3103"/>
      <c r="AR370" s="3103"/>
      <c r="AS370" s="3103"/>
      <c r="AT370" s="3113"/>
      <c r="AU370" s="3114"/>
      <c r="AV370" s="1580">
        <f t="shared" si="236"/>
        <v>0</v>
      </c>
      <c r="AW370" s="1580">
        <f t="shared" si="237"/>
        <v>0</v>
      </c>
      <c r="AX370" s="1580">
        <f t="shared" si="238"/>
        <v>0</v>
      </c>
      <c r="AY370" s="3128">
        <f t="shared" si="213"/>
        <v>0</v>
      </c>
      <c r="AZ370" s="3083">
        <f t="shared" si="214"/>
        <v>0</v>
      </c>
      <c r="BA370" s="3083">
        <f t="shared" si="215"/>
        <v>0</v>
      </c>
      <c r="BB370" s="3083">
        <f t="shared" si="216"/>
        <v>0</v>
      </c>
      <c r="BC370" s="3083">
        <f t="shared" si="217"/>
        <v>0</v>
      </c>
      <c r="BD370" s="3083">
        <f t="shared" si="218"/>
        <v>0</v>
      </c>
      <c r="BE370" s="3083">
        <f t="shared" si="219"/>
        <v>0</v>
      </c>
      <c r="BF370" s="3083">
        <f t="shared" si="220"/>
        <v>0</v>
      </c>
      <c r="BG370" s="3083">
        <f t="shared" si="221"/>
        <v>0</v>
      </c>
      <c r="BH370" s="3083">
        <f t="shared" si="222"/>
        <v>0</v>
      </c>
      <c r="BI370" s="3083">
        <f t="shared" si="223"/>
        <v>0</v>
      </c>
      <c r="BJ370" s="3083">
        <f t="shared" si="224"/>
        <v>0</v>
      </c>
      <c r="BK370" s="3083">
        <f t="shared" si="225"/>
        <v>0</v>
      </c>
      <c r="BL370" s="3083">
        <f t="shared" si="226"/>
        <v>0</v>
      </c>
      <c r="BM370" s="3083">
        <f t="shared" si="227"/>
        <v>0</v>
      </c>
      <c r="BN370" s="3083">
        <f t="shared" si="228"/>
        <v>0</v>
      </c>
      <c r="BO370" s="3083">
        <f t="shared" si="229"/>
        <v>0</v>
      </c>
      <c r="BP370" s="3083">
        <f t="shared" si="230"/>
        <v>0</v>
      </c>
      <c r="BQ370" s="3083">
        <f t="shared" si="231"/>
        <v>0</v>
      </c>
      <c r="BR370" s="3083">
        <f t="shared" si="232"/>
        <v>0</v>
      </c>
      <c r="BS370" s="3083">
        <f t="shared" si="233"/>
        <v>0</v>
      </c>
      <c r="BT370" s="3135">
        <f t="shared" si="234"/>
        <v>0</v>
      </c>
    </row>
    <row r="371" spans="1:72">
      <c r="A371" s="3080"/>
      <c r="B371" s="3081"/>
      <c r="C371" s="3081"/>
      <c r="D371" s="3082"/>
      <c r="E371" s="3083">
        <f t="shared" si="235"/>
        <v>0</v>
      </c>
      <c r="F371" s="3084"/>
      <c r="G371" s="3085">
        <f t="shared" si="210"/>
        <v>0</v>
      </c>
      <c r="H371" s="3086">
        <f t="shared" si="211"/>
        <v>0</v>
      </c>
      <c r="I371" s="3093"/>
      <c r="J371" s="3093"/>
      <c r="K371" s="3093"/>
      <c r="L371" s="3093"/>
      <c r="M371" s="3093"/>
      <c r="N371" s="3093"/>
      <c r="O371" s="3093"/>
      <c r="P371" s="3093"/>
      <c r="Q371" s="3093"/>
      <c r="R371" s="3093"/>
      <c r="S371" s="3093"/>
      <c r="T371" s="3093"/>
      <c r="U371" s="3093"/>
      <c r="V371" s="3093"/>
      <c r="W371" s="3093"/>
      <c r="X371" s="3093"/>
      <c r="Y371" s="3093"/>
      <c r="Z371" s="3093"/>
      <c r="AA371" s="3093"/>
      <c r="AB371" s="3093"/>
      <c r="AC371" s="3083">
        <f t="shared" si="212"/>
        <v>0</v>
      </c>
      <c r="AD371" s="3103"/>
      <c r="AE371" s="3103"/>
      <c r="AF371" s="3103"/>
      <c r="AG371" s="3103"/>
      <c r="AH371" s="3103"/>
      <c r="AI371" s="3103"/>
      <c r="AJ371" s="3103"/>
      <c r="AK371" s="3103"/>
      <c r="AL371" s="3103"/>
      <c r="AM371" s="3103"/>
      <c r="AN371" s="3103"/>
      <c r="AO371" s="3103"/>
      <c r="AP371" s="3103"/>
      <c r="AQ371" s="3103"/>
      <c r="AR371" s="3103"/>
      <c r="AS371" s="3103"/>
      <c r="AT371" s="3113"/>
      <c r="AU371" s="3114"/>
      <c r="AV371" s="1580">
        <f t="shared" si="236"/>
        <v>0</v>
      </c>
      <c r="AW371" s="1580">
        <f t="shared" si="237"/>
        <v>0</v>
      </c>
      <c r="AX371" s="1580">
        <f t="shared" si="238"/>
        <v>0</v>
      </c>
      <c r="AY371" s="3128">
        <f t="shared" si="213"/>
        <v>0</v>
      </c>
      <c r="AZ371" s="3083">
        <f t="shared" si="214"/>
        <v>0</v>
      </c>
      <c r="BA371" s="3083">
        <f t="shared" si="215"/>
        <v>0</v>
      </c>
      <c r="BB371" s="3083">
        <f t="shared" si="216"/>
        <v>0</v>
      </c>
      <c r="BC371" s="3083">
        <f t="shared" si="217"/>
        <v>0</v>
      </c>
      <c r="BD371" s="3083">
        <f t="shared" si="218"/>
        <v>0</v>
      </c>
      <c r="BE371" s="3083">
        <f t="shared" si="219"/>
        <v>0</v>
      </c>
      <c r="BF371" s="3083">
        <f t="shared" si="220"/>
        <v>0</v>
      </c>
      <c r="BG371" s="3083">
        <f t="shared" si="221"/>
        <v>0</v>
      </c>
      <c r="BH371" s="3083">
        <f t="shared" si="222"/>
        <v>0</v>
      </c>
      <c r="BI371" s="3083">
        <f t="shared" si="223"/>
        <v>0</v>
      </c>
      <c r="BJ371" s="3083">
        <f t="shared" si="224"/>
        <v>0</v>
      </c>
      <c r="BK371" s="3083">
        <f t="shared" si="225"/>
        <v>0</v>
      </c>
      <c r="BL371" s="3083">
        <f t="shared" si="226"/>
        <v>0</v>
      </c>
      <c r="BM371" s="3083">
        <f t="shared" si="227"/>
        <v>0</v>
      </c>
      <c r="BN371" s="3083">
        <f t="shared" si="228"/>
        <v>0</v>
      </c>
      <c r="BO371" s="3083">
        <f t="shared" si="229"/>
        <v>0</v>
      </c>
      <c r="BP371" s="3083">
        <f t="shared" si="230"/>
        <v>0</v>
      </c>
      <c r="BQ371" s="3083">
        <f t="shared" si="231"/>
        <v>0</v>
      </c>
      <c r="BR371" s="3083">
        <f t="shared" si="232"/>
        <v>0</v>
      </c>
      <c r="BS371" s="3083">
        <f t="shared" si="233"/>
        <v>0</v>
      </c>
      <c r="BT371" s="3135">
        <f t="shared" si="234"/>
        <v>0</v>
      </c>
    </row>
    <row r="372" spans="1:72">
      <c r="A372" s="3080"/>
      <c r="B372" s="3081"/>
      <c r="C372" s="3081"/>
      <c r="D372" s="3082"/>
      <c r="E372" s="3083">
        <f t="shared" si="235"/>
        <v>0</v>
      </c>
      <c r="F372" s="3084"/>
      <c r="G372" s="3085">
        <f t="shared" si="210"/>
        <v>0</v>
      </c>
      <c r="H372" s="3086">
        <f t="shared" si="211"/>
        <v>0</v>
      </c>
      <c r="I372" s="3093"/>
      <c r="J372" s="3093"/>
      <c r="K372" s="3093"/>
      <c r="L372" s="3093"/>
      <c r="M372" s="3093"/>
      <c r="N372" s="3093"/>
      <c r="O372" s="3093"/>
      <c r="P372" s="3093"/>
      <c r="Q372" s="3093"/>
      <c r="R372" s="3093"/>
      <c r="S372" s="3093"/>
      <c r="T372" s="3093"/>
      <c r="U372" s="3093"/>
      <c r="V372" s="3093"/>
      <c r="W372" s="3093"/>
      <c r="X372" s="3093"/>
      <c r="Y372" s="3093"/>
      <c r="Z372" s="3093"/>
      <c r="AA372" s="3093"/>
      <c r="AB372" s="3093"/>
      <c r="AC372" s="3083">
        <f t="shared" si="212"/>
        <v>0</v>
      </c>
      <c r="AD372" s="3103"/>
      <c r="AE372" s="3103"/>
      <c r="AF372" s="3103"/>
      <c r="AG372" s="3103"/>
      <c r="AH372" s="3103"/>
      <c r="AI372" s="3103"/>
      <c r="AJ372" s="3103"/>
      <c r="AK372" s="3103"/>
      <c r="AL372" s="3103"/>
      <c r="AM372" s="3103"/>
      <c r="AN372" s="3103"/>
      <c r="AO372" s="3103"/>
      <c r="AP372" s="3103"/>
      <c r="AQ372" s="3103"/>
      <c r="AR372" s="3103"/>
      <c r="AS372" s="3103"/>
      <c r="AT372" s="3113"/>
      <c r="AU372" s="3114"/>
      <c r="AV372" s="1580">
        <f t="shared" si="236"/>
        <v>0</v>
      </c>
      <c r="AW372" s="1580">
        <f t="shared" si="237"/>
        <v>0</v>
      </c>
      <c r="AX372" s="1580">
        <f t="shared" si="238"/>
        <v>0</v>
      </c>
      <c r="AY372" s="3128">
        <f t="shared" si="213"/>
        <v>0</v>
      </c>
      <c r="AZ372" s="3083">
        <f t="shared" si="214"/>
        <v>0</v>
      </c>
      <c r="BA372" s="3083">
        <f t="shared" si="215"/>
        <v>0</v>
      </c>
      <c r="BB372" s="3083">
        <f t="shared" si="216"/>
        <v>0</v>
      </c>
      <c r="BC372" s="3083">
        <f t="shared" si="217"/>
        <v>0</v>
      </c>
      <c r="BD372" s="3083">
        <f t="shared" si="218"/>
        <v>0</v>
      </c>
      <c r="BE372" s="3083">
        <f t="shared" si="219"/>
        <v>0</v>
      </c>
      <c r="BF372" s="3083">
        <f t="shared" si="220"/>
        <v>0</v>
      </c>
      <c r="BG372" s="3083">
        <f t="shared" si="221"/>
        <v>0</v>
      </c>
      <c r="BH372" s="3083">
        <f t="shared" si="222"/>
        <v>0</v>
      </c>
      <c r="BI372" s="3083">
        <f t="shared" si="223"/>
        <v>0</v>
      </c>
      <c r="BJ372" s="3083">
        <f t="shared" si="224"/>
        <v>0</v>
      </c>
      <c r="BK372" s="3083">
        <f t="shared" si="225"/>
        <v>0</v>
      </c>
      <c r="BL372" s="3083">
        <f t="shared" si="226"/>
        <v>0</v>
      </c>
      <c r="BM372" s="3083">
        <f t="shared" si="227"/>
        <v>0</v>
      </c>
      <c r="BN372" s="3083">
        <f t="shared" si="228"/>
        <v>0</v>
      </c>
      <c r="BO372" s="3083">
        <f t="shared" si="229"/>
        <v>0</v>
      </c>
      <c r="BP372" s="3083">
        <f t="shared" si="230"/>
        <v>0</v>
      </c>
      <c r="BQ372" s="3083">
        <f t="shared" si="231"/>
        <v>0</v>
      </c>
      <c r="BR372" s="3083">
        <f t="shared" si="232"/>
        <v>0</v>
      </c>
      <c r="BS372" s="3083">
        <f t="shared" si="233"/>
        <v>0</v>
      </c>
      <c r="BT372" s="3135">
        <f t="shared" si="234"/>
        <v>0</v>
      </c>
    </row>
    <row r="373" spans="1:72">
      <c r="A373" s="3080"/>
      <c r="B373" s="3081"/>
      <c r="C373" s="3081"/>
      <c r="D373" s="3082"/>
      <c r="E373" s="3083">
        <f t="shared" si="235"/>
        <v>0</v>
      </c>
      <c r="F373" s="3084"/>
      <c r="G373" s="3085">
        <f t="shared" si="210"/>
        <v>0</v>
      </c>
      <c r="H373" s="3086">
        <f t="shared" si="211"/>
        <v>0</v>
      </c>
      <c r="I373" s="3093"/>
      <c r="J373" s="3093"/>
      <c r="K373" s="3093"/>
      <c r="L373" s="3093"/>
      <c r="M373" s="3093"/>
      <c r="N373" s="3093"/>
      <c r="O373" s="3093"/>
      <c r="P373" s="3093"/>
      <c r="Q373" s="3093"/>
      <c r="R373" s="3093"/>
      <c r="S373" s="3093"/>
      <c r="T373" s="3093"/>
      <c r="U373" s="3093"/>
      <c r="V373" s="3093"/>
      <c r="W373" s="3093"/>
      <c r="X373" s="3093"/>
      <c r="Y373" s="3093"/>
      <c r="Z373" s="3093"/>
      <c r="AA373" s="3093"/>
      <c r="AB373" s="3093"/>
      <c r="AC373" s="3083">
        <f t="shared" si="212"/>
        <v>0</v>
      </c>
      <c r="AD373" s="3103"/>
      <c r="AE373" s="3103"/>
      <c r="AF373" s="3103"/>
      <c r="AG373" s="3103"/>
      <c r="AH373" s="3103"/>
      <c r="AI373" s="3103"/>
      <c r="AJ373" s="3103"/>
      <c r="AK373" s="3103"/>
      <c r="AL373" s="3103"/>
      <c r="AM373" s="3103"/>
      <c r="AN373" s="3103"/>
      <c r="AO373" s="3103"/>
      <c r="AP373" s="3103"/>
      <c r="AQ373" s="3103"/>
      <c r="AR373" s="3103"/>
      <c r="AS373" s="3103"/>
      <c r="AT373" s="3113"/>
      <c r="AU373" s="3114"/>
      <c r="AV373" s="1580">
        <f t="shared" si="236"/>
        <v>0</v>
      </c>
      <c r="AW373" s="1580">
        <f t="shared" si="237"/>
        <v>0</v>
      </c>
      <c r="AX373" s="1580">
        <f t="shared" si="238"/>
        <v>0</v>
      </c>
      <c r="AY373" s="3128">
        <f t="shared" si="213"/>
        <v>0</v>
      </c>
      <c r="AZ373" s="3083">
        <f t="shared" si="214"/>
        <v>0</v>
      </c>
      <c r="BA373" s="3083">
        <f t="shared" si="215"/>
        <v>0</v>
      </c>
      <c r="BB373" s="3083">
        <f t="shared" si="216"/>
        <v>0</v>
      </c>
      <c r="BC373" s="3083">
        <f t="shared" si="217"/>
        <v>0</v>
      </c>
      <c r="BD373" s="3083">
        <f t="shared" si="218"/>
        <v>0</v>
      </c>
      <c r="BE373" s="3083">
        <f t="shared" si="219"/>
        <v>0</v>
      </c>
      <c r="BF373" s="3083">
        <f t="shared" si="220"/>
        <v>0</v>
      </c>
      <c r="BG373" s="3083">
        <f t="shared" si="221"/>
        <v>0</v>
      </c>
      <c r="BH373" s="3083">
        <f t="shared" si="222"/>
        <v>0</v>
      </c>
      <c r="BI373" s="3083">
        <f t="shared" si="223"/>
        <v>0</v>
      </c>
      <c r="BJ373" s="3083">
        <f t="shared" si="224"/>
        <v>0</v>
      </c>
      <c r="BK373" s="3083">
        <f t="shared" si="225"/>
        <v>0</v>
      </c>
      <c r="BL373" s="3083">
        <f t="shared" si="226"/>
        <v>0</v>
      </c>
      <c r="BM373" s="3083">
        <f t="shared" si="227"/>
        <v>0</v>
      </c>
      <c r="BN373" s="3083">
        <f t="shared" si="228"/>
        <v>0</v>
      </c>
      <c r="BO373" s="3083">
        <f t="shared" si="229"/>
        <v>0</v>
      </c>
      <c r="BP373" s="3083">
        <f t="shared" si="230"/>
        <v>0</v>
      </c>
      <c r="BQ373" s="3083">
        <f t="shared" si="231"/>
        <v>0</v>
      </c>
      <c r="BR373" s="3083">
        <f t="shared" si="232"/>
        <v>0</v>
      </c>
      <c r="BS373" s="3083">
        <f t="shared" si="233"/>
        <v>0</v>
      </c>
      <c r="BT373" s="3135">
        <f t="shared" si="234"/>
        <v>0</v>
      </c>
    </row>
    <row r="374" spans="1:72">
      <c r="A374" s="3080"/>
      <c r="B374" s="3081"/>
      <c r="C374" s="3081"/>
      <c r="D374" s="3082"/>
      <c r="E374" s="3083">
        <f t="shared" si="235"/>
        <v>0</v>
      </c>
      <c r="F374" s="3084"/>
      <c r="G374" s="3085">
        <f t="shared" si="210"/>
        <v>0</v>
      </c>
      <c r="H374" s="3086">
        <f t="shared" si="211"/>
        <v>0</v>
      </c>
      <c r="I374" s="3093"/>
      <c r="J374" s="3093"/>
      <c r="K374" s="3093"/>
      <c r="L374" s="3093"/>
      <c r="M374" s="3093"/>
      <c r="N374" s="3093"/>
      <c r="O374" s="3093"/>
      <c r="P374" s="3093"/>
      <c r="Q374" s="3093"/>
      <c r="R374" s="3093"/>
      <c r="S374" s="3093"/>
      <c r="T374" s="3093"/>
      <c r="U374" s="3093"/>
      <c r="V374" s="3093"/>
      <c r="W374" s="3093"/>
      <c r="X374" s="3093"/>
      <c r="Y374" s="3093"/>
      <c r="Z374" s="3093"/>
      <c r="AA374" s="3093"/>
      <c r="AB374" s="3093"/>
      <c r="AC374" s="3083">
        <f t="shared" si="212"/>
        <v>0</v>
      </c>
      <c r="AD374" s="3103"/>
      <c r="AE374" s="3103"/>
      <c r="AF374" s="3103"/>
      <c r="AG374" s="3103"/>
      <c r="AH374" s="3103"/>
      <c r="AI374" s="3103"/>
      <c r="AJ374" s="3103"/>
      <c r="AK374" s="3103"/>
      <c r="AL374" s="3103"/>
      <c r="AM374" s="3103"/>
      <c r="AN374" s="3103"/>
      <c r="AO374" s="3103"/>
      <c r="AP374" s="3103"/>
      <c r="AQ374" s="3103"/>
      <c r="AR374" s="3103"/>
      <c r="AS374" s="3103"/>
      <c r="AT374" s="3113"/>
      <c r="AU374" s="3114"/>
      <c r="AV374" s="1580">
        <f t="shared" si="236"/>
        <v>0</v>
      </c>
      <c r="AW374" s="1580">
        <f t="shared" si="237"/>
        <v>0</v>
      </c>
      <c r="AX374" s="1580">
        <f t="shared" si="238"/>
        <v>0</v>
      </c>
      <c r="AY374" s="3128">
        <f t="shared" si="213"/>
        <v>0</v>
      </c>
      <c r="AZ374" s="3083">
        <f t="shared" si="214"/>
        <v>0</v>
      </c>
      <c r="BA374" s="3083">
        <f t="shared" si="215"/>
        <v>0</v>
      </c>
      <c r="BB374" s="3083">
        <f t="shared" si="216"/>
        <v>0</v>
      </c>
      <c r="BC374" s="3083">
        <f t="shared" si="217"/>
        <v>0</v>
      </c>
      <c r="BD374" s="3083">
        <f t="shared" si="218"/>
        <v>0</v>
      </c>
      <c r="BE374" s="3083">
        <f t="shared" si="219"/>
        <v>0</v>
      </c>
      <c r="BF374" s="3083">
        <f t="shared" si="220"/>
        <v>0</v>
      </c>
      <c r="BG374" s="3083">
        <f t="shared" si="221"/>
        <v>0</v>
      </c>
      <c r="BH374" s="3083">
        <f t="shared" si="222"/>
        <v>0</v>
      </c>
      <c r="BI374" s="3083">
        <f t="shared" si="223"/>
        <v>0</v>
      </c>
      <c r="BJ374" s="3083">
        <f t="shared" si="224"/>
        <v>0</v>
      </c>
      <c r="BK374" s="3083">
        <f t="shared" si="225"/>
        <v>0</v>
      </c>
      <c r="BL374" s="3083">
        <f t="shared" si="226"/>
        <v>0</v>
      </c>
      <c r="BM374" s="3083">
        <f t="shared" si="227"/>
        <v>0</v>
      </c>
      <c r="BN374" s="3083">
        <f t="shared" si="228"/>
        <v>0</v>
      </c>
      <c r="BO374" s="3083">
        <f t="shared" si="229"/>
        <v>0</v>
      </c>
      <c r="BP374" s="3083">
        <f t="shared" si="230"/>
        <v>0</v>
      </c>
      <c r="BQ374" s="3083">
        <f t="shared" si="231"/>
        <v>0</v>
      </c>
      <c r="BR374" s="3083">
        <f t="shared" si="232"/>
        <v>0</v>
      </c>
      <c r="BS374" s="3083">
        <f t="shared" si="233"/>
        <v>0</v>
      </c>
      <c r="BT374" s="3135">
        <f t="shared" si="234"/>
        <v>0</v>
      </c>
    </row>
    <row r="375" spans="1:72">
      <c r="A375" s="3080"/>
      <c r="B375" s="3081"/>
      <c r="C375" s="3081"/>
      <c r="D375" s="3082"/>
      <c r="E375" s="3083">
        <f t="shared" si="235"/>
        <v>0</v>
      </c>
      <c r="F375" s="3084"/>
      <c r="G375" s="3085">
        <f t="shared" si="210"/>
        <v>0</v>
      </c>
      <c r="H375" s="3086">
        <f t="shared" si="211"/>
        <v>0</v>
      </c>
      <c r="I375" s="3093"/>
      <c r="J375" s="3093"/>
      <c r="K375" s="3093"/>
      <c r="L375" s="3093"/>
      <c r="M375" s="3093"/>
      <c r="N375" s="3093"/>
      <c r="O375" s="3093"/>
      <c r="P375" s="3093"/>
      <c r="Q375" s="3093"/>
      <c r="R375" s="3093"/>
      <c r="S375" s="3093"/>
      <c r="T375" s="3093"/>
      <c r="U375" s="3093"/>
      <c r="V375" s="3093"/>
      <c r="W375" s="3093"/>
      <c r="X375" s="3093"/>
      <c r="Y375" s="3093"/>
      <c r="Z375" s="3093"/>
      <c r="AA375" s="3093"/>
      <c r="AB375" s="3093"/>
      <c r="AC375" s="3083">
        <f t="shared" si="212"/>
        <v>0</v>
      </c>
      <c r="AD375" s="3103"/>
      <c r="AE375" s="3103"/>
      <c r="AF375" s="3103"/>
      <c r="AG375" s="3103"/>
      <c r="AH375" s="3103"/>
      <c r="AI375" s="3103"/>
      <c r="AJ375" s="3103"/>
      <c r="AK375" s="3103"/>
      <c r="AL375" s="3103"/>
      <c r="AM375" s="3103"/>
      <c r="AN375" s="3103"/>
      <c r="AO375" s="3103"/>
      <c r="AP375" s="3103"/>
      <c r="AQ375" s="3103"/>
      <c r="AR375" s="3103"/>
      <c r="AS375" s="3103"/>
      <c r="AT375" s="3113"/>
      <c r="AU375" s="3114"/>
      <c r="AV375" s="1580">
        <f t="shared" si="236"/>
        <v>0</v>
      </c>
      <c r="AW375" s="1580">
        <f t="shared" si="237"/>
        <v>0</v>
      </c>
      <c r="AX375" s="1580">
        <f t="shared" si="238"/>
        <v>0</v>
      </c>
      <c r="AY375" s="3128">
        <f t="shared" si="213"/>
        <v>0</v>
      </c>
      <c r="AZ375" s="3083">
        <f t="shared" si="214"/>
        <v>0</v>
      </c>
      <c r="BA375" s="3083">
        <f t="shared" si="215"/>
        <v>0</v>
      </c>
      <c r="BB375" s="3083">
        <f t="shared" si="216"/>
        <v>0</v>
      </c>
      <c r="BC375" s="3083">
        <f t="shared" si="217"/>
        <v>0</v>
      </c>
      <c r="BD375" s="3083">
        <f t="shared" si="218"/>
        <v>0</v>
      </c>
      <c r="BE375" s="3083">
        <f t="shared" si="219"/>
        <v>0</v>
      </c>
      <c r="BF375" s="3083">
        <f t="shared" si="220"/>
        <v>0</v>
      </c>
      <c r="BG375" s="3083">
        <f t="shared" si="221"/>
        <v>0</v>
      </c>
      <c r="BH375" s="3083">
        <f t="shared" si="222"/>
        <v>0</v>
      </c>
      <c r="BI375" s="3083">
        <f t="shared" si="223"/>
        <v>0</v>
      </c>
      <c r="BJ375" s="3083">
        <f t="shared" si="224"/>
        <v>0</v>
      </c>
      <c r="BK375" s="3083">
        <f t="shared" si="225"/>
        <v>0</v>
      </c>
      <c r="BL375" s="3083">
        <f t="shared" si="226"/>
        <v>0</v>
      </c>
      <c r="BM375" s="3083">
        <f t="shared" si="227"/>
        <v>0</v>
      </c>
      <c r="BN375" s="3083">
        <f t="shared" si="228"/>
        <v>0</v>
      </c>
      <c r="BO375" s="3083">
        <f t="shared" si="229"/>
        <v>0</v>
      </c>
      <c r="BP375" s="3083">
        <f t="shared" si="230"/>
        <v>0</v>
      </c>
      <c r="BQ375" s="3083">
        <f t="shared" si="231"/>
        <v>0</v>
      </c>
      <c r="BR375" s="3083">
        <f t="shared" si="232"/>
        <v>0</v>
      </c>
      <c r="BS375" s="3083">
        <f t="shared" si="233"/>
        <v>0</v>
      </c>
      <c r="BT375" s="3135">
        <f t="shared" si="234"/>
        <v>0</v>
      </c>
    </row>
    <row r="376" spans="1:72">
      <c r="A376" s="3080"/>
      <c r="B376" s="3081"/>
      <c r="C376" s="3081"/>
      <c r="D376" s="3082"/>
      <c r="E376" s="3083">
        <f t="shared" si="235"/>
        <v>0</v>
      </c>
      <c r="F376" s="3084"/>
      <c r="G376" s="3085">
        <f t="shared" si="210"/>
        <v>0</v>
      </c>
      <c r="H376" s="3086">
        <f t="shared" si="211"/>
        <v>0</v>
      </c>
      <c r="I376" s="3093"/>
      <c r="J376" s="3093"/>
      <c r="K376" s="3093"/>
      <c r="L376" s="3093"/>
      <c r="M376" s="3093"/>
      <c r="N376" s="3093"/>
      <c r="O376" s="3093"/>
      <c r="P376" s="3093"/>
      <c r="Q376" s="3093"/>
      <c r="R376" s="3093"/>
      <c r="S376" s="3093"/>
      <c r="T376" s="3093"/>
      <c r="U376" s="3093"/>
      <c r="V376" s="3093"/>
      <c r="W376" s="3093"/>
      <c r="X376" s="3093"/>
      <c r="Y376" s="3093"/>
      <c r="Z376" s="3093"/>
      <c r="AA376" s="3093"/>
      <c r="AB376" s="3093"/>
      <c r="AC376" s="3083">
        <f t="shared" si="212"/>
        <v>0</v>
      </c>
      <c r="AD376" s="3103"/>
      <c r="AE376" s="3103"/>
      <c r="AF376" s="3103"/>
      <c r="AG376" s="3103"/>
      <c r="AH376" s="3103"/>
      <c r="AI376" s="3103"/>
      <c r="AJ376" s="3103"/>
      <c r="AK376" s="3103"/>
      <c r="AL376" s="3103"/>
      <c r="AM376" s="3103"/>
      <c r="AN376" s="3103"/>
      <c r="AO376" s="3103"/>
      <c r="AP376" s="3103"/>
      <c r="AQ376" s="3103"/>
      <c r="AR376" s="3103"/>
      <c r="AS376" s="3103"/>
      <c r="AT376" s="3113"/>
      <c r="AU376" s="3114"/>
      <c r="AV376" s="1580">
        <f t="shared" si="236"/>
        <v>0</v>
      </c>
      <c r="AW376" s="1580">
        <f t="shared" si="237"/>
        <v>0</v>
      </c>
      <c r="AX376" s="1580">
        <f t="shared" si="238"/>
        <v>0</v>
      </c>
      <c r="AY376" s="3128">
        <f t="shared" si="213"/>
        <v>0</v>
      </c>
      <c r="AZ376" s="3083">
        <f t="shared" si="214"/>
        <v>0</v>
      </c>
      <c r="BA376" s="3083">
        <f t="shared" si="215"/>
        <v>0</v>
      </c>
      <c r="BB376" s="3083">
        <f t="shared" si="216"/>
        <v>0</v>
      </c>
      <c r="BC376" s="3083">
        <f t="shared" si="217"/>
        <v>0</v>
      </c>
      <c r="BD376" s="3083">
        <f t="shared" si="218"/>
        <v>0</v>
      </c>
      <c r="BE376" s="3083">
        <f t="shared" si="219"/>
        <v>0</v>
      </c>
      <c r="BF376" s="3083">
        <f t="shared" si="220"/>
        <v>0</v>
      </c>
      <c r="BG376" s="3083">
        <f t="shared" si="221"/>
        <v>0</v>
      </c>
      <c r="BH376" s="3083">
        <f t="shared" si="222"/>
        <v>0</v>
      </c>
      <c r="BI376" s="3083">
        <f t="shared" si="223"/>
        <v>0</v>
      </c>
      <c r="BJ376" s="3083">
        <f t="shared" si="224"/>
        <v>0</v>
      </c>
      <c r="BK376" s="3083">
        <f t="shared" si="225"/>
        <v>0</v>
      </c>
      <c r="BL376" s="3083">
        <f t="shared" si="226"/>
        <v>0</v>
      </c>
      <c r="BM376" s="3083">
        <f t="shared" si="227"/>
        <v>0</v>
      </c>
      <c r="BN376" s="3083">
        <f t="shared" si="228"/>
        <v>0</v>
      </c>
      <c r="BO376" s="3083">
        <f t="shared" si="229"/>
        <v>0</v>
      </c>
      <c r="BP376" s="3083">
        <f t="shared" si="230"/>
        <v>0</v>
      </c>
      <c r="BQ376" s="3083">
        <f t="shared" si="231"/>
        <v>0</v>
      </c>
      <c r="BR376" s="3083">
        <f t="shared" si="232"/>
        <v>0</v>
      </c>
      <c r="BS376" s="3083">
        <f t="shared" si="233"/>
        <v>0</v>
      </c>
      <c r="BT376" s="3135">
        <f t="shared" si="234"/>
        <v>0</v>
      </c>
    </row>
    <row r="377" spans="1:72">
      <c r="A377" s="3080"/>
      <c r="B377" s="3081"/>
      <c r="C377" s="3081"/>
      <c r="D377" s="3082"/>
      <c r="E377" s="3083">
        <f t="shared" si="235"/>
        <v>0</v>
      </c>
      <c r="F377" s="3084"/>
      <c r="G377" s="3085">
        <f t="shared" si="210"/>
        <v>0</v>
      </c>
      <c r="H377" s="3086">
        <f t="shared" si="211"/>
        <v>0</v>
      </c>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83">
        <f t="shared" si="212"/>
        <v>0</v>
      </c>
      <c r="AD377" s="3103"/>
      <c r="AE377" s="3103"/>
      <c r="AF377" s="3103"/>
      <c r="AG377" s="3103"/>
      <c r="AH377" s="3103"/>
      <c r="AI377" s="3103"/>
      <c r="AJ377" s="3103"/>
      <c r="AK377" s="3103"/>
      <c r="AL377" s="3103"/>
      <c r="AM377" s="3103"/>
      <c r="AN377" s="3103"/>
      <c r="AO377" s="3103"/>
      <c r="AP377" s="3103"/>
      <c r="AQ377" s="3103"/>
      <c r="AR377" s="3103"/>
      <c r="AS377" s="3103"/>
      <c r="AT377" s="3113"/>
      <c r="AU377" s="3114"/>
      <c r="AV377" s="1580">
        <f t="shared" si="236"/>
        <v>0</v>
      </c>
      <c r="AW377" s="1580">
        <f t="shared" si="237"/>
        <v>0</v>
      </c>
      <c r="AX377" s="1580">
        <f t="shared" si="238"/>
        <v>0</v>
      </c>
      <c r="AY377" s="3128">
        <f t="shared" si="213"/>
        <v>0</v>
      </c>
      <c r="AZ377" s="3083">
        <f t="shared" si="214"/>
        <v>0</v>
      </c>
      <c r="BA377" s="3083">
        <f t="shared" si="215"/>
        <v>0</v>
      </c>
      <c r="BB377" s="3083">
        <f t="shared" si="216"/>
        <v>0</v>
      </c>
      <c r="BC377" s="3083">
        <f t="shared" si="217"/>
        <v>0</v>
      </c>
      <c r="BD377" s="3083">
        <f t="shared" si="218"/>
        <v>0</v>
      </c>
      <c r="BE377" s="3083">
        <f t="shared" si="219"/>
        <v>0</v>
      </c>
      <c r="BF377" s="3083">
        <f t="shared" si="220"/>
        <v>0</v>
      </c>
      <c r="BG377" s="3083">
        <f t="shared" si="221"/>
        <v>0</v>
      </c>
      <c r="BH377" s="3083">
        <f t="shared" si="222"/>
        <v>0</v>
      </c>
      <c r="BI377" s="3083">
        <f t="shared" si="223"/>
        <v>0</v>
      </c>
      <c r="BJ377" s="3083">
        <f t="shared" si="224"/>
        <v>0</v>
      </c>
      <c r="BK377" s="3083">
        <f t="shared" si="225"/>
        <v>0</v>
      </c>
      <c r="BL377" s="3083">
        <f t="shared" si="226"/>
        <v>0</v>
      </c>
      <c r="BM377" s="3083">
        <f t="shared" si="227"/>
        <v>0</v>
      </c>
      <c r="BN377" s="3083">
        <f t="shared" si="228"/>
        <v>0</v>
      </c>
      <c r="BO377" s="3083">
        <f t="shared" si="229"/>
        <v>0</v>
      </c>
      <c r="BP377" s="3083">
        <f t="shared" si="230"/>
        <v>0</v>
      </c>
      <c r="BQ377" s="3083">
        <f t="shared" si="231"/>
        <v>0</v>
      </c>
      <c r="BR377" s="3083">
        <f t="shared" si="232"/>
        <v>0</v>
      </c>
      <c r="BS377" s="3083">
        <f t="shared" si="233"/>
        <v>0</v>
      </c>
      <c r="BT377" s="3135">
        <f t="shared" si="234"/>
        <v>0</v>
      </c>
    </row>
    <row r="378" spans="1:72">
      <c r="A378" s="3080"/>
      <c r="B378" s="3081"/>
      <c r="C378" s="3081"/>
      <c r="D378" s="3082"/>
      <c r="E378" s="3083">
        <f t="shared" si="235"/>
        <v>0</v>
      </c>
      <c r="F378" s="3084"/>
      <c r="G378" s="3085">
        <f t="shared" si="210"/>
        <v>0</v>
      </c>
      <c r="H378" s="3086">
        <f t="shared" si="211"/>
        <v>0</v>
      </c>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83">
        <f t="shared" si="212"/>
        <v>0</v>
      </c>
      <c r="AD378" s="3103"/>
      <c r="AE378" s="3103"/>
      <c r="AF378" s="3103"/>
      <c r="AG378" s="3103"/>
      <c r="AH378" s="3103"/>
      <c r="AI378" s="3103"/>
      <c r="AJ378" s="3103"/>
      <c r="AK378" s="3103"/>
      <c r="AL378" s="3103"/>
      <c r="AM378" s="3103"/>
      <c r="AN378" s="3103"/>
      <c r="AO378" s="3103"/>
      <c r="AP378" s="3103"/>
      <c r="AQ378" s="3103"/>
      <c r="AR378" s="3103"/>
      <c r="AS378" s="3103"/>
      <c r="AT378" s="3113"/>
      <c r="AU378" s="3114"/>
      <c r="AV378" s="1580">
        <f t="shared" si="236"/>
        <v>0</v>
      </c>
      <c r="AW378" s="1580">
        <f t="shared" si="237"/>
        <v>0</v>
      </c>
      <c r="AX378" s="1580">
        <f t="shared" si="238"/>
        <v>0</v>
      </c>
      <c r="AY378" s="3128">
        <f t="shared" si="213"/>
        <v>0</v>
      </c>
      <c r="AZ378" s="3083">
        <f t="shared" si="214"/>
        <v>0</v>
      </c>
      <c r="BA378" s="3083">
        <f t="shared" si="215"/>
        <v>0</v>
      </c>
      <c r="BB378" s="3083">
        <f t="shared" si="216"/>
        <v>0</v>
      </c>
      <c r="BC378" s="3083">
        <f t="shared" si="217"/>
        <v>0</v>
      </c>
      <c r="BD378" s="3083">
        <f t="shared" si="218"/>
        <v>0</v>
      </c>
      <c r="BE378" s="3083">
        <f t="shared" si="219"/>
        <v>0</v>
      </c>
      <c r="BF378" s="3083">
        <f t="shared" si="220"/>
        <v>0</v>
      </c>
      <c r="BG378" s="3083">
        <f t="shared" si="221"/>
        <v>0</v>
      </c>
      <c r="BH378" s="3083">
        <f t="shared" si="222"/>
        <v>0</v>
      </c>
      <c r="BI378" s="3083">
        <f t="shared" si="223"/>
        <v>0</v>
      </c>
      <c r="BJ378" s="3083">
        <f t="shared" si="224"/>
        <v>0</v>
      </c>
      <c r="BK378" s="3083">
        <f t="shared" si="225"/>
        <v>0</v>
      </c>
      <c r="BL378" s="3083">
        <f t="shared" si="226"/>
        <v>0</v>
      </c>
      <c r="BM378" s="3083">
        <f t="shared" si="227"/>
        <v>0</v>
      </c>
      <c r="BN378" s="3083">
        <f t="shared" si="228"/>
        <v>0</v>
      </c>
      <c r="BO378" s="3083">
        <f t="shared" si="229"/>
        <v>0</v>
      </c>
      <c r="BP378" s="3083">
        <f t="shared" si="230"/>
        <v>0</v>
      </c>
      <c r="BQ378" s="3083">
        <f t="shared" si="231"/>
        <v>0</v>
      </c>
      <c r="BR378" s="3083">
        <f t="shared" si="232"/>
        <v>0</v>
      </c>
      <c r="BS378" s="3083">
        <f t="shared" si="233"/>
        <v>0</v>
      </c>
      <c r="BT378" s="3135">
        <f t="shared" si="234"/>
        <v>0</v>
      </c>
    </row>
    <row r="379" spans="1:72">
      <c r="A379" s="3080"/>
      <c r="B379" s="3081"/>
      <c r="C379" s="3081"/>
      <c r="D379" s="3082"/>
      <c r="E379" s="3083">
        <f t="shared" si="235"/>
        <v>0</v>
      </c>
      <c r="F379" s="3084"/>
      <c r="G379" s="3085">
        <f t="shared" si="210"/>
        <v>0</v>
      </c>
      <c r="H379" s="3086">
        <f t="shared" si="211"/>
        <v>0</v>
      </c>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83">
        <f t="shared" si="212"/>
        <v>0</v>
      </c>
      <c r="AD379" s="3103"/>
      <c r="AE379" s="3103"/>
      <c r="AF379" s="3103"/>
      <c r="AG379" s="3103"/>
      <c r="AH379" s="3103"/>
      <c r="AI379" s="3103"/>
      <c r="AJ379" s="3103"/>
      <c r="AK379" s="3103"/>
      <c r="AL379" s="3103"/>
      <c r="AM379" s="3103"/>
      <c r="AN379" s="3103"/>
      <c r="AO379" s="3103"/>
      <c r="AP379" s="3103"/>
      <c r="AQ379" s="3103"/>
      <c r="AR379" s="3103"/>
      <c r="AS379" s="3103"/>
      <c r="AT379" s="3113"/>
      <c r="AU379" s="3114"/>
      <c r="AV379" s="1580">
        <f t="shared" si="236"/>
        <v>0</v>
      </c>
      <c r="AW379" s="1580">
        <f t="shared" si="237"/>
        <v>0</v>
      </c>
      <c r="AX379" s="1580">
        <f t="shared" si="238"/>
        <v>0</v>
      </c>
      <c r="AY379" s="3128">
        <f t="shared" si="213"/>
        <v>0</v>
      </c>
      <c r="AZ379" s="3083">
        <f t="shared" si="214"/>
        <v>0</v>
      </c>
      <c r="BA379" s="3083">
        <f t="shared" si="215"/>
        <v>0</v>
      </c>
      <c r="BB379" s="3083">
        <f t="shared" si="216"/>
        <v>0</v>
      </c>
      <c r="BC379" s="3083">
        <f t="shared" si="217"/>
        <v>0</v>
      </c>
      <c r="BD379" s="3083">
        <f t="shared" si="218"/>
        <v>0</v>
      </c>
      <c r="BE379" s="3083">
        <f t="shared" si="219"/>
        <v>0</v>
      </c>
      <c r="BF379" s="3083">
        <f t="shared" si="220"/>
        <v>0</v>
      </c>
      <c r="BG379" s="3083">
        <f t="shared" si="221"/>
        <v>0</v>
      </c>
      <c r="BH379" s="3083">
        <f t="shared" si="222"/>
        <v>0</v>
      </c>
      <c r="BI379" s="3083">
        <f t="shared" si="223"/>
        <v>0</v>
      </c>
      <c r="BJ379" s="3083">
        <f t="shared" si="224"/>
        <v>0</v>
      </c>
      <c r="BK379" s="3083">
        <f t="shared" si="225"/>
        <v>0</v>
      </c>
      <c r="BL379" s="3083">
        <f t="shared" si="226"/>
        <v>0</v>
      </c>
      <c r="BM379" s="3083">
        <f t="shared" si="227"/>
        <v>0</v>
      </c>
      <c r="BN379" s="3083">
        <f t="shared" si="228"/>
        <v>0</v>
      </c>
      <c r="BO379" s="3083">
        <f t="shared" si="229"/>
        <v>0</v>
      </c>
      <c r="BP379" s="3083">
        <f t="shared" si="230"/>
        <v>0</v>
      </c>
      <c r="BQ379" s="3083">
        <f t="shared" si="231"/>
        <v>0</v>
      </c>
      <c r="BR379" s="3083">
        <f t="shared" si="232"/>
        <v>0</v>
      </c>
      <c r="BS379" s="3083">
        <f t="shared" si="233"/>
        <v>0</v>
      </c>
      <c r="BT379" s="3135">
        <f t="shared" si="234"/>
        <v>0</v>
      </c>
    </row>
    <row r="380" spans="1:72">
      <c r="A380" s="3080"/>
      <c r="B380" s="3081"/>
      <c r="C380" s="3081"/>
      <c r="D380" s="3082"/>
      <c r="E380" s="3083">
        <f t="shared" si="235"/>
        <v>0</v>
      </c>
      <c r="F380" s="3084"/>
      <c r="G380" s="3085">
        <f t="shared" si="210"/>
        <v>0</v>
      </c>
      <c r="H380" s="3086">
        <f t="shared" si="211"/>
        <v>0</v>
      </c>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83">
        <f t="shared" si="212"/>
        <v>0</v>
      </c>
      <c r="AD380" s="3103"/>
      <c r="AE380" s="3103"/>
      <c r="AF380" s="3103"/>
      <c r="AG380" s="3103"/>
      <c r="AH380" s="3103"/>
      <c r="AI380" s="3103"/>
      <c r="AJ380" s="3103"/>
      <c r="AK380" s="3103"/>
      <c r="AL380" s="3103"/>
      <c r="AM380" s="3103"/>
      <c r="AN380" s="3103"/>
      <c r="AO380" s="3103"/>
      <c r="AP380" s="3103"/>
      <c r="AQ380" s="3103"/>
      <c r="AR380" s="3103"/>
      <c r="AS380" s="3103"/>
      <c r="AT380" s="3113"/>
      <c r="AU380" s="3114"/>
      <c r="AV380" s="1580">
        <f t="shared" si="236"/>
        <v>0</v>
      </c>
      <c r="AW380" s="1580">
        <f t="shared" si="237"/>
        <v>0</v>
      </c>
      <c r="AX380" s="1580">
        <f t="shared" si="238"/>
        <v>0</v>
      </c>
      <c r="AY380" s="3128">
        <f t="shared" si="213"/>
        <v>0</v>
      </c>
      <c r="AZ380" s="3083">
        <f t="shared" si="214"/>
        <v>0</v>
      </c>
      <c r="BA380" s="3083">
        <f t="shared" si="215"/>
        <v>0</v>
      </c>
      <c r="BB380" s="3083">
        <f t="shared" si="216"/>
        <v>0</v>
      </c>
      <c r="BC380" s="3083">
        <f t="shared" si="217"/>
        <v>0</v>
      </c>
      <c r="BD380" s="3083">
        <f t="shared" si="218"/>
        <v>0</v>
      </c>
      <c r="BE380" s="3083">
        <f t="shared" si="219"/>
        <v>0</v>
      </c>
      <c r="BF380" s="3083">
        <f t="shared" si="220"/>
        <v>0</v>
      </c>
      <c r="BG380" s="3083">
        <f t="shared" si="221"/>
        <v>0</v>
      </c>
      <c r="BH380" s="3083">
        <f t="shared" si="222"/>
        <v>0</v>
      </c>
      <c r="BI380" s="3083">
        <f t="shared" si="223"/>
        <v>0</v>
      </c>
      <c r="BJ380" s="3083">
        <f t="shared" si="224"/>
        <v>0</v>
      </c>
      <c r="BK380" s="3083">
        <f t="shared" si="225"/>
        <v>0</v>
      </c>
      <c r="BL380" s="3083">
        <f t="shared" si="226"/>
        <v>0</v>
      </c>
      <c r="BM380" s="3083">
        <f t="shared" si="227"/>
        <v>0</v>
      </c>
      <c r="BN380" s="3083">
        <f t="shared" si="228"/>
        <v>0</v>
      </c>
      <c r="BO380" s="3083">
        <f t="shared" si="229"/>
        <v>0</v>
      </c>
      <c r="BP380" s="3083">
        <f t="shared" si="230"/>
        <v>0</v>
      </c>
      <c r="BQ380" s="3083">
        <f t="shared" si="231"/>
        <v>0</v>
      </c>
      <c r="BR380" s="3083">
        <f t="shared" si="232"/>
        <v>0</v>
      </c>
      <c r="BS380" s="3083">
        <f t="shared" si="233"/>
        <v>0</v>
      </c>
      <c r="BT380" s="3135">
        <f t="shared" si="234"/>
        <v>0</v>
      </c>
    </row>
    <row r="381" spans="1:72">
      <c r="A381" s="3080"/>
      <c r="B381" s="3081"/>
      <c r="C381" s="3081"/>
      <c r="D381" s="3082"/>
      <c r="E381" s="3083">
        <f t="shared" si="235"/>
        <v>0</v>
      </c>
      <c r="F381" s="3084"/>
      <c r="G381" s="3085">
        <f t="shared" si="210"/>
        <v>0</v>
      </c>
      <c r="H381" s="3086">
        <f t="shared" si="211"/>
        <v>0</v>
      </c>
      <c r="I381" s="3093"/>
      <c r="J381" s="3093"/>
      <c r="K381" s="3093"/>
      <c r="L381" s="3093"/>
      <c r="M381" s="3093"/>
      <c r="N381" s="3093"/>
      <c r="O381" s="3093"/>
      <c r="P381" s="3093"/>
      <c r="Q381" s="3093"/>
      <c r="R381" s="3093"/>
      <c r="S381" s="3093"/>
      <c r="T381" s="3093"/>
      <c r="U381" s="3093"/>
      <c r="V381" s="3093"/>
      <c r="W381" s="3093"/>
      <c r="X381" s="3093"/>
      <c r="Y381" s="3093"/>
      <c r="Z381" s="3093"/>
      <c r="AA381" s="3093"/>
      <c r="AB381" s="3093"/>
      <c r="AC381" s="3083">
        <f t="shared" si="212"/>
        <v>0</v>
      </c>
      <c r="AD381" s="3103"/>
      <c r="AE381" s="3103"/>
      <c r="AF381" s="3103"/>
      <c r="AG381" s="3103"/>
      <c r="AH381" s="3103"/>
      <c r="AI381" s="3103"/>
      <c r="AJ381" s="3103"/>
      <c r="AK381" s="3103"/>
      <c r="AL381" s="3103"/>
      <c r="AM381" s="3103"/>
      <c r="AN381" s="3103"/>
      <c r="AO381" s="3103"/>
      <c r="AP381" s="3103"/>
      <c r="AQ381" s="3103"/>
      <c r="AR381" s="3103"/>
      <c r="AS381" s="3103"/>
      <c r="AT381" s="3113"/>
      <c r="AU381" s="3114"/>
      <c r="AV381" s="1580">
        <f t="shared" si="236"/>
        <v>0</v>
      </c>
      <c r="AW381" s="1580">
        <f t="shared" si="237"/>
        <v>0</v>
      </c>
      <c r="AX381" s="1580">
        <f t="shared" si="238"/>
        <v>0</v>
      </c>
      <c r="AY381" s="3128">
        <f t="shared" si="213"/>
        <v>0</v>
      </c>
      <c r="AZ381" s="3083">
        <f t="shared" si="214"/>
        <v>0</v>
      </c>
      <c r="BA381" s="3083">
        <f t="shared" si="215"/>
        <v>0</v>
      </c>
      <c r="BB381" s="3083">
        <f t="shared" si="216"/>
        <v>0</v>
      </c>
      <c r="BC381" s="3083">
        <f t="shared" si="217"/>
        <v>0</v>
      </c>
      <c r="BD381" s="3083">
        <f t="shared" si="218"/>
        <v>0</v>
      </c>
      <c r="BE381" s="3083">
        <f t="shared" si="219"/>
        <v>0</v>
      </c>
      <c r="BF381" s="3083">
        <f t="shared" si="220"/>
        <v>0</v>
      </c>
      <c r="BG381" s="3083">
        <f t="shared" si="221"/>
        <v>0</v>
      </c>
      <c r="BH381" s="3083">
        <f t="shared" si="222"/>
        <v>0</v>
      </c>
      <c r="BI381" s="3083">
        <f t="shared" si="223"/>
        <v>0</v>
      </c>
      <c r="BJ381" s="3083">
        <f t="shared" si="224"/>
        <v>0</v>
      </c>
      <c r="BK381" s="3083">
        <f t="shared" si="225"/>
        <v>0</v>
      </c>
      <c r="BL381" s="3083">
        <f t="shared" si="226"/>
        <v>0</v>
      </c>
      <c r="BM381" s="3083">
        <f t="shared" si="227"/>
        <v>0</v>
      </c>
      <c r="BN381" s="3083">
        <f t="shared" si="228"/>
        <v>0</v>
      </c>
      <c r="BO381" s="3083">
        <f t="shared" si="229"/>
        <v>0</v>
      </c>
      <c r="BP381" s="3083">
        <f t="shared" si="230"/>
        <v>0</v>
      </c>
      <c r="BQ381" s="3083">
        <f t="shared" si="231"/>
        <v>0</v>
      </c>
      <c r="BR381" s="3083">
        <f t="shared" si="232"/>
        <v>0</v>
      </c>
      <c r="BS381" s="3083">
        <f t="shared" si="233"/>
        <v>0</v>
      </c>
      <c r="BT381" s="3135">
        <f t="shared" si="234"/>
        <v>0</v>
      </c>
    </row>
    <row r="382" spans="1:72">
      <c r="A382" s="3080"/>
      <c r="B382" s="3081"/>
      <c r="C382" s="3081"/>
      <c r="D382" s="3082"/>
      <c r="E382" s="3083">
        <f t="shared" si="235"/>
        <v>0</v>
      </c>
      <c r="F382" s="3084"/>
      <c r="G382" s="3085">
        <f t="shared" si="210"/>
        <v>0</v>
      </c>
      <c r="H382" s="3086">
        <f t="shared" si="211"/>
        <v>0</v>
      </c>
      <c r="I382" s="3093"/>
      <c r="J382" s="3093"/>
      <c r="K382" s="3093"/>
      <c r="L382" s="3093"/>
      <c r="M382" s="3093"/>
      <c r="N382" s="3093"/>
      <c r="O382" s="3093"/>
      <c r="P382" s="3093"/>
      <c r="Q382" s="3093"/>
      <c r="R382" s="3093"/>
      <c r="S382" s="3093"/>
      <c r="T382" s="3093"/>
      <c r="U382" s="3093"/>
      <c r="V382" s="3093"/>
      <c r="W382" s="3093"/>
      <c r="X382" s="3093"/>
      <c r="Y382" s="3093"/>
      <c r="Z382" s="3093"/>
      <c r="AA382" s="3093"/>
      <c r="AB382" s="3093"/>
      <c r="AC382" s="3083">
        <f t="shared" si="212"/>
        <v>0</v>
      </c>
      <c r="AD382" s="3103"/>
      <c r="AE382" s="3103"/>
      <c r="AF382" s="3103"/>
      <c r="AG382" s="3103"/>
      <c r="AH382" s="3103"/>
      <c r="AI382" s="3103"/>
      <c r="AJ382" s="3103"/>
      <c r="AK382" s="3103"/>
      <c r="AL382" s="3103"/>
      <c r="AM382" s="3103"/>
      <c r="AN382" s="3103"/>
      <c r="AO382" s="3103"/>
      <c r="AP382" s="3103"/>
      <c r="AQ382" s="3103"/>
      <c r="AR382" s="3103"/>
      <c r="AS382" s="3103"/>
      <c r="AT382" s="3113"/>
      <c r="AU382" s="3114"/>
      <c r="AV382" s="1580">
        <f t="shared" si="236"/>
        <v>0</v>
      </c>
      <c r="AW382" s="1580">
        <f t="shared" si="237"/>
        <v>0</v>
      </c>
      <c r="AX382" s="1580">
        <f t="shared" si="238"/>
        <v>0</v>
      </c>
      <c r="AY382" s="3128">
        <f t="shared" si="213"/>
        <v>0</v>
      </c>
      <c r="AZ382" s="3083">
        <f t="shared" si="214"/>
        <v>0</v>
      </c>
      <c r="BA382" s="3083">
        <f t="shared" si="215"/>
        <v>0</v>
      </c>
      <c r="BB382" s="3083">
        <f t="shared" si="216"/>
        <v>0</v>
      </c>
      <c r="BC382" s="3083">
        <f t="shared" si="217"/>
        <v>0</v>
      </c>
      <c r="BD382" s="3083">
        <f t="shared" si="218"/>
        <v>0</v>
      </c>
      <c r="BE382" s="3083">
        <f t="shared" si="219"/>
        <v>0</v>
      </c>
      <c r="BF382" s="3083">
        <f t="shared" si="220"/>
        <v>0</v>
      </c>
      <c r="BG382" s="3083">
        <f t="shared" si="221"/>
        <v>0</v>
      </c>
      <c r="BH382" s="3083">
        <f t="shared" si="222"/>
        <v>0</v>
      </c>
      <c r="BI382" s="3083">
        <f t="shared" si="223"/>
        <v>0</v>
      </c>
      <c r="BJ382" s="3083">
        <f t="shared" si="224"/>
        <v>0</v>
      </c>
      <c r="BK382" s="3083">
        <f t="shared" si="225"/>
        <v>0</v>
      </c>
      <c r="BL382" s="3083">
        <f t="shared" si="226"/>
        <v>0</v>
      </c>
      <c r="BM382" s="3083">
        <f t="shared" si="227"/>
        <v>0</v>
      </c>
      <c r="BN382" s="3083">
        <f t="shared" si="228"/>
        <v>0</v>
      </c>
      <c r="BO382" s="3083">
        <f t="shared" si="229"/>
        <v>0</v>
      </c>
      <c r="BP382" s="3083">
        <f t="shared" si="230"/>
        <v>0</v>
      </c>
      <c r="BQ382" s="3083">
        <f t="shared" si="231"/>
        <v>0</v>
      </c>
      <c r="BR382" s="3083">
        <f t="shared" si="232"/>
        <v>0</v>
      </c>
      <c r="BS382" s="3083">
        <f t="shared" si="233"/>
        <v>0</v>
      </c>
      <c r="BT382" s="3135">
        <f t="shared" si="234"/>
        <v>0</v>
      </c>
    </row>
    <row r="383" spans="1:72">
      <c r="A383" s="3080"/>
      <c r="B383" s="3081"/>
      <c r="C383" s="3081"/>
      <c r="D383" s="3082"/>
      <c r="E383" s="3083">
        <f t="shared" si="235"/>
        <v>0</v>
      </c>
      <c r="F383" s="3084"/>
      <c r="G383" s="3085">
        <f t="shared" si="210"/>
        <v>0</v>
      </c>
      <c r="H383" s="3086">
        <f t="shared" si="211"/>
        <v>0</v>
      </c>
      <c r="I383" s="3093"/>
      <c r="J383" s="3093"/>
      <c r="K383" s="3093"/>
      <c r="L383" s="3093"/>
      <c r="M383" s="3093"/>
      <c r="N383" s="3093"/>
      <c r="O383" s="3093"/>
      <c r="P383" s="3093"/>
      <c r="Q383" s="3093"/>
      <c r="R383" s="3093"/>
      <c r="S383" s="3093"/>
      <c r="T383" s="3093"/>
      <c r="U383" s="3093"/>
      <c r="V383" s="3093"/>
      <c r="W383" s="3093"/>
      <c r="X383" s="3093"/>
      <c r="Y383" s="3093"/>
      <c r="Z383" s="3093"/>
      <c r="AA383" s="3093"/>
      <c r="AB383" s="3093"/>
      <c r="AC383" s="3083">
        <f t="shared" si="212"/>
        <v>0</v>
      </c>
      <c r="AD383" s="3103"/>
      <c r="AE383" s="3103"/>
      <c r="AF383" s="3103"/>
      <c r="AG383" s="3103"/>
      <c r="AH383" s="3103"/>
      <c r="AI383" s="3103"/>
      <c r="AJ383" s="3103"/>
      <c r="AK383" s="3103"/>
      <c r="AL383" s="3103"/>
      <c r="AM383" s="3103"/>
      <c r="AN383" s="3103"/>
      <c r="AO383" s="3103"/>
      <c r="AP383" s="3103"/>
      <c r="AQ383" s="3103"/>
      <c r="AR383" s="3103"/>
      <c r="AS383" s="3103"/>
      <c r="AT383" s="3113"/>
      <c r="AU383" s="3114"/>
      <c r="AV383" s="1580">
        <f t="shared" si="236"/>
        <v>0</v>
      </c>
      <c r="AW383" s="1580">
        <f t="shared" si="237"/>
        <v>0</v>
      </c>
      <c r="AX383" s="1580">
        <f t="shared" si="238"/>
        <v>0</v>
      </c>
      <c r="AY383" s="3128">
        <f t="shared" si="213"/>
        <v>0</v>
      </c>
      <c r="AZ383" s="3083">
        <f t="shared" si="214"/>
        <v>0</v>
      </c>
      <c r="BA383" s="3083">
        <f t="shared" si="215"/>
        <v>0</v>
      </c>
      <c r="BB383" s="3083">
        <f t="shared" si="216"/>
        <v>0</v>
      </c>
      <c r="BC383" s="3083">
        <f t="shared" si="217"/>
        <v>0</v>
      </c>
      <c r="BD383" s="3083">
        <f t="shared" si="218"/>
        <v>0</v>
      </c>
      <c r="BE383" s="3083">
        <f t="shared" si="219"/>
        <v>0</v>
      </c>
      <c r="BF383" s="3083">
        <f t="shared" si="220"/>
        <v>0</v>
      </c>
      <c r="BG383" s="3083">
        <f t="shared" si="221"/>
        <v>0</v>
      </c>
      <c r="BH383" s="3083">
        <f t="shared" si="222"/>
        <v>0</v>
      </c>
      <c r="BI383" s="3083">
        <f t="shared" si="223"/>
        <v>0</v>
      </c>
      <c r="BJ383" s="3083">
        <f t="shared" si="224"/>
        <v>0</v>
      </c>
      <c r="BK383" s="3083">
        <f t="shared" si="225"/>
        <v>0</v>
      </c>
      <c r="BL383" s="3083">
        <f t="shared" si="226"/>
        <v>0</v>
      </c>
      <c r="BM383" s="3083">
        <f t="shared" si="227"/>
        <v>0</v>
      </c>
      <c r="BN383" s="3083">
        <f t="shared" si="228"/>
        <v>0</v>
      </c>
      <c r="BO383" s="3083">
        <f t="shared" si="229"/>
        <v>0</v>
      </c>
      <c r="BP383" s="3083">
        <f t="shared" si="230"/>
        <v>0</v>
      </c>
      <c r="BQ383" s="3083">
        <f t="shared" si="231"/>
        <v>0</v>
      </c>
      <c r="BR383" s="3083">
        <f t="shared" si="232"/>
        <v>0</v>
      </c>
      <c r="BS383" s="3083">
        <f t="shared" si="233"/>
        <v>0</v>
      </c>
      <c r="BT383" s="3135">
        <f t="shared" si="234"/>
        <v>0</v>
      </c>
    </row>
    <row r="384" spans="1:72">
      <c r="A384" s="3080"/>
      <c r="B384" s="3081"/>
      <c r="C384" s="3081"/>
      <c r="D384" s="3082"/>
      <c r="E384" s="3083">
        <f t="shared" si="235"/>
        <v>0</v>
      </c>
      <c r="F384" s="3084"/>
      <c r="G384" s="3085">
        <f t="shared" si="210"/>
        <v>0</v>
      </c>
      <c r="H384" s="3086">
        <f t="shared" si="211"/>
        <v>0</v>
      </c>
      <c r="I384" s="3093"/>
      <c r="J384" s="3093"/>
      <c r="K384" s="3093"/>
      <c r="L384" s="3093"/>
      <c r="M384" s="3093"/>
      <c r="N384" s="3093"/>
      <c r="O384" s="3093"/>
      <c r="P384" s="3093"/>
      <c r="Q384" s="3093"/>
      <c r="R384" s="3093"/>
      <c r="S384" s="3093"/>
      <c r="T384" s="3093"/>
      <c r="U384" s="3093"/>
      <c r="V384" s="3093"/>
      <c r="W384" s="3093"/>
      <c r="X384" s="3093"/>
      <c r="Y384" s="3093"/>
      <c r="Z384" s="3093"/>
      <c r="AA384" s="3093"/>
      <c r="AB384" s="3093"/>
      <c r="AC384" s="3083">
        <f t="shared" si="212"/>
        <v>0</v>
      </c>
      <c r="AD384" s="3103"/>
      <c r="AE384" s="3103"/>
      <c r="AF384" s="3103"/>
      <c r="AG384" s="3103"/>
      <c r="AH384" s="3103"/>
      <c r="AI384" s="3103"/>
      <c r="AJ384" s="3103"/>
      <c r="AK384" s="3103"/>
      <c r="AL384" s="3103"/>
      <c r="AM384" s="3103"/>
      <c r="AN384" s="3103"/>
      <c r="AO384" s="3103"/>
      <c r="AP384" s="3103"/>
      <c r="AQ384" s="3103"/>
      <c r="AR384" s="3103"/>
      <c r="AS384" s="3103"/>
      <c r="AT384" s="3113"/>
      <c r="AU384" s="3114"/>
      <c r="AV384" s="1580">
        <f t="shared" si="236"/>
        <v>0</v>
      </c>
      <c r="AW384" s="1580">
        <f t="shared" si="237"/>
        <v>0</v>
      </c>
      <c r="AX384" s="1580">
        <f t="shared" si="238"/>
        <v>0</v>
      </c>
      <c r="AY384" s="3128">
        <f t="shared" si="213"/>
        <v>0</v>
      </c>
      <c r="AZ384" s="3083">
        <f t="shared" si="214"/>
        <v>0</v>
      </c>
      <c r="BA384" s="3083">
        <f t="shared" si="215"/>
        <v>0</v>
      </c>
      <c r="BB384" s="3083">
        <f t="shared" si="216"/>
        <v>0</v>
      </c>
      <c r="BC384" s="3083">
        <f t="shared" si="217"/>
        <v>0</v>
      </c>
      <c r="BD384" s="3083">
        <f t="shared" si="218"/>
        <v>0</v>
      </c>
      <c r="BE384" s="3083">
        <f t="shared" si="219"/>
        <v>0</v>
      </c>
      <c r="BF384" s="3083">
        <f t="shared" si="220"/>
        <v>0</v>
      </c>
      <c r="BG384" s="3083">
        <f t="shared" si="221"/>
        <v>0</v>
      </c>
      <c r="BH384" s="3083">
        <f t="shared" si="222"/>
        <v>0</v>
      </c>
      <c r="BI384" s="3083">
        <f t="shared" si="223"/>
        <v>0</v>
      </c>
      <c r="BJ384" s="3083">
        <f t="shared" si="224"/>
        <v>0</v>
      </c>
      <c r="BK384" s="3083">
        <f t="shared" si="225"/>
        <v>0</v>
      </c>
      <c r="BL384" s="3083">
        <f t="shared" si="226"/>
        <v>0</v>
      </c>
      <c r="BM384" s="3083">
        <f t="shared" si="227"/>
        <v>0</v>
      </c>
      <c r="BN384" s="3083">
        <f t="shared" si="228"/>
        <v>0</v>
      </c>
      <c r="BO384" s="3083">
        <f t="shared" si="229"/>
        <v>0</v>
      </c>
      <c r="BP384" s="3083">
        <f t="shared" si="230"/>
        <v>0</v>
      </c>
      <c r="BQ384" s="3083">
        <f t="shared" si="231"/>
        <v>0</v>
      </c>
      <c r="BR384" s="3083">
        <f t="shared" si="232"/>
        <v>0</v>
      </c>
      <c r="BS384" s="3083">
        <f t="shared" si="233"/>
        <v>0</v>
      </c>
      <c r="BT384" s="3135">
        <f t="shared" si="234"/>
        <v>0</v>
      </c>
    </row>
    <row r="385" spans="1:72">
      <c r="A385" s="3080"/>
      <c r="B385" s="3081"/>
      <c r="C385" s="3081"/>
      <c r="D385" s="3082"/>
      <c r="E385" s="3083">
        <f t="shared" si="235"/>
        <v>0</v>
      </c>
      <c r="F385" s="3084"/>
      <c r="G385" s="3085">
        <f t="shared" si="210"/>
        <v>0</v>
      </c>
      <c r="H385" s="3086">
        <f t="shared" si="211"/>
        <v>0</v>
      </c>
      <c r="I385" s="3093"/>
      <c r="J385" s="3093"/>
      <c r="K385" s="3093"/>
      <c r="L385" s="3093"/>
      <c r="M385" s="3093"/>
      <c r="N385" s="3093"/>
      <c r="O385" s="3093"/>
      <c r="P385" s="3093"/>
      <c r="Q385" s="3093"/>
      <c r="R385" s="3093"/>
      <c r="S385" s="3093"/>
      <c r="T385" s="3093"/>
      <c r="U385" s="3093"/>
      <c r="V385" s="3093"/>
      <c r="W385" s="3093"/>
      <c r="X385" s="3093"/>
      <c r="Y385" s="3093"/>
      <c r="Z385" s="3093"/>
      <c r="AA385" s="3093"/>
      <c r="AB385" s="3093"/>
      <c r="AC385" s="3083">
        <f t="shared" si="212"/>
        <v>0</v>
      </c>
      <c r="AD385" s="3103"/>
      <c r="AE385" s="3103"/>
      <c r="AF385" s="3103"/>
      <c r="AG385" s="3103"/>
      <c r="AH385" s="3103"/>
      <c r="AI385" s="3103"/>
      <c r="AJ385" s="3103"/>
      <c r="AK385" s="3103"/>
      <c r="AL385" s="3103"/>
      <c r="AM385" s="3103"/>
      <c r="AN385" s="3103"/>
      <c r="AO385" s="3103"/>
      <c r="AP385" s="3103"/>
      <c r="AQ385" s="3103"/>
      <c r="AR385" s="3103"/>
      <c r="AS385" s="3103"/>
      <c r="AT385" s="3113"/>
      <c r="AU385" s="3114"/>
      <c r="AV385" s="1580">
        <f t="shared" si="236"/>
        <v>0</v>
      </c>
      <c r="AW385" s="1580">
        <f t="shared" si="237"/>
        <v>0</v>
      </c>
      <c r="AX385" s="1580">
        <f t="shared" si="238"/>
        <v>0</v>
      </c>
      <c r="AY385" s="3128">
        <f t="shared" si="213"/>
        <v>0</v>
      </c>
      <c r="AZ385" s="3083">
        <f t="shared" si="214"/>
        <v>0</v>
      </c>
      <c r="BA385" s="3083">
        <f t="shared" si="215"/>
        <v>0</v>
      </c>
      <c r="BB385" s="3083">
        <f t="shared" si="216"/>
        <v>0</v>
      </c>
      <c r="BC385" s="3083">
        <f t="shared" si="217"/>
        <v>0</v>
      </c>
      <c r="BD385" s="3083">
        <f t="shared" si="218"/>
        <v>0</v>
      </c>
      <c r="BE385" s="3083">
        <f t="shared" si="219"/>
        <v>0</v>
      </c>
      <c r="BF385" s="3083">
        <f t="shared" si="220"/>
        <v>0</v>
      </c>
      <c r="BG385" s="3083">
        <f t="shared" si="221"/>
        <v>0</v>
      </c>
      <c r="BH385" s="3083">
        <f t="shared" si="222"/>
        <v>0</v>
      </c>
      <c r="BI385" s="3083">
        <f t="shared" si="223"/>
        <v>0</v>
      </c>
      <c r="BJ385" s="3083">
        <f t="shared" si="224"/>
        <v>0</v>
      </c>
      <c r="BK385" s="3083">
        <f t="shared" si="225"/>
        <v>0</v>
      </c>
      <c r="BL385" s="3083">
        <f t="shared" si="226"/>
        <v>0</v>
      </c>
      <c r="BM385" s="3083">
        <f t="shared" si="227"/>
        <v>0</v>
      </c>
      <c r="BN385" s="3083">
        <f t="shared" si="228"/>
        <v>0</v>
      </c>
      <c r="BO385" s="3083">
        <f t="shared" si="229"/>
        <v>0</v>
      </c>
      <c r="BP385" s="3083">
        <f t="shared" si="230"/>
        <v>0</v>
      </c>
      <c r="BQ385" s="3083">
        <f t="shared" si="231"/>
        <v>0</v>
      </c>
      <c r="BR385" s="3083">
        <f t="shared" si="232"/>
        <v>0</v>
      </c>
      <c r="BS385" s="3083">
        <f t="shared" si="233"/>
        <v>0</v>
      </c>
      <c r="BT385" s="3135">
        <f t="shared" si="234"/>
        <v>0</v>
      </c>
    </row>
    <row r="386" spans="1:72">
      <c r="A386" s="3080"/>
      <c r="B386" s="3081"/>
      <c r="C386" s="3081"/>
      <c r="D386" s="3082"/>
      <c r="E386" s="3083">
        <f t="shared" si="235"/>
        <v>0</v>
      </c>
      <c r="F386" s="3084"/>
      <c r="G386" s="3085">
        <f t="shared" si="210"/>
        <v>0</v>
      </c>
      <c r="H386" s="3086">
        <f t="shared" si="211"/>
        <v>0</v>
      </c>
      <c r="I386" s="3093"/>
      <c r="J386" s="3093"/>
      <c r="K386" s="3093"/>
      <c r="L386" s="3093"/>
      <c r="M386" s="3093"/>
      <c r="N386" s="3093"/>
      <c r="O386" s="3093"/>
      <c r="P386" s="3093"/>
      <c r="Q386" s="3093"/>
      <c r="R386" s="3093"/>
      <c r="S386" s="3093"/>
      <c r="T386" s="3093"/>
      <c r="U386" s="3093"/>
      <c r="V386" s="3093"/>
      <c r="W386" s="3093"/>
      <c r="X386" s="3093"/>
      <c r="Y386" s="3093"/>
      <c r="Z386" s="3093"/>
      <c r="AA386" s="3093"/>
      <c r="AB386" s="3093"/>
      <c r="AC386" s="3083">
        <f t="shared" si="212"/>
        <v>0</v>
      </c>
      <c r="AD386" s="3103"/>
      <c r="AE386" s="3103"/>
      <c r="AF386" s="3103"/>
      <c r="AG386" s="3103"/>
      <c r="AH386" s="3103"/>
      <c r="AI386" s="3103"/>
      <c r="AJ386" s="3103"/>
      <c r="AK386" s="3103"/>
      <c r="AL386" s="3103"/>
      <c r="AM386" s="3103"/>
      <c r="AN386" s="3103"/>
      <c r="AO386" s="3103"/>
      <c r="AP386" s="3103"/>
      <c r="AQ386" s="3103"/>
      <c r="AR386" s="3103"/>
      <c r="AS386" s="3103"/>
      <c r="AT386" s="3113"/>
      <c r="AU386" s="3114"/>
      <c r="AV386" s="1580">
        <f t="shared" si="236"/>
        <v>0</v>
      </c>
      <c r="AW386" s="1580">
        <f t="shared" si="237"/>
        <v>0</v>
      </c>
      <c r="AX386" s="1580">
        <f t="shared" si="238"/>
        <v>0</v>
      </c>
      <c r="AY386" s="3128">
        <f t="shared" si="213"/>
        <v>0</v>
      </c>
      <c r="AZ386" s="3083">
        <f t="shared" si="214"/>
        <v>0</v>
      </c>
      <c r="BA386" s="3083">
        <f t="shared" si="215"/>
        <v>0</v>
      </c>
      <c r="BB386" s="3083">
        <f t="shared" si="216"/>
        <v>0</v>
      </c>
      <c r="BC386" s="3083">
        <f t="shared" si="217"/>
        <v>0</v>
      </c>
      <c r="BD386" s="3083">
        <f t="shared" si="218"/>
        <v>0</v>
      </c>
      <c r="BE386" s="3083">
        <f t="shared" si="219"/>
        <v>0</v>
      </c>
      <c r="BF386" s="3083">
        <f t="shared" si="220"/>
        <v>0</v>
      </c>
      <c r="BG386" s="3083">
        <f t="shared" si="221"/>
        <v>0</v>
      </c>
      <c r="BH386" s="3083">
        <f t="shared" si="222"/>
        <v>0</v>
      </c>
      <c r="BI386" s="3083">
        <f t="shared" si="223"/>
        <v>0</v>
      </c>
      <c r="BJ386" s="3083">
        <f t="shared" si="224"/>
        <v>0</v>
      </c>
      <c r="BK386" s="3083">
        <f t="shared" si="225"/>
        <v>0</v>
      </c>
      <c r="BL386" s="3083">
        <f t="shared" si="226"/>
        <v>0</v>
      </c>
      <c r="BM386" s="3083">
        <f t="shared" si="227"/>
        <v>0</v>
      </c>
      <c r="BN386" s="3083">
        <f t="shared" si="228"/>
        <v>0</v>
      </c>
      <c r="BO386" s="3083">
        <f t="shared" si="229"/>
        <v>0</v>
      </c>
      <c r="BP386" s="3083">
        <f t="shared" si="230"/>
        <v>0</v>
      </c>
      <c r="BQ386" s="3083">
        <f t="shared" si="231"/>
        <v>0</v>
      </c>
      <c r="BR386" s="3083">
        <f t="shared" si="232"/>
        <v>0</v>
      </c>
      <c r="BS386" s="3083">
        <f t="shared" si="233"/>
        <v>0</v>
      </c>
      <c r="BT386" s="3135">
        <f t="shared" si="234"/>
        <v>0</v>
      </c>
    </row>
    <row r="387" spans="1:72">
      <c r="A387" s="3080"/>
      <c r="B387" s="3081"/>
      <c r="C387" s="3081"/>
      <c r="D387" s="3082"/>
      <c r="E387" s="3083">
        <f t="shared" si="235"/>
        <v>0</v>
      </c>
      <c r="F387" s="3084"/>
      <c r="G387" s="3085">
        <f t="shared" si="210"/>
        <v>0</v>
      </c>
      <c r="H387" s="3086">
        <f t="shared" si="211"/>
        <v>0</v>
      </c>
      <c r="I387" s="3093"/>
      <c r="J387" s="3093"/>
      <c r="K387" s="3093"/>
      <c r="L387" s="3093"/>
      <c r="M387" s="3093"/>
      <c r="N387" s="3093"/>
      <c r="O387" s="3093"/>
      <c r="P387" s="3093"/>
      <c r="Q387" s="3093"/>
      <c r="R387" s="3093"/>
      <c r="S387" s="3093"/>
      <c r="T387" s="3093"/>
      <c r="U387" s="3093"/>
      <c r="V387" s="3093"/>
      <c r="W387" s="3093"/>
      <c r="X387" s="3093"/>
      <c r="Y387" s="3093"/>
      <c r="Z387" s="3093"/>
      <c r="AA387" s="3093"/>
      <c r="AB387" s="3093"/>
      <c r="AC387" s="3083">
        <f t="shared" si="212"/>
        <v>0</v>
      </c>
      <c r="AD387" s="3103"/>
      <c r="AE387" s="3103"/>
      <c r="AF387" s="3103"/>
      <c r="AG387" s="3103"/>
      <c r="AH387" s="3103"/>
      <c r="AI387" s="3103"/>
      <c r="AJ387" s="3103"/>
      <c r="AK387" s="3103"/>
      <c r="AL387" s="3103"/>
      <c r="AM387" s="3103"/>
      <c r="AN387" s="3103"/>
      <c r="AO387" s="3103"/>
      <c r="AP387" s="3103"/>
      <c r="AQ387" s="3103"/>
      <c r="AR387" s="3103"/>
      <c r="AS387" s="3103"/>
      <c r="AT387" s="3113"/>
      <c r="AU387" s="3114"/>
      <c r="AV387" s="1580">
        <f t="shared" si="236"/>
        <v>0</v>
      </c>
      <c r="AW387" s="1580">
        <f t="shared" si="237"/>
        <v>0</v>
      </c>
      <c r="AX387" s="1580">
        <f t="shared" si="238"/>
        <v>0</v>
      </c>
      <c r="AY387" s="3128">
        <f t="shared" si="213"/>
        <v>0</v>
      </c>
      <c r="AZ387" s="3083">
        <f t="shared" si="214"/>
        <v>0</v>
      </c>
      <c r="BA387" s="3083">
        <f t="shared" si="215"/>
        <v>0</v>
      </c>
      <c r="BB387" s="3083">
        <f t="shared" si="216"/>
        <v>0</v>
      </c>
      <c r="BC387" s="3083">
        <f t="shared" si="217"/>
        <v>0</v>
      </c>
      <c r="BD387" s="3083">
        <f t="shared" si="218"/>
        <v>0</v>
      </c>
      <c r="BE387" s="3083">
        <f t="shared" si="219"/>
        <v>0</v>
      </c>
      <c r="BF387" s="3083">
        <f t="shared" si="220"/>
        <v>0</v>
      </c>
      <c r="BG387" s="3083">
        <f t="shared" si="221"/>
        <v>0</v>
      </c>
      <c r="BH387" s="3083">
        <f t="shared" si="222"/>
        <v>0</v>
      </c>
      <c r="BI387" s="3083">
        <f t="shared" si="223"/>
        <v>0</v>
      </c>
      <c r="BJ387" s="3083">
        <f t="shared" si="224"/>
        <v>0</v>
      </c>
      <c r="BK387" s="3083">
        <f t="shared" si="225"/>
        <v>0</v>
      </c>
      <c r="BL387" s="3083">
        <f t="shared" si="226"/>
        <v>0</v>
      </c>
      <c r="BM387" s="3083">
        <f t="shared" si="227"/>
        <v>0</v>
      </c>
      <c r="BN387" s="3083">
        <f t="shared" si="228"/>
        <v>0</v>
      </c>
      <c r="BO387" s="3083">
        <f t="shared" si="229"/>
        <v>0</v>
      </c>
      <c r="BP387" s="3083">
        <f t="shared" si="230"/>
        <v>0</v>
      </c>
      <c r="BQ387" s="3083">
        <f t="shared" si="231"/>
        <v>0</v>
      </c>
      <c r="BR387" s="3083">
        <f t="shared" si="232"/>
        <v>0</v>
      </c>
      <c r="BS387" s="3083">
        <f t="shared" si="233"/>
        <v>0</v>
      </c>
      <c r="BT387" s="3135">
        <f t="shared" si="234"/>
        <v>0</v>
      </c>
    </row>
    <row r="388" spans="1:72">
      <c r="A388" s="3080"/>
      <c r="B388" s="3081"/>
      <c r="C388" s="3081"/>
      <c r="D388" s="3082"/>
      <c r="E388" s="3083">
        <f t="shared" si="235"/>
        <v>0</v>
      </c>
      <c r="F388" s="3084"/>
      <c r="G388" s="3085">
        <f t="shared" si="210"/>
        <v>0</v>
      </c>
      <c r="H388" s="3086">
        <f t="shared" si="211"/>
        <v>0</v>
      </c>
      <c r="I388" s="3093"/>
      <c r="J388" s="3093"/>
      <c r="K388" s="3093"/>
      <c r="L388" s="3093"/>
      <c r="M388" s="3093"/>
      <c r="N388" s="3093"/>
      <c r="O388" s="3093"/>
      <c r="P388" s="3093"/>
      <c r="Q388" s="3093"/>
      <c r="R388" s="3093"/>
      <c r="S388" s="3093"/>
      <c r="T388" s="3093"/>
      <c r="U388" s="3093"/>
      <c r="V388" s="3093"/>
      <c r="W388" s="3093"/>
      <c r="X388" s="3093"/>
      <c r="Y388" s="3093"/>
      <c r="Z388" s="3093"/>
      <c r="AA388" s="3093"/>
      <c r="AB388" s="3093"/>
      <c r="AC388" s="3083">
        <f t="shared" si="212"/>
        <v>0</v>
      </c>
      <c r="AD388" s="3103"/>
      <c r="AE388" s="3103"/>
      <c r="AF388" s="3103"/>
      <c r="AG388" s="3103"/>
      <c r="AH388" s="3103"/>
      <c r="AI388" s="3103"/>
      <c r="AJ388" s="3103"/>
      <c r="AK388" s="3103"/>
      <c r="AL388" s="3103"/>
      <c r="AM388" s="3103"/>
      <c r="AN388" s="3103"/>
      <c r="AO388" s="3103"/>
      <c r="AP388" s="3103"/>
      <c r="AQ388" s="3103"/>
      <c r="AR388" s="3103"/>
      <c r="AS388" s="3103"/>
      <c r="AT388" s="3113"/>
      <c r="AU388" s="3114"/>
      <c r="AV388" s="1580">
        <f t="shared" si="236"/>
        <v>0</v>
      </c>
      <c r="AW388" s="1580">
        <f t="shared" si="237"/>
        <v>0</v>
      </c>
      <c r="AX388" s="1580">
        <f t="shared" si="238"/>
        <v>0</v>
      </c>
      <c r="AY388" s="3128">
        <f t="shared" si="213"/>
        <v>0</v>
      </c>
      <c r="AZ388" s="3083">
        <f t="shared" si="214"/>
        <v>0</v>
      </c>
      <c r="BA388" s="3083">
        <f t="shared" si="215"/>
        <v>0</v>
      </c>
      <c r="BB388" s="3083">
        <f t="shared" si="216"/>
        <v>0</v>
      </c>
      <c r="BC388" s="3083">
        <f t="shared" si="217"/>
        <v>0</v>
      </c>
      <c r="BD388" s="3083">
        <f t="shared" si="218"/>
        <v>0</v>
      </c>
      <c r="BE388" s="3083">
        <f t="shared" si="219"/>
        <v>0</v>
      </c>
      <c r="BF388" s="3083">
        <f t="shared" si="220"/>
        <v>0</v>
      </c>
      <c r="BG388" s="3083">
        <f t="shared" si="221"/>
        <v>0</v>
      </c>
      <c r="BH388" s="3083">
        <f t="shared" si="222"/>
        <v>0</v>
      </c>
      <c r="BI388" s="3083">
        <f t="shared" si="223"/>
        <v>0</v>
      </c>
      <c r="BJ388" s="3083">
        <f t="shared" si="224"/>
        <v>0</v>
      </c>
      <c r="BK388" s="3083">
        <f t="shared" si="225"/>
        <v>0</v>
      </c>
      <c r="BL388" s="3083">
        <f t="shared" si="226"/>
        <v>0</v>
      </c>
      <c r="BM388" s="3083">
        <f t="shared" si="227"/>
        <v>0</v>
      </c>
      <c r="BN388" s="3083">
        <f t="shared" si="228"/>
        <v>0</v>
      </c>
      <c r="BO388" s="3083">
        <f t="shared" si="229"/>
        <v>0</v>
      </c>
      <c r="BP388" s="3083">
        <f t="shared" si="230"/>
        <v>0</v>
      </c>
      <c r="BQ388" s="3083">
        <f t="shared" si="231"/>
        <v>0</v>
      </c>
      <c r="BR388" s="3083">
        <f t="shared" si="232"/>
        <v>0</v>
      </c>
      <c r="BS388" s="3083">
        <f t="shared" si="233"/>
        <v>0</v>
      </c>
      <c r="BT388" s="3135">
        <f t="shared" si="234"/>
        <v>0</v>
      </c>
    </row>
    <row r="389" spans="1:72">
      <c r="A389" s="3080"/>
      <c r="B389" s="3081"/>
      <c r="C389" s="3081"/>
      <c r="D389" s="3082"/>
      <c r="E389" s="3083">
        <f t="shared" si="235"/>
        <v>0</v>
      </c>
      <c r="F389" s="3084"/>
      <c r="G389" s="3085">
        <f t="shared" si="210"/>
        <v>0</v>
      </c>
      <c r="H389" s="3086">
        <f t="shared" si="211"/>
        <v>0</v>
      </c>
      <c r="I389" s="3093"/>
      <c r="J389" s="3093"/>
      <c r="K389" s="3093"/>
      <c r="L389" s="3093"/>
      <c r="M389" s="3093"/>
      <c r="N389" s="3093"/>
      <c r="O389" s="3093"/>
      <c r="P389" s="3093"/>
      <c r="Q389" s="3093"/>
      <c r="R389" s="3093"/>
      <c r="S389" s="3093"/>
      <c r="T389" s="3093"/>
      <c r="U389" s="3093"/>
      <c r="V389" s="3093"/>
      <c r="W389" s="3093"/>
      <c r="X389" s="3093"/>
      <c r="Y389" s="3093"/>
      <c r="Z389" s="3093"/>
      <c r="AA389" s="3093"/>
      <c r="AB389" s="3093"/>
      <c r="AC389" s="3083">
        <f t="shared" si="212"/>
        <v>0</v>
      </c>
      <c r="AD389" s="3103"/>
      <c r="AE389" s="3103"/>
      <c r="AF389" s="3103"/>
      <c r="AG389" s="3103"/>
      <c r="AH389" s="3103"/>
      <c r="AI389" s="3103"/>
      <c r="AJ389" s="3103"/>
      <c r="AK389" s="3103"/>
      <c r="AL389" s="3103"/>
      <c r="AM389" s="3103"/>
      <c r="AN389" s="3103"/>
      <c r="AO389" s="3103"/>
      <c r="AP389" s="3103"/>
      <c r="AQ389" s="3103"/>
      <c r="AR389" s="3103"/>
      <c r="AS389" s="3103"/>
      <c r="AT389" s="3113"/>
      <c r="AU389" s="3114"/>
      <c r="AV389" s="1580">
        <f t="shared" si="236"/>
        <v>0</v>
      </c>
      <c r="AW389" s="1580">
        <f t="shared" si="237"/>
        <v>0</v>
      </c>
      <c r="AX389" s="1580">
        <f t="shared" si="238"/>
        <v>0</v>
      </c>
      <c r="AY389" s="3128">
        <f t="shared" si="213"/>
        <v>0</v>
      </c>
      <c r="AZ389" s="3083">
        <f t="shared" si="214"/>
        <v>0</v>
      </c>
      <c r="BA389" s="3083">
        <f t="shared" si="215"/>
        <v>0</v>
      </c>
      <c r="BB389" s="3083">
        <f t="shared" si="216"/>
        <v>0</v>
      </c>
      <c r="BC389" s="3083">
        <f t="shared" si="217"/>
        <v>0</v>
      </c>
      <c r="BD389" s="3083">
        <f t="shared" si="218"/>
        <v>0</v>
      </c>
      <c r="BE389" s="3083">
        <f t="shared" si="219"/>
        <v>0</v>
      </c>
      <c r="BF389" s="3083">
        <f t="shared" si="220"/>
        <v>0</v>
      </c>
      <c r="BG389" s="3083">
        <f t="shared" si="221"/>
        <v>0</v>
      </c>
      <c r="BH389" s="3083">
        <f t="shared" si="222"/>
        <v>0</v>
      </c>
      <c r="BI389" s="3083">
        <f t="shared" si="223"/>
        <v>0</v>
      </c>
      <c r="BJ389" s="3083">
        <f t="shared" si="224"/>
        <v>0</v>
      </c>
      <c r="BK389" s="3083">
        <f t="shared" si="225"/>
        <v>0</v>
      </c>
      <c r="BL389" s="3083">
        <f t="shared" si="226"/>
        <v>0</v>
      </c>
      <c r="BM389" s="3083">
        <f t="shared" si="227"/>
        <v>0</v>
      </c>
      <c r="BN389" s="3083">
        <f t="shared" si="228"/>
        <v>0</v>
      </c>
      <c r="BO389" s="3083">
        <f t="shared" si="229"/>
        <v>0</v>
      </c>
      <c r="BP389" s="3083">
        <f t="shared" si="230"/>
        <v>0</v>
      </c>
      <c r="BQ389" s="3083">
        <f t="shared" si="231"/>
        <v>0</v>
      </c>
      <c r="BR389" s="3083">
        <f t="shared" si="232"/>
        <v>0</v>
      </c>
      <c r="BS389" s="3083">
        <f t="shared" si="233"/>
        <v>0</v>
      </c>
      <c r="BT389" s="3135">
        <f t="shared" si="234"/>
        <v>0</v>
      </c>
    </row>
    <row r="390" spans="1:72">
      <c r="A390" s="3080"/>
      <c r="B390" s="3081"/>
      <c r="C390" s="3081"/>
      <c r="D390" s="3082"/>
      <c r="E390" s="3083">
        <f t="shared" si="235"/>
        <v>0</v>
      </c>
      <c r="F390" s="3084"/>
      <c r="G390" s="3085">
        <f t="shared" si="210"/>
        <v>0</v>
      </c>
      <c r="H390" s="3086">
        <f t="shared" si="211"/>
        <v>0</v>
      </c>
      <c r="I390" s="3093"/>
      <c r="J390" s="3093"/>
      <c r="K390" s="3093"/>
      <c r="L390" s="3093"/>
      <c r="M390" s="3093"/>
      <c r="N390" s="3093"/>
      <c r="O390" s="3093"/>
      <c r="P390" s="3093"/>
      <c r="Q390" s="3093"/>
      <c r="R390" s="3093"/>
      <c r="S390" s="3093"/>
      <c r="T390" s="3093"/>
      <c r="U390" s="3093"/>
      <c r="V390" s="3093"/>
      <c r="W390" s="3093"/>
      <c r="X390" s="3093"/>
      <c r="Y390" s="3093"/>
      <c r="Z390" s="3093"/>
      <c r="AA390" s="3093"/>
      <c r="AB390" s="3093"/>
      <c r="AC390" s="3083">
        <f t="shared" si="212"/>
        <v>0</v>
      </c>
      <c r="AD390" s="3103"/>
      <c r="AE390" s="3103"/>
      <c r="AF390" s="3103"/>
      <c r="AG390" s="3103"/>
      <c r="AH390" s="3103"/>
      <c r="AI390" s="3103"/>
      <c r="AJ390" s="3103"/>
      <c r="AK390" s="3103"/>
      <c r="AL390" s="3103"/>
      <c r="AM390" s="3103"/>
      <c r="AN390" s="3103"/>
      <c r="AO390" s="3103"/>
      <c r="AP390" s="3103"/>
      <c r="AQ390" s="3103"/>
      <c r="AR390" s="3103"/>
      <c r="AS390" s="3103"/>
      <c r="AT390" s="3113"/>
      <c r="AU390" s="3114"/>
      <c r="AV390" s="1580">
        <f t="shared" si="236"/>
        <v>0</v>
      </c>
      <c r="AW390" s="1580">
        <f t="shared" si="237"/>
        <v>0</v>
      </c>
      <c r="AX390" s="1580">
        <f t="shared" si="238"/>
        <v>0</v>
      </c>
      <c r="AY390" s="3128">
        <f t="shared" si="213"/>
        <v>0</v>
      </c>
      <c r="AZ390" s="3083">
        <f t="shared" si="214"/>
        <v>0</v>
      </c>
      <c r="BA390" s="3083">
        <f t="shared" si="215"/>
        <v>0</v>
      </c>
      <c r="BB390" s="3083">
        <f t="shared" si="216"/>
        <v>0</v>
      </c>
      <c r="BC390" s="3083">
        <f t="shared" si="217"/>
        <v>0</v>
      </c>
      <c r="BD390" s="3083">
        <f t="shared" si="218"/>
        <v>0</v>
      </c>
      <c r="BE390" s="3083">
        <f t="shared" si="219"/>
        <v>0</v>
      </c>
      <c r="BF390" s="3083">
        <f t="shared" si="220"/>
        <v>0</v>
      </c>
      <c r="BG390" s="3083">
        <f t="shared" si="221"/>
        <v>0</v>
      </c>
      <c r="BH390" s="3083">
        <f t="shared" si="222"/>
        <v>0</v>
      </c>
      <c r="BI390" s="3083">
        <f t="shared" si="223"/>
        <v>0</v>
      </c>
      <c r="BJ390" s="3083">
        <f t="shared" si="224"/>
        <v>0</v>
      </c>
      <c r="BK390" s="3083">
        <f t="shared" si="225"/>
        <v>0</v>
      </c>
      <c r="BL390" s="3083">
        <f t="shared" si="226"/>
        <v>0</v>
      </c>
      <c r="BM390" s="3083">
        <f t="shared" si="227"/>
        <v>0</v>
      </c>
      <c r="BN390" s="3083">
        <f t="shared" si="228"/>
        <v>0</v>
      </c>
      <c r="BO390" s="3083">
        <f t="shared" si="229"/>
        <v>0</v>
      </c>
      <c r="BP390" s="3083">
        <f t="shared" si="230"/>
        <v>0</v>
      </c>
      <c r="BQ390" s="3083">
        <f t="shared" si="231"/>
        <v>0</v>
      </c>
      <c r="BR390" s="3083">
        <f t="shared" si="232"/>
        <v>0</v>
      </c>
      <c r="BS390" s="3083">
        <f t="shared" si="233"/>
        <v>0</v>
      </c>
      <c r="BT390" s="3135">
        <f t="shared" si="234"/>
        <v>0</v>
      </c>
    </row>
    <row r="391" spans="1:72">
      <c r="A391" s="3080"/>
      <c r="B391" s="3081"/>
      <c r="C391" s="3081"/>
      <c r="D391" s="3082"/>
      <c r="E391" s="3083">
        <f t="shared" si="235"/>
        <v>0</v>
      </c>
      <c r="F391" s="3084"/>
      <c r="G391" s="3085">
        <f t="shared" si="210"/>
        <v>0</v>
      </c>
      <c r="H391" s="3086">
        <f t="shared" si="211"/>
        <v>0</v>
      </c>
      <c r="I391" s="3093"/>
      <c r="J391" s="3093"/>
      <c r="K391" s="3093"/>
      <c r="L391" s="3093"/>
      <c r="M391" s="3093"/>
      <c r="N391" s="3093"/>
      <c r="O391" s="3093"/>
      <c r="P391" s="3093"/>
      <c r="Q391" s="3093"/>
      <c r="R391" s="3093"/>
      <c r="S391" s="3093"/>
      <c r="T391" s="3093"/>
      <c r="U391" s="3093"/>
      <c r="V391" s="3093"/>
      <c r="W391" s="3093"/>
      <c r="X391" s="3093"/>
      <c r="Y391" s="3093"/>
      <c r="Z391" s="3093"/>
      <c r="AA391" s="3093"/>
      <c r="AB391" s="3093"/>
      <c r="AC391" s="3083">
        <f t="shared" si="212"/>
        <v>0</v>
      </c>
      <c r="AD391" s="3103"/>
      <c r="AE391" s="3103"/>
      <c r="AF391" s="3103"/>
      <c r="AG391" s="3103"/>
      <c r="AH391" s="3103"/>
      <c r="AI391" s="3103"/>
      <c r="AJ391" s="3103"/>
      <c r="AK391" s="3103"/>
      <c r="AL391" s="3103"/>
      <c r="AM391" s="3103"/>
      <c r="AN391" s="3103"/>
      <c r="AO391" s="3103"/>
      <c r="AP391" s="3103"/>
      <c r="AQ391" s="3103"/>
      <c r="AR391" s="3103"/>
      <c r="AS391" s="3103"/>
      <c r="AT391" s="3113"/>
      <c r="AU391" s="3114"/>
      <c r="AV391" s="1580">
        <f t="shared" si="236"/>
        <v>0</v>
      </c>
      <c r="AW391" s="1580">
        <f t="shared" si="237"/>
        <v>0</v>
      </c>
      <c r="AX391" s="1580">
        <f t="shared" si="238"/>
        <v>0</v>
      </c>
      <c r="AY391" s="3128">
        <f t="shared" si="213"/>
        <v>0</v>
      </c>
      <c r="AZ391" s="3083">
        <f t="shared" si="214"/>
        <v>0</v>
      </c>
      <c r="BA391" s="3083">
        <f t="shared" si="215"/>
        <v>0</v>
      </c>
      <c r="BB391" s="3083">
        <f t="shared" si="216"/>
        <v>0</v>
      </c>
      <c r="BC391" s="3083">
        <f t="shared" si="217"/>
        <v>0</v>
      </c>
      <c r="BD391" s="3083">
        <f t="shared" si="218"/>
        <v>0</v>
      </c>
      <c r="BE391" s="3083">
        <f t="shared" si="219"/>
        <v>0</v>
      </c>
      <c r="BF391" s="3083">
        <f t="shared" si="220"/>
        <v>0</v>
      </c>
      <c r="BG391" s="3083">
        <f t="shared" si="221"/>
        <v>0</v>
      </c>
      <c r="BH391" s="3083">
        <f t="shared" si="222"/>
        <v>0</v>
      </c>
      <c r="BI391" s="3083">
        <f t="shared" si="223"/>
        <v>0</v>
      </c>
      <c r="BJ391" s="3083">
        <f t="shared" si="224"/>
        <v>0</v>
      </c>
      <c r="BK391" s="3083">
        <f t="shared" si="225"/>
        <v>0</v>
      </c>
      <c r="BL391" s="3083">
        <f t="shared" si="226"/>
        <v>0</v>
      </c>
      <c r="BM391" s="3083">
        <f t="shared" si="227"/>
        <v>0</v>
      </c>
      <c r="BN391" s="3083">
        <f t="shared" si="228"/>
        <v>0</v>
      </c>
      <c r="BO391" s="3083">
        <f t="shared" si="229"/>
        <v>0</v>
      </c>
      <c r="BP391" s="3083">
        <f t="shared" si="230"/>
        <v>0</v>
      </c>
      <c r="BQ391" s="3083">
        <f t="shared" si="231"/>
        <v>0</v>
      </c>
      <c r="BR391" s="3083">
        <f t="shared" si="232"/>
        <v>0</v>
      </c>
      <c r="BS391" s="3083">
        <f t="shared" si="233"/>
        <v>0</v>
      </c>
      <c r="BT391" s="3135">
        <f t="shared" si="234"/>
        <v>0</v>
      </c>
    </row>
    <row r="392" spans="1:72">
      <c r="A392" s="3080"/>
      <c r="B392" s="3081"/>
      <c r="C392" s="3081"/>
      <c r="D392" s="3082"/>
      <c r="E392" s="3083">
        <f t="shared" si="235"/>
        <v>0</v>
      </c>
      <c r="F392" s="3084"/>
      <c r="G392" s="3085">
        <f t="shared" si="210"/>
        <v>0</v>
      </c>
      <c r="H392" s="3086">
        <f t="shared" si="211"/>
        <v>0</v>
      </c>
      <c r="I392" s="3093"/>
      <c r="J392" s="3093"/>
      <c r="K392" s="3093"/>
      <c r="L392" s="3093"/>
      <c r="M392" s="3093"/>
      <c r="N392" s="3093"/>
      <c r="O392" s="3093"/>
      <c r="P392" s="3093"/>
      <c r="Q392" s="3093"/>
      <c r="R392" s="3093"/>
      <c r="S392" s="3093"/>
      <c r="T392" s="3093"/>
      <c r="U392" s="3093"/>
      <c r="V392" s="3093"/>
      <c r="W392" s="3093"/>
      <c r="X392" s="3093"/>
      <c r="Y392" s="3093"/>
      <c r="Z392" s="3093"/>
      <c r="AA392" s="3093"/>
      <c r="AB392" s="3093"/>
      <c r="AC392" s="3083">
        <f t="shared" si="212"/>
        <v>0</v>
      </c>
      <c r="AD392" s="3103"/>
      <c r="AE392" s="3103"/>
      <c r="AF392" s="3103"/>
      <c r="AG392" s="3103"/>
      <c r="AH392" s="3103"/>
      <c r="AI392" s="3103"/>
      <c r="AJ392" s="3103"/>
      <c r="AK392" s="3103"/>
      <c r="AL392" s="3103"/>
      <c r="AM392" s="3103"/>
      <c r="AN392" s="3103"/>
      <c r="AO392" s="3103"/>
      <c r="AP392" s="3103"/>
      <c r="AQ392" s="3103"/>
      <c r="AR392" s="3103"/>
      <c r="AS392" s="3103"/>
      <c r="AT392" s="3113"/>
      <c r="AU392" s="3114"/>
      <c r="AV392" s="1580">
        <f t="shared" si="236"/>
        <v>0</v>
      </c>
      <c r="AW392" s="1580">
        <f t="shared" si="237"/>
        <v>0</v>
      </c>
      <c r="AX392" s="1580">
        <f t="shared" si="238"/>
        <v>0</v>
      </c>
      <c r="AY392" s="3128">
        <f t="shared" si="213"/>
        <v>0</v>
      </c>
      <c r="AZ392" s="3083">
        <f t="shared" si="214"/>
        <v>0</v>
      </c>
      <c r="BA392" s="3083">
        <f t="shared" si="215"/>
        <v>0</v>
      </c>
      <c r="BB392" s="3083">
        <f t="shared" si="216"/>
        <v>0</v>
      </c>
      <c r="BC392" s="3083">
        <f t="shared" si="217"/>
        <v>0</v>
      </c>
      <c r="BD392" s="3083">
        <f t="shared" si="218"/>
        <v>0</v>
      </c>
      <c r="BE392" s="3083">
        <f t="shared" si="219"/>
        <v>0</v>
      </c>
      <c r="BF392" s="3083">
        <f t="shared" si="220"/>
        <v>0</v>
      </c>
      <c r="BG392" s="3083">
        <f t="shared" si="221"/>
        <v>0</v>
      </c>
      <c r="BH392" s="3083">
        <f t="shared" si="222"/>
        <v>0</v>
      </c>
      <c r="BI392" s="3083">
        <f t="shared" si="223"/>
        <v>0</v>
      </c>
      <c r="BJ392" s="3083">
        <f t="shared" si="224"/>
        <v>0</v>
      </c>
      <c r="BK392" s="3083">
        <f t="shared" si="225"/>
        <v>0</v>
      </c>
      <c r="BL392" s="3083">
        <f t="shared" si="226"/>
        <v>0</v>
      </c>
      <c r="BM392" s="3083">
        <f t="shared" si="227"/>
        <v>0</v>
      </c>
      <c r="BN392" s="3083">
        <f t="shared" si="228"/>
        <v>0</v>
      </c>
      <c r="BO392" s="3083">
        <f t="shared" si="229"/>
        <v>0</v>
      </c>
      <c r="BP392" s="3083">
        <f t="shared" si="230"/>
        <v>0</v>
      </c>
      <c r="BQ392" s="3083">
        <f t="shared" si="231"/>
        <v>0</v>
      </c>
      <c r="BR392" s="3083">
        <f t="shared" si="232"/>
        <v>0</v>
      </c>
      <c r="BS392" s="3083">
        <f t="shared" si="233"/>
        <v>0</v>
      </c>
      <c r="BT392" s="3135">
        <f t="shared" si="234"/>
        <v>0</v>
      </c>
    </row>
    <row r="393" spans="1:72">
      <c r="A393" s="3080"/>
      <c r="B393" s="3081"/>
      <c r="C393" s="3081"/>
      <c r="D393" s="3082"/>
      <c r="E393" s="3083">
        <f t="shared" si="235"/>
        <v>0</v>
      </c>
      <c r="F393" s="3084"/>
      <c r="G393" s="3085">
        <f t="shared" si="210"/>
        <v>0</v>
      </c>
      <c r="H393" s="3086">
        <f t="shared" si="211"/>
        <v>0</v>
      </c>
      <c r="I393" s="3093"/>
      <c r="J393" s="3093"/>
      <c r="K393" s="3093"/>
      <c r="L393" s="3093"/>
      <c r="M393" s="3093"/>
      <c r="N393" s="3093"/>
      <c r="O393" s="3093"/>
      <c r="P393" s="3093"/>
      <c r="Q393" s="3093"/>
      <c r="R393" s="3093"/>
      <c r="S393" s="3093"/>
      <c r="T393" s="3093"/>
      <c r="U393" s="3093"/>
      <c r="V393" s="3093"/>
      <c r="W393" s="3093"/>
      <c r="X393" s="3093"/>
      <c r="Y393" s="3093"/>
      <c r="Z393" s="3093"/>
      <c r="AA393" s="3093"/>
      <c r="AB393" s="3093"/>
      <c r="AC393" s="3083">
        <f t="shared" si="212"/>
        <v>0</v>
      </c>
      <c r="AD393" s="3103"/>
      <c r="AE393" s="3103"/>
      <c r="AF393" s="3103"/>
      <c r="AG393" s="3103"/>
      <c r="AH393" s="3103"/>
      <c r="AI393" s="3103"/>
      <c r="AJ393" s="3103"/>
      <c r="AK393" s="3103"/>
      <c r="AL393" s="3103"/>
      <c r="AM393" s="3103"/>
      <c r="AN393" s="3103"/>
      <c r="AO393" s="3103"/>
      <c r="AP393" s="3103"/>
      <c r="AQ393" s="3103"/>
      <c r="AR393" s="3103"/>
      <c r="AS393" s="3103"/>
      <c r="AT393" s="3113"/>
      <c r="AU393" s="3114"/>
      <c r="AV393" s="1580">
        <f t="shared" si="236"/>
        <v>0</v>
      </c>
      <c r="AW393" s="1580">
        <f t="shared" si="237"/>
        <v>0</v>
      </c>
      <c r="AX393" s="1580">
        <f t="shared" si="238"/>
        <v>0</v>
      </c>
      <c r="AY393" s="3128">
        <f t="shared" si="213"/>
        <v>0</v>
      </c>
      <c r="AZ393" s="3083">
        <f t="shared" si="214"/>
        <v>0</v>
      </c>
      <c r="BA393" s="3083">
        <f t="shared" si="215"/>
        <v>0</v>
      </c>
      <c r="BB393" s="3083">
        <f t="shared" si="216"/>
        <v>0</v>
      </c>
      <c r="BC393" s="3083">
        <f t="shared" si="217"/>
        <v>0</v>
      </c>
      <c r="BD393" s="3083">
        <f t="shared" si="218"/>
        <v>0</v>
      </c>
      <c r="BE393" s="3083">
        <f t="shared" si="219"/>
        <v>0</v>
      </c>
      <c r="BF393" s="3083">
        <f t="shared" si="220"/>
        <v>0</v>
      </c>
      <c r="BG393" s="3083">
        <f t="shared" si="221"/>
        <v>0</v>
      </c>
      <c r="BH393" s="3083">
        <f t="shared" si="222"/>
        <v>0</v>
      </c>
      <c r="BI393" s="3083">
        <f t="shared" si="223"/>
        <v>0</v>
      </c>
      <c r="BJ393" s="3083">
        <f t="shared" si="224"/>
        <v>0</v>
      </c>
      <c r="BK393" s="3083">
        <f t="shared" si="225"/>
        <v>0</v>
      </c>
      <c r="BL393" s="3083">
        <f t="shared" si="226"/>
        <v>0</v>
      </c>
      <c r="BM393" s="3083">
        <f t="shared" si="227"/>
        <v>0</v>
      </c>
      <c r="BN393" s="3083">
        <f t="shared" si="228"/>
        <v>0</v>
      </c>
      <c r="BO393" s="3083">
        <f t="shared" si="229"/>
        <v>0</v>
      </c>
      <c r="BP393" s="3083">
        <f t="shared" si="230"/>
        <v>0</v>
      </c>
      <c r="BQ393" s="3083">
        <f t="shared" si="231"/>
        <v>0</v>
      </c>
      <c r="BR393" s="3083">
        <f t="shared" si="232"/>
        <v>0</v>
      </c>
      <c r="BS393" s="3083">
        <f t="shared" si="233"/>
        <v>0</v>
      </c>
      <c r="BT393" s="3135">
        <f t="shared" si="234"/>
        <v>0</v>
      </c>
    </row>
    <row r="394" spans="1:72">
      <c r="A394" s="3080"/>
      <c r="B394" s="3081"/>
      <c r="C394" s="3081"/>
      <c r="D394" s="3082"/>
      <c r="E394" s="3083">
        <f t="shared" si="235"/>
        <v>0</v>
      </c>
      <c r="F394" s="3084"/>
      <c r="G394" s="3085">
        <f t="shared" si="210"/>
        <v>0</v>
      </c>
      <c r="H394" s="3086">
        <f t="shared" si="211"/>
        <v>0</v>
      </c>
      <c r="I394" s="3093"/>
      <c r="J394" s="3093"/>
      <c r="K394" s="3093"/>
      <c r="L394" s="3093"/>
      <c r="M394" s="3093"/>
      <c r="N394" s="3093"/>
      <c r="O394" s="3093"/>
      <c r="P394" s="3093"/>
      <c r="Q394" s="3093"/>
      <c r="R394" s="3093"/>
      <c r="S394" s="3093"/>
      <c r="T394" s="3093"/>
      <c r="U394" s="3093"/>
      <c r="V394" s="3093"/>
      <c r="W394" s="3093"/>
      <c r="X394" s="3093"/>
      <c r="Y394" s="3093"/>
      <c r="Z394" s="3093"/>
      <c r="AA394" s="3093"/>
      <c r="AB394" s="3093"/>
      <c r="AC394" s="3083">
        <f t="shared" si="212"/>
        <v>0</v>
      </c>
      <c r="AD394" s="3103"/>
      <c r="AE394" s="3103"/>
      <c r="AF394" s="3103"/>
      <c r="AG394" s="3103"/>
      <c r="AH394" s="3103"/>
      <c r="AI394" s="3103"/>
      <c r="AJ394" s="3103"/>
      <c r="AK394" s="3103"/>
      <c r="AL394" s="3103"/>
      <c r="AM394" s="3103"/>
      <c r="AN394" s="3103"/>
      <c r="AO394" s="3103"/>
      <c r="AP394" s="3103"/>
      <c r="AQ394" s="3103"/>
      <c r="AR394" s="3103"/>
      <c r="AS394" s="3103"/>
      <c r="AT394" s="3113"/>
      <c r="AU394" s="3114"/>
      <c r="AV394" s="1580">
        <f t="shared" si="236"/>
        <v>0</v>
      </c>
      <c r="AW394" s="1580">
        <f t="shared" si="237"/>
        <v>0</v>
      </c>
      <c r="AX394" s="1580">
        <f t="shared" si="238"/>
        <v>0</v>
      </c>
      <c r="AY394" s="3128">
        <f t="shared" si="213"/>
        <v>0</v>
      </c>
      <c r="AZ394" s="3083">
        <f t="shared" si="214"/>
        <v>0</v>
      </c>
      <c r="BA394" s="3083">
        <f t="shared" si="215"/>
        <v>0</v>
      </c>
      <c r="BB394" s="3083">
        <f t="shared" si="216"/>
        <v>0</v>
      </c>
      <c r="BC394" s="3083">
        <f t="shared" si="217"/>
        <v>0</v>
      </c>
      <c r="BD394" s="3083">
        <f t="shared" si="218"/>
        <v>0</v>
      </c>
      <c r="BE394" s="3083">
        <f t="shared" si="219"/>
        <v>0</v>
      </c>
      <c r="BF394" s="3083">
        <f t="shared" si="220"/>
        <v>0</v>
      </c>
      <c r="BG394" s="3083">
        <f t="shared" si="221"/>
        <v>0</v>
      </c>
      <c r="BH394" s="3083">
        <f t="shared" si="222"/>
        <v>0</v>
      </c>
      <c r="BI394" s="3083">
        <f t="shared" si="223"/>
        <v>0</v>
      </c>
      <c r="BJ394" s="3083">
        <f t="shared" si="224"/>
        <v>0</v>
      </c>
      <c r="BK394" s="3083">
        <f t="shared" si="225"/>
        <v>0</v>
      </c>
      <c r="BL394" s="3083">
        <f t="shared" si="226"/>
        <v>0</v>
      </c>
      <c r="BM394" s="3083">
        <f t="shared" si="227"/>
        <v>0</v>
      </c>
      <c r="BN394" s="3083">
        <f t="shared" si="228"/>
        <v>0</v>
      </c>
      <c r="BO394" s="3083">
        <f t="shared" si="229"/>
        <v>0</v>
      </c>
      <c r="BP394" s="3083">
        <f t="shared" si="230"/>
        <v>0</v>
      </c>
      <c r="BQ394" s="3083">
        <f t="shared" si="231"/>
        <v>0</v>
      </c>
      <c r="BR394" s="3083">
        <f t="shared" si="232"/>
        <v>0</v>
      </c>
      <c r="BS394" s="3083">
        <f t="shared" si="233"/>
        <v>0</v>
      </c>
      <c r="BT394" s="3135">
        <f t="shared" si="234"/>
        <v>0</v>
      </c>
    </row>
    <row r="395" spans="1:72">
      <c r="A395" s="3080"/>
      <c r="B395" s="3080"/>
      <c r="C395" s="3080"/>
      <c r="D395" s="3082"/>
      <c r="E395" s="3083">
        <f t="shared" si="235"/>
        <v>0</v>
      </c>
      <c r="F395" s="3136"/>
      <c r="G395" s="3085">
        <f t="shared" si="210"/>
        <v>0</v>
      </c>
      <c r="H395" s="3086">
        <f t="shared" si="211"/>
        <v>0</v>
      </c>
      <c r="I395" s="3137"/>
      <c r="J395" s="3137"/>
      <c r="K395" s="3093"/>
      <c r="L395" s="3093"/>
      <c r="M395" s="3093"/>
      <c r="N395" s="3093"/>
      <c r="O395" s="3093"/>
      <c r="P395" s="3093"/>
      <c r="Q395" s="3093"/>
      <c r="R395" s="3093"/>
      <c r="S395" s="3093"/>
      <c r="T395" s="3093"/>
      <c r="U395" s="3093"/>
      <c r="V395" s="3093"/>
      <c r="W395" s="3093"/>
      <c r="X395" s="3093"/>
      <c r="Y395" s="3093"/>
      <c r="Z395" s="3093"/>
      <c r="AA395" s="3093"/>
      <c r="AB395" s="3093"/>
      <c r="AC395" s="3083">
        <f t="shared" si="212"/>
        <v>0</v>
      </c>
      <c r="AD395" s="3103"/>
      <c r="AE395" s="3103"/>
      <c r="AF395" s="3103"/>
      <c r="AG395" s="3103"/>
      <c r="AH395" s="3103"/>
      <c r="AI395" s="3103"/>
      <c r="AJ395" s="3103"/>
      <c r="AK395" s="3103"/>
      <c r="AL395" s="3103"/>
      <c r="AM395" s="3103"/>
      <c r="AN395" s="3103"/>
      <c r="AO395" s="3103"/>
      <c r="AP395" s="3103"/>
      <c r="AQ395" s="3103"/>
      <c r="AR395" s="3103"/>
      <c r="AS395" s="3103"/>
      <c r="AT395" s="3103"/>
      <c r="AU395" s="3138"/>
      <c r="AV395" s="1580">
        <f t="shared" si="236"/>
        <v>0</v>
      </c>
      <c r="AW395" s="1580">
        <f t="shared" si="237"/>
        <v>0</v>
      </c>
      <c r="AX395" s="1580">
        <f t="shared" si="238"/>
        <v>0</v>
      </c>
      <c r="AY395" s="3128">
        <f t="shared" si="213"/>
        <v>0</v>
      </c>
      <c r="AZ395" s="3083">
        <f t="shared" si="214"/>
        <v>0</v>
      </c>
      <c r="BA395" s="3083">
        <f t="shared" si="215"/>
        <v>0</v>
      </c>
      <c r="BB395" s="3083">
        <f t="shared" si="216"/>
        <v>0</v>
      </c>
      <c r="BC395" s="3083">
        <f t="shared" si="217"/>
        <v>0</v>
      </c>
      <c r="BD395" s="3083">
        <f t="shared" si="218"/>
        <v>0</v>
      </c>
      <c r="BE395" s="3083">
        <f t="shared" si="219"/>
        <v>0</v>
      </c>
      <c r="BF395" s="3083">
        <f t="shared" si="220"/>
        <v>0</v>
      </c>
      <c r="BG395" s="3083">
        <f t="shared" si="221"/>
        <v>0</v>
      </c>
      <c r="BH395" s="3083">
        <f t="shared" si="222"/>
        <v>0</v>
      </c>
      <c r="BI395" s="3083">
        <f t="shared" si="223"/>
        <v>0</v>
      </c>
      <c r="BJ395" s="3083">
        <f t="shared" si="224"/>
        <v>0</v>
      </c>
      <c r="BK395" s="3083">
        <f t="shared" si="225"/>
        <v>0</v>
      </c>
      <c r="BL395" s="3083">
        <f t="shared" si="226"/>
        <v>0</v>
      </c>
      <c r="BM395" s="3083">
        <f t="shared" si="227"/>
        <v>0</v>
      </c>
      <c r="BN395" s="3083">
        <f t="shared" si="228"/>
        <v>0</v>
      </c>
      <c r="BO395" s="3083">
        <f t="shared" si="229"/>
        <v>0</v>
      </c>
      <c r="BP395" s="3083">
        <f t="shared" si="230"/>
        <v>0</v>
      </c>
      <c r="BQ395" s="3083">
        <f t="shared" si="231"/>
        <v>0</v>
      </c>
      <c r="BR395" s="3083">
        <f t="shared" si="232"/>
        <v>0</v>
      </c>
      <c r="BS395" s="3083">
        <f t="shared" si="233"/>
        <v>0</v>
      </c>
      <c r="BT395" s="3135">
        <f t="shared" si="234"/>
        <v>0</v>
      </c>
    </row>
    <row r="396" spans="1:72">
      <c r="A396" s="3080"/>
      <c r="B396" s="3080"/>
      <c r="C396" s="3080"/>
      <c r="D396" s="3082"/>
      <c r="E396" s="3083">
        <f t="shared" si="235"/>
        <v>0</v>
      </c>
      <c r="F396" s="3136"/>
      <c r="G396" s="3085">
        <f t="shared" si="210"/>
        <v>0</v>
      </c>
      <c r="H396" s="3086">
        <f t="shared" si="211"/>
        <v>0</v>
      </c>
      <c r="I396" s="3093"/>
      <c r="J396" s="3093"/>
      <c r="K396" s="3093"/>
      <c r="L396" s="3093"/>
      <c r="M396" s="3093"/>
      <c r="N396" s="3093"/>
      <c r="O396" s="3093"/>
      <c r="P396" s="3093"/>
      <c r="Q396" s="3093"/>
      <c r="R396" s="3093"/>
      <c r="S396" s="3093"/>
      <c r="T396" s="3093"/>
      <c r="U396" s="3093"/>
      <c r="V396" s="3093"/>
      <c r="W396" s="3093"/>
      <c r="X396" s="3093"/>
      <c r="Y396" s="3093"/>
      <c r="Z396" s="3093"/>
      <c r="AA396" s="3093"/>
      <c r="AB396" s="3093"/>
      <c r="AC396" s="3083">
        <f t="shared" si="212"/>
        <v>0</v>
      </c>
      <c r="AD396" s="3103"/>
      <c r="AE396" s="3103"/>
      <c r="AF396" s="3103"/>
      <c r="AG396" s="3103"/>
      <c r="AH396" s="3103"/>
      <c r="AI396" s="3103"/>
      <c r="AJ396" s="3103"/>
      <c r="AK396" s="3103"/>
      <c r="AL396" s="3103"/>
      <c r="AM396" s="3103"/>
      <c r="AN396" s="3103"/>
      <c r="AO396" s="3103"/>
      <c r="AP396" s="3103"/>
      <c r="AQ396" s="3103"/>
      <c r="AR396" s="3103"/>
      <c r="AS396" s="3103"/>
      <c r="AT396" s="3103"/>
      <c r="AU396" s="3138"/>
      <c r="AV396" s="1580">
        <f t="shared" si="236"/>
        <v>0</v>
      </c>
      <c r="AW396" s="1580">
        <f t="shared" si="237"/>
        <v>0</v>
      </c>
      <c r="AX396" s="1580">
        <f t="shared" si="238"/>
        <v>0</v>
      </c>
      <c r="AY396" s="3128">
        <f t="shared" si="213"/>
        <v>0</v>
      </c>
      <c r="AZ396" s="3083">
        <f t="shared" si="214"/>
        <v>0</v>
      </c>
      <c r="BA396" s="3083">
        <f t="shared" si="215"/>
        <v>0</v>
      </c>
      <c r="BB396" s="3083">
        <f t="shared" si="216"/>
        <v>0</v>
      </c>
      <c r="BC396" s="3083">
        <f t="shared" si="217"/>
        <v>0</v>
      </c>
      <c r="BD396" s="3083">
        <f t="shared" si="218"/>
        <v>0</v>
      </c>
      <c r="BE396" s="3083">
        <f t="shared" si="219"/>
        <v>0</v>
      </c>
      <c r="BF396" s="3083">
        <f t="shared" si="220"/>
        <v>0</v>
      </c>
      <c r="BG396" s="3083">
        <f t="shared" si="221"/>
        <v>0</v>
      </c>
      <c r="BH396" s="3083">
        <f t="shared" si="222"/>
        <v>0</v>
      </c>
      <c r="BI396" s="3083">
        <f t="shared" si="223"/>
        <v>0</v>
      </c>
      <c r="BJ396" s="3083">
        <f t="shared" si="224"/>
        <v>0</v>
      </c>
      <c r="BK396" s="3083">
        <f t="shared" si="225"/>
        <v>0</v>
      </c>
      <c r="BL396" s="3083">
        <f t="shared" si="226"/>
        <v>0</v>
      </c>
      <c r="BM396" s="3083">
        <f t="shared" si="227"/>
        <v>0</v>
      </c>
      <c r="BN396" s="3083">
        <f t="shared" si="228"/>
        <v>0</v>
      </c>
      <c r="BO396" s="3083">
        <f t="shared" si="229"/>
        <v>0</v>
      </c>
      <c r="BP396" s="3083">
        <f t="shared" si="230"/>
        <v>0</v>
      </c>
      <c r="BQ396" s="3083">
        <f t="shared" si="231"/>
        <v>0</v>
      </c>
      <c r="BR396" s="3083">
        <f t="shared" si="232"/>
        <v>0</v>
      </c>
      <c r="BS396" s="3083">
        <f t="shared" si="233"/>
        <v>0</v>
      </c>
      <c r="BT396" s="3135">
        <f t="shared" si="234"/>
        <v>0</v>
      </c>
    </row>
    <row r="397" spans="1:72">
      <c r="A397" s="3080"/>
      <c r="B397" s="3080"/>
      <c r="C397" s="3080"/>
      <c r="D397" s="3082"/>
      <c r="E397" s="3083">
        <f t="shared" si="235"/>
        <v>0</v>
      </c>
      <c r="F397" s="3136"/>
      <c r="G397" s="3085">
        <f t="shared" si="210"/>
        <v>0</v>
      </c>
      <c r="H397" s="3086">
        <f t="shared" si="211"/>
        <v>0</v>
      </c>
      <c r="I397" s="3093"/>
      <c r="J397" s="3093"/>
      <c r="K397" s="3093"/>
      <c r="L397" s="3093"/>
      <c r="M397" s="3093"/>
      <c r="N397" s="3093"/>
      <c r="O397" s="3093"/>
      <c r="P397" s="3093"/>
      <c r="Q397" s="3093"/>
      <c r="R397" s="3093"/>
      <c r="S397" s="3093"/>
      <c r="T397" s="3093"/>
      <c r="U397" s="3093"/>
      <c r="V397" s="3093"/>
      <c r="W397" s="3093"/>
      <c r="X397" s="3093"/>
      <c r="Y397" s="3093"/>
      <c r="Z397" s="3093"/>
      <c r="AA397" s="3093"/>
      <c r="AB397" s="3093"/>
      <c r="AC397" s="3083">
        <f t="shared" si="212"/>
        <v>0</v>
      </c>
      <c r="AD397" s="3103"/>
      <c r="AE397" s="3103"/>
      <c r="AF397" s="3103"/>
      <c r="AG397" s="3103"/>
      <c r="AH397" s="3103"/>
      <c r="AI397" s="3103"/>
      <c r="AJ397" s="3103"/>
      <c r="AK397" s="3103"/>
      <c r="AL397" s="3103"/>
      <c r="AM397" s="3103"/>
      <c r="AN397" s="3103"/>
      <c r="AO397" s="3103"/>
      <c r="AP397" s="3103"/>
      <c r="AQ397" s="3103"/>
      <c r="AR397" s="3103"/>
      <c r="AS397" s="3103"/>
      <c r="AT397" s="3103"/>
      <c r="AU397" s="3138"/>
      <c r="AV397" s="1580">
        <f t="shared" si="236"/>
        <v>0</v>
      </c>
      <c r="AW397" s="1580">
        <f t="shared" si="237"/>
        <v>0</v>
      </c>
      <c r="AX397" s="1580">
        <f t="shared" si="238"/>
        <v>0</v>
      </c>
      <c r="AY397" s="3128">
        <f t="shared" si="213"/>
        <v>0</v>
      </c>
      <c r="AZ397" s="3083">
        <f t="shared" si="214"/>
        <v>0</v>
      </c>
      <c r="BA397" s="3083">
        <f t="shared" si="215"/>
        <v>0</v>
      </c>
      <c r="BB397" s="3083">
        <f t="shared" si="216"/>
        <v>0</v>
      </c>
      <c r="BC397" s="3083">
        <f t="shared" si="217"/>
        <v>0</v>
      </c>
      <c r="BD397" s="3083">
        <f t="shared" si="218"/>
        <v>0</v>
      </c>
      <c r="BE397" s="3083">
        <f t="shared" si="219"/>
        <v>0</v>
      </c>
      <c r="BF397" s="3083">
        <f t="shared" si="220"/>
        <v>0</v>
      </c>
      <c r="BG397" s="3083">
        <f t="shared" si="221"/>
        <v>0</v>
      </c>
      <c r="BH397" s="3083">
        <f t="shared" si="222"/>
        <v>0</v>
      </c>
      <c r="BI397" s="3083">
        <f t="shared" si="223"/>
        <v>0</v>
      </c>
      <c r="BJ397" s="3083">
        <f t="shared" si="224"/>
        <v>0</v>
      </c>
      <c r="BK397" s="3083">
        <f t="shared" si="225"/>
        <v>0</v>
      </c>
      <c r="BL397" s="3083">
        <f t="shared" si="226"/>
        <v>0</v>
      </c>
      <c r="BM397" s="3083">
        <f t="shared" si="227"/>
        <v>0</v>
      </c>
      <c r="BN397" s="3083">
        <f t="shared" si="228"/>
        <v>0</v>
      </c>
      <c r="BO397" s="3083">
        <f t="shared" si="229"/>
        <v>0</v>
      </c>
      <c r="BP397" s="3083">
        <f t="shared" si="230"/>
        <v>0</v>
      </c>
      <c r="BQ397" s="3083">
        <f t="shared" si="231"/>
        <v>0</v>
      </c>
      <c r="BR397" s="3083">
        <f t="shared" si="232"/>
        <v>0</v>
      </c>
      <c r="BS397" s="3083">
        <f t="shared" si="233"/>
        <v>0</v>
      </c>
      <c r="BT397" s="3135">
        <f t="shared" si="234"/>
        <v>0</v>
      </c>
    </row>
    <row r="398" spans="1:72">
      <c r="A398" s="3080"/>
      <c r="B398" s="3081"/>
      <c r="C398" s="3081"/>
      <c r="D398" s="3082"/>
      <c r="E398" s="3083">
        <f t="shared" ref="E398:E492" si="239">IF($C$3="是",ROUND($A$3*G398/$B$3,2),ROUND($A$3*(G398-AT398)/$B$3,2))</f>
        <v>0</v>
      </c>
      <c r="F398" s="3084"/>
      <c r="G398" s="3085">
        <f t="shared" ref="G398:G489" si="240">H398+AC398+AT398</f>
        <v>0</v>
      </c>
      <c r="H398" s="3086">
        <f t="shared" ref="H398:H489" si="241">SUMIF(I$12:AB$12,"总值",I398:AB398)</f>
        <v>0</v>
      </c>
      <c r="I398" s="3093"/>
      <c r="J398" s="3093"/>
      <c r="K398" s="3093"/>
      <c r="L398" s="3093"/>
      <c r="M398" s="3093"/>
      <c r="N398" s="3093"/>
      <c r="O398" s="3093"/>
      <c r="P398" s="3093"/>
      <c r="Q398" s="3093"/>
      <c r="R398" s="3093"/>
      <c r="S398" s="3093"/>
      <c r="T398" s="3093"/>
      <c r="U398" s="3093"/>
      <c r="V398" s="3093"/>
      <c r="W398" s="3093"/>
      <c r="X398" s="3093"/>
      <c r="Y398" s="3093"/>
      <c r="Z398" s="3093"/>
      <c r="AA398" s="3093"/>
      <c r="AB398" s="3093"/>
      <c r="AC398" s="3083">
        <f t="shared" ref="AC398:AC489" si="242">SUMIF(AD$12:AS$12,"总值",AD398:AS398)</f>
        <v>0</v>
      </c>
      <c r="AD398" s="3103"/>
      <c r="AE398" s="3103"/>
      <c r="AF398" s="3103"/>
      <c r="AG398" s="3103"/>
      <c r="AH398" s="3103"/>
      <c r="AI398" s="3103"/>
      <c r="AJ398" s="3103"/>
      <c r="AK398" s="3103"/>
      <c r="AL398" s="3103"/>
      <c r="AM398" s="3103"/>
      <c r="AN398" s="3103"/>
      <c r="AO398" s="3103"/>
      <c r="AP398" s="3103"/>
      <c r="AQ398" s="3103"/>
      <c r="AR398" s="3103"/>
      <c r="AS398" s="3103"/>
      <c r="AT398" s="3113"/>
      <c r="AU398" s="3114"/>
      <c r="AV398" s="1580">
        <f t="shared" ref="AV398:AV492" si="243">A398</f>
        <v>0</v>
      </c>
      <c r="AW398" s="1580">
        <f t="shared" ref="AW398:AW492" si="244">B398</f>
        <v>0</v>
      </c>
      <c r="AX398" s="1580">
        <f t="shared" ref="AX398:AX492" si="245">C398</f>
        <v>0</v>
      </c>
      <c r="AY398" s="3128">
        <f t="shared" ref="AY398:AY489" si="246">ROUND($AY$6*AZ398/$AZ$5,2)</f>
        <v>0</v>
      </c>
      <c r="AZ398" s="3083">
        <f t="shared" ref="AZ398:AZ489" si="247">BA398+BL398</f>
        <v>0</v>
      </c>
      <c r="BA398" s="3083">
        <f t="shared" ref="BA398:BA489" si="248">SUM(BB398:BK398)</f>
        <v>0</v>
      </c>
      <c r="BB398" s="3083">
        <f t="shared" ref="BB398:BB489" si="249">IF($D398="是",I398-J398,0)</f>
        <v>0</v>
      </c>
      <c r="BC398" s="3083">
        <f t="shared" ref="BC398:BC489" si="250">IF($D398="是",K398-L398,0)</f>
        <v>0</v>
      </c>
      <c r="BD398" s="3083">
        <f t="shared" ref="BD398:BD489" si="251">IF($D398="是",M398-N398,0)</f>
        <v>0</v>
      </c>
      <c r="BE398" s="3083">
        <f t="shared" ref="BE398:BE489" si="252">IF($D398="是",O398-P398,0)</f>
        <v>0</v>
      </c>
      <c r="BF398" s="3083">
        <f t="shared" ref="BF398:BF489" si="253">IF($D398="是",Q398-R398,0)</f>
        <v>0</v>
      </c>
      <c r="BG398" s="3083">
        <f t="shared" ref="BG398:BG489" si="254">IF($D398="是",S398-T398,0)</f>
        <v>0</v>
      </c>
      <c r="BH398" s="3083">
        <f t="shared" ref="BH398:BH489" si="255">IF($D398="是",U398-V398,0)</f>
        <v>0</v>
      </c>
      <c r="BI398" s="3083">
        <f t="shared" ref="BI398:BI489" si="256">IF($D398="是",W398-X398,0)</f>
        <v>0</v>
      </c>
      <c r="BJ398" s="3083">
        <f t="shared" ref="BJ398:BJ489" si="257">IF($D398="是",Y398-Z398,0)</f>
        <v>0</v>
      </c>
      <c r="BK398" s="3083">
        <f t="shared" ref="BK398:BK489" si="258">IF($D398="是",AA398-AB398,0)</f>
        <v>0</v>
      </c>
      <c r="BL398" s="3083">
        <f t="shared" ref="BL398:BL489" si="259">SUM(BM398:BT398)</f>
        <v>0</v>
      </c>
      <c r="BM398" s="3083">
        <f t="shared" ref="BM398:BM489" si="260">IF($D398="是",AD398-AE398,0)</f>
        <v>0</v>
      </c>
      <c r="BN398" s="3083">
        <f t="shared" ref="BN398:BN489" si="261">IF($D398="是",AF398-AG398,0)</f>
        <v>0</v>
      </c>
      <c r="BO398" s="3083">
        <f t="shared" ref="BO398:BO489" si="262">IF($D398="是",AH398-AI398,0)</f>
        <v>0</v>
      </c>
      <c r="BP398" s="3083">
        <f t="shared" ref="BP398:BP489" si="263">IF($D398="是",AJ398-AK398,0)</f>
        <v>0</v>
      </c>
      <c r="BQ398" s="3083">
        <f t="shared" ref="BQ398:BQ489" si="264">IF($D398="是",AL398-AM398,0)</f>
        <v>0</v>
      </c>
      <c r="BR398" s="3083">
        <f t="shared" ref="BR398:BR489" si="265">IF($D398="是",AN398-AO398,0)</f>
        <v>0</v>
      </c>
      <c r="BS398" s="3083">
        <f t="shared" ref="BS398:BS489" si="266">IF($D398="是",AP398-AQ398,0)</f>
        <v>0</v>
      </c>
      <c r="BT398" s="3135">
        <f t="shared" ref="BT398:BT489" si="267">IF($D398="是",AR398-AS398,0)</f>
        <v>0</v>
      </c>
    </row>
    <row r="399" spans="1:72">
      <c r="A399" s="3080"/>
      <c r="B399" s="3081"/>
      <c r="C399" s="3081"/>
      <c r="D399" s="3082"/>
      <c r="E399" s="3083">
        <f t="shared" si="239"/>
        <v>0</v>
      </c>
      <c r="F399" s="3084"/>
      <c r="G399" s="3085">
        <f t="shared" si="240"/>
        <v>0</v>
      </c>
      <c r="H399" s="3086">
        <f t="shared" si="241"/>
        <v>0</v>
      </c>
      <c r="I399" s="3093"/>
      <c r="J399" s="3093"/>
      <c r="K399" s="3093"/>
      <c r="L399" s="3093"/>
      <c r="M399" s="3093"/>
      <c r="N399" s="3093"/>
      <c r="O399" s="3093"/>
      <c r="P399" s="3093"/>
      <c r="Q399" s="3093"/>
      <c r="R399" s="3093"/>
      <c r="S399" s="3093"/>
      <c r="T399" s="3093"/>
      <c r="U399" s="3093"/>
      <c r="V399" s="3093"/>
      <c r="W399" s="3093"/>
      <c r="X399" s="3093"/>
      <c r="Y399" s="3093"/>
      <c r="Z399" s="3093"/>
      <c r="AA399" s="3093"/>
      <c r="AB399" s="3093"/>
      <c r="AC399" s="3083">
        <f t="shared" si="242"/>
        <v>0</v>
      </c>
      <c r="AD399" s="3103"/>
      <c r="AE399" s="3103"/>
      <c r="AF399" s="3103"/>
      <c r="AG399" s="3103"/>
      <c r="AH399" s="3103"/>
      <c r="AI399" s="3103"/>
      <c r="AJ399" s="3103"/>
      <c r="AK399" s="3103"/>
      <c r="AL399" s="3103"/>
      <c r="AM399" s="3103"/>
      <c r="AN399" s="3103"/>
      <c r="AO399" s="3103"/>
      <c r="AP399" s="3103"/>
      <c r="AQ399" s="3103"/>
      <c r="AR399" s="3103"/>
      <c r="AS399" s="3103"/>
      <c r="AT399" s="3113"/>
      <c r="AU399" s="3114"/>
      <c r="AV399" s="1580">
        <f t="shared" si="243"/>
        <v>0</v>
      </c>
      <c r="AW399" s="1580">
        <f t="shared" si="244"/>
        <v>0</v>
      </c>
      <c r="AX399" s="1580">
        <f t="shared" si="245"/>
        <v>0</v>
      </c>
      <c r="AY399" s="3128">
        <f t="shared" si="246"/>
        <v>0</v>
      </c>
      <c r="AZ399" s="3083">
        <f t="shared" si="247"/>
        <v>0</v>
      </c>
      <c r="BA399" s="3083">
        <f t="shared" si="248"/>
        <v>0</v>
      </c>
      <c r="BB399" s="3083">
        <f t="shared" si="249"/>
        <v>0</v>
      </c>
      <c r="BC399" s="3083">
        <f t="shared" si="250"/>
        <v>0</v>
      </c>
      <c r="BD399" s="3083">
        <f t="shared" si="251"/>
        <v>0</v>
      </c>
      <c r="BE399" s="3083">
        <f t="shared" si="252"/>
        <v>0</v>
      </c>
      <c r="BF399" s="3083">
        <f t="shared" si="253"/>
        <v>0</v>
      </c>
      <c r="BG399" s="3083">
        <f t="shared" si="254"/>
        <v>0</v>
      </c>
      <c r="BH399" s="3083">
        <f t="shared" si="255"/>
        <v>0</v>
      </c>
      <c r="BI399" s="3083">
        <f t="shared" si="256"/>
        <v>0</v>
      </c>
      <c r="BJ399" s="3083">
        <f t="shared" si="257"/>
        <v>0</v>
      </c>
      <c r="BK399" s="3083">
        <f t="shared" si="258"/>
        <v>0</v>
      </c>
      <c r="BL399" s="3083">
        <f t="shared" si="259"/>
        <v>0</v>
      </c>
      <c r="BM399" s="3083">
        <f t="shared" si="260"/>
        <v>0</v>
      </c>
      <c r="BN399" s="3083">
        <f t="shared" si="261"/>
        <v>0</v>
      </c>
      <c r="BO399" s="3083">
        <f t="shared" si="262"/>
        <v>0</v>
      </c>
      <c r="BP399" s="3083">
        <f t="shared" si="263"/>
        <v>0</v>
      </c>
      <c r="BQ399" s="3083">
        <f t="shared" si="264"/>
        <v>0</v>
      </c>
      <c r="BR399" s="3083">
        <f t="shared" si="265"/>
        <v>0</v>
      </c>
      <c r="BS399" s="3083">
        <f t="shared" si="266"/>
        <v>0</v>
      </c>
      <c r="BT399" s="3135">
        <f t="shared" si="267"/>
        <v>0</v>
      </c>
    </row>
    <row r="400" spans="1:72">
      <c r="A400" s="3080"/>
      <c r="B400" s="3081"/>
      <c r="C400" s="3081"/>
      <c r="D400" s="3082"/>
      <c r="E400" s="3083">
        <f t="shared" si="239"/>
        <v>0</v>
      </c>
      <c r="F400" s="3084"/>
      <c r="G400" s="3085">
        <f t="shared" si="240"/>
        <v>0</v>
      </c>
      <c r="H400" s="3086">
        <f t="shared" si="241"/>
        <v>0</v>
      </c>
      <c r="I400" s="3093"/>
      <c r="J400" s="3093"/>
      <c r="K400" s="3093"/>
      <c r="L400" s="3093"/>
      <c r="M400" s="3093"/>
      <c r="N400" s="3093"/>
      <c r="O400" s="3093"/>
      <c r="P400" s="3093"/>
      <c r="Q400" s="3093"/>
      <c r="R400" s="3093"/>
      <c r="S400" s="3093"/>
      <c r="T400" s="3093"/>
      <c r="U400" s="3093"/>
      <c r="V400" s="3093"/>
      <c r="W400" s="3093"/>
      <c r="X400" s="3093"/>
      <c r="Y400" s="3093"/>
      <c r="Z400" s="3093"/>
      <c r="AA400" s="3093"/>
      <c r="AB400" s="3093"/>
      <c r="AC400" s="3083">
        <f t="shared" si="242"/>
        <v>0</v>
      </c>
      <c r="AD400" s="3103"/>
      <c r="AE400" s="3103"/>
      <c r="AF400" s="3103"/>
      <c r="AG400" s="3103"/>
      <c r="AH400" s="3103"/>
      <c r="AI400" s="3103"/>
      <c r="AJ400" s="3103"/>
      <c r="AK400" s="3103"/>
      <c r="AL400" s="3103"/>
      <c r="AM400" s="3103"/>
      <c r="AN400" s="3103"/>
      <c r="AO400" s="3103"/>
      <c r="AP400" s="3103"/>
      <c r="AQ400" s="3103"/>
      <c r="AR400" s="3103"/>
      <c r="AS400" s="3103"/>
      <c r="AT400" s="3113"/>
      <c r="AU400" s="3114"/>
      <c r="AV400" s="1580">
        <f t="shared" si="243"/>
        <v>0</v>
      </c>
      <c r="AW400" s="1580">
        <f t="shared" si="244"/>
        <v>0</v>
      </c>
      <c r="AX400" s="1580">
        <f t="shared" si="245"/>
        <v>0</v>
      </c>
      <c r="AY400" s="3128">
        <f t="shared" si="246"/>
        <v>0</v>
      </c>
      <c r="AZ400" s="3083">
        <f t="shared" si="247"/>
        <v>0</v>
      </c>
      <c r="BA400" s="3083">
        <f t="shared" si="248"/>
        <v>0</v>
      </c>
      <c r="BB400" s="3083">
        <f t="shared" si="249"/>
        <v>0</v>
      </c>
      <c r="BC400" s="3083">
        <f t="shared" si="250"/>
        <v>0</v>
      </c>
      <c r="BD400" s="3083">
        <f t="shared" si="251"/>
        <v>0</v>
      </c>
      <c r="BE400" s="3083">
        <f t="shared" si="252"/>
        <v>0</v>
      </c>
      <c r="BF400" s="3083">
        <f t="shared" si="253"/>
        <v>0</v>
      </c>
      <c r="BG400" s="3083">
        <f t="shared" si="254"/>
        <v>0</v>
      </c>
      <c r="BH400" s="3083">
        <f t="shared" si="255"/>
        <v>0</v>
      </c>
      <c r="BI400" s="3083">
        <f t="shared" si="256"/>
        <v>0</v>
      </c>
      <c r="BJ400" s="3083">
        <f t="shared" si="257"/>
        <v>0</v>
      </c>
      <c r="BK400" s="3083">
        <f t="shared" si="258"/>
        <v>0</v>
      </c>
      <c r="BL400" s="3083">
        <f t="shared" si="259"/>
        <v>0</v>
      </c>
      <c r="BM400" s="3083">
        <f t="shared" si="260"/>
        <v>0</v>
      </c>
      <c r="BN400" s="3083">
        <f t="shared" si="261"/>
        <v>0</v>
      </c>
      <c r="BO400" s="3083">
        <f t="shared" si="262"/>
        <v>0</v>
      </c>
      <c r="BP400" s="3083">
        <f t="shared" si="263"/>
        <v>0</v>
      </c>
      <c r="BQ400" s="3083">
        <f t="shared" si="264"/>
        <v>0</v>
      </c>
      <c r="BR400" s="3083">
        <f t="shared" si="265"/>
        <v>0</v>
      </c>
      <c r="BS400" s="3083">
        <f t="shared" si="266"/>
        <v>0</v>
      </c>
      <c r="BT400" s="3135">
        <f t="shared" si="267"/>
        <v>0</v>
      </c>
    </row>
    <row r="401" spans="1:72">
      <c r="A401" s="3080"/>
      <c r="B401" s="3081"/>
      <c r="C401" s="3081"/>
      <c r="D401" s="3082"/>
      <c r="E401" s="3083">
        <f t="shared" si="239"/>
        <v>0</v>
      </c>
      <c r="F401" s="3084"/>
      <c r="G401" s="3085">
        <f t="shared" si="240"/>
        <v>0</v>
      </c>
      <c r="H401" s="3086">
        <f t="shared" si="241"/>
        <v>0</v>
      </c>
      <c r="I401" s="3093"/>
      <c r="J401" s="3093"/>
      <c r="K401" s="3093"/>
      <c r="L401" s="3093"/>
      <c r="M401" s="3093"/>
      <c r="N401" s="3093"/>
      <c r="O401" s="3093"/>
      <c r="P401" s="3093"/>
      <c r="Q401" s="3093"/>
      <c r="R401" s="3093"/>
      <c r="S401" s="3093"/>
      <c r="T401" s="3093"/>
      <c r="U401" s="3093"/>
      <c r="V401" s="3093"/>
      <c r="W401" s="3093"/>
      <c r="X401" s="3093"/>
      <c r="Y401" s="3093"/>
      <c r="Z401" s="3093"/>
      <c r="AA401" s="3093"/>
      <c r="AB401" s="3093"/>
      <c r="AC401" s="3083">
        <f t="shared" si="242"/>
        <v>0</v>
      </c>
      <c r="AD401" s="3103"/>
      <c r="AE401" s="3103"/>
      <c r="AF401" s="3103"/>
      <c r="AG401" s="3103"/>
      <c r="AH401" s="3103"/>
      <c r="AI401" s="3103"/>
      <c r="AJ401" s="3103"/>
      <c r="AK401" s="3103"/>
      <c r="AL401" s="3103"/>
      <c r="AM401" s="3103"/>
      <c r="AN401" s="3103"/>
      <c r="AO401" s="3103"/>
      <c r="AP401" s="3103"/>
      <c r="AQ401" s="3103"/>
      <c r="AR401" s="3103"/>
      <c r="AS401" s="3103"/>
      <c r="AT401" s="3113"/>
      <c r="AU401" s="3114"/>
      <c r="AV401" s="1580">
        <f t="shared" si="243"/>
        <v>0</v>
      </c>
      <c r="AW401" s="1580">
        <f t="shared" si="244"/>
        <v>0</v>
      </c>
      <c r="AX401" s="1580">
        <f t="shared" si="245"/>
        <v>0</v>
      </c>
      <c r="AY401" s="3128">
        <f t="shared" si="246"/>
        <v>0</v>
      </c>
      <c r="AZ401" s="3083">
        <f t="shared" si="247"/>
        <v>0</v>
      </c>
      <c r="BA401" s="3083">
        <f t="shared" si="248"/>
        <v>0</v>
      </c>
      <c r="BB401" s="3083">
        <f t="shared" si="249"/>
        <v>0</v>
      </c>
      <c r="BC401" s="3083">
        <f t="shared" si="250"/>
        <v>0</v>
      </c>
      <c r="BD401" s="3083">
        <f t="shared" si="251"/>
        <v>0</v>
      </c>
      <c r="BE401" s="3083">
        <f t="shared" si="252"/>
        <v>0</v>
      </c>
      <c r="BF401" s="3083">
        <f t="shared" si="253"/>
        <v>0</v>
      </c>
      <c r="BG401" s="3083">
        <f t="shared" si="254"/>
        <v>0</v>
      </c>
      <c r="BH401" s="3083">
        <f t="shared" si="255"/>
        <v>0</v>
      </c>
      <c r="BI401" s="3083">
        <f t="shared" si="256"/>
        <v>0</v>
      </c>
      <c r="BJ401" s="3083">
        <f t="shared" si="257"/>
        <v>0</v>
      </c>
      <c r="BK401" s="3083">
        <f t="shared" si="258"/>
        <v>0</v>
      </c>
      <c r="BL401" s="3083">
        <f t="shared" si="259"/>
        <v>0</v>
      </c>
      <c r="BM401" s="3083">
        <f t="shared" si="260"/>
        <v>0</v>
      </c>
      <c r="BN401" s="3083">
        <f t="shared" si="261"/>
        <v>0</v>
      </c>
      <c r="BO401" s="3083">
        <f t="shared" si="262"/>
        <v>0</v>
      </c>
      <c r="BP401" s="3083">
        <f t="shared" si="263"/>
        <v>0</v>
      </c>
      <c r="BQ401" s="3083">
        <f t="shared" si="264"/>
        <v>0</v>
      </c>
      <c r="BR401" s="3083">
        <f t="shared" si="265"/>
        <v>0</v>
      </c>
      <c r="BS401" s="3083">
        <f t="shared" si="266"/>
        <v>0</v>
      </c>
      <c r="BT401" s="3135">
        <f t="shared" si="267"/>
        <v>0</v>
      </c>
    </row>
    <row r="402" spans="1:72">
      <c r="A402" s="3080"/>
      <c r="B402" s="3081"/>
      <c r="C402" s="3081"/>
      <c r="D402" s="3082"/>
      <c r="E402" s="3083">
        <f t="shared" si="239"/>
        <v>0</v>
      </c>
      <c r="F402" s="3084"/>
      <c r="G402" s="3085">
        <f t="shared" si="240"/>
        <v>0</v>
      </c>
      <c r="H402" s="3086">
        <f t="shared" si="241"/>
        <v>0</v>
      </c>
      <c r="I402" s="3093"/>
      <c r="J402" s="3093"/>
      <c r="K402" s="3093"/>
      <c r="L402" s="3093"/>
      <c r="M402" s="3093"/>
      <c r="N402" s="3093"/>
      <c r="O402" s="3093"/>
      <c r="P402" s="3093"/>
      <c r="Q402" s="3093"/>
      <c r="R402" s="3093"/>
      <c r="S402" s="3093"/>
      <c r="T402" s="3093"/>
      <c r="U402" s="3093"/>
      <c r="V402" s="3093"/>
      <c r="W402" s="3093"/>
      <c r="X402" s="3093"/>
      <c r="Y402" s="3093"/>
      <c r="Z402" s="3093"/>
      <c r="AA402" s="3093"/>
      <c r="AB402" s="3093"/>
      <c r="AC402" s="3083">
        <f t="shared" si="242"/>
        <v>0</v>
      </c>
      <c r="AD402" s="3103"/>
      <c r="AE402" s="3103"/>
      <c r="AF402" s="3103"/>
      <c r="AG402" s="3103"/>
      <c r="AH402" s="3103"/>
      <c r="AI402" s="3103"/>
      <c r="AJ402" s="3103"/>
      <c r="AK402" s="3103"/>
      <c r="AL402" s="3103"/>
      <c r="AM402" s="3103"/>
      <c r="AN402" s="3103"/>
      <c r="AO402" s="3103"/>
      <c r="AP402" s="3103"/>
      <c r="AQ402" s="3103"/>
      <c r="AR402" s="3103"/>
      <c r="AS402" s="3103"/>
      <c r="AT402" s="3113"/>
      <c r="AU402" s="3114"/>
      <c r="AV402" s="1580">
        <f t="shared" si="243"/>
        <v>0</v>
      </c>
      <c r="AW402" s="1580">
        <f t="shared" si="244"/>
        <v>0</v>
      </c>
      <c r="AX402" s="1580">
        <f t="shared" si="245"/>
        <v>0</v>
      </c>
      <c r="AY402" s="3128">
        <f t="shared" si="246"/>
        <v>0</v>
      </c>
      <c r="AZ402" s="3083">
        <f t="shared" si="247"/>
        <v>0</v>
      </c>
      <c r="BA402" s="3083">
        <f t="shared" si="248"/>
        <v>0</v>
      </c>
      <c r="BB402" s="3083">
        <f t="shared" si="249"/>
        <v>0</v>
      </c>
      <c r="BC402" s="3083">
        <f t="shared" si="250"/>
        <v>0</v>
      </c>
      <c r="BD402" s="3083">
        <f t="shared" si="251"/>
        <v>0</v>
      </c>
      <c r="BE402" s="3083">
        <f t="shared" si="252"/>
        <v>0</v>
      </c>
      <c r="BF402" s="3083">
        <f t="shared" si="253"/>
        <v>0</v>
      </c>
      <c r="BG402" s="3083">
        <f t="shared" si="254"/>
        <v>0</v>
      </c>
      <c r="BH402" s="3083">
        <f t="shared" si="255"/>
        <v>0</v>
      </c>
      <c r="BI402" s="3083">
        <f t="shared" si="256"/>
        <v>0</v>
      </c>
      <c r="BJ402" s="3083">
        <f t="shared" si="257"/>
        <v>0</v>
      </c>
      <c r="BK402" s="3083">
        <f t="shared" si="258"/>
        <v>0</v>
      </c>
      <c r="BL402" s="3083">
        <f t="shared" si="259"/>
        <v>0</v>
      </c>
      <c r="BM402" s="3083">
        <f t="shared" si="260"/>
        <v>0</v>
      </c>
      <c r="BN402" s="3083">
        <f t="shared" si="261"/>
        <v>0</v>
      </c>
      <c r="BO402" s="3083">
        <f t="shared" si="262"/>
        <v>0</v>
      </c>
      <c r="BP402" s="3083">
        <f t="shared" si="263"/>
        <v>0</v>
      </c>
      <c r="BQ402" s="3083">
        <f t="shared" si="264"/>
        <v>0</v>
      </c>
      <c r="BR402" s="3083">
        <f t="shared" si="265"/>
        <v>0</v>
      </c>
      <c r="BS402" s="3083">
        <f t="shared" si="266"/>
        <v>0</v>
      </c>
      <c r="BT402" s="3135">
        <f t="shared" si="267"/>
        <v>0</v>
      </c>
    </row>
    <row r="403" spans="1:72">
      <c r="A403" s="3080"/>
      <c r="B403" s="3081"/>
      <c r="C403" s="3081"/>
      <c r="D403" s="3082"/>
      <c r="E403" s="3083">
        <f t="shared" si="239"/>
        <v>0</v>
      </c>
      <c r="F403" s="3084"/>
      <c r="G403" s="3085">
        <f t="shared" si="240"/>
        <v>0</v>
      </c>
      <c r="H403" s="3086">
        <f t="shared" si="241"/>
        <v>0</v>
      </c>
      <c r="I403" s="3093"/>
      <c r="J403" s="3093"/>
      <c r="K403" s="3093"/>
      <c r="L403" s="3093"/>
      <c r="M403" s="3093"/>
      <c r="N403" s="3093"/>
      <c r="O403" s="3093"/>
      <c r="P403" s="3093"/>
      <c r="Q403" s="3093"/>
      <c r="R403" s="3093"/>
      <c r="S403" s="3093"/>
      <c r="T403" s="3093"/>
      <c r="U403" s="3093"/>
      <c r="V403" s="3093"/>
      <c r="W403" s="3093"/>
      <c r="X403" s="3093"/>
      <c r="Y403" s="3093"/>
      <c r="Z403" s="3093"/>
      <c r="AA403" s="3093"/>
      <c r="AB403" s="3093"/>
      <c r="AC403" s="3083">
        <f t="shared" si="242"/>
        <v>0</v>
      </c>
      <c r="AD403" s="3103"/>
      <c r="AE403" s="3103"/>
      <c r="AF403" s="3103"/>
      <c r="AG403" s="3103"/>
      <c r="AH403" s="3103"/>
      <c r="AI403" s="3103"/>
      <c r="AJ403" s="3103"/>
      <c r="AK403" s="3103"/>
      <c r="AL403" s="3103"/>
      <c r="AM403" s="3103"/>
      <c r="AN403" s="3103"/>
      <c r="AO403" s="3103"/>
      <c r="AP403" s="3103"/>
      <c r="AQ403" s="3103"/>
      <c r="AR403" s="3103"/>
      <c r="AS403" s="3103"/>
      <c r="AT403" s="3113"/>
      <c r="AU403" s="3114"/>
      <c r="AV403" s="1580">
        <f t="shared" si="243"/>
        <v>0</v>
      </c>
      <c r="AW403" s="1580">
        <f t="shared" si="244"/>
        <v>0</v>
      </c>
      <c r="AX403" s="1580">
        <f t="shared" si="245"/>
        <v>0</v>
      </c>
      <c r="AY403" s="3128">
        <f t="shared" si="246"/>
        <v>0</v>
      </c>
      <c r="AZ403" s="3083">
        <f t="shared" si="247"/>
        <v>0</v>
      </c>
      <c r="BA403" s="3083">
        <f t="shared" si="248"/>
        <v>0</v>
      </c>
      <c r="BB403" s="3083">
        <f t="shared" si="249"/>
        <v>0</v>
      </c>
      <c r="BC403" s="3083">
        <f t="shared" si="250"/>
        <v>0</v>
      </c>
      <c r="BD403" s="3083">
        <f t="shared" si="251"/>
        <v>0</v>
      </c>
      <c r="BE403" s="3083">
        <f t="shared" si="252"/>
        <v>0</v>
      </c>
      <c r="BF403" s="3083">
        <f t="shared" si="253"/>
        <v>0</v>
      </c>
      <c r="BG403" s="3083">
        <f t="shared" si="254"/>
        <v>0</v>
      </c>
      <c r="BH403" s="3083">
        <f t="shared" si="255"/>
        <v>0</v>
      </c>
      <c r="BI403" s="3083">
        <f t="shared" si="256"/>
        <v>0</v>
      </c>
      <c r="BJ403" s="3083">
        <f t="shared" si="257"/>
        <v>0</v>
      </c>
      <c r="BK403" s="3083">
        <f t="shared" si="258"/>
        <v>0</v>
      </c>
      <c r="BL403" s="3083">
        <f t="shared" si="259"/>
        <v>0</v>
      </c>
      <c r="BM403" s="3083">
        <f t="shared" si="260"/>
        <v>0</v>
      </c>
      <c r="BN403" s="3083">
        <f t="shared" si="261"/>
        <v>0</v>
      </c>
      <c r="BO403" s="3083">
        <f t="shared" si="262"/>
        <v>0</v>
      </c>
      <c r="BP403" s="3083">
        <f t="shared" si="263"/>
        <v>0</v>
      </c>
      <c r="BQ403" s="3083">
        <f t="shared" si="264"/>
        <v>0</v>
      </c>
      <c r="BR403" s="3083">
        <f t="shared" si="265"/>
        <v>0</v>
      </c>
      <c r="BS403" s="3083">
        <f t="shared" si="266"/>
        <v>0</v>
      </c>
      <c r="BT403" s="3135">
        <f t="shared" si="267"/>
        <v>0</v>
      </c>
    </row>
    <row r="404" spans="1:72">
      <c r="A404" s="3080"/>
      <c r="B404" s="3081"/>
      <c r="C404" s="3081"/>
      <c r="D404" s="3082"/>
      <c r="E404" s="3083">
        <f t="shared" si="239"/>
        <v>0</v>
      </c>
      <c r="F404" s="3084"/>
      <c r="G404" s="3085">
        <f t="shared" si="240"/>
        <v>0</v>
      </c>
      <c r="H404" s="3086">
        <f t="shared" si="241"/>
        <v>0</v>
      </c>
      <c r="I404" s="3093"/>
      <c r="J404" s="3093"/>
      <c r="K404" s="3093"/>
      <c r="L404" s="3093"/>
      <c r="M404" s="3093"/>
      <c r="N404" s="3093"/>
      <c r="O404" s="3093"/>
      <c r="P404" s="3093"/>
      <c r="Q404" s="3093"/>
      <c r="R404" s="3093"/>
      <c r="S404" s="3093"/>
      <c r="T404" s="3093"/>
      <c r="U404" s="3093"/>
      <c r="V404" s="3093"/>
      <c r="W404" s="3093"/>
      <c r="X404" s="3093"/>
      <c r="Y404" s="3093"/>
      <c r="Z404" s="3093"/>
      <c r="AA404" s="3093"/>
      <c r="AB404" s="3093"/>
      <c r="AC404" s="3083">
        <f t="shared" si="242"/>
        <v>0</v>
      </c>
      <c r="AD404" s="3103"/>
      <c r="AE404" s="3103"/>
      <c r="AF404" s="3103"/>
      <c r="AG404" s="3103"/>
      <c r="AH404" s="3103"/>
      <c r="AI404" s="3103"/>
      <c r="AJ404" s="3103"/>
      <c r="AK404" s="3103"/>
      <c r="AL404" s="3103"/>
      <c r="AM404" s="3103"/>
      <c r="AN404" s="3103"/>
      <c r="AO404" s="3103"/>
      <c r="AP404" s="3103"/>
      <c r="AQ404" s="3103"/>
      <c r="AR404" s="3103"/>
      <c r="AS404" s="3103"/>
      <c r="AT404" s="3113"/>
      <c r="AU404" s="3114"/>
      <c r="AV404" s="1580">
        <f t="shared" si="243"/>
        <v>0</v>
      </c>
      <c r="AW404" s="1580">
        <f t="shared" si="244"/>
        <v>0</v>
      </c>
      <c r="AX404" s="1580">
        <f t="shared" si="245"/>
        <v>0</v>
      </c>
      <c r="AY404" s="3128">
        <f t="shared" si="246"/>
        <v>0</v>
      </c>
      <c r="AZ404" s="3083">
        <f t="shared" si="247"/>
        <v>0</v>
      </c>
      <c r="BA404" s="3083">
        <f t="shared" si="248"/>
        <v>0</v>
      </c>
      <c r="BB404" s="3083">
        <f t="shared" si="249"/>
        <v>0</v>
      </c>
      <c r="BC404" s="3083">
        <f t="shared" si="250"/>
        <v>0</v>
      </c>
      <c r="BD404" s="3083">
        <f t="shared" si="251"/>
        <v>0</v>
      </c>
      <c r="BE404" s="3083">
        <f t="shared" si="252"/>
        <v>0</v>
      </c>
      <c r="BF404" s="3083">
        <f t="shared" si="253"/>
        <v>0</v>
      </c>
      <c r="BG404" s="3083">
        <f t="shared" si="254"/>
        <v>0</v>
      </c>
      <c r="BH404" s="3083">
        <f t="shared" si="255"/>
        <v>0</v>
      </c>
      <c r="BI404" s="3083">
        <f t="shared" si="256"/>
        <v>0</v>
      </c>
      <c r="BJ404" s="3083">
        <f t="shared" si="257"/>
        <v>0</v>
      </c>
      <c r="BK404" s="3083">
        <f t="shared" si="258"/>
        <v>0</v>
      </c>
      <c r="BL404" s="3083">
        <f t="shared" si="259"/>
        <v>0</v>
      </c>
      <c r="BM404" s="3083">
        <f t="shared" si="260"/>
        <v>0</v>
      </c>
      <c r="BN404" s="3083">
        <f t="shared" si="261"/>
        <v>0</v>
      </c>
      <c r="BO404" s="3083">
        <f t="shared" si="262"/>
        <v>0</v>
      </c>
      <c r="BP404" s="3083">
        <f t="shared" si="263"/>
        <v>0</v>
      </c>
      <c r="BQ404" s="3083">
        <f t="shared" si="264"/>
        <v>0</v>
      </c>
      <c r="BR404" s="3083">
        <f t="shared" si="265"/>
        <v>0</v>
      </c>
      <c r="BS404" s="3083">
        <f t="shared" si="266"/>
        <v>0</v>
      </c>
      <c r="BT404" s="3135">
        <f t="shared" si="267"/>
        <v>0</v>
      </c>
    </row>
    <row r="405" spans="1:72">
      <c r="A405" s="3080"/>
      <c r="B405" s="3081"/>
      <c r="C405" s="3081"/>
      <c r="D405" s="3082"/>
      <c r="E405" s="3083">
        <f t="shared" si="239"/>
        <v>0</v>
      </c>
      <c r="F405" s="3084"/>
      <c r="G405" s="3085">
        <f t="shared" si="240"/>
        <v>0</v>
      </c>
      <c r="H405" s="3086">
        <f t="shared" si="241"/>
        <v>0</v>
      </c>
      <c r="I405" s="3093"/>
      <c r="J405" s="3093"/>
      <c r="K405" s="3093"/>
      <c r="L405" s="3093"/>
      <c r="M405" s="3093"/>
      <c r="N405" s="3093"/>
      <c r="O405" s="3093"/>
      <c r="P405" s="3093"/>
      <c r="Q405" s="3093"/>
      <c r="R405" s="3093"/>
      <c r="S405" s="3093"/>
      <c r="T405" s="3093"/>
      <c r="U405" s="3093"/>
      <c r="V405" s="3093"/>
      <c r="W405" s="3093"/>
      <c r="X405" s="3093"/>
      <c r="Y405" s="3093"/>
      <c r="Z405" s="3093"/>
      <c r="AA405" s="3093"/>
      <c r="AB405" s="3093"/>
      <c r="AC405" s="3083">
        <f t="shared" si="242"/>
        <v>0</v>
      </c>
      <c r="AD405" s="3103"/>
      <c r="AE405" s="3103"/>
      <c r="AF405" s="3103"/>
      <c r="AG405" s="3103"/>
      <c r="AH405" s="3103"/>
      <c r="AI405" s="3103"/>
      <c r="AJ405" s="3103"/>
      <c r="AK405" s="3103"/>
      <c r="AL405" s="3103"/>
      <c r="AM405" s="3103"/>
      <c r="AN405" s="3103"/>
      <c r="AO405" s="3103"/>
      <c r="AP405" s="3103"/>
      <c r="AQ405" s="3103"/>
      <c r="AR405" s="3103"/>
      <c r="AS405" s="3103"/>
      <c r="AT405" s="3113"/>
      <c r="AU405" s="3114"/>
      <c r="AV405" s="1580">
        <f t="shared" si="243"/>
        <v>0</v>
      </c>
      <c r="AW405" s="1580">
        <f t="shared" si="244"/>
        <v>0</v>
      </c>
      <c r="AX405" s="1580">
        <f t="shared" si="245"/>
        <v>0</v>
      </c>
      <c r="AY405" s="3128">
        <f t="shared" si="246"/>
        <v>0</v>
      </c>
      <c r="AZ405" s="3083">
        <f t="shared" si="247"/>
        <v>0</v>
      </c>
      <c r="BA405" s="3083">
        <f t="shared" si="248"/>
        <v>0</v>
      </c>
      <c r="BB405" s="3083">
        <f t="shared" si="249"/>
        <v>0</v>
      </c>
      <c r="BC405" s="3083">
        <f t="shared" si="250"/>
        <v>0</v>
      </c>
      <c r="BD405" s="3083">
        <f t="shared" si="251"/>
        <v>0</v>
      </c>
      <c r="BE405" s="3083">
        <f t="shared" si="252"/>
        <v>0</v>
      </c>
      <c r="BF405" s="3083">
        <f t="shared" si="253"/>
        <v>0</v>
      </c>
      <c r="BG405" s="3083">
        <f t="shared" si="254"/>
        <v>0</v>
      </c>
      <c r="BH405" s="3083">
        <f t="shared" si="255"/>
        <v>0</v>
      </c>
      <c r="BI405" s="3083">
        <f t="shared" si="256"/>
        <v>0</v>
      </c>
      <c r="BJ405" s="3083">
        <f t="shared" si="257"/>
        <v>0</v>
      </c>
      <c r="BK405" s="3083">
        <f t="shared" si="258"/>
        <v>0</v>
      </c>
      <c r="BL405" s="3083">
        <f t="shared" si="259"/>
        <v>0</v>
      </c>
      <c r="BM405" s="3083">
        <f t="shared" si="260"/>
        <v>0</v>
      </c>
      <c r="BN405" s="3083">
        <f t="shared" si="261"/>
        <v>0</v>
      </c>
      <c r="BO405" s="3083">
        <f t="shared" si="262"/>
        <v>0</v>
      </c>
      <c r="BP405" s="3083">
        <f t="shared" si="263"/>
        <v>0</v>
      </c>
      <c r="BQ405" s="3083">
        <f t="shared" si="264"/>
        <v>0</v>
      </c>
      <c r="BR405" s="3083">
        <f t="shared" si="265"/>
        <v>0</v>
      </c>
      <c r="BS405" s="3083">
        <f t="shared" si="266"/>
        <v>0</v>
      </c>
      <c r="BT405" s="3135">
        <f t="shared" si="267"/>
        <v>0</v>
      </c>
    </row>
    <row r="406" spans="1:72">
      <c r="A406" s="3080"/>
      <c r="B406" s="3081"/>
      <c r="C406" s="3081"/>
      <c r="D406" s="3082"/>
      <c r="E406" s="3083">
        <f t="shared" si="239"/>
        <v>0</v>
      </c>
      <c r="F406" s="3084"/>
      <c r="G406" s="3085">
        <f t="shared" si="240"/>
        <v>0</v>
      </c>
      <c r="H406" s="3086">
        <f t="shared" si="241"/>
        <v>0</v>
      </c>
      <c r="I406" s="3093"/>
      <c r="J406" s="3093"/>
      <c r="K406" s="3093"/>
      <c r="L406" s="3093"/>
      <c r="M406" s="3093"/>
      <c r="N406" s="3093"/>
      <c r="O406" s="3093"/>
      <c r="P406" s="3093"/>
      <c r="Q406" s="3093"/>
      <c r="R406" s="3093"/>
      <c r="S406" s="3093"/>
      <c r="T406" s="3093"/>
      <c r="U406" s="3093"/>
      <c r="V406" s="3093"/>
      <c r="W406" s="3093"/>
      <c r="X406" s="3093"/>
      <c r="Y406" s="3093"/>
      <c r="Z406" s="3093"/>
      <c r="AA406" s="3093"/>
      <c r="AB406" s="3093"/>
      <c r="AC406" s="3083">
        <f t="shared" si="242"/>
        <v>0</v>
      </c>
      <c r="AD406" s="3103"/>
      <c r="AE406" s="3103"/>
      <c r="AF406" s="3103"/>
      <c r="AG406" s="3103"/>
      <c r="AH406" s="3103"/>
      <c r="AI406" s="3103"/>
      <c r="AJ406" s="3103"/>
      <c r="AK406" s="3103"/>
      <c r="AL406" s="3103"/>
      <c r="AM406" s="3103"/>
      <c r="AN406" s="3103"/>
      <c r="AO406" s="3103"/>
      <c r="AP406" s="3103"/>
      <c r="AQ406" s="3103"/>
      <c r="AR406" s="3103"/>
      <c r="AS406" s="3103"/>
      <c r="AT406" s="3113"/>
      <c r="AU406" s="3114"/>
      <c r="AV406" s="1580">
        <f t="shared" si="243"/>
        <v>0</v>
      </c>
      <c r="AW406" s="1580">
        <f t="shared" si="244"/>
        <v>0</v>
      </c>
      <c r="AX406" s="1580">
        <f t="shared" si="245"/>
        <v>0</v>
      </c>
      <c r="AY406" s="3128">
        <f t="shared" si="246"/>
        <v>0</v>
      </c>
      <c r="AZ406" s="3083">
        <f t="shared" si="247"/>
        <v>0</v>
      </c>
      <c r="BA406" s="3083">
        <f t="shared" si="248"/>
        <v>0</v>
      </c>
      <c r="BB406" s="3083">
        <f t="shared" si="249"/>
        <v>0</v>
      </c>
      <c r="BC406" s="3083">
        <f t="shared" si="250"/>
        <v>0</v>
      </c>
      <c r="BD406" s="3083">
        <f t="shared" si="251"/>
        <v>0</v>
      </c>
      <c r="BE406" s="3083">
        <f t="shared" si="252"/>
        <v>0</v>
      </c>
      <c r="BF406" s="3083">
        <f t="shared" si="253"/>
        <v>0</v>
      </c>
      <c r="BG406" s="3083">
        <f t="shared" si="254"/>
        <v>0</v>
      </c>
      <c r="BH406" s="3083">
        <f t="shared" si="255"/>
        <v>0</v>
      </c>
      <c r="BI406" s="3083">
        <f t="shared" si="256"/>
        <v>0</v>
      </c>
      <c r="BJ406" s="3083">
        <f t="shared" si="257"/>
        <v>0</v>
      </c>
      <c r="BK406" s="3083">
        <f t="shared" si="258"/>
        <v>0</v>
      </c>
      <c r="BL406" s="3083">
        <f t="shared" si="259"/>
        <v>0</v>
      </c>
      <c r="BM406" s="3083">
        <f t="shared" si="260"/>
        <v>0</v>
      </c>
      <c r="BN406" s="3083">
        <f t="shared" si="261"/>
        <v>0</v>
      </c>
      <c r="BO406" s="3083">
        <f t="shared" si="262"/>
        <v>0</v>
      </c>
      <c r="BP406" s="3083">
        <f t="shared" si="263"/>
        <v>0</v>
      </c>
      <c r="BQ406" s="3083">
        <f t="shared" si="264"/>
        <v>0</v>
      </c>
      <c r="BR406" s="3083">
        <f t="shared" si="265"/>
        <v>0</v>
      </c>
      <c r="BS406" s="3083">
        <f t="shared" si="266"/>
        <v>0</v>
      </c>
      <c r="BT406" s="3135">
        <f t="shared" si="267"/>
        <v>0</v>
      </c>
    </row>
    <row r="407" spans="1:72">
      <c r="A407" s="3080"/>
      <c r="B407" s="3081"/>
      <c r="C407" s="3081"/>
      <c r="D407" s="3082"/>
      <c r="E407" s="3083">
        <f t="shared" si="239"/>
        <v>0</v>
      </c>
      <c r="F407" s="3084"/>
      <c r="G407" s="3085">
        <f t="shared" si="240"/>
        <v>0</v>
      </c>
      <c r="H407" s="3086">
        <f t="shared" si="241"/>
        <v>0</v>
      </c>
      <c r="I407" s="3093"/>
      <c r="J407" s="3093"/>
      <c r="K407" s="3093"/>
      <c r="L407" s="3093"/>
      <c r="M407" s="3093"/>
      <c r="N407" s="3093"/>
      <c r="O407" s="3093"/>
      <c r="P407" s="3093"/>
      <c r="Q407" s="3093"/>
      <c r="R407" s="3093"/>
      <c r="S407" s="3093"/>
      <c r="T407" s="3093"/>
      <c r="U407" s="3093"/>
      <c r="V407" s="3093"/>
      <c r="W407" s="3093"/>
      <c r="X407" s="3093"/>
      <c r="Y407" s="3093"/>
      <c r="Z407" s="3093"/>
      <c r="AA407" s="3093"/>
      <c r="AB407" s="3093"/>
      <c r="AC407" s="3083">
        <f t="shared" si="242"/>
        <v>0</v>
      </c>
      <c r="AD407" s="3103"/>
      <c r="AE407" s="3103"/>
      <c r="AF407" s="3103"/>
      <c r="AG407" s="3103"/>
      <c r="AH407" s="3103"/>
      <c r="AI407" s="3103"/>
      <c r="AJ407" s="3103"/>
      <c r="AK407" s="3103"/>
      <c r="AL407" s="3103"/>
      <c r="AM407" s="3103"/>
      <c r="AN407" s="3103"/>
      <c r="AO407" s="3103"/>
      <c r="AP407" s="3103"/>
      <c r="AQ407" s="3103"/>
      <c r="AR407" s="3103"/>
      <c r="AS407" s="3103"/>
      <c r="AT407" s="3113"/>
      <c r="AU407" s="3114"/>
      <c r="AV407" s="1580">
        <f t="shared" si="243"/>
        <v>0</v>
      </c>
      <c r="AW407" s="1580">
        <f t="shared" si="244"/>
        <v>0</v>
      </c>
      <c r="AX407" s="1580">
        <f t="shared" si="245"/>
        <v>0</v>
      </c>
      <c r="AY407" s="3128">
        <f t="shared" si="246"/>
        <v>0</v>
      </c>
      <c r="AZ407" s="3083">
        <f t="shared" si="247"/>
        <v>0</v>
      </c>
      <c r="BA407" s="3083">
        <f t="shared" si="248"/>
        <v>0</v>
      </c>
      <c r="BB407" s="3083">
        <f t="shared" si="249"/>
        <v>0</v>
      </c>
      <c r="BC407" s="3083">
        <f t="shared" si="250"/>
        <v>0</v>
      </c>
      <c r="BD407" s="3083">
        <f t="shared" si="251"/>
        <v>0</v>
      </c>
      <c r="BE407" s="3083">
        <f t="shared" si="252"/>
        <v>0</v>
      </c>
      <c r="BF407" s="3083">
        <f t="shared" si="253"/>
        <v>0</v>
      </c>
      <c r="BG407" s="3083">
        <f t="shared" si="254"/>
        <v>0</v>
      </c>
      <c r="BH407" s="3083">
        <f t="shared" si="255"/>
        <v>0</v>
      </c>
      <c r="BI407" s="3083">
        <f t="shared" si="256"/>
        <v>0</v>
      </c>
      <c r="BJ407" s="3083">
        <f t="shared" si="257"/>
        <v>0</v>
      </c>
      <c r="BK407" s="3083">
        <f t="shared" si="258"/>
        <v>0</v>
      </c>
      <c r="BL407" s="3083">
        <f t="shared" si="259"/>
        <v>0</v>
      </c>
      <c r="BM407" s="3083">
        <f t="shared" si="260"/>
        <v>0</v>
      </c>
      <c r="BN407" s="3083">
        <f t="shared" si="261"/>
        <v>0</v>
      </c>
      <c r="BO407" s="3083">
        <f t="shared" si="262"/>
        <v>0</v>
      </c>
      <c r="BP407" s="3083">
        <f t="shared" si="263"/>
        <v>0</v>
      </c>
      <c r="BQ407" s="3083">
        <f t="shared" si="264"/>
        <v>0</v>
      </c>
      <c r="BR407" s="3083">
        <f t="shared" si="265"/>
        <v>0</v>
      </c>
      <c r="BS407" s="3083">
        <f t="shared" si="266"/>
        <v>0</v>
      </c>
      <c r="BT407" s="3135">
        <f t="shared" si="267"/>
        <v>0</v>
      </c>
    </row>
    <row r="408" spans="1:72">
      <c r="A408" s="3080"/>
      <c r="B408" s="3081"/>
      <c r="C408" s="3081"/>
      <c r="D408" s="3082"/>
      <c r="E408" s="3083">
        <f t="shared" si="239"/>
        <v>0</v>
      </c>
      <c r="F408" s="3084"/>
      <c r="G408" s="3085">
        <f t="shared" si="240"/>
        <v>0</v>
      </c>
      <c r="H408" s="3086">
        <f t="shared" si="241"/>
        <v>0</v>
      </c>
      <c r="I408" s="3093"/>
      <c r="J408" s="3093"/>
      <c r="K408" s="3093"/>
      <c r="L408" s="3093"/>
      <c r="M408" s="3093"/>
      <c r="N408" s="3093"/>
      <c r="O408" s="3093"/>
      <c r="P408" s="3093"/>
      <c r="Q408" s="3093"/>
      <c r="R408" s="3093"/>
      <c r="S408" s="3093"/>
      <c r="T408" s="3093"/>
      <c r="U408" s="3093"/>
      <c r="V408" s="3093"/>
      <c r="W408" s="3093"/>
      <c r="X408" s="3093"/>
      <c r="Y408" s="3093"/>
      <c r="Z408" s="3093"/>
      <c r="AA408" s="3093"/>
      <c r="AB408" s="3093"/>
      <c r="AC408" s="3083">
        <f t="shared" si="242"/>
        <v>0</v>
      </c>
      <c r="AD408" s="3103"/>
      <c r="AE408" s="3103"/>
      <c r="AF408" s="3103"/>
      <c r="AG408" s="3103"/>
      <c r="AH408" s="3103"/>
      <c r="AI408" s="3103"/>
      <c r="AJ408" s="3103"/>
      <c r="AK408" s="3103"/>
      <c r="AL408" s="3103"/>
      <c r="AM408" s="3103"/>
      <c r="AN408" s="3103"/>
      <c r="AO408" s="3103"/>
      <c r="AP408" s="3103"/>
      <c r="AQ408" s="3103"/>
      <c r="AR408" s="3103"/>
      <c r="AS408" s="3103"/>
      <c r="AT408" s="3113"/>
      <c r="AU408" s="3114"/>
      <c r="AV408" s="1580">
        <f t="shared" si="243"/>
        <v>0</v>
      </c>
      <c r="AW408" s="1580">
        <f t="shared" si="244"/>
        <v>0</v>
      </c>
      <c r="AX408" s="1580">
        <f t="shared" si="245"/>
        <v>0</v>
      </c>
      <c r="AY408" s="3128">
        <f t="shared" si="246"/>
        <v>0</v>
      </c>
      <c r="AZ408" s="3083">
        <f t="shared" si="247"/>
        <v>0</v>
      </c>
      <c r="BA408" s="3083">
        <f t="shared" si="248"/>
        <v>0</v>
      </c>
      <c r="BB408" s="3083">
        <f t="shared" si="249"/>
        <v>0</v>
      </c>
      <c r="BC408" s="3083">
        <f t="shared" si="250"/>
        <v>0</v>
      </c>
      <c r="BD408" s="3083">
        <f t="shared" si="251"/>
        <v>0</v>
      </c>
      <c r="BE408" s="3083">
        <f t="shared" si="252"/>
        <v>0</v>
      </c>
      <c r="BF408" s="3083">
        <f t="shared" si="253"/>
        <v>0</v>
      </c>
      <c r="BG408" s="3083">
        <f t="shared" si="254"/>
        <v>0</v>
      </c>
      <c r="BH408" s="3083">
        <f t="shared" si="255"/>
        <v>0</v>
      </c>
      <c r="BI408" s="3083">
        <f t="shared" si="256"/>
        <v>0</v>
      </c>
      <c r="BJ408" s="3083">
        <f t="shared" si="257"/>
        <v>0</v>
      </c>
      <c r="BK408" s="3083">
        <f t="shared" si="258"/>
        <v>0</v>
      </c>
      <c r="BL408" s="3083">
        <f t="shared" si="259"/>
        <v>0</v>
      </c>
      <c r="BM408" s="3083">
        <f t="shared" si="260"/>
        <v>0</v>
      </c>
      <c r="BN408" s="3083">
        <f t="shared" si="261"/>
        <v>0</v>
      </c>
      <c r="BO408" s="3083">
        <f t="shared" si="262"/>
        <v>0</v>
      </c>
      <c r="BP408" s="3083">
        <f t="shared" si="263"/>
        <v>0</v>
      </c>
      <c r="BQ408" s="3083">
        <f t="shared" si="264"/>
        <v>0</v>
      </c>
      <c r="BR408" s="3083">
        <f t="shared" si="265"/>
        <v>0</v>
      </c>
      <c r="BS408" s="3083">
        <f t="shared" si="266"/>
        <v>0</v>
      </c>
      <c r="BT408" s="3135">
        <f t="shared" si="267"/>
        <v>0</v>
      </c>
    </row>
    <row r="409" spans="1:72">
      <c r="A409" s="3080"/>
      <c r="B409" s="3081"/>
      <c r="C409" s="3081"/>
      <c r="D409" s="3082"/>
      <c r="E409" s="3083">
        <f t="shared" si="239"/>
        <v>0</v>
      </c>
      <c r="F409" s="3084"/>
      <c r="G409" s="3085">
        <f t="shared" si="240"/>
        <v>0</v>
      </c>
      <c r="H409" s="3086">
        <f t="shared" si="241"/>
        <v>0</v>
      </c>
      <c r="I409" s="3093"/>
      <c r="J409" s="3093"/>
      <c r="K409" s="3093"/>
      <c r="L409" s="3093"/>
      <c r="M409" s="3093"/>
      <c r="N409" s="3093"/>
      <c r="O409" s="3093"/>
      <c r="P409" s="3093"/>
      <c r="Q409" s="3093"/>
      <c r="R409" s="3093"/>
      <c r="S409" s="3093"/>
      <c r="T409" s="3093"/>
      <c r="U409" s="3093"/>
      <c r="V409" s="3093"/>
      <c r="W409" s="3093"/>
      <c r="X409" s="3093"/>
      <c r="Y409" s="3093"/>
      <c r="Z409" s="3093"/>
      <c r="AA409" s="3093"/>
      <c r="AB409" s="3093"/>
      <c r="AC409" s="3083">
        <f t="shared" si="242"/>
        <v>0</v>
      </c>
      <c r="AD409" s="3103"/>
      <c r="AE409" s="3103"/>
      <c r="AF409" s="3103"/>
      <c r="AG409" s="3103"/>
      <c r="AH409" s="3103"/>
      <c r="AI409" s="3103"/>
      <c r="AJ409" s="3103"/>
      <c r="AK409" s="3103"/>
      <c r="AL409" s="3103"/>
      <c r="AM409" s="3103"/>
      <c r="AN409" s="3103"/>
      <c r="AO409" s="3103"/>
      <c r="AP409" s="3103"/>
      <c r="AQ409" s="3103"/>
      <c r="AR409" s="3103"/>
      <c r="AS409" s="3103"/>
      <c r="AT409" s="3113"/>
      <c r="AU409" s="3114"/>
      <c r="AV409" s="1580">
        <f t="shared" si="243"/>
        <v>0</v>
      </c>
      <c r="AW409" s="1580">
        <f t="shared" si="244"/>
        <v>0</v>
      </c>
      <c r="AX409" s="1580">
        <f t="shared" si="245"/>
        <v>0</v>
      </c>
      <c r="AY409" s="3128">
        <f t="shared" si="246"/>
        <v>0</v>
      </c>
      <c r="AZ409" s="3083">
        <f t="shared" si="247"/>
        <v>0</v>
      </c>
      <c r="BA409" s="3083">
        <f t="shared" si="248"/>
        <v>0</v>
      </c>
      <c r="BB409" s="3083">
        <f t="shared" si="249"/>
        <v>0</v>
      </c>
      <c r="BC409" s="3083">
        <f t="shared" si="250"/>
        <v>0</v>
      </c>
      <c r="BD409" s="3083">
        <f t="shared" si="251"/>
        <v>0</v>
      </c>
      <c r="BE409" s="3083">
        <f t="shared" si="252"/>
        <v>0</v>
      </c>
      <c r="BF409" s="3083">
        <f t="shared" si="253"/>
        <v>0</v>
      </c>
      <c r="BG409" s="3083">
        <f t="shared" si="254"/>
        <v>0</v>
      </c>
      <c r="BH409" s="3083">
        <f t="shared" si="255"/>
        <v>0</v>
      </c>
      <c r="BI409" s="3083">
        <f t="shared" si="256"/>
        <v>0</v>
      </c>
      <c r="BJ409" s="3083">
        <f t="shared" si="257"/>
        <v>0</v>
      </c>
      <c r="BK409" s="3083">
        <f t="shared" si="258"/>
        <v>0</v>
      </c>
      <c r="BL409" s="3083">
        <f t="shared" si="259"/>
        <v>0</v>
      </c>
      <c r="BM409" s="3083">
        <f t="shared" si="260"/>
        <v>0</v>
      </c>
      <c r="BN409" s="3083">
        <f t="shared" si="261"/>
        <v>0</v>
      </c>
      <c r="BO409" s="3083">
        <f t="shared" si="262"/>
        <v>0</v>
      </c>
      <c r="BP409" s="3083">
        <f t="shared" si="263"/>
        <v>0</v>
      </c>
      <c r="BQ409" s="3083">
        <f t="shared" si="264"/>
        <v>0</v>
      </c>
      <c r="BR409" s="3083">
        <f t="shared" si="265"/>
        <v>0</v>
      </c>
      <c r="BS409" s="3083">
        <f t="shared" si="266"/>
        <v>0</v>
      </c>
      <c r="BT409" s="3135">
        <f t="shared" si="267"/>
        <v>0</v>
      </c>
    </row>
    <row r="410" spans="1:72">
      <c r="A410" s="3080"/>
      <c r="B410" s="3081"/>
      <c r="C410" s="3081"/>
      <c r="D410" s="3082"/>
      <c r="E410" s="3083">
        <f t="shared" si="239"/>
        <v>0</v>
      </c>
      <c r="F410" s="3084"/>
      <c r="G410" s="3085">
        <f t="shared" si="240"/>
        <v>0</v>
      </c>
      <c r="H410" s="3086">
        <f t="shared" si="241"/>
        <v>0</v>
      </c>
      <c r="I410" s="3093"/>
      <c r="J410" s="3093"/>
      <c r="K410" s="3093"/>
      <c r="L410" s="3093"/>
      <c r="M410" s="3093"/>
      <c r="N410" s="3093"/>
      <c r="O410" s="3093"/>
      <c r="P410" s="3093"/>
      <c r="Q410" s="3093"/>
      <c r="R410" s="3093"/>
      <c r="S410" s="3093"/>
      <c r="T410" s="3093"/>
      <c r="U410" s="3093"/>
      <c r="V410" s="3093"/>
      <c r="W410" s="3093"/>
      <c r="X410" s="3093"/>
      <c r="Y410" s="3093"/>
      <c r="Z410" s="3093"/>
      <c r="AA410" s="3093"/>
      <c r="AB410" s="3093"/>
      <c r="AC410" s="3083">
        <f t="shared" si="242"/>
        <v>0</v>
      </c>
      <c r="AD410" s="3103"/>
      <c r="AE410" s="3103"/>
      <c r="AF410" s="3103"/>
      <c r="AG410" s="3103"/>
      <c r="AH410" s="3103"/>
      <c r="AI410" s="3103"/>
      <c r="AJ410" s="3103"/>
      <c r="AK410" s="3103"/>
      <c r="AL410" s="3103"/>
      <c r="AM410" s="3103"/>
      <c r="AN410" s="3103"/>
      <c r="AO410" s="3103"/>
      <c r="AP410" s="3103"/>
      <c r="AQ410" s="3103"/>
      <c r="AR410" s="3103"/>
      <c r="AS410" s="3103"/>
      <c r="AT410" s="3113"/>
      <c r="AU410" s="3114"/>
      <c r="AV410" s="1580">
        <f t="shared" si="243"/>
        <v>0</v>
      </c>
      <c r="AW410" s="1580">
        <f t="shared" si="244"/>
        <v>0</v>
      </c>
      <c r="AX410" s="1580">
        <f t="shared" si="245"/>
        <v>0</v>
      </c>
      <c r="AY410" s="3128">
        <f t="shared" si="246"/>
        <v>0</v>
      </c>
      <c r="AZ410" s="3083">
        <f t="shared" si="247"/>
        <v>0</v>
      </c>
      <c r="BA410" s="3083">
        <f t="shared" si="248"/>
        <v>0</v>
      </c>
      <c r="BB410" s="3083">
        <f t="shared" si="249"/>
        <v>0</v>
      </c>
      <c r="BC410" s="3083">
        <f t="shared" si="250"/>
        <v>0</v>
      </c>
      <c r="BD410" s="3083">
        <f t="shared" si="251"/>
        <v>0</v>
      </c>
      <c r="BE410" s="3083">
        <f t="shared" si="252"/>
        <v>0</v>
      </c>
      <c r="BF410" s="3083">
        <f t="shared" si="253"/>
        <v>0</v>
      </c>
      <c r="BG410" s="3083">
        <f t="shared" si="254"/>
        <v>0</v>
      </c>
      <c r="BH410" s="3083">
        <f t="shared" si="255"/>
        <v>0</v>
      </c>
      <c r="BI410" s="3083">
        <f t="shared" si="256"/>
        <v>0</v>
      </c>
      <c r="BJ410" s="3083">
        <f t="shared" si="257"/>
        <v>0</v>
      </c>
      <c r="BK410" s="3083">
        <f t="shared" si="258"/>
        <v>0</v>
      </c>
      <c r="BL410" s="3083">
        <f t="shared" si="259"/>
        <v>0</v>
      </c>
      <c r="BM410" s="3083">
        <f t="shared" si="260"/>
        <v>0</v>
      </c>
      <c r="BN410" s="3083">
        <f t="shared" si="261"/>
        <v>0</v>
      </c>
      <c r="BO410" s="3083">
        <f t="shared" si="262"/>
        <v>0</v>
      </c>
      <c r="BP410" s="3083">
        <f t="shared" si="263"/>
        <v>0</v>
      </c>
      <c r="BQ410" s="3083">
        <f t="shared" si="264"/>
        <v>0</v>
      </c>
      <c r="BR410" s="3083">
        <f t="shared" si="265"/>
        <v>0</v>
      </c>
      <c r="BS410" s="3083">
        <f t="shared" si="266"/>
        <v>0</v>
      </c>
      <c r="BT410" s="3135">
        <f t="shared" si="267"/>
        <v>0</v>
      </c>
    </row>
    <row r="411" spans="1:72">
      <c r="A411" s="3080"/>
      <c r="B411" s="3081"/>
      <c r="C411" s="3081"/>
      <c r="D411" s="3082"/>
      <c r="E411" s="3083">
        <f t="shared" si="239"/>
        <v>0</v>
      </c>
      <c r="F411" s="3084"/>
      <c r="G411" s="3085">
        <f t="shared" si="240"/>
        <v>0</v>
      </c>
      <c r="H411" s="3086">
        <f t="shared" si="241"/>
        <v>0</v>
      </c>
      <c r="I411" s="3093"/>
      <c r="J411" s="3093"/>
      <c r="K411" s="3093"/>
      <c r="L411" s="3093"/>
      <c r="M411" s="3093"/>
      <c r="N411" s="3093"/>
      <c r="O411" s="3093"/>
      <c r="P411" s="3093"/>
      <c r="Q411" s="3093"/>
      <c r="R411" s="3093"/>
      <c r="S411" s="3093"/>
      <c r="T411" s="3093"/>
      <c r="U411" s="3093"/>
      <c r="V411" s="3093"/>
      <c r="W411" s="3093"/>
      <c r="X411" s="3093"/>
      <c r="Y411" s="3093"/>
      <c r="Z411" s="3093"/>
      <c r="AA411" s="3093"/>
      <c r="AB411" s="3093"/>
      <c r="AC411" s="3083">
        <f t="shared" si="242"/>
        <v>0</v>
      </c>
      <c r="AD411" s="3103"/>
      <c r="AE411" s="3103"/>
      <c r="AF411" s="3103"/>
      <c r="AG411" s="3103"/>
      <c r="AH411" s="3103"/>
      <c r="AI411" s="3103"/>
      <c r="AJ411" s="3103"/>
      <c r="AK411" s="3103"/>
      <c r="AL411" s="3103"/>
      <c r="AM411" s="3103"/>
      <c r="AN411" s="3103"/>
      <c r="AO411" s="3103"/>
      <c r="AP411" s="3103"/>
      <c r="AQ411" s="3103"/>
      <c r="AR411" s="3103"/>
      <c r="AS411" s="3103"/>
      <c r="AT411" s="3113"/>
      <c r="AU411" s="3114"/>
      <c r="AV411" s="1580">
        <f t="shared" si="243"/>
        <v>0</v>
      </c>
      <c r="AW411" s="1580">
        <f t="shared" si="244"/>
        <v>0</v>
      </c>
      <c r="AX411" s="1580">
        <f t="shared" si="245"/>
        <v>0</v>
      </c>
      <c r="AY411" s="3128">
        <f t="shared" si="246"/>
        <v>0</v>
      </c>
      <c r="AZ411" s="3083">
        <f t="shared" si="247"/>
        <v>0</v>
      </c>
      <c r="BA411" s="3083">
        <f t="shared" si="248"/>
        <v>0</v>
      </c>
      <c r="BB411" s="3083">
        <f t="shared" si="249"/>
        <v>0</v>
      </c>
      <c r="BC411" s="3083">
        <f t="shared" si="250"/>
        <v>0</v>
      </c>
      <c r="BD411" s="3083">
        <f t="shared" si="251"/>
        <v>0</v>
      </c>
      <c r="BE411" s="3083">
        <f t="shared" si="252"/>
        <v>0</v>
      </c>
      <c r="BF411" s="3083">
        <f t="shared" si="253"/>
        <v>0</v>
      </c>
      <c r="BG411" s="3083">
        <f t="shared" si="254"/>
        <v>0</v>
      </c>
      <c r="BH411" s="3083">
        <f t="shared" si="255"/>
        <v>0</v>
      </c>
      <c r="BI411" s="3083">
        <f t="shared" si="256"/>
        <v>0</v>
      </c>
      <c r="BJ411" s="3083">
        <f t="shared" si="257"/>
        <v>0</v>
      </c>
      <c r="BK411" s="3083">
        <f t="shared" si="258"/>
        <v>0</v>
      </c>
      <c r="BL411" s="3083">
        <f t="shared" si="259"/>
        <v>0</v>
      </c>
      <c r="BM411" s="3083">
        <f t="shared" si="260"/>
        <v>0</v>
      </c>
      <c r="BN411" s="3083">
        <f t="shared" si="261"/>
        <v>0</v>
      </c>
      <c r="BO411" s="3083">
        <f t="shared" si="262"/>
        <v>0</v>
      </c>
      <c r="BP411" s="3083">
        <f t="shared" si="263"/>
        <v>0</v>
      </c>
      <c r="BQ411" s="3083">
        <f t="shared" si="264"/>
        <v>0</v>
      </c>
      <c r="BR411" s="3083">
        <f t="shared" si="265"/>
        <v>0</v>
      </c>
      <c r="BS411" s="3083">
        <f t="shared" si="266"/>
        <v>0</v>
      </c>
      <c r="BT411" s="3135">
        <f t="shared" si="267"/>
        <v>0</v>
      </c>
    </row>
    <row r="412" spans="1:72">
      <c r="A412" s="3080"/>
      <c r="B412" s="3081"/>
      <c r="C412" s="3081"/>
      <c r="D412" s="3082"/>
      <c r="E412" s="3083">
        <f t="shared" si="239"/>
        <v>0</v>
      </c>
      <c r="F412" s="3084"/>
      <c r="G412" s="3085">
        <f t="shared" si="240"/>
        <v>0</v>
      </c>
      <c r="H412" s="3086">
        <f t="shared" si="241"/>
        <v>0</v>
      </c>
      <c r="I412" s="3093"/>
      <c r="J412" s="3093"/>
      <c r="K412" s="3093"/>
      <c r="L412" s="3093"/>
      <c r="M412" s="3093"/>
      <c r="N412" s="3093"/>
      <c r="O412" s="3093"/>
      <c r="P412" s="3093"/>
      <c r="Q412" s="3093"/>
      <c r="R412" s="3093"/>
      <c r="S412" s="3093"/>
      <c r="T412" s="3093"/>
      <c r="U412" s="3093"/>
      <c r="V412" s="3093"/>
      <c r="W412" s="3093"/>
      <c r="X412" s="3093"/>
      <c r="Y412" s="3093"/>
      <c r="Z412" s="3093"/>
      <c r="AA412" s="3093"/>
      <c r="AB412" s="3093"/>
      <c r="AC412" s="3083">
        <f t="shared" si="242"/>
        <v>0</v>
      </c>
      <c r="AD412" s="3103"/>
      <c r="AE412" s="3103"/>
      <c r="AF412" s="3103"/>
      <c r="AG412" s="3103"/>
      <c r="AH412" s="3103"/>
      <c r="AI412" s="3103"/>
      <c r="AJ412" s="3103"/>
      <c r="AK412" s="3103"/>
      <c r="AL412" s="3103"/>
      <c r="AM412" s="3103"/>
      <c r="AN412" s="3103"/>
      <c r="AO412" s="3103"/>
      <c r="AP412" s="3103"/>
      <c r="AQ412" s="3103"/>
      <c r="AR412" s="3103"/>
      <c r="AS412" s="3103"/>
      <c r="AT412" s="3113"/>
      <c r="AU412" s="3114"/>
      <c r="AV412" s="1580">
        <f t="shared" si="243"/>
        <v>0</v>
      </c>
      <c r="AW412" s="1580">
        <f t="shared" si="244"/>
        <v>0</v>
      </c>
      <c r="AX412" s="1580">
        <f t="shared" si="245"/>
        <v>0</v>
      </c>
      <c r="AY412" s="3128">
        <f t="shared" si="246"/>
        <v>0</v>
      </c>
      <c r="AZ412" s="3083">
        <f t="shared" si="247"/>
        <v>0</v>
      </c>
      <c r="BA412" s="3083">
        <f t="shared" si="248"/>
        <v>0</v>
      </c>
      <c r="BB412" s="3083">
        <f t="shared" si="249"/>
        <v>0</v>
      </c>
      <c r="BC412" s="3083">
        <f t="shared" si="250"/>
        <v>0</v>
      </c>
      <c r="BD412" s="3083">
        <f t="shared" si="251"/>
        <v>0</v>
      </c>
      <c r="BE412" s="3083">
        <f t="shared" si="252"/>
        <v>0</v>
      </c>
      <c r="BF412" s="3083">
        <f t="shared" si="253"/>
        <v>0</v>
      </c>
      <c r="BG412" s="3083">
        <f t="shared" si="254"/>
        <v>0</v>
      </c>
      <c r="BH412" s="3083">
        <f t="shared" si="255"/>
        <v>0</v>
      </c>
      <c r="BI412" s="3083">
        <f t="shared" si="256"/>
        <v>0</v>
      </c>
      <c r="BJ412" s="3083">
        <f t="shared" si="257"/>
        <v>0</v>
      </c>
      <c r="BK412" s="3083">
        <f t="shared" si="258"/>
        <v>0</v>
      </c>
      <c r="BL412" s="3083">
        <f t="shared" si="259"/>
        <v>0</v>
      </c>
      <c r="BM412" s="3083">
        <f t="shared" si="260"/>
        <v>0</v>
      </c>
      <c r="BN412" s="3083">
        <f t="shared" si="261"/>
        <v>0</v>
      </c>
      <c r="BO412" s="3083">
        <f t="shared" si="262"/>
        <v>0</v>
      </c>
      <c r="BP412" s="3083">
        <f t="shared" si="263"/>
        <v>0</v>
      </c>
      <c r="BQ412" s="3083">
        <f t="shared" si="264"/>
        <v>0</v>
      </c>
      <c r="BR412" s="3083">
        <f t="shared" si="265"/>
        <v>0</v>
      </c>
      <c r="BS412" s="3083">
        <f t="shared" si="266"/>
        <v>0</v>
      </c>
      <c r="BT412" s="3135">
        <f t="shared" si="267"/>
        <v>0</v>
      </c>
    </row>
    <row r="413" spans="1:72">
      <c r="A413" s="3080"/>
      <c r="B413" s="3081"/>
      <c r="C413" s="3081"/>
      <c r="D413" s="3082"/>
      <c r="E413" s="3083">
        <f t="shared" si="239"/>
        <v>0</v>
      </c>
      <c r="F413" s="3084"/>
      <c r="G413" s="3085">
        <f t="shared" si="240"/>
        <v>0</v>
      </c>
      <c r="H413" s="3086">
        <f t="shared" si="241"/>
        <v>0</v>
      </c>
      <c r="I413" s="3093"/>
      <c r="J413" s="3093"/>
      <c r="K413" s="3093"/>
      <c r="L413" s="3093"/>
      <c r="M413" s="3093"/>
      <c r="N413" s="3093"/>
      <c r="O413" s="3093"/>
      <c r="P413" s="3093"/>
      <c r="Q413" s="3093"/>
      <c r="R413" s="3093"/>
      <c r="S413" s="3093"/>
      <c r="T413" s="3093"/>
      <c r="U413" s="3093"/>
      <c r="V413" s="3093"/>
      <c r="W413" s="3093"/>
      <c r="X413" s="3093"/>
      <c r="Y413" s="3093"/>
      <c r="Z413" s="3093"/>
      <c r="AA413" s="3093"/>
      <c r="AB413" s="3093"/>
      <c r="AC413" s="3083">
        <f t="shared" si="242"/>
        <v>0</v>
      </c>
      <c r="AD413" s="3103"/>
      <c r="AE413" s="3103"/>
      <c r="AF413" s="3103"/>
      <c r="AG413" s="3103"/>
      <c r="AH413" s="3103"/>
      <c r="AI413" s="3103"/>
      <c r="AJ413" s="3103"/>
      <c r="AK413" s="3103"/>
      <c r="AL413" s="3103"/>
      <c r="AM413" s="3103"/>
      <c r="AN413" s="3103"/>
      <c r="AO413" s="3103"/>
      <c r="AP413" s="3103"/>
      <c r="AQ413" s="3103"/>
      <c r="AR413" s="3103"/>
      <c r="AS413" s="3103"/>
      <c r="AT413" s="3113"/>
      <c r="AU413" s="3114"/>
      <c r="AV413" s="1580">
        <f t="shared" si="243"/>
        <v>0</v>
      </c>
      <c r="AW413" s="1580">
        <f t="shared" si="244"/>
        <v>0</v>
      </c>
      <c r="AX413" s="1580">
        <f t="shared" si="245"/>
        <v>0</v>
      </c>
      <c r="AY413" s="3128">
        <f t="shared" si="246"/>
        <v>0</v>
      </c>
      <c r="AZ413" s="3083">
        <f t="shared" si="247"/>
        <v>0</v>
      </c>
      <c r="BA413" s="3083">
        <f t="shared" si="248"/>
        <v>0</v>
      </c>
      <c r="BB413" s="3083">
        <f t="shared" si="249"/>
        <v>0</v>
      </c>
      <c r="BC413" s="3083">
        <f t="shared" si="250"/>
        <v>0</v>
      </c>
      <c r="BD413" s="3083">
        <f t="shared" si="251"/>
        <v>0</v>
      </c>
      <c r="BE413" s="3083">
        <f t="shared" si="252"/>
        <v>0</v>
      </c>
      <c r="BF413" s="3083">
        <f t="shared" si="253"/>
        <v>0</v>
      </c>
      <c r="BG413" s="3083">
        <f t="shared" si="254"/>
        <v>0</v>
      </c>
      <c r="BH413" s="3083">
        <f t="shared" si="255"/>
        <v>0</v>
      </c>
      <c r="BI413" s="3083">
        <f t="shared" si="256"/>
        <v>0</v>
      </c>
      <c r="BJ413" s="3083">
        <f t="shared" si="257"/>
        <v>0</v>
      </c>
      <c r="BK413" s="3083">
        <f t="shared" si="258"/>
        <v>0</v>
      </c>
      <c r="BL413" s="3083">
        <f t="shared" si="259"/>
        <v>0</v>
      </c>
      <c r="BM413" s="3083">
        <f t="shared" si="260"/>
        <v>0</v>
      </c>
      <c r="BN413" s="3083">
        <f t="shared" si="261"/>
        <v>0</v>
      </c>
      <c r="BO413" s="3083">
        <f t="shared" si="262"/>
        <v>0</v>
      </c>
      <c r="BP413" s="3083">
        <f t="shared" si="263"/>
        <v>0</v>
      </c>
      <c r="BQ413" s="3083">
        <f t="shared" si="264"/>
        <v>0</v>
      </c>
      <c r="BR413" s="3083">
        <f t="shared" si="265"/>
        <v>0</v>
      </c>
      <c r="BS413" s="3083">
        <f t="shared" si="266"/>
        <v>0</v>
      </c>
      <c r="BT413" s="3135">
        <f t="shared" si="267"/>
        <v>0</v>
      </c>
    </row>
    <row r="414" spans="1:72">
      <c r="A414" s="3080"/>
      <c r="B414" s="3081"/>
      <c r="C414" s="3081"/>
      <c r="D414" s="3082"/>
      <c r="E414" s="3083">
        <f t="shared" si="239"/>
        <v>0</v>
      </c>
      <c r="F414" s="3084"/>
      <c r="G414" s="3085">
        <f t="shared" si="240"/>
        <v>0</v>
      </c>
      <c r="H414" s="3086">
        <f t="shared" si="241"/>
        <v>0</v>
      </c>
      <c r="I414" s="3093"/>
      <c r="J414" s="3093"/>
      <c r="K414" s="3093"/>
      <c r="L414" s="3093"/>
      <c r="M414" s="3093"/>
      <c r="N414" s="3093"/>
      <c r="O414" s="3093"/>
      <c r="P414" s="3093"/>
      <c r="Q414" s="3093"/>
      <c r="R414" s="3093"/>
      <c r="S414" s="3093"/>
      <c r="T414" s="3093"/>
      <c r="U414" s="3093"/>
      <c r="V414" s="3093"/>
      <c r="W414" s="3093"/>
      <c r="X414" s="3093"/>
      <c r="Y414" s="3093"/>
      <c r="Z414" s="3093"/>
      <c r="AA414" s="3093"/>
      <c r="AB414" s="3093"/>
      <c r="AC414" s="3083">
        <f t="shared" si="242"/>
        <v>0</v>
      </c>
      <c r="AD414" s="3103"/>
      <c r="AE414" s="3103"/>
      <c r="AF414" s="3103"/>
      <c r="AG414" s="3103"/>
      <c r="AH414" s="3103"/>
      <c r="AI414" s="3103"/>
      <c r="AJ414" s="3103"/>
      <c r="AK414" s="3103"/>
      <c r="AL414" s="3103"/>
      <c r="AM414" s="3103"/>
      <c r="AN414" s="3103"/>
      <c r="AO414" s="3103"/>
      <c r="AP414" s="3103"/>
      <c r="AQ414" s="3103"/>
      <c r="AR414" s="3103"/>
      <c r="AS414" s="3103"/>
      <c r="AT414" s="3113"/>
      <c r="AU414" s="3114"/>
      <c r="AV414" s="1580">
        <f t="shared" si="243"/>
        <v>0</v>
      </c>
      <c r="AW414" s="1580">
        <f t="shared" si="244"/>
        <v>0</v>
      </c>
      <c r="AX414" s="1580">
        <f t="shared" si="245"/>
        <v>0</v>
      </c>
      <c r="AY414" s="3128">
        <f t="shared" si="246"/>
        <v>0</v>
      </c>
      <c r="AZ414" s="3083">
        <f t="shared" si="247"/>
        <v>0</v>
      </c>
      <c r="BA414" s="3083">
        <f t="shared" si="248"/>
        <v>0</v>
      </c>
      <c r="BB414" s="3083">
        <f t="shared" si="249"/>
        <v>0</v>
      </c>
      <c r="BC414" s="3083">
        <f t="shared" si="250"/>
        <v>0</v>
      </c>
      <c r="BD414" s="3083">
        <f t="shared" si="251"/>
        <v>0</v>
      </c>
      <c r="BE414" s="3083">
        <f t="shared" si="252"/>
        <v>0</v>
      </c>
      <c r="BF414" s="3083">
        <f t="shared" si="253"/>
        <v>0</v>
      </c>
      <c r="BG414" s="3083">
        <f t="shared" si="254"/>
        <v>0</v>
      </c>
      <c r="BH414" s="3083">
        <f t="shared" si="255"/>
        <v>0</v>
      </c>
      <c r="BI414" s="3083">
        <f t="shared" si="256"/>
        <v>0</v>
      </c>
      <c r="BJ414" s="3083">
        <f t="shared" si="257"/>
        <v>0</v>
      </c>
      <c r="BK414" s="3083">
        <f t="shared" si="258"/>
        <v>0</v>
      </c>
      <c r="BL414" s="3083">
        <f t="shared" si="259"/>
        <v>0</v>
      </c>
      <c r="BM414" s="3083">
        <f t="shared" si="260"/>
        <v>0</v>
      </c>
      <c r="BN414" s="3083">
        <f t="shared" si="261"/>
        <v>0</v>
      </c>
      <c r="BO414" s="3083">
        <f t="shared" si="262"/>
        <v>0</v>
      </c>
      <c r="BP414" s="3083">
        <f t="shared" si="263"/>
        <v>0</v>
      </c>
      <c r="BQ414" s="3083">
        <f t="shared" si="264"/>
        <v>0</v>
      </c>
      <c r="BR414" s="3083">
        <f t="shared" si="265"/>
        <v>0</v>
      </c>
      <c r="BS414" s="3083">
        <f t="shared" si="266"/>
        <v>0</v>
      </c>
      <c r="BT414" s="3135">
        <f t="shared" si="267"/>
        <v>0</v>
      </c>
    </row>
    <row r="415" spans="1:72">
      <c r="A415" s="3080"/>
      <c r="B415" s="3081"/>
      <c r="C415" s="3081"/>
      <c r="D415" s="3082"/>
      <c r="E415" s="3083">
        <f t="shared" si="239"/>
        <v>0</v>
      </c>
      <c r="F415" s="3084"/>
      <c r="G415" s="3085">
        <f t="shared" si="240"/>
        <v>0</v>
      </c>
      <c r="H415" s="3086">
        <f t="shared" si="241"/>
        <v>0</v>
      </c>
      <c r="I415" s="3093"/>
      <c r="J415" s="3093"/>
      <c r="K415" s="3093"/>
      <c r="L415" s="3093"/>
      <c r="M415" s="3093"/>
      <c r="N415" s="3093"/>
      <c r="O415" s="3093"/>
      <c r="P415" s="3093"/>
      <c r="Q415" s="3093"/>
      <c r="R415" s="3093"/>
      <c r="S415" s="3093"/>
      <c r="T415" s="3093"/>
      <c r="U415" s="3093"/>
      <c r="V415" s="3093"/>
      <c r="W415" s="3093"/>
      <c r="X415" s="3093"/>
      <c r="Y415" s="3093"/>
      <c r="Z415" s="3093"/>
      <c r="AA415" s="3093"/>
      <c r="AB415" s="3093"/>
      <c r="AC415" s="3083">
        <f t="shared" si="242"/>
        <v>0</v>
      </c>
      <c r="AD415" s="3103"/>
      <c r="AE415" s="3103"/>
      <c r="AF415" s="3103"/>
      <c r="AG415" s="3103"/>
      <c r="AH415" s="3103"/>
      <c r="AI415" s="3103"/>
      <c r="AJ415" s="3103"/>
      <c r="AK415" s="3103"/>
      <c r="AL415" s="3103"/>
      <c r="AM415" s="3103"/>
      <c r="AN415" s="3103"/>
      <c r="AO415" s="3103"/>
      <c r="AP415" s="3103"/>
      <c r="AQ415" s="3103"/>
      <c r="AR415" s="3103"/>
      <c r="AS415" s="3103"/>
      <c r="AT415" s="3113"/>
      <c r="AU415" s="3114"/>
      <c r="AV415" s="1580">
        <f t="shared" si="243"/>
        <v>0</v>
      </c>
      <c r="AW415" s="1580">
        <f t="shared" si="244"/>
        <v>0</v>
      </c>
      <c r="AX415" s="1580">
        <f t="shared" si="245"/>
        <v>0</v>
      </c>
      <c r="AY415" s="3128">
        <f t="shared" si="246"/>
        <v>0</v>
      </c>
      <c r="AZ415" s="3083">
        <f t="shared" si="247"/>
        <v>0</v>
      </c>
      <c r="BA415" s="3083">
        <f t="shared" si="248"/>
        <v>0</v>
      </c>
      <c r="BB415" s="3083">
        <f t="shared" si="249"/>
        <v>0</v>
      </c>
      <c r="BC415" s="3083">
        <f t="shared" si="250"/>
        <v>0</v>
      </c>
      <c r="BD415" s="3083">
        <f t="shared" si="251"/>
        <v>0</v>
      </c>
      <c r="BE415" s="3083">
        <f t="shared" si="252"/>
        <v>0</v>
      </c>
      <c r="BF415" s="3083">
        <f t="shared" si="253"/>
        <v>0</v>
      </c>
      <c r="BG415" s="3083">
        <f t="shared" si="254"/>
        <v>0</v>
      </c>
      <c r="BH415" s="3083">
        <f t="shared" si="255"/>
        <v>0</v>
      </c>
      <c r="BI415" s="3083">
        <f t="shared" si="256"/>
        <v>0</v>
      </c>
      <c r="BJ415" s="3083">
        <f t="shared" si="257"/>
        <v>0</v>
      </c>
      <c r="BK415" s="3083">
        <f t="shared" si="258"/>
        <v>0</v>
      </c>
      <c r="BL415" s="3083">
        <f t="shared" si="259"/>
        <v>0</v>
      </c>
      <c r="BM415" s="3083">
        <f t="shared" si="260"/>
        <v>0</v>
      </c>
      <c r="BN415" s="3083">
        <f t="shared" si="261"/>
        <v>0</v>
      </c>
      <c r="BO415" s="3083">
        <f t="shared" si="262"/>
        <v>0</v>
      </c>
      <c r="BP415" s="3083">
        <f t="shared" si="263"/>
        <v>0</v>
      </c>
      <c r="BQ415" s="3083">
        <f t="shared" si="264"/>
        <v>0</v>
      </c>
      <c r="BR415" s="3083">
        <f t="shared" si="265"/>
        <v>0</v>
      </c>
      <c r="BS415" s="3083">
        <f t="shared" si="266"/>
        <v>0</v>
      </c>
      <c r="BT415" s="3135">
        <f t="shared" si="267"/>
        <v>0</v>
      </c>
    </row>
    <row r="416" spans="1:72">
      <c r="A416" s="3080"/>
      <c r="B416" s="3081"/>
      <c r="C416" s="3081"/>
      <c r="D416" s="3082"/>
      <c r="E416" s="3083">
        <f t="shared" si="239"/>
        <v>0</v>
      </c>
      <c r="F416" s="3084"/>
      <c r="G416" s="3085">
        <f t="shared" si="240"/>
        <v>0</v>
      </c>
      <c r="H416" s="3086">
        <f t="shared" si="241"/>
        <v>0</v>
      </c>
      <c r="I416" s="3093"/>
      <c r="J416" s="3093"/>
      <c r="K416" s="3093"/>
      <c r="L416" s="3093"/>
      <c r="M416" s="3093"/>
      <c r="N416" s="3093"/>
      <c r="O416" s="3093"/>
      <c r="P416" s="3093"/>
      <c r="Q416" s="3093"/>
      <c r="R416" s="3093"/>
      <c r="S416" s="3093"/>
      <c r="T416" s="3093"/>
      <c r="U416" s="3093"/>
      <c r="V416" s="3093"/>
      <c r="W416" s="3093"/>
      <c r="X416" s="3093"/>
      <c r="Y416" s="3093"/>
      <c r="Z416" s="3093"/>
      <c r="AA416" s="3093"/>
      <c r="AB416" s="3093"/>
      <c r="AC416" s="3083">
        <f t="shared" si="242"/>
        <v>0</v>
      </c>
      <c r="AD416" s="3103"/>
      <c r="AE416" s="3103"/>
      <c r="AF416" s="3103"/>
      <c r="AG416" s="3103"/>
      <c r="AH416" s="3103"/>
      <c r="AI416" s="3103"/>
      <c r="AJ416" s="3103"/>
      <c r="AK416" s="3103"/>
      <c r="AL416" s="3103"/>
      <c r="AM416" s="3103"/>
      <c r="AN416" s="3103"/>
      <c r="AO416" s="3103"/>
      <c r="AP416" s="3103"/>
      <c r="AQ416" s="3103"/>
      <c r="AR416" s="3103"/>
      <c r="AS416" s="3103"/>
      <c r="AT416" s="3113"/>
      <c r="AU416" s="3114"/>
      <c r="AV416" s="1580">
        <f t="shared" si="243"/>
        <v>0</v>
      </c>
      <c r="AW416" s="1580">
        <f t="shared" si="244"/>
        <v>0</v>
      </c>
      <c r="AX416" s="1580">
        <f t="shared" si="245"/>
        <v>0</v>
      </c>
      <c r="AY416" s="3128">
        <f t="shared" si="246"/>
        <v>0</v>
      </c>
      <c r="AZ416" s="3083">
        <f t="shared" si="247"/>
        <v>0</v>
      </c>
      <c r="BA416" s="3083">
        <f t="shared" si="248"/>
        <v>0</v>
      </c>
      <c r="BB416" s="3083">
        <f t="shared" si="249"/>
        <v>0</v>
      </c>
      <c r="BC416" s="3083">
        <f t="shared" si="250"/>
        <v>0</v>
      </c>
      <c r="BD416" s="3083">
        <f t="shared" si="251"/>
        <v>0</v>
      </c>
      <c r="BE416" s="3083">
        <f t="shared" si="252"/>
        <v>0</v>
      </c>
      <c r="BF416" s="3083">
        <f t="shared" si="253"/>
        <v>0</v>
      </c>
      <c r="BG416" s="3083">
        <f t="shared" si="254"/>
        <v>0</v>
      </c>
      <c r="BH416" s="3083">
        <f t="shared" si="255"/>
        <v>0</v>
      </c>
      <c r="BI416" s="3083">
        <f t="shared" si="256"/>
        <v>0</v>
      </c>
      <c r="BJ416" s="3083">
        <f t="shared" si="257"/>
        <v>0</v>
      </c>
      <c r="BK416" s="3083">
        <f t="shared" si="258"/>
        <v>0</v>
      </c>
      <c r="BL416" s="3083">
        <f t="shared" si="259"/>
        <v>0</v>
      </c>
      <c r="BM416" s="3083">
        <f t="shared" si="260"/>
        <v>0</v>
      </c>
      <c r="BN416" s="3083">
        <f t="shared" si="261"/>
        <v>0</v>
      </c>
      <c r="BO416" s="3083">
        <f t="shared" si="262"/>
        <v>0</v>
      </c>
      <c r="BP416" s="3083">
        <f t="shared" si="263"/>
        <v>0</v>
      </c>
      <c r="BQ416" s="3083">
        <f t="shared" si="264"/>
        <v>0</v>
      </c>
      <c r="BR416" s="3083">
        <f t="shared" si="265"/>
        <v>0</v>
      </c>
      <c r="BS416" s="3083">
        <f t="shared" si="266"/>
        <v>0</v>
      </c>
      <c r="BT416" s="3135">
        <f t="shared" si="267"/>
        <v>0</v>
      </c>
    </row>
    <row r="417" spans="1:72">
      <c r="A417" s="3080"/>
      <c r="B417" s="3081"/>
      <c r="C417" s="3081"/>
      <c r="D417" s="3082"/>
      <c r="E417" s="3083">
        <f t="shared" si="239"/>
        <v>0</v>
      </c>
      <c r="F417" s="3084"/>
      <c r="G417" s="3085">
        <f t="shared" si="240"/>
        <v>0</v>
      </c>
      <c r="H417" s="3086">
        <f t="shared" si="241"/>
        <v>0</v>
      </c>
      <c r="I417" s="3093"/>
      <c r="J417" s="3093"/>
      <c r="K417" s="3093"/>
      <c r="L417" s="3093"/>
      <c r="M417" s="3093"/>
      <c r="N417" s="3093"/>
      <c r="O417" s="3093"/>
      <c r="P417" s="3093"/>
      <c r="Q417" s="3093"/>
      <c r="R417" s="3093"/>
      <c r="S417" s="3093"/>
      <c r="T417" s="3093"/>
      <c r="U417" s="3093"/>
      <c r="V417" s="3093"/>
      <c r="W417" s="3093"/>
      <c r="X417" s="3093"/>
      <c r="Y417" s="3093"/>
      <c r="Z417" s="3093"/>
      <c r="AA417" s="3093"/>
      <c r="AB417" s="3093"/>
      <c r="AC417" s="3083">
        <f t="shared" si="242"/>
        <v>0</v>
      </c>
      <c r="AD417" s="3103"/>
      <c r="AE417" s="3103"/>
      <c r="AF417" s="3103"/>
      <c r="AG417" s="3103"/>
      <c r="AH417" s="3103"/>
      <c r="AI417" s="3103"/>
      <c r="AJ417" s="3103"/>
      <c r="AK417" s="3103"/>
      <c r="AL417" s="3103"/>
      <c r="AM417" s="3103"/>
      <c r="AN417" s="3103"/>
      <c r="AO417" s="3103"/>
      <c r="AP417" s="3103"/>
      <c r="AQ417" s="3103"/>
      <c r="AR417" s="3103"/>
      <c r="AS417" s="3103"/>
      <c r="AT417" s="3113"/>
      <c r="AU417" s="3114"/>
      <c r="AV417" s="1580">
        <f t="shared" si="243"/>
        <v>0</v>
      </c>
      <c r="AW417" s="1580">
        <f t="shared" si="244"/>
        <v>0</v>
      </c>
      <c r="AX417" s="1580">
        <f t="shared" si="245"/>
        <v>0</v>
      </c>
      <c r="AY417" s="3128">
        <f t="shared" si="246"/>
        <v>0</v>
      </c>
      <c r="AZ417" s="3083">
        <f t="shared" si="247"/>
        <v>0</v>
      </c>
      <c r="BA417" s="3083">
        <f t="shared" si="248"/>
        <v>0</v>
      </c>
      <c r="BB417" s="3083">
        <f t="shared" si="249"/>
        <v>0</v>
      </c>
      <c r="BC417" s="3083">
        <f t="shared" si="250"/>
        <v>0</v>
      </c>
      <c r="BD417" s="3083">
        <f t="shared" si="251"/>
        <v>0</v>
      </c>
      <c r="BE417" s="3083">
        <f t="shared" si="252"/>
        <v>0</v>
      </c>
      <c r="BF417" s="3083">
        <f t="shared" si="253"/>
        <v>0</v>
      </c>
      <c r="BG417" s="3083">
        <f t="shared" si="254"/>
        <v>0</v>
      </c>
      <c r="BH417" s="3083">
        <f t="shared" si="255"/>
        <v>0</v>
      </c>
      <c r="BI417" s="3083">
        <f t="shared" si="256"/>
        <v>0</v>
      </c>
      <c r="BJ417" s="3083">
        <f t="shared" si="257"/>
        <v>0</v>
      </c>
      <c r="BK417" s="3083">
        <f t="shared" si="258"/>
        <v>0</v>
      </c>
      <c r="BL417" s="3083">
        <f t="shared" si="259"/>
        <v>0</v>
      </c>
      <c r="BM417" s="3083">
        <f t="shared" si="260"/>
        <v>0</v>
      </c>
      <c r="BN417" s="3083">
        <f t="shared" si="261"/>
        <v>0</v>
      </c>
      <c r="BO417" s="3083">
        <f t="shared" si="262"/>
        <v>0</v>
      </c>
      <c r="BP417" s="3083">
        <f t="shared" si="263"/>
        <v>0</v>
      </c>
      <c r="BQ417" s="3083">
        <f t="shared" si="264"/>
        <v>0</v>
      </c>
      <c r="BR417" s="3083">
        <f t="shared" si="265"/>
        <v>0</v>
      </c>
      <c r="BS417" s="3083">
        <f t="shared" si="266"/>
        <v>0</v>
      </c>
      <c r="BT417" s="3135">
        <f t="shared" si="267"/>
        <v>0</v>
      </c>
    </row>
    <row r="418" spans="1:72">
      <c r="A418" s="3080"/>
      <c r="B418" s="3081"/>
      <c r="C418" s="3081"/>
      <c r="D418" s="3082"/>
      <c r="E418" s="3083">
        <f t="shared" si="239"/>
        <v>0</v>
      </c>
      <c r="F418" s="3084"/>
      <c r="G418" s="3085">
        <f t="shared" si="240"/>
        <v>0</v>
      </c>
      <c r="H418" s="3086">
        <f t="shared" si="241"/>
        <v>0</v>
      </c>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83">
        <f t="shared" si="242"/>
        <v>0</v>
      </c>
      <c r="AD418" s="3103"/>
      <c r="AE418" s="3103"/>
      <c r="AF418" s="3103"/>
      <c r="AG418" s="3103"/>
      <c r="AH418" s="3103"/>
      <c r="AI418" s="3103"/>
      <c r="AJ418" s="3103"/>
      <c r="AK418" s="3103"/>
      <c r="AL418" s="3103"/>
      <c r="AM418" s="3103"/>
      <c r="AN418" s="3103"/>
      <c r="AO418" s="3103"/>
      <c r="AP418" s="3103"/>
      <c r="AQ418" s="3103"/>
      <c r="AR418" s="3103"/>
      <c r="AS418" s="3103"/>
      <c r="AT418" s="3113"/>
      <c r="AU418" s="3114"/>
      <c r="AV418" s="1580">
        <f t="shared" si="243"/>
        <v>0</v>
      </c>
      <c r="AW418" s="1580">
        <f t="shared" si="244"/>
        <v>0</v>
      </c>
      <c r="AX418" s="1580">
        <f t="shared" si="245"/>
        <v>0</v>
      </c>
      <c r="AY418" s="3128">
        <f t="shared" si="246"/>
        <v>0</v>
      </c>
      <c r="AZ418" s="3083">
        <f t="shared" si="247"/>
        <v>0</v>
      </c>
      <c r="BA418" s="3083">
        <f t="shared" si="248"/>
        <v>0</v>
      </c>
      <c r="BB418" s="3083">
        <f t="shared" si="249"/>
        <v>0</v>
      </c>
      <c r="BC418" s="3083">
        <f t="shared" si="250"/>
        <v>0</v>
      </c>
      <c r="BD418" s="3083">
        <f t="shared" si="251"/>
        <v>0</v>
      </c>
      <c r="BE418" s="3083">
        <f t="shared" si="252"/>
        <v>0</v>
      </c>
      <c r="BF418" s="3083">
        <f t="shared" si="253"/>
        <v>0</v>
      </c>
      <c r="BG418" s="3083">
        <f t="shared" si="254"/>
        <v>0</v>
      </c>
      <c r="BH418" s="3083">
        <f t="shared" si="255"/>
        <v>0</v>
      </c>
      <c r="BI418" s="3083">
        <f t="shared" si="256"/>
        <v>0</v>
      </c>
      <c r="BJ418" s="3083">
        <f t="shared" si="257"/>
        <v>0</v>
      </c>
      <c r="BK418" s="3083">
        <f t="shared" si="258"/>
        <v>0</v>
      </c>
      <c r="BL418" s="3083">
        <f t="shared" si="259"/>
        <v>0</v>
      </c>
      <c r="BM418" s="3083">
        <f t="shared" si="260"/>
        <v>0</v>
      </c>
      <c r="BN418" s="3083">
        <f t="shared" si="261"/>
        <v>0</v>
      </c>
      <c r="BO418" s="3083">
        <f t="shared" si="262"/>
        <v>0</v>
      </c>
      <c r="BP418" s="3083">
        <f t="shared" si="263"/>
        <v>0</v>
      </c>
      <c r="BQ418" s="3083">
        <f t="shared" si="264"/>
        <v>0</v>
      </c>
      <c r="BR418" s="3083">
        <f t="shared" si="265"/>
        <v>0</v>
      </c>
      <c r="BS418" s="3083">
        <f t="shared" si="266"/>
        <v>0</v>
      </c>
      <c r="BT418" s="3135">
        <f t="shared" si="267"/>
        <v>0</v>
      </c>
    </row>
    <row r="419" spans="1:72">
      <c r="A419" s="3080"/>
      <c r="B419" s="3081"/>
      <c r="C419" s="3081"/>
      <c r="D419" s="3082"/>
      <c r="E419" s="3083">
        <f t="shared" si="239"/>
        <v>0</v>
      </c>
      <c r="F419" s="3084"/>
      <c r="G419" s="3085">
        <f t="shared" si="240"/>
        <v>0</v>
      </c>
      <c r="H419" s="3086">
        <f t="shared" si="241"/>
        <v>0</v>
      </c>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83">
        <f t="shared" si="242"/>
        <v>0</v>
      </c>
      <c r="AD419" s="3103"/>
      <c r="AE419" s="3103"/>
      <c r="AF419" s="3103"/>
      <c r="AG419" s="3103"/>
      <c r="AH419" s="3103"/>
      <c r="AI419" s="3103"/>
      <c r="AJ419" s="3103"/>
      <c r="AK419" s="3103"/>
      <c r="AL419" s="3103"/>
      <c r="AM419" s="3103"/>
      <c r="AN419" s="3103"/>
      <c r="AO419" s="3103"/>
      <c r="AP419" s="3103"/>
      <c r="AQ419" s="3103"/>
      <c r="AR419" s="3103"/>
      <c r="AS419" s="3103"/>
      <c r="AT419" s="3113"/>
      <c r="AU419" s="3114"/>
      <c r="AV419" s="1580">
        <f t="shared" si="243"/>
        <v>0</v>
      </c>
      <c r="AW419" s="1580">
        <f t="shared" si="244"/>
        <v>0</v>
      </c>
      <c r="AX419" s="1580">
        <f t="shared" si="245"/>
        <v>0</v>
      </c>
      <c r="AY419" s="3128">
        <f t="shared" si="246"/>
        <v>0</v>
      </c>
      <c r="AZ419" s="3083">
        <f t="shared" si="247"/>
        <v>0</v>
      </c>
      <c r="BA419" s="3083">
        <f t="shared" si="248"/>
        <v>0</v>
      </c>
      <c r="BB419" s="3083">
        <f t="shared" si="249"/>
        <v>0</v>
      </c>
      <c r="BC419" s="3083">
        <f t="shared" si="250"/>
        <v>0</v>
      </c>
      <c r="BD419" s="3083">
        <f t="shared" si="251"/>
        <v>0</v>
      </c>
      <c r="BE419" s="3083">
        <f t="shared" si="252"/>
        <v>0</v>
      </c>
      <c r="BF419" s="3083">
        <f t="shared" si="253"/>
        <v>0</v>
      </c>
      <c r="BG419" s="3083">
        <f t="shared" si="254"/>
        <v>0</v>
      </c>
      <c r="BH419" s="3083">
        <f t="shared" si="255"/>
        <v>0</v>
      </c>
      <c r="BI419" s="3083">
        <f t="shared" si="256"/>
        <v>0</v>
      </c>
      <c r="BJ419" s="3083">
        <f t="shared" si="257"/>
        <v>0</v>
      </c>
      <c r="BK419" s="3083">
        <f t="shared" si="258"/>
        <v>0</v>
      </c>
      <c r="BL419" s="3083">
        <f t="shared" si="259"/>
        <v>0</v>
      </c>
      <c r="BM419" s="3083">
        <f t="shared" si="260"/>
        <v>0</v>
      </c>
      <c r="BN419" s="3083">
        <f t="shared" si="261"/>
        <v>0</v>
      </c>
      <c r="BO419" s="3083">
        <f t="shared" si="262"/>
        <v>0</v>
      </c>
      <c r="BP419" s="3083">
        <f t="shared" si="263"/>
        <v>0</v>
      </c>
      <c r="BQ419" s="3083">
        <f t="shared" si="264"/>
        <v>0</v>
      </c>
      <c r="BR419" s="3083">
        <f t="shared" si="265"/>
        <v>0</v>
      </c>
      <c r="BS419" s="3083">
        <f t="shared" si="266"/>
        <v>0</v>
      </c>
      <c r="BT419" s="3135">
        <f t="shared" si="267"/>
        <v>0</v>
      </c>
    </row>
    <row r="420" spans="1:72">
      <c r="A420" s="3080"/>
      <c r="B420" s="3081"/>
      <c r="C420" s="3081"/>
      <c r="D420" s="3082"/>
      <c r="E420" s="3083">
        <f t="shared" si="239"/>
        <v>0</v>
      </c>
      <c r="F420" s="3084"/>
      <c r="G420" s="3085">
        <f t="shared" si="240"/>
        <v>0</v>
      </c>
      <c r="H420" s="3086">
        <f t="shared" si="241"/>
        <v>0</v>
      </c>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83">
        <f t="shared" si="242"/>
        <v>0</v>
      </c>
      <c r="AD420" s="3103"/>
      <c r="AE420" s="3103"/>
      <c r="AF420" s="3103"/>
      <c r="AG420" s="3103"/>
      <c r="AH420" s="3103"/>
      <c r="AI420" s="3103"/>
      <c r="AJ420" s="3103"/>
      <c r="AK420" s="3103"/>
      <c r="AL420" s="3103"/>
      <c r="AM420" s="3103"/>
      <c r="AN420" s="3103"/>
      <c r="AO420" s="3103"/>
      <c r="AP420" s="3103"/>
      <c r="AQ420" s="3103"/>
      <c r="AR420" s="3103"/>
      <c r="AS420" s="3103"/>
      <c r="AT420" s="3113"/>
      <c r="AU420" s="3114"/>
      <c r="AV420" s="1580">
        <f t="shared" si="243"/>
        <v>0</v>
      </c>
      <c r="AW420" s="1580">
        <f t="shared" si="244"/>
        <v>0</v>
      </c>
      <c r="AX420" s="1580">
        <f t="shared" si="245"/>
        <v>0</v>
      </c>
      <c r="AY420" s="3128">
        <f t="shared" si="246"/>
        <v>0</v>
      </c>
      <c r="AZ420" s="3083">
        <f t="shared" si="247"/>
        <v>0</v>
      </c>
      <c r="BA420" s="3083">
        <f t="shared" si="248"/>
        <v>0</v>
      </c>
      <c r="BB420" s="3083">
        <f t="shared" si="249"/>
        <v>0</v>
      </c>
      <c r="BC420" s="3083">
        <f t="shared" si="250"/>
        <v>0</v>
      </c>
      <c r="BD420" s="3083">
        <f t="shared" si="251"/>
        <v>0</v>
      </c>
      <c r="BE420" s="3083">
        <f t="shared" si="252"/>
        <v>0</v>
      </c>
      <c r="BF420" s="3083">
        <f t="shared" si="253"/>
        <v>0</v>
      </c>
      <c r="BG420" s="3083">
        <f t="shared" si="254"/>
        <v>0</v>
      </c>
      <c r="BH420" s="3083">
        <f t="shared" si="255"/>
        <v>0</v>
      </c>
      <c r="BI420" s="3083">
        <f t="shared" si="256"/>
        <v>0</v>
      </c>
      <c r="BJ420" s="3083">
        <f t="shared" si="257"/>
        <v>0</v>
      </c>
      <c r="BK420" s="3083">
        <f t="shared" si="258"/>
        <v>0</v>
      </c>
      <c r="BL420" s="3083">
        <f t="shared" si="259"/>
        <v>0</v>
      </c>
      <c r="BM420" s="3083">
        <f t="shared" si="260"/>
        <v>0</v>
      </c>
      <c r="BN420" s="3083">
        <f t="shared" si="261"/>
        <v>0</v>
      </c>
      <c r="BO420" s="3083">
        <f t="shared" si="262"/>
        <v>0</v>
      </c>
      <c r="BP420" s="3083">
        <f t="shared" si="263"/>
        <v>0</v>
      </c>
      <c r="BQ420" s="3083">
        <f t="shared" si="264"/>
        <v>0</v>
      </c>
      <c r="BR420" s="3083">
        <f t="shared" si="265"/>
        <v>0</v>
      </c>
      <c r="BS420" s="3083">
        <f t="shared" si="266"/>
        <v>0</v>
      </c>
      <c r="BT420" s="3135">
        <f t="shared" si="267"/>
        <v>0</v>
      </c>
    </row>
    <row r="421" spans="1:72">
      <c r="A421" s="3080"/>
      <c r="B421" s="3081"/>
      <c r="C421" s="3081"/>
      <c r="D421" s="3082"/>
      <c r="E421" s="3083">
        <f t="shared" si="239"/>
        <v>0</v>
      </c>
      <c r="F421" s="3084"/>
      <c r="G421" s="3085">
        <f t="shared" si="240"/>
        <v>0</v>
      </c>
      <c r="H421" s="3086">
        <f t="shared" si="241"/>
        <v>0</v>
      </c>
      <c r="I421" s="3093"/>
      <c r="J421" s="3093"/>
      <c r="K421" s="3093"/>
      <c r="L421" s="3093"/>
      <c r="M421" s="3093"/>
      <c r="N421" s="3093"/>
      <c r="O421" s="3093"/>
      <c r="P421" s="3093"/>
      <c r="Q421" s="3093"/>
      <c r="R421" s="3093"/>
      <c r="S421" s="3093"/>
      <c r="T421" s="3093"/>
      <c r="U421" s="3093"/>
      <c r="V421" s="3093"/>
      <c r="W421" s="3093"/>
      <c r="X421" s="3093"/>
      <c r="Y421" s="3093"/>
      <c r="Z421" s="3093"/>
      <c r="AA421" s="3093"/>
      <c r="AB421" s="3093"/>
      <c r="AC421" s="3083">
        <f t="shared" si="242"/>
        <v>0</v>
      </c>
      <c r="AD421" s="3103"/>
      <c r="AE421" s="3103"/>
      <c r="AF421" s="3103"/>
      <c r="AG421" s="3103"/>
      <c r="AH421" s="3103"/>
      <c r="AI421" s="3103"/>
      <c r="AJ421" s="3103"/>
      <c r="AK421" s="3103"/>
      <c r="AL421" s="3103"/>
      <c r="AM421" s="3103"/>
      <c r="AN421" s="3103"/>
      <c r="AO421" s="3103"/>
      <c r="AP421" s="3103"/>
      <c r="AQ421" s="3103"/>
      <c r="AR421" s="3103"/>
      <c r="AS421" s="3103"/>
      <c r="AT421" s="3113"/>
      <c r="AU421" s="3114"/>
      <c r="AV421" s="1580">
        <f t="shared" si="243"/>
        <v>0</v>
      </c>
      <c r="AW421" s="1580">
        <f t="shared" si="244"/>
        <v>0</v>
      </c>
      <c r="AX421" s="1580">
        <f t="shared" si="245"/>
        <v>0</v>
      </c>
      <c r="AY421" s="3128">
        <f t="shared" si="246"/>
        <v>0</v>
      </c>
      <c r="AZ421" s="3083">
        <f t="shared" si="247"/>
        <v>0</v>
      </c>
      <c r="BA421" s="3083">
        <f t="shared" si="248"/>
        <v>0</v>
      </c>
      <c r="BB421" s="3083">
        <f t="shared" si="249"/>
        <v>0</v>
      </c>
      <c r="BC421" s="3083">
        <f t="shared" si="250"/>
        <v>0</v>
      </c>
      <c r="BD421" s="3083">
        <f t="shared" si="251"/>
        <v>0</v>
      </c>
      <c r="BE421" s="3083">
        <f t="shared" si="252"/>
        <v>0</v>
      </c>
      <c r="BF421" s="3083">
        <f t="shared" si="253"/>
        <v>0</v>
      </c>
      <c r="BG421" s="3083">
        <f t="shared" si="254"/>
        <v>0</v>
      </c>
      <c r="BH421" s="3083">
        <f t="shared" si="255"/>
        <v>0</v>
      </c>
      <c r="BI421" s="3083">
        <f t="shared" si="256"/>
        <v>0</v>
      </c>
      <c r="BJ421" s="3083">
        <f t="shared" si="257"/>
        <v>0</v>
      </c>
      <c r="BK421" s="3083">
        <f t="shared" si="258"/>
        <v>0</v>
      </c>
      <c r="BL421" s="3083">
        <f t="shared" si="259"/>
        <v>0</v>
      </c>
      <c r="BM421" s="3083">
        <f t="shared" si="260"/>
        <v>0</v>
      </c>
      <c r="BN421" s="3083">
        <f t="shared" si="261"/>
        <v>0</v>
      </c>
      <c r="BO421" s="3083">
        <f t="shared" si="262"/>
        <v>0</v>
      </c>
      <c r="BP421" s="3083">
        <f t="shared" si="263"/>
        <v>0</v>
      </c>
      <c r="BQ421" s="3083">
        <f t="shared" si="264"/>
        <v>0</v>
      </c>
      <c r="BR421" s="3083">
        <f t="shared" si="265"/>
        <v>0</v>
      </c>
      <c r="BS421" s="3083">
        <f t="shared" si="266"/>
        <v>0</v>
      </c>
      <c r="BT421" s="3135">
        <f t="shared" si="267"/>
        <v>0</v>
      </c>
    </row>
    <row r="422" spans="1:72">
      <c r="A422" s="3080"/>
      <c r="B422" s="3081"/>
      <c r="C422" s="3081"/>
      <c r="D422" s="3082"/>
      <c r="E422" s="3083">
        <f t="shared" si="239"/>
        <v>0</v>
      </c>
      <c r="F422" s="3084"/>
      <c r="G422" s="3085">
        <f t="shared" si="240"/>
        <v>0</v>
      </c>
      <c r="H422" s="3086">
        <f t="shared" si="241"/>
        <v>0</v>
      </c>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83">
        <f t="shared" si="242"/>
        <v>0</v>
      </c>
      <c r="AD422" s="3103"/>
      <c r="AE422" s="3103"/>
      <c r="AF422" s="3103"/>
      <c r="AG422" s="3103"/>
      <c r="AH422" s="3103"/>
      <c r="AI422" s="3103"/>
      <c r="AJ422" s="3103"/>
      <c r="AK422" s="3103"/>
      <c r="AL422" s="3103"/>
      <c r="AM422" s="3103"/>
      <c r="AN422" s="3103"/>
      <c r="AO422" s="3103"/>
      <c r="AP422" s="3103"/>
      <c r="AQ422" s="3103"/>
      <c r="AR422" s="3103"/>
      <c r="AS422" s="3103"/>
      <c r="AT422" s="3113"/>
      <c r="AU422" s="3114"/>
      <c r="AV422" s="1580">
        <f t="shared" si="243"/>
        <v>0</v>
      </c>
      <c r="AW422" s="1580">
        <f t="shared" si="244"/>
        <v>0</v>
      </c>
      <c r="AX422" s="1580">
        <f t="shared" si="245"/>
        <v>0</v>
      </c>
      <c r="AY422" s="3128">
        <f t="shared" si="246"/>
        <v>0</v>
      </c>
      <c r="AZ422" s="3083">
        <f t="shared" si="247"/>
        <v>0</v>
      </c>
      <c r="BA422" s="3083">
        <f t="shared" si="248"/>
        <v>0</v>
      </c>
      <c r="BB422" s="3083">
        <f t="shared" si="249"/>
        <v>0</v>
      </c>
      <c r="BC422" s="3083">
        <f t="shared" si="250"/>
        <v>0</v>
      </c>
      <c r="BD422" s="3083">
        <f t="shared" si="251"/>
        <v>0</v>
      </c>
      <c r="BE422" s="3083">
        <f t="shared" si="252"/>
        <v>0</v>
      </c>
      <c r="BF422" s="3083">
        <f t="shared" si="253"/>
        <v>0</v>
      </c>
      <c r="BG422" s="3083">
        <f t="shared" si="254"/>
        <v>0</v>
      </c>
      <c r="BH422" s="3083">
        <f t="shared" si="255"/>
        <v>0</v>
      </c>
      <c r="BI422" s="3083">
        <f t="shared" si="256"/>
        <v>0</v>
      </c>
      <c r="BJ422" s="3083">
        <f t="shared" si="257"/>
        <v>0</v>
      </c>
      <c r="BK422" s="3083">
        <f t="shared" si="258"/>
        <v>0</v>
      </c>
      <c r="BL422" s="3083">
        <f t="shared" si="259"/>
        <v>0</v>
      </c>
      <c r="BM422" s="3083">
        <f t="shared" si="260"/>
        <v>0</v>
      </c>
      <c r="BN422" s="3083">
        <f t="shared" si="261"/>
        <v>0</v>
      </c>
      <c r="BO422" s="3083">
        <f t="shared" si="262"/>
        <v>0</v>
      </c>
      <c r="BP422" s="3083">
        <f t="shared" si="263"/>
        <v>0</v>
      </c>
      <c r="BQ422" s="3083">
        <f t="shared" si="264"/>
        <v>0</v>
      </c>
      <c r="BR422" s="3083">
        <f t="shared" si="265"/>
        <v>0</v>
      </c>
      <c r="BS422" s="3083">
        <f t="shared" si="266"/>
        <v>0</v>
      </c>
      <c r="BT422" s="3135">
        <f t="shared" si="267"/>
        <v>0</v>
      </c>
    </row>
    <row r="423" spans="1:72">
      <c r="A423" s="3080"/>
      <c r="B423" s="3081"/>
      <c r="C423" s="3081"/>
      <c r="D423" s="3082"/>
      <c r="E423" s="3083">
        <f t="shared" si="239"/>
        <v>0</v>
      </c>
      <c r="F423" s="3084"/>
      <c r="G423" s="3085">
        <f t="shared" si="240"/>
        <v>0</v>
      </c>
      <c r="H423" s="3086">
        <f t="shared" si="241"/>
        <v>0</v>
      </c>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83">
        <f t="shared" si="242"/>
        <v>0</v>
      </c>
      <c r="AD423" s="3103"/>
      <c r="AE423" s="3103"/>
      <c r="AF423" s="3103"/>
      <c r="AG423" s="3103"/>
      <c r="AH423" s="3103"/>
      <c r="AI423" s="3103"/>
      <c r="AJ423" s="3103"/>
      <c r="AK423" s="3103"/>
      <c r="AL423" s="3103"/>
      <c r="AM423" s="3103"/>
      <c r="AN423" s="3103"/>
      <c r="AO423" s="3103"/>
      <c r="AP423" s="3103"/>
      <c r="AQ423" s="3103"/>
      <c r="AR423" s="3103"/>
      <c r="AS423" s="3103"/>
      <c r="AT423" s="3113"/>
      <c r="AU423" s="3114"/>
      <c r="AV423" s="1580">
        <f t="shared" si="243"/>
        <v>0</v>
      </c>
      <c r="AW423" s="1580">
        <f t="shared" si="244"/>
        <v>0</v>
      </c>
      <c r="AX423" s="1580">
        <f t="shared" si="245"/>
        <v>0</v>
      </c>
      <c r="AY423" s="3128">
        <f t="shared" si="246"/>
        <v>0</v>
      </c>
      <c r="AZ423" s="3083">
        <f t="shared" si="247"/>
        <v>0</v>
      </c>
      <c r="BA423" s="3083">
        <f t="shared" si="248"/>
        <v>0</v>
      </c>
      <c r="BB423" s="3083">
        <f t="shared" si="249"/>
        <v>0</v>
      </c>
      <c r="BC423" s="3083">
        <f t="shared" si="250"/>
        <v>0</v>
      </c>
      <c r="BD423" s="3083">
        <f t="shared" si="251"/>
        <v>0</v>
      </c>
      <c r="BE423" s="3083">
        <f t="shared" si="252"/>
        <v>0</v>
      </c>
      <c r="BF423" s="3083">
        <f t="shared" si="253"/>
        <v>0</v>
      </c>
      <c r="BG423" s="3083">
        <f t="shared" si="254"/>
        <v>0</v>
      </c>
      <c r="BH423" s="3083">
        <f t="shared" si="255"/>
        <v>0</v>
      </c>
      <c r="BI423" s="3083">
        <f t="shared" si="256"/>
        <v>0</v>
      </c>
      <c r="BJ423" s="3083">
        <f t="shared" si="257"/>
        <v>0</v>
      </c>
      <c r="BK423" s="3083">
        <f t="shared" si="258"/>
        <v>0</v>
      </c>
      <c r="BL423" s="3083">
        <f t="shared" si="259"/>
        <v>0</v>
      </c>
      <c r="BM423" s="3083">
        <f t="shared" si="260"/>
        <v>0</v>
      </c>
      <c r="BN423" s="3083">
        <f t="shared" si="261"/>
        <v>0</v>
      </c>
      <c r="BO423" s="3083">
        <f t="shared" si="262"/>
        <v>0</v>
      </c>
      <c r="BP423" s="3083">
        <f t="shared" si="263"/>
        <v>0</v>
      </c>
      <c r="BQ423" s="3083">
        <f t="shared" si="264"/>
        <v>0</v>
      </c>
      <c r="BR423" s="3083">
        <f t="shared" si="265"/>
        <v>0</v>
      </c>
      <c r="BS423" s="3083">
        <f t="shared" si="266"/>
        <v>0</v>
      </c>
      <c r="BT423" s="3135">
        <f t="shared" si="267"/>
        <v>0</v>
      </c>
    </row>
    <row r="424" spans="1:72">
      <c r="A424" s="3080"/>
      <c r="B424" s="3081"/>
      <c r="C424" s="3081"/>
      <c r="D424" s="3082"/>
      <c r="E424" s="3083">
        <f t="shared" si="239"/>
        <v>0</v>
      </c>
      <c r="F424" s="3084"/>
      <c r="G424" s="3085">
        <f t="shared" si="240"/>
        <v>0</v>
      </c>
      <c r="H424" s="3086">
        <f t="shared" si="241"/>
        <v>0</v>
      </c>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83">
        <f t="shared" si="242"/>
        <v>0</v>
      </c>
      <c r="AD424" s="3103"/>
      <c r="AE424" s="3103"/>
      <c r="AF424" s="3103"/>
      <c r="AG424" s="3103"/>
      <c r="AH424" s="3103"/>
      <c r="AI424" s="3103"/>
      <c r="AJ424" s="3103"/>
      <c r="AK424" s="3103"/>
      <c r="AL424" s="3103"/>
      <c r="AM424" s="3103"/>
      <c r="AN424" s="3103"/>
      <c r="AO424" s="3103"/>
      <c r="AP424" s="3103"/>
      <c r="AQ424" s="3103"/>
      <c r="AR424" s="3103"/>
      <c r="AS424" s="3103"/>
      <c r="AT424" s="3113"/>
      <c r="AU424" s="3114"/>
      <c r="AV424" s="1580">
        <f t="shared" si="243"/>
        <v>0</v>
      </c>
      <c r="AW424" s="1580">
        <f t="shared" si="244"/>
        <v>0</v>
      </c>
      <c r="AX424" s="1580">
        <f t="shared" si="245"/>
        <v>0</v>
      </c>
      <c r="AY424" s="3128">
        <f t="shared" si="246"/>
        <v>0</v>
      </c>
      <c r="AZ424" s="3083">
        <f t="shared" si="247"/>
        <v>0</v>
      </c>
      <c r="BA424" s="3083">
        <f t="shared" si="248"/>
        <v>0</v>
      </c>
      <c r="BB424" s="3083">
        <f t="shared" si="249"/>
        <v>0</v>
      </c>
      <c r="BC424" s="3083">
        <f t="shared" si="250"/>
        <v>0</v>
      </c>
      <c r="BD424" s="3083">
        <f t="shared" si="251"/>
        <v>0</v>
      </c>
      <c r="BE424" s="3083">
        <f t="shared" si="252"/>
        <v>0</v>
      </c>
      <c r="BF424" s="3083">
        <f t="shared" si="253"/>
        <v>0</v>
      </c>
      <c r="BG424" s="3083">
        <f t="shared" si="254"/>
        <v>0</v>
      </c>
      <c r="BH424" s="3083">
        <f t="shared" si="255"/>
        <v>0</v>
      </c>
      <c r="BI424" s="3083">
        <f t="shared" si="256"/>
        <v>0</v>
      </c>
      <c r="BJ424" s="3083">
        <f t="shared" si="257"/>
        <v>0</v>
      </c>
      <c r="BK424" s="3083">
        <f t="shared" si="258"/>
        <v>0</v>
      </c>
      <c r="BL424" s="3083">
        <f t="shared" si="259"/>
        <v>0</v>
      </c>
      <c r="BM424" s="3083">
        <f t="shared" si="260"/>
        <v>0</v>
      </c>
      <c r="BN424" s="3083">
        <f t="shared" si="261"/>
        <v>0</v>
      </c>
      <c r="BO424" s="3083">
        <f t="shared" si="262"/>
        <v>0</v>
      </c>
      <c r="BP424" s="3083">
        <f t="shared" si="263"/>
        <v>0</v>
      </c>
      <c r="BQ424" s="3083">
        <f t="shared" si="264"/>
        <v>0</v>
      </c>
      <c r="BR424" s="3083">
        <f t="shared" si="265"/>
        <v>0</v>
      </c>
      <c r="BS424" s="3083">
        <f t="shared" si="266"/>
        <v>0</v>
      </c>
      <c r="BT424" s="3135">
        <f t="shared" si="267"/>
        <v>0</v>
      </c>
    </row>
    <row r="425" spans="1:72">
      <c r="A425" s="3080"/>
      <c r="B425" s="3081"/>
      <c r="C425" s="3081"/>
      <c r="D425" s="3082"/>
      <c r="E425" s="3083">
        <f t="shared" si="239"/>
        <v>0</v>
      </c>
      <c r="F425" s="3084"/>
      <c r="G425" s="3085">
        <f t="shared" si="240"/>
        <v>0</v>
      </c>
      <c r="H425" s="3086">
        <f t="shared" si="241"/>
        <v>0</v>
      </c>
      <c r="I425" s="3093"/>
      <c r="J425" s="3093"/>
      <c r="K425" s="3093"/>
      <c r="L425" s="3093"/>
      <c r="M425" s="3093"/>
      <c r="N425" s="3093"/>
      <c r="O425" s="3093"/>
      <c r="P425" s="3093"/>
      <c r="Q425" s="3093"/>
      <c r="R425" s="3093"/>
      <c r="S425" s="3093"/>
      <c r="T425" s="3093"/>
      <c r="U425" s="3093"/>
      <c r="V425" s="3093"/>
      <c r="W425" s="3093"/>
      <c r="X425" s="3093"/>
      <c r="Y425" s="3093"/>
      <c r="Z425" s="3093"/>
      <c r="AA425" s="3093"/>
      <c r="AB425" s="3093"/>
      <c r="AC425" s="3083">
        <f t="shared" si="242"/>
        <v>0</v>
      </c>
      <c r="AD425" s="3103"/>
      <c r="AE425" s="3103"/>
      <c r="AF425" s="3103"/>
      <c r="AG425" s="3103"/>
      <c r="AH425" s="3103"/>
      <c r="AI425" s="3103"/>
      <c r="AJ425" s="3103"/>
      <c r="AK425" s="3103"/>
      <c r="AL425" s="3103"/>
      <c r="AM425" s="3103"/>
      <c r="AN425" s="3103"/>
      <c r="AO425" s="3103"/>
      <c r="AP425" s="3103"/>
      <c r="AQ425" s="3103"/>
      <c r="AR425" s="3103"/>
      <c r="AS425" s="3103"/>
      <c r="AT425" s="3113"/>
      <c r="AU425" s="3114"/>
      <c r="AV425" s="1580">
        <f t="shared" si="243"/>
        <v>0</v>
      </c>
      <c r="AW425" s="1580">
        <f t="shared" si="244"/>
        <v>0</v>
      </c>
      <c r="AX425" s="1580">
        <f t="shared" si="245"/>
        <v>0</v>
      </c>
      <c r="AY425" s="3128">
        <f t="shared" si="246"/>
        <v>0</v>
      </c>
      <c r="AZ425" s="3083">
        <f t="shared" si="247"/>
        <v>0</v>
      </c>
      <c r="BA425" s="3083">
        <f t="shared" si="248"/>
        <v>0</v>
      </c>
      <c r="BB425" s="3083">
        <f t="shared" si="249"/>
        <v>0</v>
      </c>
      <c r="BC425" s="3083">
        <f t="shared" si="250"/>
        <v>0</v>
      </c>
      <c r="BD425" s="3083">
        <f t="shared" si="251"/>
        <v>0</v>
      </c>
      <c r="BE425" s="3083">
        <f t="shared" si="252"/>
        <v>0</v>
      </c>
      <c r="BF425" s="3083">
        <f t="shared" si="253"/>
        <v>0</v>
      </c>
      <c r="BG425" s="3083">
        <f t="shared" si="254"/>
        <v>0</v>
      </c>
      <c r="BH425" s="3083">
        <f t="shared" si="255"/>
        <v>0</v>
      </c>
      <c r="BI425" s="3083">
        <f t="shared" si="256"/>
        <v>0</v>
      </c>
      <c r="BJ425" s="3083">
        <f t="shared" si="257"/>
        <v>0</v>
      </c>
      <c r="BK425" s="3083">
        <f t="shared" si="258"/>
        <v>0</v>
      </c>
      <c r="BL425" s="3083">
        <f t="shared" si="259"/>
        <v>0</v>
      </c>
      <c r="BM425" s="3083">
        <f t="shared" si="260"/>
        <v>0</v>
      </c>
      <c r="BN425" s="3083">
        <f t="shared" si="261"/>
        <v>0</v>
      </c>
      <c r="BO425" s="3083">
        <f t="shared" si="262"/>
        <v>0</v>
      </c>
      <c r="BP425" s="3083">
        <f t="shared" si="263"/>
        <v>0</v>
      </c>
      <c r="BQ425" s="3083">
        <f t="shared" si="264"/>
        <v>0</v>
      </c>
      <c r="BR425" s="3083">
        <f t="shared" si="265"/>
        <v>0</v>
      </c>
      <c r="BS425" s="3083">
        <f t="shared" si="266"/>
        <v>0</v>
      </c>
      <c r="BT425" s="3135">
        <f t="shared" si="267"/>
        <v>0</v>
      </c>
    </row>
    <row r="426" spans="1:72">
      <c r="A426" s="3080"/>
      <c r="B426" s="3081"/>
      <c r="C426" s="3081"/>
      <c r="D426" s="3082"/>
      <c r="E426" s="3083">
        <f t="shared" si="239"/>
        <v>0</v>
      </c>
      <c r="F426" s="3084"/>
      <c r="G426" s="3085">
        <f t="shared" si="240"/>
        <v>0</v>
      </c>
      <c r="H426" s="3086">
        <f t="shared" si="241"/>
        <v>0</v>
      </c>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83">
        <f t="shared" si="242"/>
        <v>0</v>
      </c>
      <c r="AD426" s="3103"/>
      <c r="AE426" s="3103"/>
      <c r="AF426" s="3103"/>
      <c r="AG426" s="3103"/>
      <c r="AH426" s="3103"/>
      <c r="AI426" s="3103"/>
      <c r="AJ426" s="3103"/>
      <c r="AK426" s="3103"/>
      <c r="AL426" s="3103"/>
      <c r="AM426" s="3103"/>
      <c r="AN426" s="3103"/>
      <c r="AO426" s="3103"/>
      <c r="AP426" s="3103"/>
      <c r="AQ426" s="3103"/>
      <c r="AR426" s="3103"/>
      <c r="AS426" s="3103"/>
      <c r="AT426" s="3113"/>
      <c r="AU426" s="3114"/>
      <c r="AV426" s="1580">
        <f t="shared" si="243"/>
        <v>0</v>
      </c>
      <c r="AW426" s="1580">
        <f t="shared" si="244"/>
        <v>0</v>
      </c>
      <c r="AX426" s="1580">
        <f t="shared" si="245"/>
        <v>0</v>
      </c>
      <c r="AY426" s="3128">
        <f t="shared" si="246"/>
        <v>0</v>
      </c>
      <c r="AZ426" s="3083">
        <f t="shared" si="247"/>
        <v>0</v>
      </c>
      <c r="BA426" s="3083">
        <f t="shared" si="248"/>
        <v>0</v>
      </c>
      <c r="BB426" s="3083">
        <f t="shared" si="249"/>
        <v>0</v>
      </c>
      <c r="BC426" s="3083">
        <f t="shared" si="250"/>
        <v>0</v>
      </c>
      <c r="BD426" s="3083">
        <f t="shared" si="251"/>
        <v>0</v>
      </c>
      <c r="BE426" s="3083">
        <f t="shared" si="252"/>
        <v>0</v>
      </c>
      <c r="BF426" s="3083">
        <f t="shared" si="253"/>
        <v>0</v>
      </c>
      <c r="BG426" s="3083">
        <f t="shared" si="254"/>
        <v>0</v>
      </c>
      <c r="BH426" s="3083">
        <f t="shared" si="255"/>
        <v>0</v>
      </c>
      <c r="BI426" s="3083">
        <f t="shared" si="256"/>
        <v>0</v>
      </c>
      <c r="BJ426" s="3083">
        <f t="shared" si="257"/>
        <v>0</v>
      </c>
      <c r="BK426" s="3083">
        <f t="shared" si="258"/>
        <v>0</v>
      </c>
      <c r="BL426" s="3083">
        <f t="shared" si="259"/>
        <v>0</v>
      </c>
      <c r="BM426" s="3083">
        <f t="shared" si="260"/>
        <v>0</v>
      </c>
      <c r="BN426" s="3083">
        <f t="shared" si="261"/>
        <v>0</v>
      </c>
      <c r="BO426" s="3083">
        <f t="shared" si="262"/>
        <v>0</v>
      </c>
      <c r="BP426" s="3083">
        <f t="shared" si="263"/>
        <v>0</v>
      </c>
      <c r="BQ426" s="3083">
        <f t="shared" si="264"/>
        <v>0</v>
      </c>
      <c r="BR426" s="3083">
        <f t="shared" si="265"/>
        <v>0</v>
      </c>
      <c r="BS426" s="3083">
        <f t="shared" si="266"/>
        <v>0</v>
      </c>
      <c r="BT426" s="3135">
        <f t="shared" si="267"/>
        <v>0</v>
      </c>
    </row>
    <row r="427" spans="1:72">
      <c r="A427" s="3080"/>
      <c r="B427" s="3081"/>
      <c r="C427" s="3081"/>
      <c r="D427" s="3082"/>
      <c r="E427" s="3083">
        <f t="shared" si="239"/>
        <v>0</v>
      </c>
      <c r="F427" s="3084"/>
      <c r="G427" s="3085">
        <f t="shared" si="240"/>
        <v>0</v>
      </c>
      <c r="H427" s="3086">
        <f t="shared" si="241"/>
        <v>0</v>
      </c>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83">
        <f t="shared" si="242"/>
        <v>0</v>
      </c>
      <c r="AD427" s="3103"/>
      <c r="AE427" s="3103"/>
      <c r="AF427" s="3103"/>
      <c r="AG427" s="3103"/>
      <c r="AH427" s="3103"/>
      <c r="AI427" s="3103"/>
      <c r="AJ427" s="3103"/>
      <c r="AK427" s="3103"/>
      <c r="AL427" s="3103"/>
      <c r="AM427" s="3103"/>
      <c r="AN427" s="3103"/>
      <c r="AO427" s="3103"/>
      <c r="AP427" s="3103"/>
      <c r="AQ427" s="3103"/>
      <c r="AR427" s="3103"/>
      <c r="AS427" s="3103"/>
      <c r="AT427" s="3113"/>
      <c r="AU427" s="3114"/>
      <c r="AV427" s="1580">
        <f t="shared" si="243"/>
        <v>0</v>
      </c>
      <c r="AW427" s="1580">
        <f t="shared" si="244"/>
        <v>0</v>
      </c>
      <c r="AX427" s="1580">
        <f t="shared" si="245"/>
        <v>0</v>
      </c>
      <c r="AY427" s="3128">
        <f t="shared" si="246"/>
        <v>0</v>
      </c>
      <c r="AZ427" s="3083">
        <f t="shared" si="247"/>
        <v>0</v>
      </c>
      <c r="BA427" s="3083">
        <f t="shared" si="248"/>
        <v>0</v>
      </c>
      <c r="BB427" s="3083">
        <f t="shared" si="249"/>
        <v>0</v>
      </c>
      <c r="BC427" s="3083">
        <f t="shared" si="250"/>
        <v>0</v>
      </c>
      <c r="BD427" s="3083">
        <f t="shared" si="251"/>
        <v>0</v>
      </c>
      <c r="BE427" s="3083">
        <f t="shared" si="252"/>
        <v>0</v>
      </c>
      <c r="BF427" s="3083">
        <f t="shared" si="253"/>
        <v>0</v>
      </c>
      <c r="BG427" s="3083">
        <f t="shared" si="254"/>
        <v>0</v>
      </c>
      <c r="BH427" s="3083">
        <f t="shared" si="255"/>
        <v>0</v>
      </c>
      <c r="BI427" s="3083">
        <f t="shared" si="256"/>
        <v>0</v>
      </c>
      <c r="BJ427" s="3083">
        <f t="shared" si="257"/>
        <v>0</v>
      </c>
      <c r="BK427" s="3083">
        <f t="shared" si="258"/>
        <v>0</v>
      </c>
      <c r="BL427" s="3083">
        <f t="shared" si="259"/>
        <v>0</v>
      </c>
      <c r="BM427" s="3083">
        <f t="shared" si="260"/>
        <v>0</v>
      </c>
      <c r="BN427" s="3083">
        <f t="shared" si="261"/>
        <v>0</v>
      </c>
      <c r="BO427" s="3083">
        <f t="shared" si="262"/>
        <v>0</v>
      </c>
      <c r="BP427" s="3083">
        <f t="shared" si="263"/>
        <v>0</v>
      </c>
      <c r="BQ427" s="3083">
        <f t="shared" si="264"/>
        <v>0</v>
      </c>
      <c r="BR427" s="3083">
        <f t="shared" si="265"/>
        <v>0</v>
      </c>
      <c r="BS427" s="3083">
        <f t="shared" si="266"/>
        <v>0</v>
      </c>
      <c r="BT427" s="3135">
        <f t="shared" si="267"/>
        <v>0</v>
      </c>
    </row>
    <row r="428" spans="1:72">
      <c r="A428" s="3080"/>
      <c r="B428" s="3081"/>
      <c r="C428" s="3081"/>
      <c r="D428" s="3082"/>
      <c r="E428" s="3083">
        <f t="shared" si="239"/>
        <v>0</v>
      </c>
      <c r="F428" s="3084"/>
      <c r="G428" s="3085">
        <f t="shared" si="240"/>
        <v>0</v>
      </c>
      <c r="H428" s="3086">
        <f t="shared" si="241"/>
        <v>0</v>
      </c>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83">
        <f t="shared" si="242"/>
        <v>0</v>
      </c>
      <c r="AD428" s="3103"/>
      <c r="AE428" s="3103"/>
      <c r="AF428" s="3103"/>
      <c r="AG428" s="3103"/>
      <c r="AH428" s="3103"/>
      <c r="AI428" s="3103"/>
      <c r="AJ428" s="3103"/>
      <c r="AK428" s="3103"/>
      <c r="AL428" s="3103"/>
      <c r="AM428" s="3103"/>
      <c r="AN428" s="3103"/>
      <c r="AO428" s="3103"/>
      <c r="AP428" s="3103"/>
      <c r="AQ428" s="3103"/>
      <c r="AR428" s="3103"/>
      <c r="AS428" s="3103"/>
      <c r="AT428" s="3113"/>
      <c r="AU428" s="3114"/>
      <c r="AV428" s="1580">
        <f t="shared" si="243"/>
        <v>0</v>
      </c>
      <c r="AW428" s="1580">
        <f t="shared" si="244"/>
        <v>0</v>
      </c>
      <c r="AX428" s="1580">
        <f t="shared" si="245"/>
        <v>0</v>
      </c>
      <c r="AY428" s="3128">
        <f t="shared" si="246"/>
        <v>0</v>
      </c>
      <c r="AZ428" s="3083">
        <f t="shared" si="247"/>
        <v>0</v>
      </c>
      <c r="BA428" s="3083">
        <f t="shared" si="248"/>
        <v>0</v>
      </c>
      <c r="BB428" s="3083">
        <f t="shared" si="249"/>
        <v>0</v>
      </c>
      <c r="BC428" s="3083">
        <f t="shared" si="250"/>
        <v>0</v>
      </c>
      <c r="BD428" s="3083">
        <f t="shared" si="251"/>
        <v>0</v>
      </c>
      <c r="BE428" s="3083">
        <f t="shared" si="252"/>
        <v>0</v>
      </c>
      <c r="BF428" s="3083">
        <f t="shared" si="253"/>
        <v>0</v>
      </c>
      <c r="BG428" s="3083">
        <f t="shared" si="254"/>
        <v>0</v>
      </c>
      <c r="BH428" s="3083">
        <f t="shared" si="255"/>
        <v>0</v>
      </c>
      <c r="BI428" s="3083">
        <f t="shared" si="256"/>
        <v>0</v>
      </c>
      <c r="BJ428" s="3083">
        <f t="shared" si="257"/>
        <v>0</v>
      </c>
      <c r="BK428" s="3083">
        <f t="shared" si="258"/>
        <v>0</v>
      </c>
      <c r="BL428" s="3083">
        <f t="shared" si="259"/>
        <v>0</v>
      </c>
      <c r="BM428" s="3083">
        <f t="shared" si="260"/>
        <v>0</v>
      </c>
      <c r="BN428" s="3083">
        <f t="shared" si="261"/>
        <v>0</v>
      </c>
      <c r="BO428" s="3083">
        <f t="shared" si="262"/>
        <v>0</v>
      </c>
      <c r="BP428" s="3083">
        <f t="shared" si="263"/>
        <v>0</v>
      </c>
      <c r="BQ428" s="3083">
        <f t="shared" si="264"/>
        <v>0</v>
      </c>
      <c r="BR428" s="3083">
        <f t="shared" si="265"/>
        <v>0</v>
      </c>
      <c r="BS428" s="3083">
        <f t="shared" si="266"/>
        <v>0</v>
      </c>
      <c r="BT428" s="3135">
        <f t="shared" si="267"/>
        <v>0</v>
      </c>
    </row>
    <row r="429" spans="1:72">
      <c r="A429" s="3080"/>
      <c r="B429" s="3081"/>
      <c r="C429" s="3081"/>
      <c r="D429" s="3082"/>
      <c r="E429" s="3083">
        <f t="shared" si="239"/>
        <v>0</v>
      </c>
      <c r="F429" s="3084"/>
      <c r="G429" s="3085">
        <f t="shared" si="240"/>
        <v>0</v>
      </c>
      <c r="H429" s="3086">
        <f t="shared" si="241"/>
        <v>0</v>
      </c>
      <c r="I429" s="3093"/>
      <c r="J429" s="3093"/>
      <c r="K429" s="3093"/>
      <c r="L429" s="3093"/>
      <c r="M429" s="3093"/>
      <c r="N429" s="3093"/>
      <c r="O429" s="3093"/>
      <c r="P429" s="3093"/>
      <c r="Q429" s="3093"/>
      <c r="R429" s="3093"/>
      <c r="S429" s="3093"/>
      <c r="T429" s="3093"/>
      <c r="U429" s="3093"/>
      <c r="V429" s="3093"/>
      <c r="W429" s="3093"/>
      <c r="X429" s="3093"/>
      <c r="Y429" s="3093"/>
      <c r="Z429" s="3093"/>
      <c r="AA429" s="3093"/>
      <c r="AB429" s="3093"/>
      <c r="AC429" s="3083">
        <f t="shared" si="242"/>
        <v>0</v>
      </c>
      <c r="AD429" s="3103"/>
      <c r="AE429" s="3103"/>
      <c r="AF429" s="3103"/>
      <c r="AG429" s="3103"/>
      <c r="AH429" s="3103"/>
      <c r="AI429" s="3103"/>
      <c r="AJ429" s="3103"/>
      <c r="AK429" s="3103"/>
      <c r="AL429" s="3103"/>
      <c r="AM429" s="3103"/>
      <c r="AN429" s="3103"/>
      <c r="AO429" s="3103"/>
      <c r="AP429" s="3103"/>
      <c r="AQ429" s="3103"/>
      <c r="AR429" s="3103"/>
      <c r="AS429" s="3103"/>
      <c r="AT429" s="3113"/>
      <c r="AU429" s="3114"/>
      <c r="AV429" s="1580">
        <f t="shared" si="243"/>
        <v>0</v>
      </c>
      <c r="AW429" s="1580">
        <f t="shared" si="244"/>
        <v>0</v>
      </c>
      <c r="AX429" s="1580">
        <f t="shared" si="245"/>
        <v>0</v>
      </c>
      <c r="AY429" s="3128">
        <f t="shared" si="246"/>
        <v>0</v>
      </c>
      <c r="AZ429" s="3083">
        <f t="shared" si="247"/>
        <v>0</v>
      </c>
      <c r="BA429" s="3083">
        <f t="shared" si="248"/>
        <v>0</v>
      </c>
      <c r="BB429" s="3083">
        <f t="shared" si="249"/>
        <v>0</v>
      </c>
      <c r="BC429" s="3083">
        <f t="shared" si="250"/>
        <v>0</v>
      </c>
      <c r="BD429" s="3083">
        <f t="shared" si="251"/>
        <v>0</v>
      </c>
      <c r="BE429" s="3083">
        <f t="shared" si="252"/>
        <v>0</v>
      </c>
      <c r="BF429" s="3083">
        <f t="shared" si="253"/>
        <v>0</v>
      </c>
      <c r="BG429" s="3083">
        <f t="shared" si="254"/>
        <v>0</v>
      </c>
      <c r="BH429" s="3083">
        <f t="shared" si="255"/>
        <v>0</v>
      </c>
      <c r="BI429" s="3083">
        <f t="shared" si="256"/>
        <v>0</v>
      </c>
      <c r="BJ429" s="3083">
        <f t="shared" si="257"/>
        <v>0</v>
      </c>
      <c r="BK429" s="3083">
        <f t="shared" si="258"/>
        <v>0</v>
      </c>
      <c r="BL429" s="3083">
        <f t="shared" si="259"/>
        <v>0</v>
      </c>
      <c r="BM429" s="3083">
        <f t="shared" si="260"/>
        <v>0</v>
      </c>
      <c r="BN429" s="3083">
        <f t="shared" si="261"/>
        <v>0</v>
      </c>
      <c r="BO429" s="3083">
        <f t="shared" si="262"/>
        <v>0</v>
      </c>
      <c r="BP429" s="3083">
        <f t="shared" si="263"/>
        <v>0</v>
      </c>
      <c r="BQ429" s="3083">
        <f t="shared" si="264"/>
        <v>0</v>
      </c>
      <c r="BR429" s="3083">
        <f t="shared" si="265"/>
        <v>0</v>
      </c>
      <c r="BS429" s="3083">
        <f t="shared" si="266"/>
        <v>0</v>
      </c>
      <c r="BT429" s="3135">
        <f t="shared" si="267"/>
        <v>0</v>
      </c>
    </row>
    <row r="430" spans="1:72">
      <c r="A430" s="3080"/>
      <c r="B430" s="3081"/>
      <c r="C430" s="3081"/>
      <c r="D430" s="3082"/>
      <c r="E430" s="3083">
        <f t="shared" si="239"/>
        <v>0</v>
      </c>
      <c r="F430" s="3084"/>
      <c r="G430" s="3085">
        <f t="shared" si="240"/>
        <v>0</v>
      </c>
      <c r="H430" s="3086">
        <f t="shared" si="241"/>
        <v>0</v>
      </c>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83">
        <f t="shared" si="242"/>
        <v>0</v>
      </c>
      <c r="AD430" s="3103"/>
      <c r="AE430" s="3103"/>
      <c r="AF430" s="3103"/>
      <c r="AG430" s="3103"/>
      <c r="AH430" s="3103"/>
      <c r="AI430" s="3103"/>
      <c r="AJ430" s="3103"/>
      <c r="AK430" s="3103"/>
      <c r="AL430" s="3103"/>
      <c r="AM430" s="3103"/>
      <c r="AN430" s="3103"/>
      <c r="AO430" s="3103"/>
      <c r="AP430" s="3103"/>
      <c r="AQ430" s="3103"/>
      <c r="AR430" s="3103"/>
      <c r="AS430" s="3103"/>
      <c r="AT430" s="3113"/>
      <c r="AU430" s="3114"/>
      <c r="AV430" s="1580">
        <f t="shared" si="243"/>
        <v>0</v>
      </c>
      <c r="AW430" s="1580">
        <f t="shared" si="244"/>
        <v>0</v>
      </c>
      <c r="AX430" s="1580">
        <f t="shared" si="245"/>
        <v>0</v>
      </c>
      <c r="AY430" s="3128">
        <f t="shared" si="246"/>
        <v>0</v>
      </c>
      <c r="AZ430" s="3083">
        <f t="shared" si="247"/>
        <v>0</v>
      </c>
      <c r="BA430" s="3083">
        <f t="shared" si="248"/>
        <v>0</v>
      </c>
      <c r="BB430" s="3083">
        <f t="shared" si="249"/>
        <v>0</v>
      </c>
      <c r="BC430" s="3083">
        <f t="shared" si="250"/>
        <v>0</v>
      </c>
      <c r="BD430" s="3083">
        <f t="shared" si="251"/>
        <v>0</v>
      </c>
      <c r="BE430" s="3083">
        <f t="shared" si="252"/>
        <v>0</v>
      </c>
      <c r="BF430" s="3083">
        <f t="shared" si="253"/>
        <v>0</v>
      </c>
      <c r="BG430" s="3083">
        <f t="shared" si="254"/>
        <v>0</v>
      </c>
      <c r="BH430" s="3083">
        <f t="shared" si="255"/>
        <v>0</v>
      </c>
      <c r="BI430" s="3083">
        <f t="shared" si="256"/>
        <v>0</v>
      </c>
      <c r="BJ430" s="3083">
        <f t="shared" si="257"/>
        <v>0</v>
      </c>
      <c r="BK430" s="3083">
        <f t="shared" si="258"/>
        <v>0</v>
      </c>
      <c r="BL430" s="3083">
        <f t="shared" si="259"/>
        <v>0</v>
      </c>
      <c r="BM430" s="3083">
        <f t="shared" si="260"/>
        <v>0</v>
      </c>
      <c r="BN430" s="3083">
        <f t="shared" si="261"/>
        <v>0</v>
      </c>
      <c r="BO430" s="3083">
        <f t="shared" si="262"/>
        <v>0</v>
      </c>
      <c r="BP430" s="3083">
        <f t="shared" si="263"/>
        <v>0</v>
      </c>
      <c r="BQ430" s="3083">
        <f t="shared" si="264"/>
        <v>0</v>
      </c>
      <c r="BR430" s="3083">
        <f t="shared" si="265"/>
        <v>0</v>
      </c>
      <c r="BS430" s="3083">
        <f t="shared" si="266"/>
        <v>0</v>
      </c>
      <c r="BT430" s="3135">
        <f t="shared" si="267"/>
        <v>0</v>
      </c>
    </row>
    <row r="431" spans="1:72">
      <c r="A431" s="3080"/>
      <c r="B431" s="3081"/>
      <c r="C431" s="3081"/>
      <c r="D431" s="3082"/>
      <c r="E431" s="3083">
        <f t="shared" si="239"/>
        <v>0</v>
      </c>
      <c r="F431" s="3084"/>
      <c r="G431" s="3085">
        <f t="shared" si="240"/>
        <v>0</v>
      </c>
      <c r="H431" s="3086">
        <f t="shared" si="241"/>
        <v>0</v>
      </c>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83">
        <f t="shared" si="242"/>
        <v>0</v>
      </c>
      <c r="AD431" s="3103"/>
      <c r="AE431" s="3103"/>
      <c r="AF431" s="3103"/>
      <c r="AG431" s="3103"/>
      <c r="AH431" s="3103"/>
      <c r="AI431" s="3103"/>
      <c r="AJ431" s="3103"/>
      <c r="AK431" s="3103"/>
      <c r="AL431" s="3103"/>
      <c r="AM431" s="3103"/>
      <c r="AN431" s="3103"/>
      <c r="AO431" s="3103"/>
      <c r="AP431" s="3103"/>
      <c r="AQ431" s="3103"/>
      <c r="AR431" s="3103"/>
      <c r="AS431" s="3103"/>
      <c r="AT431" s="3113"/>
      <c r="AU431" s="3114"/>
      <c r="AV431" s="1580">
        <f t="shared" si="243"/>
        <v>0</v>
      </c>
      <c r="AW431" s="1580">
        <f t="shared" si="244"/>
        <v>0</v>
      </c>
      <c r="AX431" s="1580">
        <f t="shared" si="245"/>
        <v>0</v>
      </c>
      <c r="AY431" s="3128">
        <f t="shared" si="246"/>
        <v>0</v>
      </c>
      <c r="AZ431" s="3083">
        <f t="shared" si="247"/>
        <v>0</v>
      </c>
      <c r="BA431" s="3083">
        <f t="shared" si="248"/>
        <v>0</v>
      </c>
      <c r="BB431" s="3083">
        <f t="shared" si="249"/>
        <v>0</v>
      </c>
      <c r="BC431" s="3083">
        <f t="shared" si="250"/>
        <v>0</v>
      </c>
      <c r="BD431" s="3083">
        <f t="shared" si="251"/>
        <v>0</v>
      </c>
      <c r="BE431" s="3083">
        <f t="shared" si="252"/>
        <v>0</v>
      </c>
      <c r="BF431" s="3083">
        <f t="shared" si="253"/>
        <v>0</v>
      </c>
      <c r="BG431" s="3083">
        <f t="shared" si="254"/>
        <v>0</v>
      </c>
      <c r="BH431" s="3083">
        <f t="shared" si="255"/>
        <v>0</v>
      </c>
      <c r="BI431" s="3083">
        <f t="shared" si="256"/>
        <v>0</v>
      </c>
      <c r="BJ431" s="3083">
        <f t="shared" si="257"/>
        <v>0</v>
      </c>
      <c r="BK431" s="3083">
        <f t="shared" si="258"/>
        <v>0</v>
      </c>
      <c r="BL431" s="3083">
        <f t="shared" si="259"/>
        <v>0</v>
      </c>
      <c r="BM431" s="3083">
        <f t="shared" si="260"/>
        <v>0</v>
      </c>
      <c r="BN431" s="3083">
        <f t="shared" si="261"/>
        <v>0</v>
      </c>
      <c r="BO431" s="3083">
        <f t="shared" si="262"/>
        <v>0</v>
      </c>
      <c r="BP431" s="3083">
        <f t="shared" si="263"/>
        <v>0</v>
      </c>
      <c r="BQ431" s="3083">
        <f t="shared" si="264"/>
        <v>0</v>
      </c>
      <c r="BR431" s="3083">
        <f t="shared" si="265"/>
        <v>0</v>
      </c>
      <c r="BS431" s="3083">
        <f t="shared" si="266"/>
        <v>0</v>
      </c>
      <c r="BT431" s="3135">
        <f t="shared" si="267"/>
        <v>0</v>
      </c>
    </row>
    <row r="432" spans="1:72">
      <c r="A432" s="3080"/>
      <c r="B432" s="3081"/>
      <c r="C432" s="3081"/>
      <c r="D432" s="3082"/>
      <c r="E432" s="3083">
        <f t="shared" si="239"/>
        <v>0</v>
      </c>
      <c r="F432" s="3084"/>
      <c r="G432" s="3085">
        <f t="shared" si="240"/>
        <v>0</v>
      </c>
      <c r="H432" s="3086">
        <f t="shared" si="241"/>
        <v>0</v>
      </c>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83">
        <f t="shared" si="242"/>
        <v>0</v>
      </c>
      <c r="AD432" s="3103"/>
      <c r="AE432" s="3103"/>
      <c r="AF432" s="3103"/>
      <c r="AG432" s="3103"/>
      <c r="AH432" s="3103"/>
      <c r="AI432" s="3103"/>
      <c r="AJ432" s="3103"/>
      <c r="AK432" s="3103"/>
      <c r="AL432" s="3103"/>
      <c r="AM432" s="3103"/>
      <c r="AN432" s="3103"/>
      <c r="AO432" s="3103"/>
      <c r="AP432" s="3103"/>
      <c r="AQ432" s="3103"/>
      <c r="AR432" s="3103"/>
      <c r="AS432" s="3103"/>
      <c r="AT432" s="3113"/>
      <c r="AU432" s="3114"/>
      <c r="AV432" s="1580">
        <f t="shared" si="243"/>
        <v>0</v>
      </c>
      <c r="AW432" s="1580">
        <f t="shared" si="244"/>
        <v>0</v>
      </c>
      <c r="AX432" s="1580">
        <f t="shared" si="245"/>
        <v>0</v>
      </c>
      <c r="AY432" s="3128">
        <f t="shared" si="246"/>
        <v>0</v>
      </c>
      <c r="AZ432" s="3083">
        <f t="shared" si="247"/>
        <v>0</v>
      </c>
      <c r="BA432" s="3083">
        <f t="shared" si="248"/>
        <v>0</v>
      </c>
      <c r="BB432" s="3083">
        <f t="shared" si="249"/>
        <v>0</v>
      </c>
      <c r="BC432" s="3083">
        <f t="shared" si="250"/>
        <v>0</v>
      </c>
      <c r="BD432" s="3083">
        <f t="shared" si="251"/>
        <v>0</v>
      </c>
      <c r="BE432" s="3083">
        <f t="shared" si="252"/>
        <v>0</v>
      </c>
      <c r="BF432" s="3083">
        <f t="shared" si="253"/>
        <v>0</v>
      </c>
      <c r="BG432" s="3083">
        <f t="shared" si="254"/>
        <v>0</v>
      </c>
      <c r="BH432" s="3083">
        <f t="shared" si="255"/>
        <v>0</v>
      </c>
      <c r="BI432" s="3083">
        <f t="shared" si="256"/>
        <v>0</v>
      </c>
      <c r="BJ432" s="3083">
        <f t="shared" si="257"/>
        <v>0</v>
      </c>
      <c r="BK432" s="3083">
        <f t="shared" si="258"/>
        <v>0</v>
      </c>
      <c r="BL432" s="3083">
        <f t="shared" si="259"/>
        <v>0</v>
      </c>
      <c r="BM432" s="3083">
        <f t="shared" si="260"/>
        <v>0</v>
      </c>
      <c r="BN432" s="3083">
        <f t="shared" si="261"/>
        <v>0</v>
      </c>
      <c r="BO432" s="3083">
        <f t="shared" si="262"/>
        <v>0</v>
      </c>
      <c r="BP432" s="3083">
        <f t="shared" si="263"/>
        <v>0</v>
      </c>
      <c r="BQ432" s="3083">
        <f t="shared" si="264"/>
        <v>0</v>
      </c>
      <c r="BR432" s="3083">
        <f t="shared" si="265"/>
        <v>0</v>
      </c>
      <c r="BS432" s="3083">
        <f t="shared" si="266"/>
        <v>0</v>
      </c>
      <c r="BT432" s="3135">
        <f t="shared" si="267"/>
        <v>0</v>
      </c>
    </row>
    <row r="433" spans="1:72">
      <c r="A433" s="3080"/>
      <c r="B433" s="3081"/>
      <c r="C433" s="3081"/>
      <c r="D433" s="3082"/>
      <c r="E433" s="3083">
        <f t="shared" si="239"/>
        <v>0</v>
      </c>
      <c r="F433" s="3084"/>
      <c r="G433" s="3085">
        <f t="shared" si="240"/>
        <v>0</v>
      </c>
      <c r="H433" s="3086">
        <f t="shared" si="241"/>
        <v>0</v>
      </c>
      <c r="I433" s="3093"/>
      <c r="J433" s="3093"/>
      <c r="K433" s="3093"/>
      <c r="L433" s="3093"/>
      <c r="M433" s="3093"/>
      <c r="N433" s="3093"/>
      <c r="O433" s="3093"/>
      <c r="P433" s="3093"/>
      <c r="Q433" s="3093"/>
      <c r="R433" s="3093"/>
      <c r="S433" s="3093"/>
      <c r="T433" s="3093"/>
      <c r="U433" s="3093"/>
      <c r="V433" s="3093"/>
      <c r="W433" s="3093"/>
      <c r="X433" s="3093"/>
      <c r="Y433" s="3093"/>
      <c r="Z433" s="3093"/>
      <c r="AA433" s="3093"/>
      <c r="AB433" s="3093"/>
      <c r="AC433" s="3083">
        <f t="shared" si="242"/>
        <v>0</v>
      </c>
      <c r="AD433" s="3103"/>
      <c r="AE433" s="3103"/>
      <c r="AF433" s="3103"/>
      <c r="AG433" s="3103"/>
      <c r="AH433" s="3103"/>
      <c r="AI433" s="3103"/>
      <c r="AJ433" s="3103"/>
      <c r="AK433" s="3103"/>
      <c r="AL433" s="3103"/>
      <c r="AM433" s="3103"/>
      <c r="AN433" s="3103"/>
      <c r="AO433" s="3103"/>
      <c r="AP433" s="3103"/>
      <c r="AQ433" s="3103"/>
      <c r="AR433" s="3103"/>
      <c r="AS433" s="3103"/>
      <c r="AT433" s="3113"/>
      <c r="AU433" s="3114"/>
      <c r="AV433" s="1580">
        <f t="shared" si="243"/>
        <v>0</v>
      </c>
      <c r="AW433" s="1580">
        <f t="shared" si="244"/>
        <v>0</v>
      </c>
      <c r="AX433" s="1580">
        <f t="shared" si="245"/>
        <v>0</v>
      </c>
      <c r="AY433" s="3128">
        <f t="shared" si="246"/>
        <v>0</v>
      </c>
      <c r="AZ433" s="3083">
        <f t="shared" si="247"/>
        <v>0</v>
      </c>
      <c r="BA433" s="3083">
        <f t="shared" si="248"/>
        <v>0</v>
      </c>
      <c r="BB433" s="3083">
        <f t="shared" si="249"/>
        <v>0</v>
      </c>
      <c r="BC433" s="3083">
        <f t="shared" si="250"/>
        <v>0</v>
      </c>
      <c r="BD433" s="3083">
        <f t="shared" si="251"/>
        <v>0</v>
      </c>
      <c r="BE433" s="3083">
        <f t="shared" si="252"/>
        <v>0</v>
      </c>
      <c r="BF433" s="3083">
        <f t="shared" si="253"/>
        <v>0</v>
      </c>
      <c r="BG433" s="3083">
        <f t="shared" si="254"/>
        <v>0</v>
      </c>
      <c r="BH433" s="3083">
        <f t="shared" si="255"/>
        <v>0</v>
      </c>
      <c r="BI433" s="3083">
        <f t="shared" si="256"/>
        <v>0</v>
      </c>
      <c r="BJ433" s="3083">
        <f t="shared" si="257"/>
        <v>0</v>
      </c>
      <c r="BK433" s="3083">
        <f t="shared" si="258"/>
        <v>0</v>
      </c>
      <c r="BL433" s="3083">
        <f t="shared" si="259"/>
        <v>0</v>
      </c>
      <c r="BM433" s="3083">
        <f t="shared" si="260"/>
        <v>0</v>
      </c>
      <c r="BN433" s="3083">
        <f t="shared" si="261"/>
        <v>0</v>
      </c>
      <c r="BO433" s="3083">
        <f t="shared" si="262"/>
        <v>0</v>
      </c>
      <c r="BP433" s="3083">
        <f t="shared" si="263"/>
        <v>0</v>
      </c>
      <c r="BQ433" s="3083">
        <f t="shared" si="264"/>
        <v>0</v>
      </c>
      <c r="BR433" s="3083">
        <f t="shared" si="265"/>
        <v>0</v>
      </c>
      <c r="BS433" s="3083">
        <f t="shared" si="266"/>
        <v>0</v>
      </c>
      <c r="BT433" s="3135">
        <f t="shared" si="267"/>
        <v>0</v>
      </c>
    </row>
    <row r="434" spans="1:72">
      <c r="A434" s="3080"/>
      <c r="B434" s="3081"/>
      <c r="C434" s="3081"/>
      <c r="D434" s="3082"/>
      <c r="E434" s="3083">
        <f t="shared" si="239"/>
        <v>0</v>
      </c>
      <c r="F434" s="3084"/>
      <c r="G434" s="3085">
        <f t="shared" si="240"/>
        <v>0</v>
      </c>
      <c r="H434" s="3086">
        <f t="shared" si="241"/>
        <v>0</v>
      </c>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83">
        <f t="shared" si="242"/>
        <v>0</v>
      </c>
      <c r="AD434" s="3103"/>
      <c r="AE434" s="3103"/>
      <c r="AF434" s="3103"/>
      <c r="AG434" s="3103"/>
      <c r="AH434" s="3103"/>
      <c r="AI434" s="3103"/>
      <c r="AJ434" s="3103"/>
      <c r="AK434" s="3103"/>
      <c r="AL434" s="3103"/>
      <c r="AM434" s="3103"/>
      <c r="AN434" s="3103"/>
      <c r="AO434" s="3103"/>
      <c r="AP434" s="3103"/>
      <c r="AQ434" s="3103"/>
      <c r="AR434" s="3103"/>
      <c r="AS434" s="3103"/>
      <c r="AT434" s="3113"/>
      <c r="AU434" s="3114"/>
      <c r="AV434" s="1580">
        <f t="shared" si="243"/>
        <v>0</v>
      </c>
      <c r="AW434" s="1580">
        <f t="shared" si="244"/>
        <v>0</v>
      </c>
      <c r="AX434" s="1580">
        <f t="shared" si="245"/>
        <v>0</v>
      </c>
      <c r="AY434" s="3128">
        <f t="shared" si="246"/>
        <v>0</v>
      </c>
      <c r="AZ434" s="3083">
        <f t="shared" si="247"/>
        <v>0</v>
      </c>
      <c r="BA434" s="3083">
        <f t="shared" si="248"/>
        <v>0</v>
      </c>
      <c r="BB434" s="3083">
        <f t="shared" si="249"/>
        <v>0</v>
      </c>
      <c r="BC434" s="3083">
        <f t="shared" si="250"/>
        <v>0</v>
      </c>
      <c r="BD434" s="3083">
        <f t="shared" si="251"/>
        <v>0</v>
      </c>
      <c r="BE434" s="3083">
        <f t="shared" si="252"/>
        <v>0</v>
      </c>
      <c r="BF434" s="3083">
        <f t="shared" si="253"/>
        <v>0</v>
      </c>
      <c r="BG434" s="3083">
        <f t="shared" si="254"/>
        <v>0</v>
      </c>
      <c r="BH434" s="3083">
        <f t="shared" si="255"/>
        <v>0</v>
      </c>
      <c r="BI434" s="3083">
        <f t="shared" si="256"/>
        <v>0</v>
      </c>
      <c r="BJ434" s="3083">
        <f t="shared" si="257"/>
        <v>0</v>
      </c>
      <c r="BK434" s="3083">
        <f t="shared" si="258"/>
        <v>0</v>
      </c>
      <c r="BL434" s="3083">
        <f t="shared" si="259"/>
        <v>0</v>
      </c>
      <c r="BM434" s="3083">
        <f t="shared" si="260"/>
        <v>0</v>
      </c>
      <c r="BN434" s="3083">
        <f t="shared" si="261"/>
        <v>0</v>
      </c>
      <c r="BO434" s="3083">
        <f t="shared" si="262"/>
        <v>0</v>
      </c>
      <c r="BP434" s="3083">
        <f t="shared" si="263"/>
        <v>0</v>
      </c>
      <c r="BQ434" s="3083">
        <f t="shared" si="264"/>
        <v>0</v>
      </c>
      <c r="BR434" s="3083">
        <f t="shared" si="265"/>
        <v>0</v>
      </c>
      <c r="BS434" s="3083">
        <f t="shared" si="266"/>
        <v>0</v>
      </c>
      <c r="BT434" s="3135">
        <f t="shared" si="267"/>
        <v>0</v>
      </c>
    </row>
    <row r="435" spans="1:72">
      <c r="A435" s="3080"/>
      <c r="B435" s="3081"/>
      <c r="C435" s="3081"/>
      <c r="D435" s="3082"/>
      <c r="E435" s="3083">
        <f t="shared" si="239"/>
        <v>0</v>
      </c>
      <c r="F435" s="3084"/>
      <c r="G435" s="3085">
        <f t="shared" si="240"/>
        <v>0</v>
      </c>
      <c r="H435" s="3086">
        <f t="shared" si="241"/>
        <v>0</v>
      </c>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83">
        <f t="shared" si="242"/>
        <v>0</v>
      </c>
      <c r="AD435" s="3103"/>
      <c r="AE435" s="3103"/>
      <c r="AF435" s="3103"/>
      <c r="AG435" s="3103"/>
      <c r="AH435" s="3103"/>
      <c r="AI435" s="3103"/>
      <c r="AJ435" s="3103"/>
      <c r="AK435" s="3103"/>
      <c r="AL435" s="3103"/>
      <c r="AM435" s="3103"/>
      <c r="AN435" s="3103"/>
      <c r="AO435" s="3103"/>
      <c r="AP435" s="3103"/>
      <c r="AQ435" s="3103"/>
      <c r="AR435" s="3103"/>
      <c r="AS435" s="3103"/>
      <c r="AT435" s="3113"/>
      <c r="AU435" s="3114"/>
      <c r="AV435" s="1580">
        <f t="shared" si="243"/>
        <v>0</v>
      </c>
      <c r="AW435" s="1580">
        <f t="shared" si="244"/>
        <v>0</v>
      </c>
      <c r="AX435" s="1580">
        <f t="shared" si="245"/>
        <v>0</v>
      </c>
      <c r="AY435" s="3128">
        <f t="shared" si="246"/>
        <v>0</v>
      </c>
      <c r="AZ435" s="3083">
        <f t="shared" si="247"/>
        <v>0</v>
      </c>
      <c r="BA435" s="3083">
        <f t="shared" si="248"/>
        <v>0</v>
      </c>
      <c r="BB435" s="3083">
        <f t="shared" si="249"/>
        <v>0</v>
      </c>
      <c r="BC435" s="3083">
        <f t="shared" si="250"/>
        <v>0</v>
      </c>
      <c r="BD435" s="3083">
        <f t="shared" si="251"/>
        <v>0</v>
      </c>
      <c r="BE435" s="3083">
        <f t="shared" si="252"/>
        <v>0</v>
      </c>
      <c r="BF435" s="3083">
        <f t="shared" si="253"/>
        <v>0</v>
      </c>
      <c r="BG435" s="3083">
        <f t="shared" si="254"/>
        <v>0</v>
      </c>
      <c r="BH435" s="3083">
        <f t="shared" si="255"/>
        <v>0</v>
      </c>
      <c r="BI435" s="3083">
        <f t="shared" si="256"/>
        <v>0</v>
      </c>
      <c r="BJ435" s="3083">
        <f t="shared" si="257"/>
        <v>0</v>
      </c>
      <c r="BK435" s="3083">
        <f t="shared" si="258"/>
        <v>0</v>
      </c>
      <c r="BL435" s="3083">
        <f t="shared" si="259"/>
        <v>0</v>
      </c>
      <c r="BM435" s="3083">
        <f t="shared" si="260"/>
        <v>0</v>
      </c>
      <c r="BN435" s="3083">
        <f t="shared" si="261"/>
        <v>0</v>
      </c>
      <c r="BO435" s="3083">
        <f t="shared" si="262"/>
        <v>0</v>
      </c>
      <c r="BP435" s="3083">
        <f t="shared" si="263"/>
        <v>0</v>
      </c>
      <c r="BQ435" s="3083">
        <f t="shared" si="264"/>
        <v>0</v>
      </c>
      <c r="BR435" s="3083">
        <f t="shared" si="265"/>
        <v>0</v>
      </c>
      <c r="BS435" s="3083">
        <f t="shared" si="266"/>
        <v>0</v>
      </c>
      <c r="BT435" s="3135">
        <f t="shared" si="267"/>
        <v>0</v>
      </c>
    </row>
    <row r="436" spans="1:72">
      <c r="A436" s="3080"/>
      <c r="B436" s="3081"/>
      <c r="C436" s="3081"/>
      <c r="D436" s="3082"/>
      <c r="E436" s="3083">
        <f t="shared" si="239"/>
        <v>0</v>
      </c>
      <c r="F436" s="3084"/>
      <c r="G436" s="3085">
        <f t="shared" si="240"/>
        <v>0</v>
      </c>
      <c r="H436" s="3086">
        <f t="shared" si="241"/>
        <v>0</v>
      </c>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83">
        <f t="shared" si="242"/>
        <v>0</v>
      </c>
      <c r="AD436" s="3103"/>
      <c r="AE436" s="3103"/>
      <c r="AF436" s="3103"/>
      <c r="AG436" s="3103"/>
      <c r="AH436" s="3103"/>
      <c r="AI436" s="3103"/>
      <c r="AJ436" s="3103"/>
      <c r="AK436" s="3103"/>
      <c r="AL436" s="3103"/>
      <c r="AM436" s="3103"/>
      <c r="AN436" s="3103"/>
      <c r="AO436" s="3103"/>
      <c r="AP436" s="3103"/>
      <c r="AQ436" s="3103"/>
      <c r="AR436" s="3103"/>
      <c r="AS436" s="3103"/>
      <c r="AT436" s="3113"/>
      <c r="AU436" s="3114"/>
      <c r="AV436" s="1580">
        <f t="shared" si="243"/>
        <v>0</v>
      </c>
      <c r="AW436" s="1580">
        <f t="shared" si="244"/>
        <v>0</v>
      </c>
      <c r="AX436" s="1580">
        <f t="shared" si="245"/>
        <v>0</v>
      </c>
      <c r="AY436" s="3128">
        <f t="shared" si="246"/>
        <v>0</v>
      </c>
      <c r="AZ436" s="3083">
        <f t="shared" si="247"/>
        <v>0</v>
      </c>
      <c r="BA436" s="3083">
        <f t="shared" si="248"/>
        <v>0</v>
      </c>
      <c r="BB436" s="3083">
        <f t="shared" si="249"/>
        <v>0</v>
      </c>
      <c r="BC436" s="3083">
        <f t="shared" si="250"/>
        <v>0</v>
      </c>
      <c r="BD436" s="3083">
        <f t="shared" si="251"/>
        <v>0</v>
      </c>
      <c r="BE436" s="3083">
        <f t="shared" si="252"/>
        <v>0</v>
      </c>
      <c r="BF436" s="3083">
        <f t="shared" si="253"/>
        <v>0</v>
      </c>
      <c r="BG436" s="3083">
        <f t="shared" si="254"/>
        <v>0</v>
      </c>
      <c r="BH436" s="3083">
        <f t="shared" si="255"/>
        <v>0</v>
      </c>
      <c r="BI436" s="3083">
        <f t="shared" si="256"/>
        <v>0</v>
      </c>
      <c r="BJ436" s="3083">
        <f t="shared" si="257"/>
        <v>0</v>
      </c>
      <c r="BK436" s="3083">
        <f t="shared" si="258"/>
        <v>0</v>
      </c>
      <c r="BL436" s="3083">
        <f t="shared" si="259"/>
        <v>0</v>
      </c>
      <c r="BM436" s="3083">
        <f t="shared" si="260"/>
        <v>0</v>
      </c>
      <c r="BN436" s="3083">
        <f t="shared" si="261"/>
        <v>0</v>
      </c>
      <c r="BO436" s="3083">
        <f t="shared" si="262"/>
        <v>0</v>
      </c>
      <c r="BP436" s="3083">
        <f t="shared" si="263"/>
        <v>0</v>
      </c>
      <c r="BQ436" s="3083">
        <f t="shared" si="264"/>
        <v>0</v>
      </c>
      <c r="BR436" s="3083">
        <f t="shared" si="265"/>
        <v>0</v>
      </c>
      <c r="BS436" s="3083">
        <f t="shared" si="266"/>
        <v>0</v>
      </c>
      <c r="BT436" s="3135">
        <f t="shared" si="267"/>
        <v>0</v>
      </c>
    </row>
    <row r="437" spans="1:72">
      <c r="A437" s="3080"/>
      <c r="B437" s="3081"/>
      <c r="C437" s="3081"/>
      <c r="D437" s="3082"/>
      <c r="E437" s="3083">
        <f t="shared" si="239"/>
        <v>0</v>
      </c>
      <c r="F437" s="3084"/>
      <c r="G437" s="3085">
        <f t="shared" si="240"/>
        <v>0</v>
      </c>
      <c r="H437" s="3086">
        <f t="shared" si="241"/>
        <v>0</v>
      </c>
      <c r="I437" s="3093"/>
      <c r="J437" s="3093"/>
      <c r="K437" s="3093"/>
      <c r="L437" s="3093"/>
      <c r="M437" s="3093"/>
      <c r="N437" s="3093"/>
      <c r="O437" s="3093"/>
      <c r="P437" s="3093"/>
      <c r="Q437" s="3093"/>
      <c r="R437" s="3093"/>
      <c r="S437" s="3093"/>
      <c r="T437" s="3093"/>
      <c r="U437" s="3093"/>
      <c r="V437" s="3093"/>
      <c r="W437" s="3093"/>
      <c r="X437" s="3093"/>
      <c r="Y437" s="3093"/>
      <c r="Z437" s="3093"/>
      <c r="AA437" s="3093"/>
      <c r="AB437" s="3093"/>
      <c r="AC437" s="3083">
        <f t="shared" si="242"/>
        <v>0</v>
      </c>
      <c r="AD437" s="3103"/>
      <c r="AE437" s="3103"/>
      <c r="AF437" s="3103"/>
      <c r="AG437" s="3103"/>
      <c r="AH437" s="3103"/>
      <c r="AI437" s="3103"/>
      <c r="AJ437" s="3103"/>
      <c r="AK437" s="3103"/>
      <c r="AL437" s="3103"/>
      <c r="AM437" s="3103"/>
      <c r="AN437" s="3103"/>
      <c r="AO437" s="3103"/>
      <c r="AP437" s="3103"/>
      <c r="AQ437" s="3103"/>
      <c r="AR437" s="3103"/>
      <c r="AS437" s="3103"/>
      <c r="AT437" s="3113"/>
      <c r="AU437" s="3114"/>
      <c r="AV437" s="1580">
        <f t="shared" si="243"/>
        <v>0</v>
      </c>
      <c r="AW437" s="1580">
        <f t="shared" si="244"/>
        <v>0</v>
      </c>
      <c r="AX437" s="1580">
        <f t="shared" si="245"/>
        <v>0</v>
      </c>
      <c r="AY437" s="3128">
        <f t="shared" si="246"/>
        <v>0</v>
      </c>
      <c r="AZ437" s="3083">
        <f t="shared" si="247"/>
        <v>0</v>
      </c>
      <c r="BA437" s="3083">
        <f t="shared" si="248"/>
        <v>0</v>
      </c>
      <c r="BB437" s="3083">
        <f t="shared" si="249"/>
        <v>0</v>
      </c>
      <c r="BC437" s="3083">
        <f t="shared" si="250"/>
        <v>0</v>
      </c>
      <c r="BD437" s="3083">
        <f t="shared" si="251"/>
        <v>0</v>
      </c>
      <c r="BE437" s="3083">
        <f t="shared" si="252"/>
        <v>0</v>
      </c>
      <c r="BF437" s="3083">
        <f t="shared" si="253"/>
        <v>0</v>
      </c>
      <c r="BG437" s="3083">
        <f t="shared" si="254"/>
        <v>0</v>
      </c>
      <c r="BH437" s="3083">
        <f t="shared" si="255"/>
        <v>0</v>
      </c>
      <c r="BI437" s="3083">
        <f t="shared" si="256"/>
        <v>0</v>
      </c>
      <c r="BJ437" s="3083">
        <f t="shared" si="257"/>
        <v>0</v>
      </c>
      <c r="BK437" s="3083">
        <f t="shared" si="258"/>
        <v>0</v>
      </c>
      <c r="BL437" s="3083">
        <f t="shared" si="259"/>
        <v>0</v>
      </c>
      <c r="BM437" s="3083">
        <f t="shared" si="260"/>
        <v>0</v>
      </c>
      <c r="BN437" s="3083">
        <f t="shared" si="261"/>
        <v>0</v>
      </c>
      <c r="BO437" s="3083">
        <f t="shared" si="262"/>
        <v>0</v>
      </c>
      <c r="BP437" s="3083">
        <f t="shared" si="263"/>
        <v>0</v>
      </c>
      <c r="BQ437" s="3083">
        <f t="shared" si="264"/>
        <v>0</v>
      </c>
      <c r="BR437" s="3083">
        <f t="shared" si="265"/>
        <v>0</v>
      </c>
      <c r="BS437" s="3083">
        <f t="shared" si="266"/>
        <v>0</v>
      </c>
      <c r="BT437" s="3135">
        <f t="shared" si="267"/>
        <v>0</v>
      </c>
    </row>
    <row r="438" spans="1:72">
      <c r="A438" s="3080"/>
      <c r="B438" s="3081"/>
      <c r="C438" s="3081"/>
      <c r="D438" s="3082"/>
      <c r="E438" s="3083">
        <f t="shared" si="239"/>
        <v>0</v>
      </c>
      <c r="F438" s="3084"/>
      <c r="G438" s="3085">
        <f t="shared" si="240"/>
        <v>0</v>
      </c>
      <c r="H438" s="3086">
        <f t="shared" si="241"/>
        <v>0</v>
      </c>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83">
        <f t="shared" si="242"/>
        <v>0</v>
      </c>
      <c r="AD438" s="3103"/>
      <c r="AE438" s="3103"/>
      <c r="AF438" s="3103"/>
      <c r="AG438" s="3103"/>
      <c r="AH438" s="3103"/>
      <c r="AI438" s="3103"/>
      <c r="AJ438" s="3103"/>
      <c r="AK438" s="3103"/>
      <c r="AL438" s="3103"/>
      <c r="AM438" s="3103"/>
      <c r="AN438" s="3103"/>
      <c r="AO438" s="3103"/>
      <c r="AP438" s="3103"/>
      <c r="AQ438" s="3103"/>
      <c r="AR438" s="3103"/>
      <c r="AS438" s="3103"/>
      <c r="AT438" s="3113"/>
      <c r="AU438" s="3114"/>
      <c r="AV438" s="1580">
        <f t="shared" si="243"/>
        <v>0</v>
      </c>
      <c r="AW438" s="1580">
        <f t="shared" si="244"/>
        <v>0</v>
      </c>
      <c r="AX438" s="1580">
        <f t="shared" si="245"/>
        <v>0</v>
      </c>
      <c r="AY438" s="3128">
        <f t="shared" si="246"/>
        <v>0</v>
      </c>
      <c r="AZ438" s="3083">
        <f t="shared" si="247"/>
        <v>0</v>
      </c>
      <c r="BA438" s="3083">
        <f t="shared" si="248"/>
        <v>0</v>
      </c>
      <c r="BB438" s="3083">
        <f t="shared" si="249"/>
        <v>0</v>
      </c>
      <c r="BC438" s="3083">
        <f t="shared" si="250"/>
        <v>0</v>
      </c>
      <c r="BD438" s="3083">
        <f t="shared" si="251"/>
        <v>0</v>
      </c>
      <c r="BE438" s="3083">
        <f t="shared" si="252"/>
        <v>0</v>
      </c>
      <c r="BF438" s="3083">
        <f t="shared" si="253"/>
        <v>0</v>
      </c>
      <c r="BG438" s="3083">
        <f t="shared" si="254"/>
        <v>0</v>
      </c>
      <c r="BH438" s="3083">
        <f t="shared" si="255"/>
        <v>0</v>
      </c>
      <c r="BI438" s="3083">
        <f t="shared" si="256"/>
        <v>0</v>
      </c>
      <c r="BJ438" s="3083">
        <f t="shared" si="257"/>
        <v>0</v>
      </c>
      <c r="BK438" s="3083">
        <f t="shared" si="258"/>
        <v>0</v>
      </c>
      <c r="BL438" s="3083">
        <f t="shared" si="259"/>
        <v>0</v>
      </c>
      <c r="BM438" s="3083">
        <f t="shared" si="260"/>
        <v>0</v>
      </c>
      <c r="BN438" s="3083">
        <f t="shared" si="261"/>
        <v>0</v>
      </c>
      <c r="BO438" s="3083">
        <f t="shared" si="262"/>
        <v>0</v>
      </c>
      <c r="BP438" s="3083">
        <f t="shared" si="263"/>
        <v>0</v>
      </c>
      <c r="BQ438" s="3083">
        <f t="shared" si="264"/>
        <v>0</v>
      </c>
      <c r="BR438" s="3083">
        <f t="shared" si="265"/>
        <v>0</v>
      </c>
      <c r="BS438" s="3083">
        <f t="shared" si="266"/>
        <v>0</v>
      </c>
      <c r="BT438" s="3135">
        <f t="shared" si="267"/>
        <v>0</v>
      </c>
    </row>
    <row r="439" spans="1:72">
      <c r="A439" s="3080"/>
      <c r="B439" s="3081"/>
      <c r="C439" s="3081"/>
      <c r="D439" s="3082"/>
      <c r="E439" s="3083">
        <f t="shared" si="239"/>
        <v>0</v>
      </c>
      <c r="F439" s="3084"/>
      <c r="G439" s="3085">
        <f t="shared" si="240"/>
        <v>0</v>
      </c>
      <c r="H439" s="3086">
        <f t="shared" si="241"/>
        <v>0</v>
      </c>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83">
        <f t="shared" si="242"/>
        <v>0</v>
      </c>
      <c r="AD439" s="3103"/>
      <c r="AE439" s="3103"/>
      <c r="AF439" s="3103"/>
      <c r="AG439" s="3103"/>
      <c r="AH439" s="3103"/>
      <c r="AI439" s="3103"/>
      <c r="AJ439" s="3103"/>
      <c r="AK439" s="3103"/>
      <c r="AL439" s="3103"/>
      <c r="AM439" s="3103"/>
      <c r="AN439" s="3103"/>
      <c r="AO439" s="3103"/>
      <c r="AP439" s="3103"/>
      <c r="AQ439" s="3103"/>
      <c r="AR439" s="3103"/>
      <c r="AS439" s="3103"/>
      <c r="AT439" s="3113"/>
      <c r="AU439" s="3114"/>
      <c r="AV439" s="1580">
        <f t="shared" si="243"/>
        <v>0</v>
      </c>
      <c r="AW439" s="1580">
        <f t="shared" si="244"/>
        <v>0</v>
      </c>
      <c r="AX439" s="1580">
        <f t="shared" si="245"/>
        <v>0</v>
      </c>
      <c r="AY439" s="3128">
        <f t="shared" si="246"/>
        <v>0</v>
      </c>
      <c r="AZ439" s="3083">
        <f t="shared" si="247"/>
        <v>0</v>
      </c>
      <c r="BA439" s="3083">
        <f t="shared" si="248"/>
        <v>0</v>
      </c>
      <c r="BB439" s="3083">
        <f t="shared" si="249"/>
        <v>0</v>
      </c>
      <c r="BC439" s="3083">
        <f t="shared" si="250"/>
        <v>0</v>
      </c>
      <c r="BD439" s="3083">
        <f t="shared" si="251"/>
        <v>0</v>
      </c>
      <c r="BE439" s="3083">
        <f t="shared" si="252"/>
        <v>0</v>
      </c>
      <c r="BF439" s="3083">
        <f t="shared" si="253"/>
        <v>0</v>
      </c>
      <c r="BG439" s="3083">
        <f t="shared" si="254"/>
        <v>0</v>
      </c>
      <c r="BH439" s="3083">
        <f t="shared" si="255"/>
        <v>0</v>
      </c>
      <c r="BI439" s="3083">
        <f t="shared" si="256"/>
        <v>0</v>
      </c>
      <c r="BJ439" s="3083">
        <f t="shared" si="257"/>
        <v>0</v>
      </c>
      <c r="BK439" s="3083">
        <f t="shared" si="258"/>
        <v>0</v>
      </c>
      <c r="BL439" s="3083">
        <f t="shared" si="259"/>
        <v>0</v>
      </c>
      <c r="BM439" s="3083">
        <f t="shared" si="260"/>
        <v>0</v>
      </c>
      <c r="BN439" s="3083">
        <f t="shared" si="261"/>
        <v>0</v>
      </c>
      <c r="BO439" s="3083">
        <f t="shared" si="262"/>
        <v>0</v>
      </c>
      <c r="BP439" s="3083">
        <f t="shared" si="263"/>
        <v>0</v>
      </c>
      <c r="BQ439" s="3083">
        <f t="shared" si="264"/>
        <v>0</v>
      </c>
      <c r="BR439" s="3083">
        <f t="shared" si="265"/>
        <v>0</v>
      </c>
      <c r="BS439" s="3083">
        <f t="shared" si="266"/>
        <v>0</v>
      </c>
      <c r="BT439" s="3135">
        <f t="shared" si="267"/>
        <v>0</v>
      </c>
    </row>
    <row r="440" spans="1:72">
      <c r="A440" s="3080"/>
      <c r="B440" s="3081"/>
      <c r="C440" s="3081"/>
      <c r="D440" s="3082"/>
      <c r="E440" s="3083">
        <f t="shared" si="239"/>
        <v>0</v>
      </c>
      <c r="F440" s="3084"/>
      <c r="G440" s="3085">
        <f t="shared" si="240"/>
        <v>0</v>
      </c>
      <c r="H440" s="3086">
        <f t="shared" si="241"/>
        <v>0</v>
      </c>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83">
        <f t="shared" si="242"/>
        <v>0</v>
      </c>
      <c r="AD440" s="3103"/>
      <c r="AE440" s="3103"/>
      <c r="AF440" s="3103"/>
      <c r="AG440" s="3103"/>
      <c r="AH440" s="3103"/>
      <c r="AI440" s="3103"/>
      <c r="AJ440" s="3103"/>
      <c r="AK440" s="3103"/>
      <c r="AL440" s="3103"/>
      <c r="AM440" s="3103"/>
      <c r="AN440" s="3103"/>
      <c r="AO440" s="3103"/>
      <c r="AP440" s="3103"/>
      <c r="AQ440" s="3103"/>
      <c r="AR440" s="3103"/>
      <c r="AS440" s="3103"/>
      <c r="AT440" s="3113"/>
      <c r="AU440" s="3114"/>
      <c r="AV440" s="1580">
        <f t="shared" si="243"/>
        <v>0</v>
      </c>
      <c r="AW440" s="1580">
        <f t="shared" si="244"/>
        <v>0</v>
      </c>
      <c r="AX440" s="1580">
        <f t="shared" si="245"/>
        <v>0</v>
      </c>
      <c r="AY440" s="3128">
        <f t="shared" si="246"/>
        <v>0</v>
      </c>
      <c r="AZ440" s="3083">
        <f t="shared" si="247"/>
        <v>0</v>
      </c>
      <c r="BA440" s="3083">
        <f t="shared" si="248"/>
        <v>0</v>
      </c>
      <c r="BB440" s="3083">
        <f t="shared" si="249"/>
        <v>0</v>
      </c>
      <c r="BC440" s="3083">
        <f t="shared" si="250"/>
        <v>0</v>
      </c>
      <c r="BD440" s="3083">
        <f t="shared" si="251"/>
        <v>0</v>
      </c>
      <c r="BE440" s="3083">
        <f t="shared" si="252"/>
        <v>0</v>
      </c>
      <c r="BF440" s="3083">
        <f t="shared" si="253"/>
        <v>0</v>
      </c>
      <c r="BG440" s="3083">
        <f t="shared" si="254"/>
        <v>0</v>
      </c>
      <c r="BH440" s="3083">
        <f t="shared" si="255"/>
        <v>0</v>
      </c>
      <c r="BI440" s="3083">
        <f t="shared" si="256"/>
        <v>0</v>
      </c>
      <c r="BJ440" s="3083">
        <f t="shared" si="257"/>
        <v>0</v>
      </c>
      <c r="BK440" s="3083">
        <f t="shared" si="258"/>
        <v>0</v>
      </c>
      <c r="BL440" s="3083">
        <f t="shared" si="259"/>
        <v>0</v>
      </c>
      <c r="BM440" s="3083">
        <f t="shared" si="260"/>
        <v>0</v>
      </c>
      <c r="BN440" s="3083">
        <f t="shared" si="261"/>
        <v>0</v>
      </c>
      <c r="BO440" s="3083">
        <f t="shared" si="262"/>
        <v>0</v>
      </c>
      <c r="BP440" s="3083">
        <f t="shared" si="263"/>
        <v>0</v>
      </c>
      <c r="BQ440" s="3083">
        <f t="shared" si="264"/>
        <v>0</v>
      </c>
      <c r="BR440" s="3083">
        <f t="shared" si="265"/>
        <v>0</v>
      </c>
      <c r="BS440" s="3083">
        <f t="shared" si="266"/>
        <v>0</v>
      </c>
      <c r="BT440" s="3135">
        <f t="shared" si="267"/>
        <v>0</v>
      </c>
    </row>
    <row r="441" spans="1:72">
      <c r="A441" s="3080"/>
      <c r="B441" s="3081"/>
      <c r="C441" s="3081"/>
      <c r="D441" s="3082"/>
      <c r="E441" s="3083">
        <f t="shared" si="239"/>
        <v>0</v>
      </c>
      <c r="F441" s="3084"/>
      <c r="G441" s="3085">
        <f t="shared" si="240"/>
        <v>0</v>
      </c>
      <c r="H441" s="3086">
        <f t="shared" si="241"/>
        <v>0</v>
      </c>
      <c r="I441" s="3093"/>
      <c r="J441" s="3093"/>
      <c r="K441" s="3093"/>
      <c r="L441" s="3093"/>
      <c r="M441" s="3093"/>
      <c r="N441" s="3093"/>
      <c r="O441" s="3093"/>
      <c r="P441" s="3093"/>
      <c r="Q441" s="3093"/>
      <c r="R441" s="3093"/>
      <c r="S441" s="3093"/>
      <c r="T441" s="3093"/>
      <c r="U441" s="3093"/>
      <c r="V441" s="3093"/>
      <c r="W441" s="3093"/>
      <c r="X441" s="3093"/>
      <c r="Y441" s="3093"/>
      <c r="Z441" s="3093"/>
      <c r="AA441" s="3093"/>
      <c r="AB441" s="3093"/>
      <c r="AC441" s="3083">
        <f t="shared" si="242"/>
        <v>0</v>
      </c>
      <c r="AD441" s="3103"/>
      <c r="AE441" s="3103"/>
      <c r="AF441" s="3103"/>
      <c r="AG441" s="3103"/>
      <c r="AH441" s="3103"/>
      <c r="AI441" s="3103"/>
      <c r="AJ441" s="3103"/>
      <c r="AK441" s="3103"/>
      <c r="AL441" s="3103"/>
      <c r="AM441" s="3103"/>
      <c r="AN441" s="3103"/>
      <c r="AO441" s="3103"/>
      <c r="AP441" s="3103"/>
      <c r="AQ441" s="3103"/>
      <c r="AR441" s="3103"/>
      <c r="AS441" s="3103"/>
      <c r="AT441" s="3113"/>
      <c r="AU441" s="3114"/>
      <c r="AV441" s="1580">
        <f t="shared" si="243"/>
        <v>0</v>
      </c>
      <c r="AW441" s="1580">
        <f t="shared" si="244"/>
        <v>0</v>
      </c>
      <c r="AX441" s="1580">
        <f t="shared" si="245"/>
        <v>0</v>
      </c>
      <c r="AY441" s="3128">
        <f t="shared" si="246"/>
        <v>0</v>
      </c>
      <c r="AZ441" s="3083">
        <f t="shared" si="247"/>
        <v>0</v>
      </c>
      <c r="BA441" s="3083">
        <f t="shared" si="248"/>
        <v>0</v>
      </c>
      <c r="BB441" s="3083">
        <f t="shared" si="249"/>
        <v>0</v>
      </c>
      <c r="BC441" s="3083">
        <f t="shared" si="250"/>
        <v>0</v>
      </c>
      <c r="BD441" s="3083">
        <f t="shared" si="251"/>
        <v>0</v>
      </c>
      <c r="BE441" s="3083">
        <f t="shared" si="252"/>
        <v>0</v>
      </c>
      <c r="BF441" s="3083">
        <f t="shared" si="253"/>
        <v>0</v>
      </c>
      <c r="BG441" s="3083">
        <f t="shared" si="254"/>
        <v>0</v>
      </c>
      <c r="BH441" s="3083">
        <f t="shared" si="255"/>
        <v>0</v>
      </c>
      <c r="BI441" s="3083">
        <f t="shared" si="256"/>
        <v>0</v>
      </c>
      <c r="BJ441" s="3083">
        <f t="shared" si="257"/>
        <v>0</v>
      </c>
      <c r="BK441" s="3083">
        <f t="shared" si="258"/>
        <v>0</v>
      </c>
      <c r="BL441" s="3083">
        <f t="shared" si="259"/>
        <v>0</v>
      </c>
      <c r="BM441" s="3083">
        <f t="shared" si="260"/>
        <v>0</v>
      </c>
      <c r="BN441" s="3083">
        <f t="shared" si="261"/>
        <v>0</v>
      </c>
      <c r="BO441" s="3083">
        <f t="shared" si="262"/>
        <v>0</v>
      </c>
      <c r="BP441" s="3083">
        <f t="shared" si="263"/>
        <v>0</v>
      </c>
      <c r="BQ441" s="3083">
        <f t="shared" si="264"/>
        <v>0</v>
      </c>
      <c r="BR441" s="3083">
        <f t="shared" si="265"/>
        <v>0</v>
      </c>
      <c r="BS441" s="3083">
        <f t="shared" si="266"/>
        <v>0</v>
      </c>
      <c r="BT441" s="3135">
        <f t="shared" si="267"/>
        <v>0</v>
      </c>
    </row>
    <row r="442" spans="1:72">
      <c r="A442" s="3080"/>
      <c r="B442" s="3081"/>
      <c r="C442" s="3081"/>
      <c r="D442" s="3082"/>
      <c r="E442" s="3083">
        <f t="shared" si="239"/>
        <v>0</v>
      </c>
      <c r="F442" s="3084"/>
      <c r="G442" s="3085">
        <f t="shared" si="240"/>
        <v>0</v>
      </c>
      <c r="H442" s="3086">
        <f t="shared" si="241"/>
        <v>0</v>
      </c>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83">
        <f t="shared" si="242"/>
        <v>0</v>
      </c>
      <c r="AD442" s="3103"/>
      <c r="AE442" s="3103"/>
      <c r="AF442" s="3103"/>
      <c r="AG442" s="3103"/>
      <c r="AH442" s="3103"/>
      <c r="AI442" s="3103"/>
      <c r="AJ442" s="3103"/>
      <c r="AK442" s="3103"/>
      <c r="AL442" s="3103"/>
      <c r="AM442" s="3103"/>
      <c r="AN442" s="3103"/>
      <c r="AO442" s="3103"/>
      <c r="AP442" s="3103"/>
      <c r="AQ442" s="3103"/>
      <c r="AR442" s="3103"/>
      <c r="AS442" s="3103"/>
      <c r="AT442" s="3113"/>
      <c r="AU442" s="3114"/>
      <c r="AV442" s="1580">
        <f t="shared" si="243"/>
        <v>0</v>
      </c>
      <c r="AW442" s="1580">
        <f t="shared" si="244"/>
        <v>0</v>
      </c>
      <c r="AX442" s="1580">
        <f t="shared" si="245"/>
        <v>0</v>
      </c>
      <c r="AY442" s="3128">
        <f t="shared" si="246"/>
        <v>0</v>
      </c>
      <c r="AZ442" s="3083">
        <f t="shared" si="247"/>
        <v>0</v>
      </c>
      <c r="BA442" s="3083">
        <f t="shared" si="248"/>
        <v>0</v>
      </c>
      <c r="BB442" s="3083">
        <f t="shared" si="249"/>
        <v>0</v>
      </c>
      <c r="BC442" s="3083">
        <f t="shared" si="250"/>
        <v>0</v>
      </c>
      <c r="BD442" s="3083">
        <f t="shared" si="251"/>
        <v>0</v>
      </c>
      <c r="BE442" s="3083">
        <f t="shared" si="252"/>
        <v>0</v>
      </c>
      <c r="BF442" s="3083">
        <f t="shared" si="253"/>
        <v>0</v>
      </c>
      <c r="BG442" s="3083">
        <f t="shared" si="254"/>
        <v>0</v>
      </c>
      <c r="BH442" s="3083">
        <f t="shared" si="255"/>
        <v>0</v>
      </c>
      <c r="BI442" s="3083">
        <f t="shared" si="256"/>
        <v>0</v>
      </c>
      <c r="BJ442" s="3083">
        <f t="shared" si="257"/>
        <v>0</v>
      </c>
      <c r="BK442" s="3083">
        <f t="shared" si="258"/>
        <v>0</v>
      </c>
      <c r="BL442" s="3083">
        <f t="shared" si="259"/>
        <v>0</v>
      </c>
      <c r="BM442" s="3083">
        <f t="shared" si="260"/>
        <v>0</v>
      </c>
      <c r="BN442" s="3083">
        <f t="shared" si="261"/>
        <v>0</v>
      </c>
      <c r="BO442" s="3083">
        <f t="shared" si="262"/>
        <v>0</v>
      </c>
      <c r="BP442" s="3083">
        <f t="shared" si="263"/>
        <v>0</v>
      </c>
      <c r="BQ442" s="3083">
        <f t="shared" si="264"/>
        <v>0</v>
      </c>
      <c r="BR442" s="3083">
        <f t="shared" si="265"/>
        <v>0</v>
      </c>
      <c r="BS442" s="3083">
        <f t="shared" si="266"/>
        <v>0</v>
      </c>
      <c r="BT442" s="3135">
        <f t="shared" si="267"/>
        <v>0</v>
      </c>
    </row>
    <row r="443" spans="1:72">
      <c r="A443" s="3080"/>
      <c r="B443" s="3081"/>
      <c r="C443" s="3081"/>
      <c r="D443" s="3082"/>
      <c r="E443" s="3083">
        <f t="shared" si="239"/>
        <v>0</v>
      </c>
      <c r="F443" s="3084"/>
      <c r="G443" s="3085">
        <f t="shared" si="240"/>
        <v>0</v>
      </c>
      <c r="H443" s="3086">
        <f t="shared" si="241"/>
        <v>0</v>
      </c>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83">
        <f t="shared" si="242"/>
        <v>0</v>
      </c>
      <c r="AD443" s="3103"/>
      <c r="AE443" s="3103"/>
      <c r="AF443" s="3103"/>
      <c r="AG443" s="3103"/>
      <c r="AH443" s="3103"/>
      <c r="AI443" s="3103"/>
      <c r="AJ443" s="3103"/>
      <c r="AK443" s="3103"/>
      <c r="AL443" s="3103"/>
      <c r="AM443" s="3103"/>
      <c r="AN443" s="3103"/>
      <c r="AO443" s="3103"/>
      <c r="AP443" s="3103"/>
      <c r="AQ443" s="3103"/>
      <c r="AR443" s="3103"/>
      <c r="AS443" s="3103"/>
      <c r="AT443" s="3113"/>
      <c r="AU443" s="3114"/>
      <c r="AV443" s="1580">
        <f t="shared" si="243"/>
        <v>0</v>
      </c>
      <c r="AW443" s="1580">
        <f t="shared" si="244"/>
        <v>0</v>
      </c>
      <c r="AX443" s="1580">
        <f t="shared" si="245"/>
        <v>0</v>
      </c>
      <c r="AY443" s="3128">
        <f t="shared" si="246"/>
        <v>0</v>
      </c>
      <c r="AZ443" s="3083">
        <f t="shared" si="247"/>
        <v>0</v>
      </c>
      <c r="BA443" s="3083">
        <f t="shared" si="248"/>
        <v>0</v>
      </c>
      <c r="BB443" s="3083">
        <f t="shared" si="249"/>
        <v>0</v>
      </c>
      <c r="BC443" s="3083">
        <f t="shared" si="250"/>
        <v>0</v>
      </c>
      <c r="BD443" s="3083">
        <f t="shared" si="251"/>
        <v>0</v>
      </c>
      <c r="BE443" s="3083">
        <f t="shared" si="252"/>
        <v>0</v>
      </c>
      <c r="BF443" s="3083">
        <f t="shared" si="253"/>
        <v>0</v>
      </c>
      <c r="BG443" s="3083">
        <f t="shared" si="254"/>
        <v>0</v>
      </c>
      <c r="BH443" s="3083">
        <f t="shared" si="255"/>
        <v>0</v>
      </c>
      <c r="BI443" s="3083">
        <f t="shared" si="256"/>
        <v>0</v>
      </c>
      <c r="BJ443" s="3083">
        <f t="shared" si="257"/>
        <v>0</v>
      </c>
      <c r="BK443" s="3083">
        <f t="shared" si="258"/>
        <v>0</v>
      </c>
      <c r="BL443" s="3083">
        <f t="shared" si="259"/>
        <v>0</v>
      </c>
      <c r="BM443" s="3083">
        <f t="shared" si="260"/>
        <v>0</v>
      </c>
      <c r="BN443" s="3083">
        <f t="shared" si="261"/>
        <v>0</v>
      </c>
      <c r="BO443" s="3083">
        <f t="shared" si="262"/>
        <v>0</v>
      </c>
      <c r="BP443" s="3083">
        <f t="shared" si="263"/>
        <v>0</v>
      </c>
      <c r="BQ443" s="3083">
        <f t="shared" si="264"/>
        <v>0</v>
      </c>
      <c r="BR443" s="3083">
        <f t="shared" si="265"/>
        <v>0</v>
      </c>
      <c r="BS443" s="3083">
        <f t="shared" si="266"/>
        <v>0</v>
      </c>
      <c r="BT443" s="3135">
        <f t="shared" si="267"/>
        <v>0</v>
      </c>
    </row>
    <row r="444" spans="1:72">
      <c r="A444" s="3080"/>
      <c r="B444" s="3081"/>
      <c r="C444" s="3081"/>
      <c r="D444" s="3082"/>
      <c r="E444" s="3083">
        <f t="shared" si="239"/>
        <v>0</v>
      </c>
      <c r="F444" s="3084"/>
      <c r="G444" s="3085">
        <f t="shared" si="240"/>
        <v>0</v>
      </c>
      <c r="H444" s="3086">
        <f t="shared" si="241"/>
        <v>0</v>
      </c>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83">
        <f t="shared" si="242"/>
        <v>0</v>
      </c>
      <c r="AD444" s="3103"/>
      <c r="AE444" s="3103"/>
      <c r="AF444" s="3103"/>
      <c r="AG444" s="3103"/>
      <c r="AH444" s="3103"/>
      <c r="AI444" s="3103"/>
      <c r="AJ444" s="3103"/>
      <c r="AK444" s="3103"/>
      <c r="AL444" s="3103"/>
      <c r="AM444" s="3103"/>
      <c r="AN444" s="3103"/>
      <c r="AO444" s="3103"/>
      <c r="AP444" s="3103"/>
      <c r="AQ444" s="3103"/>
      <c r="AR444" s="3103"/>
      <c r="AS444" s="3103"/>
      <c r="AT444" s="3113"/>
      <c r="AU444" s="3114"/>
      <c r="AV444" s="1580">
        <f t="shared" si="243"/>
        <v>0</v>
      </c>
      <c r="AW444" s="1580">
        <f t="shared" si="244"/>
        <v>0</v>
      </c>
      <c r="AX444" s="1580">
        <f t="shared" si="245"/>
        <v>0</v>
      </c>
      <c r="AY444" s="3128">
        <f t="shared" si="246"/>
        <v>0</v>
      </c>
      <c r="AZ444" s="3083">
        <f t="shared" si="247"/>
        <v>0</v>
      </c>
      <c r="BA444" s="3083">
        <f t="shared" si="248"/>
        <v>0</v>
      </c>
      <c r="BB444" s="3083">
        <f t="shared" si="249"/>
        <v>0</v>
      </c>
      <c r="BC444" s="3083">
        <f t="shared" si="250"/>
        <v>0</v>
      </c>
      <c r="BD444" s="3083">
        <f t="shared" si="251"/>
        <v>0</v>
      </c>
      <c r="BE444" s="3083">
        <f t="shared" si="252"/>
        <v>0</v>
      </c>
      <c r="BF444" s="3083">
        <f t="shared" si="253"/>
        <v>0</v>
      </c>
      <c r="BG444" s="3083">
        <f t="shared" si="254"/>
        <v>0</v>
      </c>
      <c r="BH444" s="3083">
        <f t="shared" si="255"/>
        <v>0</v>
      </c>
      <c r="BI444" s="3083">
        <f t="shared" si="256"/>
        <v>0</v>
      </c>
      <c r="BJ444" s="3083">
        <f t="shared" si="257"/>
        <v>0</v>
      </c>
      <c r="BK444" s="3083">
        <f t="shared" si="258"/>
        <v>0</v>
      </c>
      <c r="BL444" s="3083">
        <f t="shared" si="259"/>
        <v>0</v>
      </c>
      <c r="BM444" s="3083">
        <f t="shared" si="260"/>
        <v>0</v>
      </c>
      <c r="BN444" s="3083">
        <f t="shared" si="261"/>
        <v>0</v>
      </c>
      <c r="BO444" s="3083">
        <f t="shared" si="262"/>
        <v>0</v>
      </c>
      <c r="BP444" s="3083">
        <f t="shared" si="263"/>
        <v>0</v>
      </c>
      <c r="BQ444" s="3083">
        <f t="shared" si="264"/>
        <v>0</v>
      </c>
      <c r="BR444" s="3083">
        <f t="shared" si="265"/>
        <v>0</v>
      </c>
      <c r="BS444" s="3083">
        <f t="shared" si="266"/>
        <v>0</v>
      </c>
      <c r="BT444" s="3135">
        <f t="shared" si="267"/>
        <v>0</v>
      </c>
    </row>
    <row r="445" spans="1:72">
      <c r="A445" s="3080"/>
      <c r="B445" s="3081"/>
      <c r="C445" s="3081"/>
      <c r="D445" s="3082"/>
      <c r="E445" s="3083">
        <f t="shared" si="239"/>
        <v>0</v>
      </c>
      <c r="F445" s="3084"/>
      <c r="G445" s="3085">
        <f t="shared" si="240"/>
        <v>0</v>
      </c>
      <c r="H445" s="3086">
        <f t="shared" si="241"/>
        <v>0</v>
      </c>
      <c r="I445" s="3093"/>
      <c r="J445" s="3093"/>
      <c r="K445" s="3093"/>
      <c r="L445" s="3093"/>
      <c r="M445" s="3093"/>
      <c r="N445" s="3093"/>
      <c r="O445" s="3093"/>
      <c r="P445" s="3093"/>
      <c r="Q445" s="3093"/>
      <c r="R445" s="3093"/>
      <c r="S445" s="3093"/>
      <c r="T445" s="3093"/>
      <c r="U445" s="3093"/>
      <c r="V445" s="3093"/>
      <c r="W445" s="3093"/>
      <c r="X445" s="3093"/>
      <c r="Y445" s="3093"/>
      <c r="Z445" s="3093"/>
      <c r="AA445" s="3093"/>
      <c r="AB445" s="3093"/>
      <c r="AC445" s="3083">
        <f t="shared" si="242"/>
        <v>0</v>
      </c>
      <c r="AD445" s="3103"/>
      <c r="AE445" s="3103"/>
      <c r="AF445" s="3103"/>
      <c r="AG445" s="3103"/>
      <c r="AH445" s="3103"/>
      <c r="AI445" s="3103"/>
      <c r="AJ445" s="3103"/>
      <c r="AK445" s="3103"/>
      <c r="AL445" s="3103"/>
      <c r="AM445" s="3103"/>
      <c r="AN445" s="3103"/>
      <c r="AO445" s="3103"/>
      <c r="AP445" s="3103"/>
      <c r="AQ445" s="3103"/>
      <c r="AR445" s="3103"/>
      <c r="AS445" s="3103"/>
      <c r="AT445" s="3113"/>
      <c r="AU445" s="3114"/>
      <c r="AV445" s="1580">
        <f t="shared" si="243"/>
        <v>0</v>
      </c>
      <c r="AW445" s="1580">
        <f t="shared" si="244"/>
        <v>0</v>
      </c>
      <c r="AX445" s="1580">
        <f t="shared" si="245"/>
        <v>0</v>
      </c>
      <c r="AY445" s="3128">
        <f t="shared" si="246"/>
        <v>0</v>
      </c>
      <c r="AZ445" s="3083">
        <f t="shared" si="247"/>
        <v>0</v>
      </c>
      <c r="BA445" s="3083">
        <f t="shared" si="248"/>
        <v>0</v>
      </c>
      <c r="BB445" s="3083">
        <f t="shared" si="249"/>
        <v>0</v>
      </c>
      <c r="BC445" s="3083">
        <f t="shared" si="250"/>
        <v>0</v>
      </c>
      <c r="BD445" s="3083">
        <f t="shared" si="251"/>
        <v>0</v>
      </c>
      <c r="BE445" s="3083">
        <f t="shared" si="252"/>
        <v>0</v>
      </c>
      <c r="BF445" s="3083">
        <f t="shared" si="253"/>
        <v>0</v>
      </c>
      <c r="BG445" s="3083">
        <f t="shared" si="254"/>
        <v>0</v>
      </c>
      <c r="BH445" s="3083">
        <f t="shared" si="255"/>
        <v>0</v>
      </c>
      <c r="BI445" s="3083">
        <f t="shared" si="256"/>
        <v>0</v>
      </c>
      <c r="BJ445" s="3083">
        <f t="shared" si="257"/>
        <v>0</v>
      </c>
      <c r="BK445" s="3083">
        <f t="shared" si="258"/>
        <v>0</v>
      </c>
      <c r="BL445" s="3083">
        <f t="shared" si="259"/>
        <v>0</v>
      </c>
      <c r="BM445" s="3083">
        <f t="shared" si="260"/>
        <v>0</v>
      </c>
      <c r="BN445" s="3083">
        <f t="shared" si="261"/>
        <v>0</v>
      </c>
      <c r="BO445" s="3083">
        <f t="shared" si="262"/>
        <v>0</v>
      </c>
      <c r="BP445" s="3083">
        <f t="shared" si="263"/>
        <v>0</v>
      </c>
      <c r="BQ445" s="3083">
        <f t="shared" si="264"/>
        <v>0</v>
      </c>
      <c r="BR445" s="3083">
        <f t="shared" si="265"/>
        <v>0</v>
      </c>
      <c r="BS445" s="3083">
        <f t="shared" si="266"/>
        <v>0</v>
      </c>
      <c r="BT445" s="3135">
        <f t="shared" si="267"/>
        <v>0</v>
      </c>
    </row>
    <row r="446" spans="1:72">
      <c r="A446" s="3080"/>
      <c r="B446" s="3081"/>
      <c r="C446" s="3081"/>
      <c r="D446" s="3082"/>
      <c r="E446" s="3083">
        <f t="shared" si="239"/>
        <v>0</v>
      </c>
      <c r="F446" s="3084"/>
      <c r="G446" s="3085">
        <f t="shared" si="240"/>
        <v>0</v>
      </c>
      <c r="H446" s="3086">
        <f t="shared" si="241"/>
        <v>0</v>
      </c>
      <c r="I446" s="3093"/>
      <c r="J446" s="3093"/>
      <c r="K446" s="3093"/>
      <c r="L446" s="3093"/>
      <c r="M446" s="3093"/>
      <c r="N446" s="3093"/>
      <c r="O446" s="3093"/>
      <c r="P446" s="3093"/>
      <c r="Q446" s="3093"/>
      <c r="R446" s="3093"/>
      <c r="S446" s="3093"/>
      <c r="T446" s="3093"/>
      <c r="U446" s="3093"/>
      <c r="V446" s="3093"/>
      <c r="W446" s="3093"/>
      <c r="X446" s="3093"/>
      <c r="Y446" s="3093"/>
      <c r="Z446" s="3093"/>
      <c r="AA446" s="3093"/>
      <c r="AB446" s="3093"/>
      <c r="AC446" s="3083">
        <f t="shared" si="242"/>
        <v>0</v>
      </c>
      <c r="AD446" s="3103"/>
      <c r="AE446" s="3103"/>
      <c r="AF446" s="3103"/>
      <c r="AG446" s="3103"/>
      <c r="AH446" s="3103"/>
      <c r="AI446" s="3103"/>
      <c r="AJ446" s="3103"/>
      <c r="AK446" s="3103"/>
      <c r="AL446" s="3103"/>
      <c r="AM446" s="3103"/>
      <c r="AN446" s="3103"/>
      <c r="AO446" s="3103"/>
      <c r="AP446" s="3103"/>
      <c r="AQ446" s="3103"/>
      <c r="AR446" s="3103"/>
      <c r="AS446" s="3103"/>
      <c r="AT446" s="3113"/>
      <c r="AU446" s="3114"/>
      <c r="AV446" s="1580">
        <f t="shared" si="243"/>
        <v>0</v>
      </c>
      <c r="AW446" s="1580">
        <f t="shared" si="244"/>
        <v>0</v>
      </c>
      <c r="AX446" s="1580">
        <f t="shared" si="245"/>
        <v>0</v>
      </c>
      <c r="AY446" s="3128">
        <f t="shared" si="246"/>
        <v>0</v>
      </c>
      <c r="AZ446" s="3083">
        <f t="shared" si="247"/>
        <v>0</v>
      </c>
      <c r="BA446" s="3083">
        <f t="shared" si="248"/>
        <v>0</v>
      </c>
      <c r="BB446" s="3083">
        <f t="shared" si="249"/>
        <v>0</v>
      </c>
      <c r="BC446" s="3083">
        <f t="shared" si="250"/>
        <v>0</v>
      </c>
      <c r="BD446" s="3083">
        <f t="shared" si="251"/>
        <v>0</v>
      </c>
      <c r="BE446" s="3083">
        <f t="shared" si="252"/>
        <v>0</v>
      </c>
      <c r="BF446" s="3083">
        <f t="shared" si="253"/>
        <v>0</v>
      </c>
      <c r="BG446" s="3083">
        <f t="shared" si="254"/>
        <v>0</v>
      </c>
      <c r="BH446" s="3083">
        <f t="shared" si="255"/>
        <v>0</v>
      </c>
      <c r="BI446" s="3083">
        <f t="shared" si="256"/>
        <v>0</v>
      </c>
      <c r="BJ446" s="3083">
        <f t="shared" si="257"/>
        <v>0</v>
      </c>
      <c r="BK446" s="3083">
        <f t="shared" si="258"/>
        <v>0</v>
      </c>
      <c r="BL446" s="3083">
        <f t="shared" si="259"/>
        <v>0</v>
      </c>
      <c r="BM446" s="3083">
        <f t="shared" si="260"/>
        <v>0</v>
      </c>
      <c r="BN446" s="3083">
        <f t="shared" si="261"/>
        <v>0</v>
      </c>
      <c r="BO446" s="3083">
        <f t="shared" si="262"/>
        <v>0</v>
      </c>
      <c r="BP446" s="3083">
        <f t="shared" si="263"/>
        <v>0</v>
      </c>
      <c r="BQ446" s="3083">
        <f t="shared" si="264"/>
        <v>0</v>
      </c>
      <c r="BR446" s="3083">
        <f t="shared" si="265"/>
        <v>0</v>
      </c>
      <c r="BS446" s="3083">
        <f t="shared" si="266"/>
        <v>0</v>
      </c>
      <c r="BT446" s="3135">
        <f t="shared" si="267"/>
        <v>0</v>
      </c>
    </row>
    <row r="447" spans="1:72">
      <c r="A447" s="3080"/>
      <c r="B447" s="3081"/>
      <c r="C447" s="3081"/>
      <c r="D447" s="3082"/>
      <c r="E447" s="3083">
        <f t="shared" si="239"/>
        <v>0</v>
      </c>
      <c r="F447" s="3084"/>
      <c r="G447" s="3085">
        <f t="shared" si="240"/>
        <v>0</v>
      </c>
      <c r="H447" s="3086">
        <f t="shared" si="241"/>
        <v>0</v>
      </c>
      <c r="I447" s="3093"/>
      <c r="J447" s="3093"/>
      <c r="K447" s="3093"/>
      <c r="L447" s="3093"/>
      <c r="M447" s="3093"/>
      <c r="N447" s="3093"/>
      <c r="O447" s="3093"/>
      <c r="P447" s="3093"/>
      <c r="Q447" s="3093"/>
      <c r="R447" s="3093"/>
      <c r="S447" s="3093"/>
      <c r="T447" s="3093"/>
      <c r="U447" s="3093"/>
      <c r="V447" s="3093"/>
      <c r="W447" s="3093"/>
      <c r="X447" s="3093"/>
      <c r="Y447" s="3093"/>
      <c r="Z447" s="3093"/>
      <c r="AA447" s="3093"/>
      <c r="AB447" s="3093"/>
      <c r="AC447" s="3083">
        <f t="shared" si="242"/>
        <v>0</v>
      </c>
      <c r="AD447" s="3103"/>
      <c r="AE447" s="3103"/>
      <c r="AF447" s="3103"/>
      <c r="AG447" s="3103"/>
      <c r="AH447" s="3103"/>
      <c r="AI447" s="3103"/>
      <c r="AJ447" s="3103"/>
      <c r="AK447" s="3103"/>
      <c r="AL447" s="3103"/>
      <c r="AM447" s="3103"/>
      <c r="AN447" s="3103"/>
      <c r="AO447" s="3103"/>
      <c r="AP447" s="3103"/>
      <c r="AQ447" s="3103"/>
      <c r="AR447" s="3103"/>
      <c r="AS447" s="3103"/>
      <c r="AT447" s="3113"/>
      <c r="AU447" s="3114"/>
      <c r="AV447" s="1580">
        <f t="shared" si="243"/>
        <v>0</v>
      </c>
      <c r="AW447" s="1580">
        <f t="shared" si="244"/>
        <v>0</v>
      </c>
      <c r="AX447" s="1580">
        <f t="shared" si="245"/>
        <v>0</v>
      </c>
      <c r="AY447" s="3128">
        <f t="shared" si="246"/>
        <v>0</v>
      </c>
      <c r="AZ447" s="3083">
        <f t="shared" si="247"/>
        <v>0</v>
      </c>
      <c r="BA447" s="3083">
        <f t="shared" si="248"/>
        <v>0</v>
      </c>
      <c r="BB447" s="3083">
        <f t="shared" si="249"/>
        <v>0</v>
      </c>
      <c r="BC447" s="3083">
        <f t="shared" si="250"/>
        <v>0</v>
      </c>
      <c r="BD447" s="3083">
        <f t="shared" si="251"/>
        <v>0</v>
      </c>
      <c r="BE447" s="3083">
        <f t="shared" si="252"/>
        <v>0</v>
      </c>
      <c r="BF447" s="3083">
        <f t="shared" si="253"/>
        <v>0</v>
      </c>
      <c r="BG447" s="3083">
        <f t="shared" si="254"/>
        <v>0</v>
      </c>
      <c r="BH447" s="3083">
        <f t="shared" si="255"/>
        <v>0</v>
      </c>
      <c r="BI447" s="3083">
        <f t="shared" si="256"/>
        <v>0</v>
      </c>
      <c r="BJ447" s="3083">
        <f t="shared" si="257"/>
        <v>0</v>
      </c>
      <c r="BK447" s="3083">
        <f t="shared" si="258"/>
        <v>0</v>
      </c>
      <c r="BL447" s="3083">
        <f t="shared" si="259"/>
        <v>0</v>
      </c>
      <c r="BM447" s="3083">
        <f t="shared" si="260"/>
        <v>0</v>
      </c>
      <c r="BN447" s="3083">
        <f t="shared" si="261"/>
        <v>0</v>
      </c>
      <c r="BO447" s="3083">
        <f t="shared" si="262"/>
        <v>0</v>
      </c>
      <c r="BP447" s="3083">
        <f t="shared" si="263"/>
        <v>0</v>
      </c>
      <c r="BQ447" s="3083">
        <f t="shared" si="264"/>
        <v>0</v>
      </c>
      <c r="BR447" s="3083">
        <f t="shared" si="265"/>
        <v>0</v>
      </c>
      <c r="BS447" s="3083">
        <f t="shared" si="266"/>
        <v>0</v>
      </c>
      <c r="BT447" s="3135">
        <f t="shared" si="267"/>
        <v>0</v>
      </c>
    </row>
    <row r="448" spans="1:72">
      <c r="A448" s="3080"/>
      <c r="B448" s="3081"/>
      <c r="C448" s="3081"/>
      <c r="D448" s="3082"/>
      <c r="E448" s="3083">
        <f t="shared" si="239"/>
        <v>0</v>
      </c>
      <c r="F448" s="3084"/>
      <c r="G448" s="3085">
        <f t="shared" si="240"/>
        <v>0</v>
      </c>
      <c r="H448" s="3086">
        <f t="shared" si="241"/>
        <v>0</v>
      </c>
      <c r="I448" s="3093"/>
      <c r="J448" s="3093"/>
      <c r="K448" s="3093"/>
      <c r="L448" s="3093"/>
      <c r="M448" s="3093"/>
      <c r="N448" s="3093"/>
      <c r="O448" s="3093"/>
      <c r="P448" s="3093"/>
      <c r="Q448" s="3093"/>
      <c r="R448" s="3093"/>
      <c r="S448" s="3093"/>
      <c r="T448" s="3093"/>
      <c r="U448" s="3093"/>
      <c r="V448" s="3093"/>
      <c r="W448" s="3093"/>
      <c r="X448" s="3093"/>
      <c r="Y448" s="3093"/>
      <c r="Z448" s="3093"/>
      <c r="AA448" s="3093"/>
      <c r="AB448" s="3093"/>
      <c r="AC448" s="3083">
        <f t="shared" si="242"/>
        <v>0</v>
      </c>
      <c r="AD448" s="3103"/>
      <c r="AE448" s="3103"/>
      <c r="AF448" s="3103"/>
      <c r="AG448" s="3103"/>
      <c r="AH448" s="3103"/>
      <c r="AI448" s="3103"/>
      <c r="AJ448" s="3103"/>
      <c r="AK448" s="3103"/>
      <c r="AL448" s="3103"/>
      <c r="AM448" s="3103"/>
      <c r="AN448" s="3103"/>
      <c r="AO448" s="3103"/>
      <c r="AP448" s="3103"/>
      <c r="AQ448" s="3103"/>
      <c r="AR448" s="3103"/>
      <c r="AS448" s="3103"/>
      <c r="AT448" s="3113"/>
      <c r="AU448" s="3114"/>
      <c r="AV448" s="1580">
        <f t="shared" si="243"/>
        <v>0</v>
      </c>
      <c r="AW448" s="1580">
        <f t="shared" si="244"/>
        <v>0</v>
      </c>
      <c r="AX448" s="1580">
        <f t="shared" si="245"/>
        <v>0</v>
      </c>
      <c r="AY448" s="3128">
        <f t="shared" si="246"/>
        <v>0</v>
      </c>
      <c r="AZ448" s="3083">
        <f t="shared" si="247"/>
        <v>0</v>
      </c>
      <c r="BA448" s="3083">
        <f t="shared" si="248"/>
        <v>0</v>
      </c>
      <c r="BB448" s="3083">
        <f t="shared" si="249"/>
        <v>0</v>
      </c>
      <c r="BC448" s="3083">
        <f t="shared" si="250"/>
        <v>0</v>
      </c>
      <c r="BD448" s="3083">
        <f t="shared" si="251"/>
        <v>0</v>
      </c>
      <c r="BE448" s="3083">
        <f t="shared" si="252"/>
        <v>0</v>
      </c>
      <c r="BF448" s="3083">
        <f t="shared" si="253"/>
        <v>0</v>
      </c>
      <c r="BG448" s="3083">
        <f t="shared" si="254"/>
        <v>0</v>
      </c>
      <c r="BH448" s="3083">
        <f t="shared" si="255"/>
        <v>0</v>
      </c>
      <c r="BI448" s="3083">
        <f t="shared" si="256"/>
        <v>0</v>
      </c>
      <c r="BJ448" s="3083">
        <f t="shared" si="257"/>
        <v>0</v>
      </c>
      <c r="BK448" s="3083">
        <f t="shared" si="258"/>
        <v>0</v>
      </c>
      <c r="BL448" s="3083">
        <f t="shared" si="259"/>
        <v>0</v>
      </c>
      <c r="BM448" s="3083">
        <f t="shared" si="260"/>
        <v>0</v>
      </c>
      <c r="BN448" s="3083">
        <f t="shared" si="261"/>
        <v>0</v>
      </c>
      <c r="BO448" s="3083">
        <f t="shared" si="262"/>
        <v>0</v>
      </c>
      <c r="BP448" s="3083">
        <f t="shared" si="263"/>
        <v>0</v>
      </c>
      <c r="BQ448" s="3083">
        <f t="shared" si="264"/>
        <v>0</v>
      </c>
      <c r="BR448" s="3083">
        <f t="shared" si="265"/>
        <v>0</v>
      </c>
      <c r="BS448" s="3083">
        <f t="shared" si="266"/>
        <v>0</v>
      </c>
      <c r="BT448" s="3135">
        <f t="shared" si="267"/>
        <v>0</v>
      </c>
    </row>
    <row r="449" spans="1:72">
      <c r="A449" s="3080"/>
      <c r="B449" s="3081"/>
      <c r="C449" s="3081"/>
      <c r="D449" s="3082"/>
      <c r="E449" s="3083">
        <f t="shared" si="239"/>
        <v>0</v>
      </c>
      <c r="F449" s="3084"/>
      <c r="G449" s="3085">
        <f t="shared" si="240"/>
        <v>0</v>
      </c>
      <c r="H449" s="3086">
        <f t="shared" si="241"/>
        <v>0</v>
      </c>
      <c r="I449" s="3093"/>
      <c r="J449" s="3093"/>
      <c r="K449" s="3093"/>
      <c r="L449" s="3093"/>
      <c r="M449" s="3093"/>
      <c r="N449" s="3093"/>
      <c r="O449" s="3093"/>
      <c r="P449" s="3093"/>
      <c r="Q449" s="3093"/>
      <c r="R449" s="3093"/>
      <c r="S449" s="3093"/>
      <c r="T449" s="3093"/>
      <c r="U449" s="3093"/>
      <c r="V449" s="3093"/>
      <c r="W449" s="3093"/>
      <c r="X449" s="3093"/>
      <c r="Y449" s="3093"/>
      <c r="Z449" s="3093"/>
      <c r="AA449" s="3093"/>
      <c r="AB449" s="3093"/>
      <c r="AC449" s="3083">
        <f t="shared" si="242"/>
        <v>0</v>
      </c>
      <c r="AD449" s="3103"/>
      <c r="AE449" s="3103"/>
      <c r="AF449" s="3103"/>
      <c r="AG449" s="3103"/>
      <c r="AH449" s="3103"/>
      <c r="AI449" s="3103"/>
      <c r="AJ449" s="3103"/>
      <c r="AK449" s="3103"/>
      <c r="AL449" s="3103"/>
      <c r="AM449" s="3103"/>
      <c r="AN449" s="3103"/>
      <c r="AO449" s="3103"/>
      <c r="AP449" s="3103"/>
      <c r="AQ449" s="3103"/>
      <c r="AR449" s="3103"/>
      <c r="AS449" s="3103"/>
      <c r="AT449" s="3113"/>
      <c r="AU449" s="3114"/>
      <c r="AV449" s="1580">
        <f t="shared" si="243"/>
        <v>0</v>
      </c>
      <c r="AW449" s="1580">
        <f t="shared" si="244"/>
        <v>0</v>
      </c>
      <c r="AX449" s="1580">
        <f t="shared" si="245"/>
        <v>0</v>
      </c>
      <c r="AY449" s="3128">
        <f t="shared" si="246"/>
        <v>0</v>
      </c>
      <c r="AZ449" s="3083">
        <f t="shared" si="247"/>
        <v>0</v>
      </c>
      <c r="BA449" s="3083">
        <f t="shared" si="248"/>
        <v>0</v>
      </c>
      <c r="BB449" s="3083">
        <f t="shared" si="249"/>
        <v>0</v>
      </c>
      <c r="BC449" s="3083">
        <f t="shared" si="250"/>
        <v>0</v>
      </c>
      <c r="BD449" s="3083">
        <f t="shared" si="251"/>
        <v>0</v>
      </c>
      <c r="BE449" s="3083">
        <f t="shared" si="252"/>
        <v>0</v>
      </c>
      <c r="BF449" s="3083">
        <f t="shared" si="253"/>
        <v>0</v>
      </c>
      <c r="BG449" s="3083">
        <f t="shared" si="254"/>
        <v>0</v>
      </c>
      <c r="BH449" s="3083">
        <f t="shared" si="255"/>
        <v>0</v>
      </c>
      <c r="BI449" s="3083">
        <f t="shared" si="256"/>
        <v>0</v>
      </c>
      <c r="BJ449" s="3083">
        <f t="shared" si="257"/>
        <v>0</v>
      </c>
      <c r="BK449" s="3083">
        <f t="shared" si="258"/>
        <v>0</v>
      </c>
      <c r="BL449" s="3083">
        <f t="shared" si="259"/>
        <v>0</v>
      </c>
      <c r="BM449" s="3083">
        <f t="shared" si="260"/>
        <v>0</v>
      </c>
      <c r="BN449" s="3083">
        <f t="shared" si="261"/>
        <v>0</v>
      </c>
      <c r="BO449" s="3083">
        <f t="shared" si="262"/>
        <v>0</v>
      </c>
      <c r="BP449" s="3083">
        <f t="shared" si="263"/>
        <v>0</v>
      </c>
      <c r="BQ449" s="3083">
        <f t="shared" si="264"/>
        <v>0</v>
      </c>
      <c r="BR449" s="3083">
        <f t="shared" si="265"/>
        <v>0</v>
      </c>
      <c r="BS449" s="3083">
        <f t="shared" si="266"/>
        <v>0</v>
      </c>
      <c r="BT449" s="3135">
        <f t="shared" si="267"/>
        <v>0</v>
      </c>
    </row>
    <row r="450" spans="1:72">
      <c r="A450" s="3080"/>
      <c r="B450" s="3081"/>
      <c r="C450" s="3081"/>
      <c r="D450" s="3082"/>
      <c r="E450" s="3083">
        <f t="shared" si="239"/>
        <v>0</v>
      </c>
      <c r="F450" s="3084"/>
      <c r="G450" s="3085">
        <f t="shared" si="240"/>
        <v>0</v>
      </c>
      <c r="H450" s="3086">
        <f t="shared" si="241"/>
        <v>0</v>
      </c>
      <c r="I450" s="3093"/>
      <c r="J450" s="3093"/>
      <c r="K450" s="3093"/>
      <c r="L450" s="3093"/>
      <c r="M450" s="3093"/>
      <c r="N450" s="3093"/>
      <c r="O450" s="3093"/>
      <c r="P450" s="3093"/>
      <c r="Q450" s="3093"/>
      <c r="R450" s="3093"/>
      <c r="S450" s="3093"/>
      <c r="T450" s="3093"/>
      <c r="U450" s="3093"/>
      <c r="V450" s="3093"/>
      <c r="W450" s="3093"/>
      <c r="X450" s="3093"/>
      <c r="Y450" s="3093"/>
      <c r="Z450" s="3093"/>
      <c r="AA450" s="3093"/>
      <c r="AB450" s="3093"/>
      <c r="AC450" s="3083">
        <f t="shared" si="242"/>
        <v>0</v>
      </c>
      <c r="AD450" s="3103"/>
      <c r="AE450" s="3103"/>
      <c r="AF450" s="3103"/>
      <c r="AG450" s="3103"/>
      <c r="AH450" s="3103"/>
      <c r="AI450" s="3103"/>
      <c r="AJ450" s="3103"/>
      <c r="AK450" s="3103"/>
      <c r="AL450" s="3103"/>
      <c r="AM450" s="3103"/>
      <c r="AN450" s="3103"/>
      <c r="AO450" s="3103"/>
      <c r="AP450" s="3103"/>
      <c r="AQ450" s="3103"/>
      <c r="AR450" s="3103"/>
      <c r="AS450" s="3103"/>
      <c r="AT450" s="3113"/>
      <c r="AU450" s="3114"/>
      <c r="AV450" s="1580">
        <f t="shared" si="243"/>
        <v>0</v>
      </c>
      <c r="AW450" s="1580">
        <f t="shared" si="244"/>
        <v>0</v>
      </c>
      <c r="AX450" s="1580">
        <f t="shared" si="245"/>
        <v>0</v>
      </c>
      <c r="AY450" s="3128">
        <f t="shared" si="246"/>
        <v>0</v>
      </c>
      <c r="AZ450" s="3083">
        <f t="shared" si="247"/>
        <v>0</v>
      </c>
      <c r="BA450" s="3083">
        <f t="shared" si="248"/>
        <v>0</v>
      </c>
      <c r="BB450" s="3083">
        <f t="shared" si="249"/>
        <v>0</v>
      </c>
      <c r="BC450" s="3083">
        <f t="shared" si="250"/>
        <v>0</v>
      </c>
      <c r="BD450" s="3083">
        <f t="shared" si="251"/>
        <v>0</v>
      </c>
      <c r="BE450" s="3083">
        <f t="shared" si="252"/>
        <v>0</v>
      </c>
      <c r="BF450" s="3083">
        <f t="shared" si="253"/>
        <v>0</v>
      </c>
      <c r="BG450" s="3083">
        <f t="shared" si="254"/>
        <v>0</v>
      </c>
      <c r="BH450" s="3083">
        <f t="shared" si="255"/>
        <v>0</v>
      </c>
      <c r="BI450" s="3083">
        <f t="shared" si="256"/>
        <v>0</v>
      </c>
      <c r="BJ450" s="3083">
        <f t="shared" si="257"/>
        <v>0</v>
      </c>
      <c r="BK450" s="3083">
        <f t="shared" si="258"/>
        <v>0</v>
      </c>
      <c r="BL450" s="3083">
        <f t="shared" si="259"/>
        <v>0</v>
      </c>
      <c r="BM450" s="3083">
        <f t="shared" si="260"/>
        <v>0</v>
      </c>
      <c r="BN450" s="3083">
        <f t="shared" si="261"/>
        <v>0</v>
      </c>
      <c r="BO450" s="3083">
        <f t="shared" si="262"/>
        <v>0</v>
      </c>
      <c r="BP450" s="3083">
        <f t="shared" si="263"/>
        <v>0</v>
      </c>
      <c r="BQ450" s="3083">
        <f t="shared" si="264"/>
        <v>0</v>
      </c>
      <c r="BR450" s="3083">
        <f t="shared" si="265"/>
        <v>0</v>
      </c>
      <c r="BS450" s="3083">
        <f t="shared" si="266"/>
        <v>0</v>
      </c>
      <c r="BT450" s="3135">
        <f t="shared" si="267"/>
        <v>0</v>
      </c>
    </row>
    <row r="451" spans="1:72">
      <c r="A451" s="3080"/>
      <c r="B451" s="3081"/>
      <c r="C451" s="3081"/>
      <c r="D451" s="3082"/>
      <c r="E451" s="3083">
        <f t="shared" si="239"/>
        <v>0</v>
      </c>
      <c r="F451" s="3084"/>
      <c r="G451" s="3085">
        <f t="shared" si="240"/>
        <v>0</v>
      </c>
      <c r="H451" s="3086">
        <f t="shared" si="241"/>
        <v>0</v>
      </c>
      <c r="I451" s="3093"/>
      <c r="J451" s="3093"/>
      <c r="K451" s="3093"/>
      <c r="L451" s="3093"/>
      <c r="M451" s="3093"/>
      <c r="N451" s="3093"/>
      <c r="O451" s="3093"/>
      <c r="P451" s="3093"/>
      <c r="Q451" s="3093"/>
      <c r="R451" s="3093"/>
      <c r="S451" s="3093"/>
      <c r="T451" s="3093"/>
      <c r="U451" s="3093"/>
      <c r="V451" s="3093"/>
      <c r="W451" s="3093"/>
      <c r="X451" s="3093"/>
      <c r="Y451" s="3093"/>
      <c r="Z451" s="3093"/>
      <c r="AA451" s="3093"/>
      <c r="AB451" s="3093"/>
      <c r="AC451" s="3083">
        <f t="shared" si="242"/>
        <v>0</v>
      </c>
      <c r="AD451" s="3103"/>
      <c r="AE451" s="3103"/>
      <c r="AF451" s="3103"/>
      <c r="AG451" s="3103"/>
      <c r="AH451" s="3103"/>
      <c r="AI451" s="3103"/>
      <c r="AJ451" s="3103"/>
      <c r="AK451" s="3103"/>
      <c r="AL451" s="3103"/>
      <c r="AM451" s="3103"/>
      <c r="AN451" s="3103"/>
      <c r="AO451" s="3103"/>
      <c r="AP451" s="3103"/>
      <c r="AQ451" s="3103"/>
      <c r="AR451" s="3103"/>
      <c r="AS451" s="3103"/>
      <c r="AT451" s="3113"/>
      <c r="AU451" s="3114"/>
      <c r="AV451" s="1580">
        <f t="shared" si="243"/>
        <v>0</v>
      </c>
      <c r="AW451" s="1580">
        <f t="shared" si="244"/>
        <v>0</v>
      </c>
      <c r="AX451" s="1580">
        <f t="shared" si="245"/>
        <v>0</v>
      </c>
      <c r="AY451" s="3128">
        <f t="shared" si="246"/>
        <v>0</v>
      </c>
      <c r="AZ451" s="3083">
        <f t="shared" si="247"/>
        <v>0</v>
      </c>
      <c r="BA451" s="3083">
        <f t="shared" si="248"/>
        <v>0</v>
      </c>
      <c r="BB451" s="3083">
        <f t="shared" si="249"/>
        <v>0</v>
      </c>
      <c r="BC451" s="3083">
        <f t="shared" si="250"/>
        <v>0</v>
      </c>
      <c r="BD451" s="3083">
        <f t="shared" si="251"/>
        <v>0</v>
      </c>
      <c r="BE451" s="3083">
        <f t="shared" si="252"/>
        <v>0</v>
      </c>
      <c r="BF451" s="3083">
        <f t="shared" si="253"/>
        <v>0</v>
      </c>
      <c r="BG451" s="3083">
        <f t="shared" si="254"/>
        <v>0</v>
      </c>
      <c r="BH451" s="3083">
        <f t="shared" si="255"/>
        <v>0</v>
      </c>
      <c r="BI451" s="3083">
        <f t="shared" si="256"/>
        <v>0</v>
      </c>
      <c r="BJ451" s="3083">
        <f t="shared" si="257"/>
        <v>0</v>
      </c>
      <c r="BK451" s="3083">
        <f t="shared" si="258"/>
        <v>0</v>
      </c>
      <c r="BL451" s="3083">
        <f t="shared" si="259"/>
        <v>0</v>
      </c>
      <c r="BM451" s="3083">
        <f t="shared" si="260"/>
        <v>0</v>
      </c>
      <c r="BN451" s="3083">
        <f t="shared" si="261"/>
        <v>0</v>
      </c>
      <c r="BO451" s="3083">
        <f t="shared" si="262"/>
        <v>0</v>
      </c>
      <c r="BP451" s="3083">
        <f t="shared" si="263"/>
        <v>0</v>
      </c>
      <c r="BQ451" s="3083">
        <f t="shared" si="264"/>
        <v>0</v>
      </c>
      <c r="BR451" s="3083">
        <f t="shared" si="265"/>
        <v>0</v>
      </c>
      <c r="BS451" s="3083">
        <f t="shared" si="266"/>
        <v>0</v>
      </c>
      <c r="BT451" s="3135">
        <f t="shared" si="267"/>
        <v>0</v>
      </c>
    </row>
    <row r="452" spans="1:72">
      <c r="A452" s="3080"/>
      <c r="B452" s="3081"/>
      <c r="C452" s="3081"/>
      <c r="D452" s="3082"/>
      <c r="E452" s="3083">
        <f t="shared" si="239"/>
        <v>0</v>
      </c>
      <c r="F452" s="3084"/>
      <c r="G452" s="3085">
        <f t="shared" si="240"/>
        <v>0</v>
      </c>
      <c r="H452" s="3086">
        <f t="shared" si="241"/>
        <v>0</v>
      </c>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3083">
        <f t="shared" si="242"/>
        <v>0</v>
      </c>
      <c r="AD452" s="3103"/>
      <c r="AE452" s="3103"/>
      <c r="AF452" s="3103"/>
      <c r="AG452" s="3103"/>
      <c r="AH452" s="3103"/>
      <c r="AI452" s="3103"/>
      <c r="AJ452" s="3103"/>
      <c r="AK452" s="3103"/>
      <c r="AL452" s="3103"/>
      <c r="AM452" s="3103"/>
      <c r="AN452" s="3103"/>
      <c r="AO452" s="3103"/>
      <c r="AP452" s="3103"/>
      <c r="AQ452" s="3103"/>
      <c r="AR452" s="3103"/>
      <c r="AS452" s="3103"/>
      <c r="AT452" s="3113"/>
      <c r="AU452" s="3114"/>
      <c r="AV452" s="1580">
        <f t="shared" si="243"/>
        <v>0</v>
      </c>
      <c r="AW452" s="1580">
        <f t="shared" si="244"/>
        <v>0</v>
      </c>
      <c r="AX452" s="1580">
        <f t="shared" si="245"/>
        <v>0</v>
      </c>
      <c r="AY452" s="3128">
        <f t="shared" si="246"/>
        <v>0</v>
      </c>
      <c r="AZ452" s="3083">
        <f t="shared" si="247"/>
        <v>0</v>
      </c>
      <c r="BA452" s="3083">
        <f t="shared" si="248"/>
        <v>0</v>
      </c>
      <c r="BB452" s="3083">
        <f t="shared" si="249"/>
        <v>0</v>
      </c>
      <c r="BC452" s="3083">
        <f t="shared" si="250"/>
        <v>0</v>
      </c>
      <c r="BD452" s="3083">
        <f t="shared" si="251"/>
        <v>0</v>
      </c>
      <c r="BE452" s="3083">
        <f t="shared" si="252"/>
        <v>0</v>
      </c>
      <c r="BF452" s="3083">
        <f t="shared" si="253"/>
        <v>0</v>
      </c>
      <c r="BG452" s="3083">
        <f t="shared" si="254"/>
        <v>0</v>
      </c>
      <c r="BH452" s="3083">
        <f t="shared" si="255"/>
        <v>0</v>
      </c>
      <c r="BI452" s="3083">
        <f t="shared" si="256"/>
        <v>0</v>
      </c>
      <c r="BJ452" s="3083">
        <f t="shared" si="257"/>
        <v>0</v>
      </c>
      <c r="BK452" s="3083">
        <f t="shared" si="258"/>
        <v>0</v>
      </c>
      <c r="BL452" s="3083">
        <f t="shared" si="259"/>
        <v>0</v>
      </c>
      <c r="BM452" s="3083">
        <f t="shared" si="260"/>
        <v>0</v>
      </c>
      <c r="BN452" s="3083">
        <f t="shared" si="261"/>
        <v>0</v>
      </c>
      <c r="BO452" s="3083">
        <f t="shared" si="262"/>
        <v>0</v>
      </c>
      <c r="BP452" s="3083">
        <f t="shared" si="263"/>
        <v>0</v>
      </c>
      <c r="BQ452" s="3083">
        <f t="shared" si="264"/>
        <v>0</v>
      </c>
      <c r="BR452" s="3083">
        <f t="shared" si="265"/>
        <v>0</v>
      </c>
      <c r="BS452" s="3083">
        <f t="shared" si="266"/>
        <v>0</v>
      </c>
      <c r="BT452" s="3135">
        <f t="shared" si="267"/>
        <v>0</v>
      </c>
    </row>
    <row r="453" spans="1:72">
      <c r="A453" s="3080"/>
      <c r="B453" s="3081"/>
      <c r="C453" s="3081"/>
      <c r="D453" s="3082"/>
      <c r="E453" s="3083">
        <f t="shared" si="239"/>
        <v>0</v>
      </c>
      <c r="F453" s="3084"/>
      <c r="G453" s="3085">
        <f t="shared" si="240"/>
        <v>0</v>
      </c>
      <c r="H453" s="3086">
        <f t="shared" si="241"/>
        <v>0</v>
      </c>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3083">
        <f t="shared" si="242"/>
        <v>0</v>
      </c>
      <c r="AD453" s="3103"/>
      <c r="AE453" s="3103"/>
      <c r="AF453" s="3103"/>
      <c r="AG453" s="3103"/>
      <c r="AH453" s="3103"/>
      <c r="AI453" s="3103"/>
      <c r="AJ453" s="3103"/>
      <c r="AK453" s="3103"/>
      <c r="AL453" s="3103"/>
      <c r="AM453" s="3103"/>
      <c r="AN453" s="3103"/>
      <c r="AO453" s="3103"/>
      <c r="AP453" s="3103"/>
      <c r="AQ453" s="3103"/>
      <c r="AR453" s="3103"/>
      <c r="AS453" s="3103"/>
      <c r="AT453" s="3113"/>
      <c r="AU453" s="3114"/>
      <c r="AV453" s="1580">
        <f t="shared" si="243"/>
        <v>0</v>
      </c>
      <c r="AW453" s="1580">
        <f t="shared" si="244"/>
        <v>0</v>
      </c>
      <c r="AX453" s="1580">
        <f t="shared" si="245"/>
        <v>0</v>
      </c>
      <c r="AY453" s="3128">
        <f t="shared" si="246"/>
        <v>0</v>
      </c>
      <c r="AZ453" s="3083">
        <f t="shared" si="247"/>
        <v>0</v>
      </c>
      <c r="BA453" s="3083">
        <f t="shared" si="248"/>
        <v>0</v>
      </c>
      <c r="BB453" s="3083">
        <f t="shared" si="249"/>
        <v>0</v>
      </c>
      <c r="BC453" s="3083">
        <f t="shared" si="250"/>
        <v>0</v>
      </c>
      <c r="BD453" s="3083">
        <f t="shared" si="251"/>
        <v>0</v>
      </c>
      <c r="BE453" s="3083">
        <f t="shared" si="252"/>
        <v>0</v>
      </c>
      <c r="BF453" s="3083">
        <f t="shared" si="253"/>
        <v>0</v>
      </c>
      <c r="BG453" s="3083">
        <f t="shared" si="254"/>
        <v>0</v>
      </c>
      <c r="BH453" s="3083">
        <f t="shared" si="255"/>
        <v>0</v>
      </c>
      <c r="BI453" s="3083">
        <f t="shared" si="256"/>
        <v>0</v>
      </c>
      <c r="BJ453" s="3083">
        <f t="shared" si="257"/>
        <v>0</v>
      </c>
      <c r="BK453" s="3083">
        <f t="shared" si="258"/>
        <v>0</v>
      </c>
      <c r="BL453" s="3083">
        <f t="shared" si="259"/>
        <v>0</v>
      </c>
      <c r="BM453" s="3083">
        <f t="shared" si="260"/>
        <v>0</v>
      </c>
      <c r="BN453" s="3083">
        <f t="shared" si="261"/>
        <v>0</v>
      </c>
      <c r="BO453" s="3083">
        <f t="shared" si="262"/>
        <v>0</v>
      </c>
      <c r="BP453" s="3083">
        <f t="shared" si="263"/>
        <v>0</v>
      </c>
      <c r="BQ453" s="3083">
        <f t="shared" si="264"/>
        <v>0</v>
      </c>
      <c r="BR453" s="3083">
        <f t="shared" si="265"/>
        <v>0</v>
      </c>
      <c r="BS453" s="3083">
        <f t="shared" si="266"/>
        <v>0</v>
      </c>
      <c r="BT453" s="3135">
        <f t="shared" si="267"/>
        <v>0</v>
      </c>
    </row>
    <row r="454" spans="1:72">
      <c r="A454" s="3080"/>
      <c r="B454" s="3081"/>
      <c r="C454" s="3081"/>
      <c r="D454" s="3082"/>
      <c r="E454" s="3083">
        <f t="shared" si="239"/>
        <v>0</v>
      </c>
      <c r="F454" s="3084"/>
      <c r="G454" s="3085">
        <f t="shared" si="240"/>
        <v>0</v>
      </c>
      <c r="H454" s="3086">
        <f t="shared" si="241"/>
        <v>0</v>
      </c>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3083">
        <f t="shared" si="242"/>
        <v>0</v>
      </c>
      <c r="AD454" s="3103"/>
      <c r="AE454" s="3103"/>
      <c r="AF454" s="3103"/>
      <c r="AG454" s="3103"/>
      <c r="AH454" s="3103"/>
      <c r="AI454" s="3103"/>
      <c r="AJ454" s="3103"/>
      <c r="AK454" s="3103"/>
      <c r="AL454" s="3103"/>
      <c r="AM454" s="3103"/>
      <c r="AN454" s="3103"/>
      <c r="AO454" s="3103"/>
      <c r="AP454" s="3103"/>
      <c r="AQ454" s="3103"/>
      <c r="AR454" s="3103"/>
      <c r="AS454" s="3103"/>
      <c r="AT454" s="3113"/>
      <c r="AU454" s="3114"/>
      <c r="AV454" s="1580">
        <f t="shared" si="243"/>
        <v>0</v>
      </c>
      <c r="AW454" s="1580">
        <f t="shared" si="244"/>
        <v>0</v>
      </c>
      <c r="AX454" s="1580">
        <f t="shared" si="245"/>
        <v>0</v>
      </c>
      <c r="AY454" s="3128">
        <f t="shared" si="246"/>
        <v>0</v>
      </c>
      <c r="AZ454" s="3083">
        <f t="shared" si="247"/>
        <v>0</v>
      </c>
      <c r="BA454" s="3083">
        <f t="shared" si="248"/>
        <v>0</v>
      </c>
      <c r="BB454" s="3083">
        <f t="shared" si="249"/>
        <v>0</v>
      </c>
      <c r="BC454" s="3083">
        <f t="shared" si="250"/>
        <v>0</v>
      </c>
      <c r="BD454" s="3083">
        <f t="shared" si="251"/>
        <v>0</v>
      </c>
      <c r="BE454" s="3083">
        <f t="shared" si="252"/>
        <v>0</v>
      </c>
      <c r="BF454" s="3083">
        <f t="shared" si="253"/>
        <v>0</v>
      </c>
      <c r="BG454" s="3083">
        <f t="shared" si="254"/>
        <v>0</v>
      </c>
      <c r="BH454" s="3083">
        <f t="shared" si="255"/>
        <v>0</v>
      </c>
      <c r="BI454" s="3083">
        <f t="shared" si="256"/>
        <v>0</v>
      </c>
      <c r="BJ454" s="3083">
        <f t="shared" si="257"/>
        <v>0</v>
      </c>
      <c r="BK454" s="3083">
        <f t="shared" si="258"/>
        <v>0</v>
      </c>
      <c r="BL454" s="3083">
        <f t="shared" si="259"/>
        <v>0</v>
      </c>
      <c r="BM454" s="3083">
        <f t="shared" si="260"/>
        <v>0</v>
      </c>
      <c r="BN454" s="3083">
        <f t="shared" si="261"/>
        <v>0</v>
      </c>
      <c r="BO454" s="3083">
        <f t="shared" si="262"/>
        <v>0</v>
      </c>
      <c r="BP454" s="3083">
        <f t="shared" si="263"/>
        <v>0</v>
      </c>
      <c r="BQ454" s="3083">
        <f t="shared" si="264"/>
        <v>0</v>
      </c>
      <c r="BR454" s="3083">
        <f t="shared" si="265"/>
        <v>0</v>
      </c>
      <c r="BS454" s="3083">
        <f t="shared" si="266"/>
        <v>0</v>
      </c>
      <c r="BT454" s="3135">
        <f t="shared" si="267"/>
        <v>0</v>
      </c>
    </row>
    <row r="455" spans="1:72">
      <c r="A455" s="3080"/>
      <c r="B455" s="3081"/>
      <c r="C455" s="3081"/>
      <c r="D455" s="3082"/>
      <c r="E455" s="3083">
        <f t="shared" si="239"/>
        <v>0</v>
      </c>
      <c r="F455" s="3084"/>
      <c r="G455" s="3085">
        <f t="shared" si="240"/>
        <v>0</v>
      </c>
      <c r="H455" s="3086">
        <f t="shared" si="241"/>
        <v>0</v>
      </c>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3083">
        <f t="shared" si="242"/>
        <v>0</v>
      </c>
      <c r="AD455" s="3103"/>
      <c r="AE455" s="3103"/>
      <c r="AF455" s="3103"/>
      <c r="AG455" s="3103"/>
      <c r="AH455" s="3103"/>
      <c r="AI455" s="3103"/>
      <c r="AJ455" s="3103"/>
      <c r="AK455" s="3103"/>
      <c r="AL455" s="3103"/>
      <c r="AM455" s="3103"/>
      <c r="AN455" s="3103"/>
      <c r="AO455" s="3103"/>
      <c r="AP455" s="3103"/>
      <c r="AQ455" s="3103"/>
      <c r="AR455" s="3103"/>
      <c r="AS455" s="3103"/>
      <c r="AT455" s="3113"/>
      <c r="AU455" s="3114"/>
      <c r="AV455" s="1580">
        <f t="shared" si="243"/>
        <v>0</v>
      </c>
      <c r="AW455" s="1580">
        <f t="shared" si="244"/>
        <v>0</v>
      </c>
      <c r="AX455" s="1580">
        <f t="shared" si="245"/>
        <v>0</v>
      </c>
      <c r="AY455" s="3128">
        <f t="shared" si="246"/>
        <v>0</v>
      </c>
      <c r="AZ455" s="3083">
        <f t="shared" si="247"/>
        <v>0</v>
      </c>
      <c r="BA455" s="3083">
        <f t="shared" si="248"/>
        <v>0</v>
      </c>
      <c r="BB455" s="3083">
        <f t="shared" si="249"/>
        <v>0</v>
      </c>
      <c r="BC455" s="3083">
        <f t="shared" si="250"/>
        <v>0</v>
      </c>
      <c r="BD455" s="3083">
        <f t="shared" si="251"/>
        <v>0</v>
      </c>
      <c r="BE455" s="3083">
        <f t="shared" si="252"/>
        <v>0</v>
      </c>
      <c r="BF455" s="3083">
        <f t="shared" si="253"/>
        <v>0</v>
      </c>
      <c r="BG455" s="3083">
        <f t="shared" si="254"/>
        <v>0</v>
      </c>
      <c r="BH455" s="3083">
        <f t="shared" si="255"/>
        <v>0</v>
      </c>
      <c r="BI455" s="3083">
        <f t="shared" si="256"/>
        <v>0</v>
      </c>
      <c r="BJ455" s="3083">
        <f t="shared" si="257"/>
        <v>0</v>
      </c>
      <c r="BK455" s="3083">
        <f t="shared" si="258"/>
        <v>0</v>
      </c>
      <c r="BL455" s="3083">
        <f t="shared" si="259"/>
        <v>0</v>
      </c>
      <c r="BM455" s="3083">
        <f t="shared" si="260"/>
        <v>0</v>
      </c>
      <c r="BN455" s="3083">
        <f t="shared" si="261"/>
        <v>0</v>
      </c>
      <c r="BO455" s="3083">
        <f t="shared" si="262"/>
        <v>0</v>
      </c>
      <c r="BP455" s="3083">
        <f t="shared" si="263"/>
        <v>0</v>
      </c>
      <c r="BQ455" s="3083">
        <f t="shared" si="264"/>
        <v>0</v>
      </c>
      <c r="BR455" s="3083">
        <f t="shared" si="265"/>
        <v>0</v>
      </c>
      <c r="BS455" s="3083">
        <f t="shared" si="266"/>
        <v>0</v>
      </c>
      <c r="BT455" s="3135">
        <f t="shared" si="267"/>
        <v>0</v>
      </c>
    </row>
    <row r="456" spans="1:72">
      <c r="A456" s="3080"/>
      <c r="B456" s="3081"/>
      <c r="C456" s="3081"/>
      <c r="D456" s="3082"/>
      <c r="E456" s="3083">
        <f t="shared" si="239"/>
        <v>0</v>
      </c>
      <c r="F456" s="3084"/>
      <c r="G456" s="3085">
        <f t="shared" si="240"/>
        <v>0</v>
      </c>
      <c r="H456" s="3086">
        <f t="shared" si="241"/>
        <v>0</v>
      </c>
      <c r="I456" s="3093"/>
      <c r="J456" s="3093"/>
      <c r="K456" s="3093"/>
      <c r="L456" s="3093"/>
      <c r="M456" s="3093"/>
      <c r="N456" s="3093"/>
      <c r="O456" s="3093"/>
      <c r="P456" s="3093"/>
      <c r="Q456" s="3093"/>
      <c r="R456" s="3093"/>
      <c r="S456" s="3093"/>
      <c r="T456" s="3093"/>
      <c r="U456" s="3093"/>
      <c r="V456" s="3093"/>
      <c r="W456" s="3093"/>
      <c r="X456" s="3093"/>
      <c r="Y456" s="3093"/>
      <c r="Z456" s="3093"/>
      <c r="AA456" s="3093"/>
      <c r="AB456" s="3093"/>
      <c r="AC456" s="3083">
        <f t="shared" si="242"/>
        <v>0</v>
      </c>
      <c r="AD456" s="3103"/>
      <c r="AE456" s="3103"/>
      <c r="AF456" s="3103"/>
      <c r="AG456" s="3103"/>
      <c r="AH456" s="3103"/>
      <c r="AI456" s="3103"/>
      <c r="AJ456" s="3103"/>
      <c r="AK456" s="3103"/>
      <c r="AL456" s="3103"/>
      <c r="AM456" s="3103"/>
      <c r="AN456" s="3103"/>
      <c r="AO456" s="3103"/>
      <c r="AP456" s="3103"/>
      <c r="AQ456" s="3103"/>
      <c r="AR456" s="3103"/>
      <c r="AS456" s="3103"/>
      <c r="AT456" s="3113"/>
      <c r="AU456" s="3114"/>
      <c r="AV456" s="1580">
        <f t="shared" si="243"/>
        <v>0</v>
      </c>
      <c r="AW456" s="1580">
        <f t="shared" si="244"/>
        <v>0</v>
      </c>
      <c r="AX456" s="1580">
        <f t="shared" si="245"/>
        <v>0</v>
      </c>
      <c r="AY456" s="3128">
        <f t="shared" si="246"/>
        <v>0</v>
      </c>
      <c r="AZ456" s="3083">
        <f t="shared" si="247"/>
        <v>0</v>
      </c>
      <c r="BA456" s="3083">
        <f t="shared" si="248"/>
        <v>0</v>
      </c>
      <c r="BB456" s="3083">
        <f t="shared" si="249"/>
        <v>0</v>
      </c>
      <c r="BC456" s="3083">
        <f t="shared" si="250"/>
        <v>0</v>
      </c>
      <c r="BD456" s="3083">
        <f t="shared" si="251"/>
        <v>0</v>
      </c>
      <c r="BE456" s="3083">
        <f t="shared" si="252"/>
        <v>0</v>
      </c>
      <c r="BF456" s="3083">
        <f t="shared" si="253"/>
        <v>0</v>
      </c>
      <c r="BG456" s="3083">
        <f t="shared" si="254"/>
        <v>0</v>
      </c>
      <c r="BH456" s="3083">
        <f t="shared" si="255"/>
        <v>0</v>
      </c>
      <c r="BI456" s="3083">
        <f t="shared" si="256"/>
        <v>0</v>
      </c>
      <c r="BJ456" s="3083">
        <f t="shared" si="257"/>
        <v>0</v>
      </c>
      <c r="BK456" s="3083">
        <f t="shared" si="258"/>
        <v>0</v>
      </c>
      <c r="BL456" s="3083">
        <f t="shared" si="259"/>
        <v>0</v>
      </c>
      <c r="BM456" s="3083">
        <f t="shared" si="260"/>
        <v>0</v>
      </c>
      <c r="BN456" s="3083">
        <f t="shared" si="261"/>
        <v>0</v>
      </c>
      <c r="BO456" s="3083">
        <f t="shared" si="262"/>
        <v>0</v>
      </c>
      <c r="BP456" s="3083">
        <f t="shared" si="263"/>
        <v>0</v>
      </c>
      <c r="BQ456" s="3083">
        <f t="shared" si="264"/>
        <v>0</v>
      </c>
      <c r="BR456" s="3083">
        <f t="shared" si="265"/>
        <v>0</v>
      </c>
      <c r="BS456" s="3083">
        <f t="shared" si="266"/>
        <v>0</v>
      </c>
      <c r="BT456" s="3135">
        <f t="shared" si="267"/>
        <v>0</v>
      </c>
    </row>
    <row r="457" spans="1:72">
      <c r="A457" s="3080"/>
      <c r="B457" s="3081"/>
      <c r="C457" s="3081"/>
      <c r="D457" s="3082"/>
      <c r="E457" s="3083">
        <f t="shared" si="239"/>
        <v>0</v>
      </c>
      <c r="F457" s="3084"/>
      <c r="G457" s="3085">
        <f t="shared" si="240"/>
        <v>0</v>
      </c>
      <c r="H457" s="3086">
        <f t="shared" si="241"/>
        <v>0</v>
      </c>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3083">
        <f t="shared" si="242"/>
        <v>0</v>
      </c>
      <c r="AD457" s="3103"/>
      <c r="AE457" s="3103"/>
      <c r="AF457" s="3103"/>
      <c r="AG457" s="3103"/>
      <c r="AH457" s="3103"/>
      <c r="AI457" s="3103"/>
      <c r="AJ457" s="3103"/>
      <c r="AK457" s="3103"/>
      <c r="AL457" s="3103"/>
      <c r="AM457" s="3103"/>
      <c r="AN457" s="3103"/>
      <c r="AO457" s="3103"/>
      <c r="AP457" s="3103"/>
      <c r="AQ457" s="3103"/>
      <c r="AR457" s="3103"/>
      <c r="AS457" s="3103"/>
      <c r="AT457" s="3113"/>
      <c r="AU457" s="3114"/>
      <c r="AV457" s="1580">
        <f t="shared" si="243"/>
        <v>0</v>
      </c>
      <c r="AW457" s="1580">
        <f t="shared" si="244"/>
        <v>0</v>
      </c>
      <c r="AX457" s="1580">
        <f t="shared" si="245"/>
        <v>0</v>
      </c>
      <c r="AY457" s="3128">
        <f t="shared" si="246"/>
        <v>0</v>
      </c>
      <c r="AZ457" s="3083">
        <f t="shared" si="247"/>
        <v>0</v>
      </c>
      <c r="BA457" s="3083">
        <f t="shared" si="248"/>
        <v>0</v>
      </c>
      <c r="BB457" s="3083">
        <f t="shared" si="249"/>
        <v>0</v>
      </c>
      <c r="BC457" s="3083">
        <f t="shared" si="250"/>
        <v>0</v>
      </c>
      <c r="BD457" s="3083">
        <f t="shared" si="251"/>
        <v>0</v>
      </c>
      <c r="BE457" s="3083">
        <f t="shared" si="252"/>
        <v>0</v>
      </c>
      <c r="BF457" s="3083">
        <f t="shared" si="253"/>
        <v>0</v>
      </c>
      <c r="BG457" s="3083">
        <f t="shared" si="254"/>
        <v>0</v>
      </c>
      <c r="BH457" s="3083">
        <f t="shared" si="255"/>
        <v>0</v>
      </c>
      <c r="BI457" s="3083">
        <f t="shared" si="256"/>
        <v>0</v>
      </c>
      <c r="BJ457" s="3083">
        <f t="shared" si="257"/>
        <v>0</v>
      </c>
      <c r="BK457" s="3083">
        <f t="shared" si="258"/>
        <v>0</v>
      </c>
      <c r="BL457" s="3083">
        <f t="shared" si="259"/>
        <v>0</v>
      </c>
      <c r="BM457" s="3083">
        <f t="shared" si="260"/>
        <v>0</v>
      </c>
      <c r="BN457" s="3083">
        <f t="shared" si="261"/>
        <v>0</v>
      </c>
      <c r="BO457" s="3083">
        <f t="shared" si="262"/>
        <v>0</v>
      </c>
      <c r="BP457" s="3083">
        <f t="shared" si="263"/>
        <v>0</v>
      </c>
      <c r="BQ457" s="3083">
        <f t="shared" si="264"/>
        <v>0</v>
      </c>
      <c r="BR457" s="3083">
        <f t="shared" si="265"/>
        <v>0</v>
      </c>
      <c r="BS457" s="3083">
        <f t="shared" si="266"/>
        <v>0</v>
      </c>
      <c r="BT457" s="3135">
        <f t="shared" si="267"/>
        <v>0</v>
      </c>
    </row>
    <row r="458" spans="1:72">
      <c r="A458" s="3080"/>
      <c r="B458" s="3081"/>
      <c r="C458" s="3081"/>
      <c r="D458" s="3082"/>
      <c r="E458" s="3083">
        <f t="shared" si="239"/>
        <v>0</v>
      </c>
      <c r="F458" s="3084"/>
      <c r="G458" s="3085">
        <f t="shared" si="240"/>
        <v>0</v>
      </c>
      <c r="H458" s="3086">
        <f t="shared" si="241"/>
        <v>0</v>
      </c>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3083">
        <f t="shared" si="242"/>
        <v>0</v>
      </c>
      <c r="AD458" s="3103"/>
      <c r="AE458" s="3103"/>
      <c r="AF458" s="3103"/>
      <c r="AG458" s="3103"/>
      <c r="AH458" s="3103"/>
      <c r="AI458" s="3103"/>
      <c r="AJ458" s="3103"/>
      <c r="AK458" s="3103"/>
      <c r="AL458" s="3103"/>
      <c r="AM458" s="3103"/>
      <c r="AN458" s="3103"/>
      <c r="AO458" s="3103"/>
      <c r="AP458" s="3103"/>
      <c r="AQ458" s="3103"/>
      <c r="AR458" s="3103"/>
      <c r="AS458" s="3103"/>
      <c r="AT458" s="3113"/>
      <c r="AU458" s="3114"/>
      <c r="AV458" s="1580">
        <f t="shared" si="243"/>
        <v>0</v>
      </c>
      <c r="AW458" s="1580">
        <f t="shared" si="244"/>
        <v>0</v>
      </c>
      <c r="AX458" s="1580">
        <f t="shared" si="245"/>
        <v>0</v>
      </c>
      <c r="AY458" s="3128">
        <f t="shared" si="246"/>
        <v>0</v>
      </c>
      <c r="AZ458" s="3083">
        <f t="shared" si="247"/>
        <v>0</v>
      </c>
      <c r="BA458" s="3083">
        <f t="shared" si="248"/>
        <v>0</v>
      </c>
      <c r="BB458" s="3083">
        <f t="shared" si="249"/>
        <v>0</v>
      </c>
      <c r="BC458" s="3083">
        <f t="shared" si="250"/>
        <v>0</v>
      </c>
      <c r="BD458" s="3083">
        <f t="shared" si="251"/>
        <v>0</v>
      </c>
      <c r="BE458" s="3083">
        <f t="shared" si="252"/>
        <v>0</v>
      </c>
      <c r="BF458" s="3083">
        <f t="shared" si="253"/>
        <v>0</v>
      </c>
      <c r="BG458" s="3083">
        <f t="shared" si="254"/>
        <v>0</v>
      </c>
      <c r="BH458" s="3083">
        <f t="shared" si="255"/>
        <v>0</v>
      </c>
      <c r="BI458" s="3083">
        <f t="shared" si="256"/>
        <v>0</v>
      </c>
      <c r="BJ458" s="3083">
        <f t="shared" si="257"/>
        <v>0</v>
      </c>
      <c r="BK458" s="3083">
        <f t="shared" si="258"/>
        <v>0</v>
      </c>
      <c r="BL458" s="3083">
        <f t="shared" si="259"/>
        <v>0</v>
      </c>
      <c r="BM458" s="3083">
        <f t="shared" si="260"/>
        <v>0</v>
      </c>
      <c r="BN458" s="3083">
        <f t="shared" si="261"/>
        <v>0</v>
      </c>
      <c r="BO458" s="3083">
        <f t="shared" si="262"/>
        <v>0</v>
      </c>
      <c r="BP458" s="3083">
        <f t="shared" si="263"/>
        <v>0</v>
      </c>
      <c r="BQ458" s="3083">
        <f t="shared" si="264"/>
        <v>0</v>
      </c>
      <c r="BR458" s="3083">
        <f t="shared" si="265"/>
        <v>0</v>
      </c>
      <c r="BS458" s="3083">
        <f t="shared" si="266"/>
        <v>0</v>
      </c>
      <c r="BT458" s="3135">
        <f t="shared" si="267"/>
        <v>0</v>
      </c>
    </row>
    <row r="459" spans="1:72">
      <c r="A459" s="3080"/>
      <c r="B459" s="3081"/>
      <c r="C459" s="3081"/>
      <c r="D459" s="3082"/>
      <c r="E459" s="3083">
        <f t="shared" si="239"/>
        <v>0</v>
      </c>
      <c r="F459" s="3084"/>
      <c r="G459" s="3085">
        <f t="shared" si="240"/>
        <v>0</v>
      </c>
      <c r="H459" s="3086">
        <f t="shared" si="241"/>
        <v>0</v>
      </c>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3083">
        <f t="shared" si="242"/>
        <v>0</v>
      </c>
      <c r="AD459" s="3103"/>
      <c r="AE459" s="3103"/>
      <c r="AF459" s="3103"/>
      <c r="AG459" s="3103"/>
      <c r="AH459" s="3103"/>
      <c r="AI459" s="3103"/>
      <c r="AJ459" s="3103"/>
      <c r="AK459" s="3103"/>
      <c r="AL459" s="3103"/>
      <c r="AM459" s="3103"/>
      <c r="AN459" s="3103"/>
      <c r="AO459" s="3103"/>
      <c r="AP459" s="3103"/>
      <c r="AQ459" s="3103"/>
      <c r="AR459" s="3103"/>
      <c r="AS459" s="3103"/>
      <c r="AT459" s="3113"/>
      <c r="AU459" s="3114"/>
      <c r="AV459" s="1580">
        <f t="shared" si="243"/>
        <v>0</v>
      </c>
      <c r="AW459" s="1580">
        <f t="shared" si="244"/>
        <v>0</v>
      </c>
      <c r="AX459" s="1580">
        <f t="shared" si="245"/>
        <v>0</v>
      </c>
      <c r="AY459" s="3128">
        <f t="shared" si="246"/>
        <v>0</v>
      </c>
      <c r="AZ459" s="3083">
        <f t="shared" si="247"/>
        <v>0</v>
      </c>
      <c r="BA459" s="3083">
        <f t="shared" si="248"/>
        <v>0</v>
      </c>
      <c r="BB459" s="3083">
        <f t="shared" si="249"/>
        <v>0</v>
      </c>
      <c r="BC459" s="3083">
        <f t="shared" si="250"/>
        <v>0</v>
      </c>
      <c r="BD459" s="3083">
        <f t="shared" si="251"/>
        <v>0</v>
      </c>
      <c r="BE459" s="3083">
        <f t="shared" si="252"/>
        <v>0</v>
      </c>
      <c r="BF459" s="3083">
        <f t="shared" si="253"/>
        <v>0</v>
      </c>
      <c r="BG459" s="3083">
        <f t="shared" si="254"/>
        <v>0</v>
      </c>
      <c r="BH459" s="3083">
        <f t="shared" si="255"/>
        <v>0</v>
      </c>
      <c r="BI459" s="3083">
        <f t="shared" si="256"/>
        <v>0</v>
      </c>
      <c r="BJ459" s="3083">
        <f t="shared" si="257"/>
        <v>0</v>
      </c>
      <c r="BK459" s="3083">
        <f t="shared" si="258"/>
        <v>0</v>
      </c>
      <c r="BL459" s="3083">
        <f t="shared" si="259"/>
        <v>0</v>
      </c>
      <c r="BM459" s="3083">
        <f t="shared" si="260"/>
        <v>0</v>
      </c>
      <c r="BN459" s="3083">
        <f t="shared" si="261"/>
        <v>0</v>
      </c>
      <c r="BO459" s="3083">
        <f t="shared" si="262"/>
        <v>0</v>
      </c>
      <c r="BP459" s="3083">
        <f t="shared" si="263"/>
        <v>0</v>
      </c>
      <c r="BQ459" s="3083">
        <f t="shared" si="264"/>
        <v>0</v>
      </c>
      <c r="BR459" s="3083">
        <f t="shared" si="265"/>
        <v>0</v>
      </c>
      <c r="BS459" s="3083">
        <f t="shared" si="266"/>
        <v>0</v>
      </c>
      <c r="BT459" s="3135">
        <f t="shared" si="267"/>
        <v>0</v>
      </c>
    </row>
    <row r="460" spans="1:72">
      <c r="A460" s="3080"/>
      <c r="B460" s="3081"/>
      <c r="C460" s="3081"/>
      <c r="D460" s="3082"/>
      <c r="E460" s="3083">
        <f t="shared" si="239"/>
        <v>0</v>
      </c>
      <c r="F460" s="3084"/>
      <c r="G460" s="3085">
        <f t="shared" si="240"/>
        <v>0</v>
      </c>
      <c r="H460" s="3086">
        <f t="shared" si="241"/>
        <v>0</v>
      </c>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3083">
        <f t="shared" si="242"/>
        <v>0</v>
      </c>
      <c r="AD460" s="3103"/>
      <c r="AE460" s="3103"/>
      <c r="AF460" s="3103"/>
      <c r="AG460" s="3103"/>
      <c r="AH460" s="3103"/>
      <c r="AI460" s="3103"/>
      <c r="AJ460" s="3103"/>
      <c r="AK460" s="3103"/>
      <c r="AL460" s="3103"/>
      <c r="AM460" s="3103"/>
      <c r="AN460" s="3103"/>
      <c r="AO460" s="3103"/>
      <c r="AP460" s="3103"/>
      <c r="AQ460" s="3103"/>
      <c r="AR460" s="3103"/>
      <c r="AS460" s="3103"/>
      <c r="AT460" s="3113"/>
      <c r="AU460" s="3114"/>
      <c r="AV460" s="1580">
        <f t="shared" si="243"/>
        <v>0</v>
      </c>
      <c r="AW460" s="1580">
        <f t="shared" si="244"/>
        <v>0</v>
      </c>
      <c r="AX460" s="1580">
        <f t="shared" si="245"/>
        <v>0</v>
      </c>
      <c r="AY460" s="3128">
        <f t="shared" si="246"/>
        <v>0</v>
      </c>
      <c r="AZ460" s="3083">
        <f t="shared" si="247"/>
        <v>0</v>
      </c>
      <c r="BA460" s="3083">
        <f t="shared" si="248"/>
        <v>0</v>
      </c>
      <c r="BB460" s="3083">
        <f t="shared" si="249"/>
        <v>0</v>
      </c>
      <c r="BC460" s="3083">
        <f t="shared" si="250"/>
        <v>0</v>
      </c>
      <c r="BD460" s="3083">
        <f t="shared" si="251"/>
        <v>0</v>
      </c>
      <c r="BE460" s="3083">
        <f t="shared" si="252"/>
        <v>0</v>
      </c>
      <c r="BF460" s="3083">
        <f t="shared" si="253"/>
        <v>0</v>
      </c>
      <c r="BG460" s="3083">
        <f t="shared" si="254"/>
        <v>0</v>
      </c>
      <c r="BH460" s="3083">
        <f t="shared" si="255"/>
        <v>0</v>
      </c>
      <c r="BI460" s="3083">
        <f t="shared" si="256"/>
        <v>0</v>
      </c>
      <c r="BJ460" s="3083">
        <f t="shared" si="257"/>
        <v>0</v>
      </c>
      <c r="BK460" s="3083">
        <f t="shared" si="258"/>
        <v>0</v>
      </c>
      <c r="BL460" s="3083">
        <f t="shared" si="259"/>
        <v>0</v>
      </c>
      <c r="BM460" s="3083">
        <f t="shared" si="260"/>
        <v>0</v>
      </c>
      <c r="BN460" s="3083">
        <f t="shared" si="261"/>
        <v>0</v>
      </c>
      <c r="BO460" s="3083">
        <f t="shared" si="262"/>
        <v>0</v>
      </c>
      <c r="BP460" s="3083">
        <f t="shared" si="263"/>
        <v>0</v>
      </c>
      <c r="BQ460" s="3083">
        <f t="shared" si="264"/>
        <v>0</v>
      </c>
      <c r="BR460" s="3083">
        <f t="shared" si="265"/>
        <v>0</v>
      </c>
      <c r="BS460" s="3083">
        <f t="shared" si="266"/>
        <v>0</v>
      </c>
      <c r="BT460" s="3135">
        <f t="shared" si="267"/>
        <v>0</v>
      </c>
    </row>
    <row r="461" spans="1:72">
      <c r="A461" s="3080"/>
      <c r="B461" s="3081"/>
      <c r="C461" s="3081"/>
      <c r="D461" s="3082"/>
      <c r="E461" s="3083">
        <f t="shared" si="239"/>
        <v>0</v>
      </c>
      <c r="F461" s="3084"/>
      <c r="G461" s="3085">
        <f t="shared" si="240"/>
        <v>0</v>
      </c>
      <c r="H461" s="3086">
        <f t="shared" si="241"/>
        <v>0</v>
      </c>
      <c r="I461" s="3093"/>
      <c r="J461" s="3093"/>
      <c r="K461" s="3093"/>
      <c r="L461" s="3093"/>
      <c r="M461" s="3093"/>
      <c r="N461" s="3093"/>
      <c r="O461" s="3093"/>
      <c r="P461" s="3093"/>
      <c r="Q461" s="3093"/>
      <c r="R461" s="3093"/>
      <c r="S461" s="3093"/>
      <c r="T461" s="3093"/>
      <c r="U461" s="3093"/>
      <c r="V461" s="3093"/>
      <c r="W461" s="3093"/>
      <c r="X461" s="3093"/>
      <c r="Y461" s="3093"/>
      <c r="Z461" s="3093"/>
      <c r="AA461" s="3093"/>
      <c r="AB461" s="3093"/>
      <c r="AC461" s="3083">
        <f t="shared" si="242"/>
        <v>0</v>
      </c>
      <c r="AD461" s="3103"/>
      <c r="AE461" s="3103"/>
      <c r="AF461" s="3103"/>
      <c r="AG461" s="3103"/>
      <c r="AH461" s="3103"/>
      <c r="AI461" s="3103"/>
      <c r="AJ461" s="3103"/>
      <c r="AK461" s="3103"/>
      <c r="AL461" s="3103"/>
      <c r="AM461" s="3103"/>
      <c r="AN461" s="3103"/>
      <c r="AO461" s="3103"/>
      <c r="AP461" s="3103"/>
      <c r="AQ461" s="3103"/>
      <c r="AR461" s="3103"/>
      <c r="AS461" s="3103"/>
      <c r="AT461" s="3113"/>
      <c r="AU461" s="3114"/>
      <c r="AV461" s="1580">
        <f t="shared" si="243"/>
        <v>0</v>
      </c>
      <c r="AW461" s="1580">
        <f t="shared" si="244"/>
        <v>0</v>
      </c>
      <c r="AX461" s="1580">
        <f t="shared" si="245"/>
        <v>0</v>
      </c>
      <c r="AY461" s="3128">
        <f t="shared" si="246"/>
        <v>0</v>
      </c>
      <c r="AZ461" s="3083">
        <f t="shared" si="247"/>
        <v>0</v>
      </c>
      <c r="BA461" s="3083">
        <f t="shared" si="248"/>
        <v>0</v>
      </c>
      <c r="BB461" s="3083">
        <f t="shared" si="249"/>
        <v>0</v>
      </c>
      <c r="BC461" s="3083">
        <f t="shared" si="250"/>
        <v>0</v>
      </c>
      <c r="BD461" s="3083">
        <f t="shared" si="251"/>
        <v>0</v>
      </c>
      <c r="BE461" s="3083">
        <f t="shared" si="252"/>
        <v>0</v>
      </c>
      <c r="BF461" s="3083">
        <f t="shared" si="253"/>
        <v>0</v>
      </c>
      <c r="BG461" s="3083">
        <f t="shared" si="254"/>
        <v>0</v>
      </c>
      <c r="BH461" s="3083">
        <f t="shared" si="255"/>
        <v>0</v>
      </c>
      <c r="BI461" s="3083">
        <f t="shared" si="256"/>
        <v>0</v>
      </c>
      <c r="BJ461" s="3083">
        <f t="shared" si="257"/>
        <v>0</v>
      </c>
      <c r="BK461" s="3083">
        <f t="shared" si="258"/>
        <v>0</v>
      </c>
      <c r="BL461" s="3083">
        <f t="shared" si="259"/>
        <v>0</v>
      </c>
      <c r="BM461" s="3083">
        <f t="shared" si="260"/>
        <v>0</v>
      </c>
      <c r="BN461" s="3083">
        <f t="shared" si="261"/>
        <v>0</v>
      </c>
      <c r="BO461" s="3083">
        <f t="shared" si="262"/>
        <v>0</v>
      </c>
      <c r="BP461" s="3083">
        <f t="shared" si="263"/>
        <v>0</v>
      </c>
      <c r="BQ461" s="3083">
        <f t="shared" si="264"/>
        <v>0</v>
      </c>
      <c r="BR461" s="3083">
        <f t="shared" si="265"/>
        <v>0</v>
      </c>
      <c r="BS461" s="3083">
        <f t="shared" si="266"/>
        <v>0</v>
      </c>
      <c r="BT461" s="3135">
        <f t="shared" si="267"/>
        <v>0</v>
      </c>
    </row>
    <row r="462" spans="1:72">
      <c r="A462" s="3080"/>
      <c r="B462" s="3081"/>
      <c r="C462" s="3081"/>
      <c r="D462" s="3082"/>
      <c r="E462" s="3083">
        <f t="shared" si="239"/>
        <v>0</v>
      </c>
      <c r="F462" s="3084"/>
      <c r="G462" s="3085">
        <f t="shared" si="240"/>
        <v>0</v>
      </c>
      <c r="H462" s="3086">
        <f t="shared" si="241"/>
        <v>0</v>
      </c>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3083">
        <f t="shared" si="242"/>
        <v>0</v>
      </c>
      <c r="AD462" s="3103"/>
      <c r="AE462" s="3103"/>
      <c r="AF462" s="3103"/>
      <c r="AG462" s="3103"/>
      <c r="AH462" s="3103"/>
      <c r="AI462" s="3103"/>
      <c r="AJ462" s="3103"/>
      <c r="AK462" s="3103"/>
      <c r="AL462" s="3103"/>
      <c r="AM462" s="3103"/>
      <c r="AN462" s="3103"/>
      <c r="AO462" s="3103"/>
      <c r="AP462" s="3103"/>
      <c r="AQ462" s="3103"/>
      <c r="AR462" s="3103"/>
      <c r="AS462" s="3103"/>
      <c r="AT462" s="3113"/>
      <c r="AU462" s="3114"/>
      <c r="AV462" s="1580">
        <f t="shared" si="243"/>
        <v>0</v>
      </c>
      <c r="AW462" s="1580">
        <f t="shared" si="244"/>
        <v>0</v>
      </c>
      <c r="AX462" s="1580">
        <f t="shared" si="245"/>
        <v>0</v>
      </c>
      <c r="AY462" s="3128">
        <f t="shared" si="246"/>
        <v>0</v>
      </c>
      <c r="AZ462" s="3083">
        <f t="shared" si="247"/>
        <v>0</v>
      </c>
      <c r="BA462" s="3083">
        <f t="shared" si="248"/>
        <v>0</v>
      </c>
      <c r="BB462" s="3083">
        <f t="shared" si="249"/>
        <v>0</v>
      </c>
      <c r="BC462" s="3083">
        <f t="shared" si="250"/>
        <v>0</v>
      </c>
      <c r="BD462" s="3083">
        <f t="shared" si="251"/>
        <v>0</v>
      </c>
      <c r="BE462" s="3083">
        <f t="shared" si="252"/>
        <v>0</v>
      </c>
      <c r="BF462" s="3083">
        <f t="shared" si="253"/>
        <v>0</v>
      </c>
      <c r="BG462" s="3083">
        <f t="shared" si="254"/>
        <v>0</v>
      </c>
      <c r="BH462" s="3083">
        <f t="shared" si="255"/>
        <v>0</v>
      </c>
      <c r="BI462" s="3083">
        <f t="shared" si="256"/>
        <v>0</v>
      </c>
      <c r="BJ462" s="3083">
        <f t="shared" si="257"/>
        <v>0</v>
      </c>
      <c r="BK462" s="3083">
        <f t="shared" si="258"/>
        <v>0</v>
      </c>
      <c r="BL462" s="3083">
        <f t="shared" si="259"/>
        <v>0</v>
      </c>
      <c r="BM462" s="3083">
        <f t="shared" si="260"/>
        <v>0</v>
      </c>
      <c r="BN462" s="3083">
        <f t="shared" si="261"/>
        <v>0</v>
      </c>
      <c r="BO462" s="3083">
        <f t="shared" si="262"/>
        <v>0</v>
      </c>
      <c r="BP462" s="3083">
        <f t="shared" si="263"/>
        <v>0</v>
      </c>
      <c r="BQ462" s="3083">
        <f t="shared" si="264"/>
        <v>0</v>
      </c>
      <c r="BR462" s="3083">
        <f t="shared" si="265"/>
        <v>0</v>
      </c>
      <c r="BS462" s="3083">
        <f t="shared" si="266"/>
        <v>0</v>
      </c>
      <c r="BT462" s="3135">
        <f t="shared" si="267"/>
        <v>0</v>
      </c>
    </row>
    <row r="463" spans="1:72">
      <c r="A463" s="3080"/>
      <c r="B463" s="3081"/>
      <c r="C463" s="3081"/>
      <c r="D463" s="3082"/>
      <c r="E463" s="3083">
        <f t="shared" si="239"/>
        <v>0</v>
      </c>
      <c r="F463" s="3084"/>
      <c r="G463" s="3085">
        <f t="shared" si="240"/>
        <v>0</v>
      </c>
      <c r="H463" s="3086">
        <f t="shared" si="241"/>
        <v>0</v>
      </c>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3083">
        <f t="shared" si="242"/>
        <v>0</v>
      </c>
      <c r="AD463" s="3103"/>
      <c r="AE463" s="3103"/>
      <c r="AF463" s="3103"/>
      <c r="AG463" s="3103"/>
      <c r="AH463" s="3103"/>
      <c r="AI463" s="3103"/>
      <c r="AJ463" s="3103"/>
      <c r="AK463" s="3103"/>
      <c r="AL463" s="3103"/>
      <c r="AM463" s="3103"/>
      <c r="AN463" s="3103"/>
      <c r="AO463" s="3103"/>
      <c r="AP463" s="3103"/>
      <c r="AQ463" s="3103"/>
      <c r="AR463" s="3103"/>
      <c r="AS463" s="3103"/>
      <c r="AT463" s="3113"/>
      <c r="AU463" s="3114"/>
      <c r="AV463" s="1580">
        <f t="shared" si="243"/>
        <v>0</v>
      </c>
      <c r="AW463" s="1580">
        <f t="shared" si="244"/>
        <v>0</v>
      </c>
      <c r="AX463" s="1580">
        <f t="shared" si="245"/>
        <v>0</v>
      </c>
      <c r="AY463" s="3128">
        <f t="shared" si="246"/>
        <v>0</v>
      </c>
      <c r="AZ463" s="3083">
        <f t="shared" si="247"/>
        <v>0</v>
      </c>
      <c r="BA463" s="3083">
        <f t="shared" si="248"/>
        <v>0</v>
      </c>
      <c r="BB463" s="3083">
        <f t="shared" si="249"/>
        <v>0</v>
      </c>
      <c r="BC463" s="3083">
        <f t="shared" si="250"/>
        <v>0</v>
      </c>
      <c r="BD463" s="3083">
        <f t="shared" si="251"/>
        <v>0</v>
      </c>
      <c r="BE463" s="3083">
        <f t="shared" si="252"/>
        <v>0</v>
      </c>
      <c r="BF463" s="3083">
        <f t="shared" si="253"/>
        <v>0</v>
      </c>
      <c r="BG463" s="3083">
        <f t="shared" si="254"/>
        <v>0</v>
      </c>
      <c r="BH463" s="3083">
        <f t="shared" si="255"/>
        <v>0</v>
      </c>
      <c r="BI463" s="3083">
        <f t="shared" si="256"/>
        <v>0</v>
      </c>
      <c r="BJ463" s="3083">
        <f t="shared" si="257"/>
        <v>0</v>
      </c>
      <c r="BK463" s="3083">
        <f t="shared" si="258"/>
        <v>0</v>
      </c>
      <c r="BL463" s="3083">
        <f t="shared" si="259"/>
        <v>0</v>
      </c>
      <c r="BM463" s="3083">
        <f t="shared" si="260"/>
        <v>0</v>
      </c>
      <c r="BN463" s="3083">
        <f t="shared" si="261"/>
        <v>0</v>
      </c>
      <c r="BO463" s="3083">
        <f t="shared" si="262"/>
        <v>0</v>
      </c>
      <c r="BP463" s="3083">
        <f t="shared" si="263"/>
        <v>0</v>
      </c>
      <c r="BQ463" s="3083">
        <f t="shared" si="264"/>
        <v>0</v>
      </c>
      <c r="BR463" s="3083">
        <f t="shared" si="265"/>
        <v>0</v>
      </c>
      <c r="BS463" s="3083">
        <f t="shared" si="266"/>
        <v>0</v>
      </c>
      <c r="BT463" s="3135">
        <f t="shared" si="267"/>
        <v>0</v>
      </c>
    </row>
    <row r="464" spans="1:72">
      <c r="A464" s="3080"/>
      <c r="B464" s="3081"/>
      <c r="C464" s="3081"/>
      <c r="D464" s="3082"/>
      <c r="E464" s="3083">
        <f t="shared" si="239"/>
        <v>0</v>
      </c>
      <c r="F464" s="3084"/>
      <c r="G464" s="3085">
        <f t="shared" si="240"/>
        <v>0</v>
      </c>
      <c r="H464" s="3086">
        <f t="shared" si="241"/>
        <v>0</v>
      </c>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3083">
        <f t="shared" si="242"/>
        <v>0</v>
      </c>
      <c r="AD464" s="3103"/>
      <c r="AE464" s="3103"/>
      <c r="AF464" s="3103"/>
      <c r="AG464" s="3103"/>
      <c r="AH464" s="3103"/>
      <c r="AI464" s="3103"/>
      <c r="AJ464" s="3103"/>
      <c r="AK464" s="3103"/>
      <c r="AL464" s="3103"/>
      <c r="AM464" s="3103"/>
      <c r="AN464" s="3103"/>
      <c r="AO464" s="3103"/>
      <c r="AP464" s="3103"/>
      <c r="AQ464" s="3103"/>
      <c r="AR464" s="3103"/>
      <c r="AS464" s="3103"/>
      <c r="AT464" s="3113"/>
      <c r="AU464" s="3114"/>
      <c r="AV464" s="1580">
        <f t="shared" si="243"/>
        <v>0</v>
      </c>
      <c r="AW464" s="1580">
        <f t="shared" si="244"/>
        <v>0</v>
      </c>
      <c r="AX464" s="1580">
        <f t="shared" si="245"/>
        <v>0</v>
      </c>
      <c r="AY464" s="3128">
        <f t="shared" si="246"/>
        <v>0</v>
      </c>
      <c r="AZ464" s="3083">
        <f t="shared" si="247"/>
        <v>0</v>
      </c>
      <c r="BA464" s="3083">
        <f t="shared" si="248"/>
        <v>0</v>
      </c>
      <c r="BB464" s="3083">
        <f t="shared" si="249"/>
        <v>0</v>
      </c>
      <c r="BC464" s="3083">
        <f t="shared" si="250"/>
        <v>0</v>
      </c>
      <c r="BD464" s="3083">
        <f t="shared" si="251"/>
        <v>0</v>
      </c>
      <c r="BE464" s="3083">
        <f t="shared" si="252"/>
        <v>0</v>
      </c>
      <c r="BF464" s="3083">
        <f t="shared" si="253"/>
        <v>0</v>
      </c>
      <c r="BG464" s="3083">
        <f t="shared" si="254"/>
        <v>0</v>
      </c>
      <c r="BH464" s="3083">
        <f t="shared" si="255"/>
        <v>0</v>
      </c>
      <c r="BI464" s="3083">
        <f t="shared" si="256"/>
        <v>0</v>
      </c>
      <c r="BJ464" s="3083">
        <f t="shared" si="257"/>
        <v>0</v>
      </c>
      <c r="BK464" s="3083">
        <f t="shared" si="258"/>
        <v>0</v>
      </c>
      <c r="BL464" s="3083">
        <f t="shared" si="259"/>
        <v>0</v>
      </c>
      <c r="BM464" s="3083">
        <f t="shared" si="260"/>
        <v>0</v>
      </c>
      <c r="BN464" s="3083">
        <f t="shared" si="261"/>
        <v>0</v>
      </c>
      <c r="BO464" s="3083">
        <f t="shared" si="262"/>
        <v>0</v>
      </c>
      <c r="BP464" s="3083">
        <f t="shared" si="263"/>
        <v>0</v>
      </c>
      <c r="BQ464" s="3083">
        <f t="shared" si="264"/>
        <v>0</v>
      </c>
      <c r="BR464" s="3083">
        <f t="shared" si="265"/>
        <v>0</v>
      </c>
      <c r="BS464" s="3083">
        <f t="shared" si="266"/>
        <v>0</v>
      </c>
      <c r="BT464" s="3135">
        <f t="shared" si="267"/>
        <v>0</v>
      </c>
    </row>
    <row r="465" spans="1:72">
      <c r="A465" s="3080"/>
      <c r="B465" s="3081"/>
      <c r="C465" s="3081"/>
      <c r="D465" s="3082"/>
      <c r="E465" s="3083">
        <f t="shared" si="239"/>
        <v>0</v>
      </c>
      <c r="F465" s="3084"/>
      <c r="G465" s="3085">
        <f t="shared" si="240"/>
        <v>0</v>
      </c>
      <c r="H465" s="3086">
        <f t="shared" si="241"/>
        <v>0</v>
      </c>
      <c r="I465" s="3093"/>
      <c r="J465" s="3093"/>
      <c r="K465" s="3093"/>
      <c r="L465" s="3093"/>
      <c r="M465" s="3093"/>
      <c r="N465" s="3093"/>
      <c r="O465" s="3093"/>
      <c r="P465" s="3093"/>
      <c r="Q465" s="3093"/>
      <c r="R465" s="3093"/>
      <c r="S465" s="3093"/>
      <c r="T465" s="3093"/>
      <c r="U465" s="3093"/>
      <c r="V465" s="3093"/>
      <c r="W465" s="3093"/>
      <c r="X465" s="3093"/>
      <c r="Y465" s="3093"/>
      <c r="Z465" s="3093"/>
      <c r="AA465" s="3093"/>
      <c r="AB465" s="3093"/>
      <c r="AC465" s="3083">
        <f t="shared" si="242"/>
        <v>0</v>
      </c>
      <c r="AD465" s="3103"/>
      <c r="AE465" s="3103"/>
      <c r="AF465" s="3103"/>
      <c r="AG465" s="3103"/>
      <c r="AH465" s="3103"/>
      <c r="AI465" s="3103"/>
      <c r="AJ465" s="3103"/>
      <c r="AK465" s="3103"/>
      <c r="AL465" s="3103"/>
      <c r="AM465" s="3103"/>
      <c r="AN465" s="3103"/>
      <c r="AO465" s="3103"/>
      <c r="AP465" s="3103"/>
      <c r="AQ465" s="3103"/>
      <c r="AR465" s="3103"/>
      <c r="AS465" s="3103"/>
      <c r="AT465" s="3113"/>
      <c r="AU465" s="3114"/>
      <c r="AV465" s="1580">
        <f t="shared" si="243"/>
        <v>0</v>
      </c>
      <c r="AW465" s="1580">
        <f t="shared" si="244"/>
        <v>0</v>
      </c>
      <c r="AX465" s="1580">
        <f t="shared" si="245"/>
        <v>0</v>
      </c>
      <c r="AY465" s="3128">
        <f t="shared" si="246"/>
        <v>0</v>
      </c>
      <c r="AZ465" s="3083">
        <f t="shared" si="247"/>
        <v>0</v>
      </c>
      <c r="BA465" s="3083">
        <f t="shared" si="248"/>
        <v>0</v>
      </c>
      <c r="BB465" s="3083">
        <f t="shared" si="249"/>
        <v>0</v>
      </c>
      <c r="BC465" s="3083">
        <f t="shared" si="250"/>
        <v>0</v>
      </c>
      <c r="BD465" s="3083">
        <f t="shared" si="251"/>
        <v>0</v>
      </c>
      <c r="BE465" s="3083">
        <f t="shared" si="252"/>
        <v>0</v>
      </c>
      <c r="BF465" s="3083">
        <f t="shared" si="253"/>
        <v>0</v>
      </c>
      <c r="BG465" s="3083">
        <f t="shared" si="254"/>
        <v>0</v>
      </c>
      <c r="BH465" s="3083">
        <f t="shared" si="255"/>
        <v>0</v>
      </c>
      <c r="BI465" s="3083">
        <f t="shared" si="256"/>
        <v>0</v>
      </c>
      <c r="BJ465" s="3083">
        <f t="shared" si="257"/>
        <v>0</v>
      </c>
      <c r="BK465" s="3083">
        <f t="shared" si="258"/>
        <v>0</v>
      </c>
      <c r="BL465" s="3083">
        <f t="shared" si="259"/>
        <v>0</v>
      </c>
      <c r="BM465" s="3083">
        <f t="shared" si="260"/>
        <v>0</v>
      </c>
      <c r="BN465" s="3083">
        <f t="shared" si="261"/>
        <v>0</v>
      </c>
      <c r="BO465" s="3083">
        <f t="shared" si="262"/>
        <v>0</v>
      </c>
      <c r="BP465" s="3083">
        <f t="shared" si="263"/>
        <v>0</v>
      </c>
      <c r="BQ465" s="3083">
        <f t="shared" si="264"/>
        <v>0</v>
      </c>
      <c r="BR465" s="3083">
        <f t="shared" si="265"/>
        <v>0</v>
      </c>
      <c r="BS465" s="3083">
        <f t="shared" si="266"/>
        <v>0</v>
      </c>
      <c r="BT465" s="3135">
        <f t="shared" si="267"/>
        <v>0</v>
      </c>
    </row>
    <row r="466" spans="1:72">
      <c r="A466" s="3080"/>
      <c r="B466" s="3081"/>
      <c r="C466" s="3081"/>
      <c r="D466" s="3082"/>
      <c r="E466" s="3083">
        <f t="shared" si="239"/>
        <v>0</v>
      </c>
      <c r="F466" s="3084"/>
      <c r="G466" s="3085">
        <f t="shared" si="240"/>
        <v>0</v>
      </c>
      <c r="H466" s="3086">
        <f t="shared" si="241"/>
        <v>0</v>
      </c>
      <c r="I466" s="3093"/>
      <c r="J466" s="3093"/>
      <c r="K466" s="3093"/>
      <c r="L466" s="3093"/>
      <c r="M466" s="3093"/>
      <c r="N466" s="3093"/>
      <c r="O466" s="3093"/>
      <c r="P466" s="3093"/>
      <c r="Q466" s="3093"/>
      <c r="R466" s="3093"/>
      <c r="S466" s="3093"/>
      <c r="T466" s="3093"/>
      <c r="U466" s="3093"/>
      <c r="V466" s="3093"/>
      <c r="W466" s="3093"/>
      <c r="X466" s="3093"/>
      <c r="Y466" s="3093"/>
      <c r="Z466" s="3093"/>
      <c r="AA466" s="3093"/>
      <c r="AB466" s="3093"/>
      <c r="AC466" s="3083">
        <f t="shared" si="242"/>
        <v>0</v>
      </c>
      <c r="AD466" s="3103"/>
      <c r="AE466" s="3103"/>
      <c r="AF466" s="3103"/>
      <c r="AG466" s="3103"/>
      <c r="AH466" s="3103"/>
      <c r="AI466" s="3103"/>
      <c r="AJ466" s="3103"/>
      <c r="AK466" s="3103"/>
      <c r="AL466" s="3103"/>
      <c r="AM466" s="3103"/>
      <c r="AN466" s="3103"/>
      <c r="AO466" s="3103"/>
      <c r="AP466" s="3103"/>
      <c r="AQ466" s="3103"/>
      <c r="AR466" s="3103"/>
      <c r="AS466" s="3103"/>
      <c r="AT466" s="3113"/>
      <c r="AU466" s="3114"/>
      <c r="AV466" s="1580">
        <f t="shared" si="243"/>
        <v>0</v>
      </c>
      <c r="AW466" s="1580">
        <f t="shared" si="244"/>
        <v>0</v>
      </c>
      <c r="AX466" s="1580">
        <f t="shared" si="245"/>
        <v>0</v>
      </c>
      <c r="AY466" s="3128">
        <f t="shared" si="246"/>
        <v>0</v>
      </c>
      <c r="AZ466" s="3083">
        <f t="shared" si="247"/>
        <v>0</v>
      </c>
      <c r="BA466" s="3083">
        <f t="shared" si="248"/>
        <v>0</v>
      </c>
      <c r="BB466" s="3083">
        <f t="shared" si="249"/>
        <v>0</v>
      </c>
      <c r="BC466" s="3083">
        <f t="shared" si="250"/>
        <v>0</v>
      </c>
      <c r="BD466" s="3083">
        <f t="shared" si="251"/>
        <v>0</v>
      </c>
      <c r="BE466" s="3083">
        <f t="shared" si="252"/>
        <v>0</v>
      </c>
      <c r="BF466" s="3083">
        <f t="shared" si="253"/>
        <v>0</v>
      </c>
      <c r="BG466" s="3083">
        <f t="shared" si="254"/>
        <v>0</v>
      </c>
      <c r="BH466" s="3083">
        <f t="shared" si="255"/>
        <v>0</v>
      </c>
      <c r="BI466" s="3083">
        <f t="shared" si="256"/>
        <v>0</v>
      </c>
      <c r="BJ466" s="3083">
        <f t="shared" si="257"/>
        <v>0</v>
      </c>
      <c r="BK466" s="3083">
        <f t="shared" si="258"/>
        <v>0</v>
      </c>
      <c r="BL466" s="3083">
        <f t="shared" si="259"/>
        <v>0</v>
      </c>
      <c r="BM466" s="3083">
        <f t="shared" si="260"/>
        <v>0</v>
      </c>
      <c r="BN466" s="3083">
        <f t="shared" si="261"/>
        <v>0</v>
      </c>
      <c r="BO466" s="3083">
        <f t="shared" si="262"/>
        <v>0</v>
      </c>
      <c r="BP466" s="3083">
        <f t="shared" si="263"/>
        <v>0</v>
      </c>
      <c r="BQ466" s="3083">
        <f t="shared" si="264"/>
        <v>0</v>
      </c>
      <c r="BR466" s="3083">
        <f t="shared" si="265"/>
        <v>0</v>
      </c>
      <c r="BS466" s="3083">
        <f t="shared" si="266"/>
        <v>0</v>
      </c>
      <c r="BT466" s="3135">
        <f t="shared" si="267"/>
        <v>0</v>
      </c>
    </row>
    <row r="467" spans="1:72">
      <c r="A467" s="3080"/>
      <c r="B467" s="3081"/>
      <c r="C467" s="3081"/>
      <c r="D467" s="3082"/>
      <c r="E467" s="3083">
        <f t="shared" si="239"/>
        <v>0</v>
      </c>
      <c r="F467" s="3084"/>
      <c r="G467" s="3085">
        <f t="shared" si="240"/>
        <v>0</v>
      </c>
      <c r="H467" s="3086">
        <f t="shared" si="241"/>
        <v>0</v>
      </c>
      <c r="I467" s="3093"/>
      <c r="J467" s="3093"/>
      <c r="K467" s="3093"/>
      <c r="L467" s="3093"/>
      <c r="M467" s="3093"/>
      <c r="N467" s="3093"/>
      <c r="O467" s="3093"/>
      <c r="P467" s="3093"/>
      <c r="Q467" s="3093"/>
      <c r="R467" s="3093"/>
      <c r="S467" s="3093"/>
      <c r="T467" s="3093"/>
      <c r="U467" s="3093"/>
      <c r="V467" s="3093"/>
      <c r="W467" s="3093"/>
      <c r="X467" s="3093"/>
      <c r="Y467" s="3093"/>
      <c r="Z467" s="3093"/>
      <c r="AA467" s="3093"/>
      <c r="AB467" s="3093"/>
      <c r="AC467" s="3083">
        <f t="shared" si="242"/>
        <v>0</v>
      </c>
      <c r="AD467" s="3103"/>
      <c r="AE467" s="3103"/>
      <c r="AF467" s="3103"/>
      <c r="AG467" s="3103"/>
      <c r="AH467" s="3103"/>
      <c r="AI467" s="3103"/>
      <c r="AJ467" s="3103"/>
      <c r="AK467" s="3103"/>
      <c r="AL467" s="3103"/>
      <c r="AM467" s="3103"/>
      <c r="AN467" s="3103"/>
      <c r="AO467" s="3103"/>
      <c r="AP467" s="3103"/>
      <c r="AQ467" s="3103"/>
      <c r="AR467" s="3103"/>
      <c r="AS467" s="3103"/>
      <c r="AT467" s="3113"/>
      <c r="AU467" s="3114"/>
      <c r="AV467" s="1580">
        <f t="shared" si="243"/>
        <v>0</v>
      </c>
      <c r="AW467" s="1580">
        <f t="shared" si="244"/>
        <v>0</v>
      </c>
      <c r="AX467" s="1580">
        <f t="shared" si="245"/>
        <v>0</v>
      </c>
      <c r="AY467" s="3128">
        <f t="shared" si="246"/>
        <v>0</v>
      </c>
      <c r="AZ467" s="3083">
        <f t="shared" si="247"/>
        <v>0</v>
      </c>
      <c r="BA467" s="3083">
        <f t="shared" si="248"/>
        <v>0</v>
      </c>
      <c r="BB467" s="3083">
        <f t="shared" si="249"/>
        <v>0</v>
      </c>
      <c r="BC467" s="3083">
        <f t="shared" si="250"/>
        <v>0</v>
      </c>
      <c r="BD467" s="3083">
        <f t="shared" si="251"/>
        <v>0</v>
      </c>
      <c r="BE467" s="3083">
        <f t="shared" si="252"/>
        <v>0</v>
      </c>
      <c r="BF467" s="3083">
        <f t="shared" si="253"/>
        <v>0</v>
      </c>
      <c r="BG467" s="3083">
        <f t="shared" si="254"/>
        <v>0</v>
      </c>
      <c r="BH467" s="3083">
        <f t="shared" si="255"/>
        <v>0</v>
      </c>
      <c r="BI467" s="3083">
        <f t="shared" si="256"/>
        <v>0</v>
      </c>
      <c r="BJ467" s="3083">
        <f t="shared" si="257"/>
        <v>0</v>
      </c>
      <c r="BK467" s="3083">
        <f t="shared" si="258"/>
        <v>0</v>
      </c>
      <c r="BL467" s="3083">
        <f t="shared" si="259"/>
        <v>0</v>
      </c>
      <c r="BM467" s="3083">
        <f t="shared" si="260"/>
        <v>0</v>
      </c>
      <c r="BN467" s="3083">
        <f t="shared" si="261"/>
        <v>0</v>
      </c>
      <c r="BO467" s="3083">
        <f t="shared" si="262"/>
        <v>0</v>
      </c>
      <c r="BP467" s="3083">
        <f t="shared" si="263"/>
        <v>0</v>
      </c>
      <c r="BQ467" s="3083">
        <f t="shared" si="264"/>
        <v>0</v>
      </c>
      <c r="BR467" s="3083">
        <f t="shared" si="265"/>
        <v>0</v>
      </c>
      <c r="BS467" s="3083">
        <f t="shared" si="266"/>
        <v>0</v>
      </c>
      <c r="BT467" s="3135">
        <f t="shared" si="267"/>
        <v>0</v>
      </c>
    </row>
    <row r="468" spans="1:72">
      <c r="A468" s="3080"/>
      <c r="B468" s="3081"/>
      <c r="C468" s="3081"/>
      <c r="D468" s="3082"/>
      <c r="E468" s="3083">
        <f t="shared" si="239"/>
        <v>0</v>
      </c>
      <c r="F468" s="3084"/>
      <c r="G468" s="3085">
        <f t="shared" si="240"/>
        <v>0</v>
      </c>
      <c r="H468" s="3086">
        <f t="shared" si="241"/>
        <v>0</v>
      </c>
      <c r="I468" s="3093"/>
      <c r="J468" s="3093"/>
      <c r="K468" s="3093"/>
      <c r="L468" s="3093"/>
      <c r="M468" s="3093"/>
      <c r="N468" s="3093"/>
      <c r="O468" s="3093"/>
      <c r="P468" s="3093"/>
      <c r="Q468" s="3093"/>
      <c r="R468" s="3093"/>
      <c r="S468" s="3093"/>
      <c r="T468" s="3093"/>
      <c r="U468" s="3093"/>
      <c r="V468" s="3093"/>
      <c r="W468" s="3093"/>
      <c r="X468" s="3093"/>
      <c r="Y468" s="3093"/>
      <c r="Z468" s="3093"/>
      <c r="AA468" s="3093"/>
      <c r="AB468" s="3093"/>
      <c r="AC468" s="3083">
        <f t="shared" si="242"/>
        <v>0</v>
      </c>
      <c r="AD468" s="3103"/>
      <c r="AE468" s="3103"/>
      <c r="AF468" s="3103"/>
      <c r="AG468" s="3103"/>
      <c r="AH468" s="3103"/>
      <c r="AI468" s="3103"/>
      <c r="AJ468" s="3103"/>
      <c r="AK468" s="3103"/>
      <c r="AL468" s="3103"/>
      <c r="AM468" s="3103"/>
      <c r="AN468" s="3103"/>
      <c r="AO468" s="3103"/>
      <c r="AP468" s="3103"/>
      <c r="AQ468" s="3103"/>
      <c r="AR468" s="3103"/>
      <c r="AS468" s="3103"/>
      <c r="AT468" s="3113"/>
      <c r="AU468" s="3114"/>
      <c r="AV468" s="1580">
        <f t="shared" si="243"/>
        <v>0</v>
      </c>
      <c r="AW468" s="1580">
        <f t="shared" si="244"/>
        <v>0</v>
      </c>
      <c r="AX468" s="1580">
        <f t="shared" si="245"/>
        <v>0</v>
      </c>
      <c r="AY468" s="3128">
        <f t="shared" si="246"/>
        <v>0</v>
      </c>
      <c r="AZ468" s="3083">
        <f t="shared" si="247"/>
        <v>0</v>
      </c>
      <c r="BA468" s="3083">
        <f t="shared" si="248"/>
        <v>0</v>
      </c>
      <c r="BB468" s="3083">
        <f t="shared" si="249"/>
        <v>0</v>
      </c>
      <c r="BC468" s="3083">
        <f t="shared" si="250"/>
        <v>0</v>
      </c>
      <c r="BD468" s="3083">
        <f t="shared" si="251"/>
        <v>0</v>
      </c>
      <c r="BE468" s="3083">
        <f t="shared" si="252"/>
        <v>0</v>
      </c>
      <c r="BF468" s="3083">
        <f t="shared" si="253"/>
        <v>0</v>
      </c>
      <c r="BG468" s="3083">
        <f t="shared" si="254"/>
        <v>0</v>
      </c>
      <c r="BH468" s="3083">
        <f t="shared" si="255"/>
        <v>0</v>
      </c>
      <c r="BI468" s="3083">
        <f t="shared" si="256"/>
        <v>0</v>
      </c>
      <c r="BJ468" s="3083">
        <f t="shared" si="257"/>
        <v>0</v>
      </c>
      <c r="BK468" s="3083">
        <f t="shared" si="258"/>
        <v>0</v>
      </c>
      <c r="BL468" s="3083">
        <f t="shared" si="259"/>
        <v>0</v>
      </c>
      <c r="BM468" s="3083">
        <f t="shared" si="260"/>
        <v>0</v>
      </c>
      <c r="BN468" s="3083">
        <f t="shared" si="261"/>
        <v>0</v>
      </c>
      <c r="BO468" s="3083">
        <f t="shared" si="262"/>
        <v>0</v>
      </c>
      <c r="BP468" s="3083">
        <f t="shared" si="263"/>
        <v>0</v>
      </c>
      <c r="BQ468" s="3083">
        <f t="shared" si="264"/>
        <v>0</v>
      </c>
      <c r="BR468" s="3083">
        <f t="shared" si="265"/>
        <v>0</v>
      </c>
      <c r="BS468" s="3083">
        <f t="shared" si="266"/>
        <v>0</v>
      </c>
      <c r="BT468" s="3135">
        <f t="shared" si="267"/>
        <v>0</v>
      </c>
    </row>
    <row r="469" spans="1:72">
      <c r="A469" s="3080"/>
      <c r="B469" s="3081"/>
      <c r="C469" s="3081"/>
      <c r="D469" s="3082"/>
      <c r="E469" s="3083">
        <f t="shared" si="239"/>
        <v>0</v>
      </c>
      <c r="F469" s="3084"/>
      <c r="G469" s="3085">
        <f t="shared" si="240"/>
        <v>0</v>
      </c>
      <c r="H469" s="3086">
        <f t="shared" si="241"/>
        <v>0</v>
      </c>
      <c r="I469" s="3093"/>
      <c r="J469" s="3093"/>
      <c r="K469" s="3093"/>
      <c r="L469" s="3093"/>
      <c r="M469" s="3093"/>
      <c r="N469" s="3093"/>
      <c r="O469" s="3093"/>
      <c r="P469" s="3093"/>
      <c r="Q469" s="3093"/>
      <c r="R469" s="3093"/>
      <c r="S469" s="3093"/>
      <c r="T469" s="3093"/>
      <c r="U469" s="3093"/>
      <c r="V469" s="3093"/>
      <c r="W469" s="3093"/>
      <c r="X469" s="3093"/>
      <c r="Y469" s="3093"/>
      <c r="Z469" s="3093"/>
      <c r="AA469" s="3093"/>
      <c r="AB469" s="3093"/>
      <c r="AC469" s="3083">
        <f t="shared" si="242"/>
        <v>0</v>
      </c>
      <c r="AD469" s="3103"/>
      <c r="AE469" s="3103"/>
      <c r="AF469" s="3103"/>
      <c r="AG469" s="3103"/>
      <c r="AH469" s="3103"/>
      <c r="AI469" s="3103"/>
      <c r="AJ469" s="3103"/>
      <c r="AK469" s="3103"/>
      <c r="AL469" s="3103"/>
      <c r="AM469" s="3103"/>
      <c r="AN469" s="3103"/>
      <c r="AO469" s="3103"/>
      <c r="AP469" s="3103"/>
      <c r="AQ469" s="3103"/>
      <c r="AR469" s="3103"/>
      <c r="AS469" s="3103"/>
      <c r="AT469" s="3113"/>
      <c r="AU469" s="3114"/>
      <c r="AV469" s="1580">
        <f t="shared" si="243"/>
        <v>0</v>
      </c>
      <c r="AW469" s="1580">
        <f t="shared" si="244"/>
        <v>0</v>
      </c>
      <c r="AX469" s="1580">
        <f t="shared" si="245"/>
        <v>0</v>
      </c>
      <c r="AY469" s="3128">
        <f t="shared" si="246"/>
        <v>0</v>
      </c>
      <c r="AZ469" s="3083">
        <f t="shared" si="247"/>
        <v>0</v>
      </c>
      <c r="BA469" s="3083">
        <f t="shared" si="248"/>
        <v>0</v>
      </c>
      <c r="BB469" s="3083">
        <f t="shared" si="249"/>
        <v>0</v>
      </c>
      <c r="BC469" s="3083">
        <f t="shared" si="250"/>
        <v>0</v>
      </c>
      <c r="BD469" s="3083">
        <f t="shared" si="251"/>
        <v>0</v>
      </c>
      <c r="BE469" s="3083">
        <f t="shared" si="252"/>
        <v>0</v>
      </c>
      <c r="BF469" s="3083">
        <f t="shared" si="253"/>
        <v>0</v>
      </c>
      <c r="BG469" s="3083">
        <f t="shared" si="254"/>
        <v>0</v>
      </c>
      <c r="BH469" s="3083">
        <f t="shared" si="255"/>
        <v>0</v>
      </c>
      <c r="BI469" s="3083">
        <f t="shared" si="256"/>
        <v>0</v>
      </c>
      <c r="BJ469" s="3083">
        <f t="shared" si="257"/>
        <v>0</v>
      </c>
      <c r="BK469" s="3083">
        <f t="shared" si="258"/>
        <v>0</v>
      </c>
      <c r="BL469" s="3083">
        <f t="shared" si="259"/>
        <v>0</v>
      </c>
      <c r="BM469" s="3083">
        <f t="shared" si="260"/>
        <v>0</v>
      </c>
      <c r="BN469" s="3083">
        <f t="shared" si="261"/>
        <v>0</v>
      </c>
      <c r="BO469" s="3083">
        <f t="shared" si="262"/>
        <v>0</v>
      </c>
      <c r="BP469" s="3083">
        <f t="shared" si="263"/>
        <v>0</v>
      </c>
      <c r="BQ469" s="3083">
        <f t="shared" si="264"/>
        <v>0</v>
      </c>
      <c r="BR469" s="3083">
        <f t="shared" si="265"/>
        <v>0</v>
      </c>
      <c r="BS469" s="3083">
        <f t="shared" si="266"/>
        <v>0</v>
      </c>
      <c r="BT469" s="3135">
        <f t="shared" si="267"/>
        <v>0</v>
      </c>
    </row>
    <row r="470" spans="1:72">
      <c r="A470" s="3080"/>
      <c r="B470" s="3081"/>
      <c r="C470" s="3081"/>
      <c r="D470" s="3082"/>
      <c r="E470" s="3083">
        <f t="shared" si="239"/>
        <v>0</v>
      </c>
      <c r="F470" s="3084"/>
      <c r="G470" s="3085">
        <f t="shared" si="240"/>
        <v>0</v>
      </c>
      <c r="H470" s="3086">
        <f t="shared" si="241"/>
        <v>0</v>
      </c>
      <c r="I470" s="3093"/>
      <c r="J470" s="3093"/>
      <c r="K470" s="3093"/>
      <c r="L470" s="3093"/>
      <c r="M470" s="3093"/>
      <c r="N470" s="3093"/>
      <c r="O470" s="3093"/>
      <c r="P470" s="3093"/>
      <c r="Q470" s="3093"/>
      <c r="R470" s="3093"/>
      <c r="S470" s="3093"/>
      <c r="T470" s="3093"/>
      <c r="U470" s="3093"/>
      <c r="V470" s="3093"/>
      <c r="W470" s="3093"/>
      <c r="X470" s="3093"/>
      <c r="Y470" s="3093"/>
      <c r="Z470" s="3093"/>
      <c r="AA470" s="3093"/>
      <c r="AB470" s="3093"/>
      <c r="AC470" s="3083">
        <f t="shared" si="242"/>
        <v>0</v>
      </c>
      <c r="AD470" s="3103"/>
      <c r="AE470" s="3103"/>
      <c r="AF470" s="3103"/>
      <c r="AG470" s="3103"/>
      <c r="AH470" s="3103"/>
      <c r="AI470" s="3103"/>
      <c r="AJ470" s="3103"/>
      <c r="AK470" s="3103"/>
      <c r="AL470" s="3103"/>
      <c r="AM470" s="3103"/>
      <c r="AN470" s="3103"/>
      <c r="AO470" s="3103"/>
      <c r="AP470" s="3103"/>
      <c r="AQ470" s="3103"/>
      <c r="AR470" s="3103"/>
      <c r="AS470" s="3103"/>
      <c r="AT470" s="3113"/>
      <c r="AU470" s="3114"/>
      <c r="AV470" s="1580">
        <f t="shared" si="243"/>
        <v>0</v>
      </c>
      <c r="AW470" s="1580">
        <f t="shared" si="244"/>
        <v>0</v>
      </c>
      <c r="AX470" s="1580">
        <f t="shared" si="245"/>
        <v>0</v>
      </c>
      <c r="AY470" s="3128">
        <f t="shared" si="246"/>
        <v>0</v>
      </c>
      <c r="AZ470" s="3083">
        <f t="shared" si="247"/>
        <v>0</v>
      </c>
      <c r="BA470" s="3083">
        <f t="shared" si="248"/>
        <v>0</v>
      </c>
      <c r="BB470" s="3083">
        <f t="shared" si="249"/>
        <v>0</v>
      </c>
      <c r="BC470" s="3083">
        <f t="shared" si="250"/>
        <v>0</v>
      </c>
      <c r="BD470" s="3083">
        <f t="shared" si="251"/>
        <v>0</v>
      </c>
      <c r="BE470" s="3083">
        <f t="shared" si="252"/>
        <v>0</v>
      </c>
      <c r="BF470" s="3083">
        <f t="shared" si="253"/>
        <v>0</v>
      </c>
      <c r="BG470" s="3083">
        <f t="shared" si="254"/>
        <v>0</v>
      </c>
      <c r="BH470" s="3083">
        <f t="shared" si="255"/>
        <v>0</v>
      </c>
      <c r="BI470" s="3083">
        <f t="shared" si="256"/>
        <v>0</v>
      </c>
      <c r="BJ470" s="3083">
        <f t="shared" si="257"/>
        <v>0</v>
      </c>
      <c r="BK470" s="3083">
        <f t="shared" si="258"/>
        <v>0</v>
      </c>
      <c r="BL470" s="3083">
        <f t="shared" si="259"/>
        <v>0</v>
      </c>
      <c r="BM470" s="3083">
        <f t="shared" si="260"/>
        <v>0</v>
      </c>
      <c r="BN470" s="3083">
        <f t="shared" si="261"/>
        <v>0</v>
      </c>
      <c r="BO470" s="3083">
        <f t="shared" si="262"/>
        <v>0</v>
      </c>
      <c r="BP470" s="3083">
        <f t="shared" si="263"/>
        <v>0</v>
      </c>
      <c r="BQ470" s="3083">
        <f t="shared" si="264"/>
        <v>0</v>
      </c>
      <c r="BR470" s="3083">
        <f t="shared" si="265"/>
        <v>0</v>
      </c>
      <c r="BS470" s="3083">
        <f t="shared" si="266"/>
        <v>0</v>
      </c>
      <c r="BT470" s="3135">
        <f t="shared" si="267"/>
        <v>0</v>
      </c>
    </row>
    <row r="471" spans="1:72">
      <c r="A471" s="3080"/>
      <c r="B471" s="3081"/>
      <c r="C471" s="3081"/>
      <c r="D471" s="3082"/>
      <c r="E471" s="3083">
        <f t="shared" si="239"/>
        <v>0</v>
      </c>
      <c r="F471" s="3084"/>
      <c r="G471" s="3085">
        <f t="shared" si="240"/>
        <v>0</v>
      </c>
      <c r="H471" s="3086">
        <f t="shared" si="241"/>
        <v>0</v>
      </c>
      <c r="I471" s="3093"/>
      <c r="J471" s="3093"/>
      <c r="K471" s="3093"/>
      <c r="L471" s="3093"/>
      <c r="M471" s="3093"/>
      <c r="N471" s="3093"/>
      <c r="O471" s="3093"/>
      <c r="P471" s="3093"/>
      <c r="Q471" s="3093"/>
      <c r="R471" s="3093"/>
      <c r="S471" s="3093"/>
      <c r="T471" s="3093"/>
      <c r="U471" s="3093"/>
      <c r="V471" s="3093"/>
      <c r="W471" s="3093"/>
      <c r="X471" s="3093"/>
      <c r="Y471" s="3093"/>
      <c r="Z471" s="3093"/>
      <c r="AA471" s="3093"/>
      <c r="AB471" s="3093"/>
      <c r="AC471" s="3083">
        <f t="shared" si="242"/>
        <v>0</v>
      </c>
      <c r="AD471" s="3103"/>
      <c r="AE471" s="3103"/>
      <c r="AF471" s="3103"/>
      <c r="AG471" s="3103"/>
      <c r="AH471" s="3103"/>
      <c r="AI471" s="3103"/>
      <c r="AJ471" s="3103"/>
      <c r="AK471" s="3103"/>
      <c r="AL471" s="3103"/>
      <c r="AM471" s="3103"/>
      <c r="AN471" s="3103"/>
      <c r="AO471" s="3103"/>
      <c r="AP471" s="3103"/>
      <c r="AQ471" s="3103"/>
      <c r="AR471" s="3103"/>
      <c r="AS471" s="3103"/>
      <c r="AT471" s="3113"/>
      <c r="AU471" s="3114"/>
      <c r="AV471" s="1580">
        <f t="shared" si="243"/>
        <v>0</v>
      </c>
      <c r="AW471" s="1580">
        <f t="shared" si="244"/>
        <v>0</v>
      </c>
      <c r="AX471" s="1580">
        <f t="shared" si="245"/>
        <v>0</v>
      </c>
      <c r="AY471" s="3128">
        <f t="shared" si="246"/>
        <v>0</v>
      </c>
      <c r="AZ471" s="3083">
        <f t="shared" si="247"/>
        <v>0</v>
      </c>
      <c r="BA471" s="3083">
        <f t="shared" si="248"/>
        <v>0</v>
      </c>
      <c r="BB471" s="3083">
        <f t="shared" si="249"/>
        <v>0</v>
      </c>
      <c r="BC471" s="3083">
        <f t="shared" si="250"/>
        <v>0</v>
      </c>
      <c r="BD471" s="3083">
        <f t="shared" si="251"/>
        <v>0</v>
      </c>
      <c r="BE471" s="3083">
        <f t="shared" si="252"/>
        <v>0</v>
      </c>
      <c r="BF471" s="3083">
        <f t="shared" si="253"/>
        <v>0</v>
      </c>
      <c r="BG471" s="3083">
        <f t="shared" si="254"/>
        <v>0</v>
      </c>
      <c r="BH471" s="3083">
        <f t="shared" si="255"/>
        <v>0</v>
      </c>
      <c r="BI471" s="3083">
        <f t="shared" si="256"/>
        <v>0</v>
      </c>
      <c r="BJ471" s="3083">
        <f t="shared" si="257"/>
        <v>0</v>
      </c>
      <c r="BK471" s="3083">
        <f t="shared" si="258"/>
        <v>0</v>
      </c>
      <c r="BL471" s="3083">
        <f t="shared" si="259"/>
        <v>0</v>
      </c>
      <c r="BM471" s="3083">
        <f t="shared" si="260"/>
        <v>0</v>
      </c>
      <c r="BN471" s="3083">
        <f t="shared" si="261"/>
        <v>0</v>
      </c>
      <c r="BO471" s="3083">
        <f t="shared" si="262"/>
        <v>0</v>
      </c>
      <c r="BP471" s="3083">
        <f t="shared" si="263"/>
        <v>0</v>
      </c>
      <c r="BQ471" s="3083">
        <f t="shared" si="264"/>
        <v>0</v>
      </c>
      <c r="BR471" s="3083">
        <f t="shared" si="265"/>
        <v>0</v>
      </c>
      <c r="BS471" s="3083">
        <f t="shared" si="266"/>
        <v>0</v>
      </c>
      <c r="BT471" s="3135">
        <f t="shared" si="267"/>
        <v>0</v>
      </c>
    </row>
    <row r="472" spans="1:72">
      <c r="A472" s="3080"/>
      <c r="B472" s="3081"/>
      <c r="C472" s="3081"/>
      <c r="D472" s="3082"/>
      <c r="E472" s="3083">
        <f t="shared" si="239"/>
        <v>0</v>
      </c>
      <c r="F472" s="3084"/>
      <c r="G472" s="3085">
        <f t="shared" si="240"/>
        <v>0</v>
      </c>
      <c r="H472" s="3086">
        <f t="shared" si="241"/>
        <v>0</v>
      </c>
      <c r="I472" s="3093"/>
      <c r="J472" s="3093"/>
      <c r="K472" s="3093"/>
      <c r="L472" s="3093"/>
      <c r="M472" s="3093"/>
      <c r="N472" s="3093"/>
      <c r="O472" s="3093"/>
      <c r="P472" s="3093"/>
      <c r="Q472" s="3093"/>
      <c r="R472" s="3093"/>
      <c r="S472" s="3093"/>
      <c r="T472" s="3093"/>
      <c r="U472" s="3093"/>
      <c r="V472" s="3093"/>
      <c r="W472" s="3093"/>
      <c r="X472" s="3093"/>
      <c r="Y472" s="3093"/>
      <c r="Z472" s="3093"/>
      <c r="AA472" s="3093"/>
      <c r="AB472" s="3093"/>
      <c r="AC472" s="3083">
        <f t="shared" si="242"/>
        <v>0</v>
      </c>
      <c r="AD472" s="3103"/>
      <c r="AE472" s="3103"/>
      <c r="AF472" s="3103"/>
      <c r="AG472" s="3103"/>
      <c r="AH472" s="3103"/>
      <c r="AI472" s="3103"/>
      <c r="AJ472" s="3103"/>
      <c r="AK472" s="3103"/>
      <c r="AL472" s="3103"/>
      <c r="AM472" s="3103"/>
      <c r="AN472" s="3103"/>
      <c r="AO472" s="3103"/>
      <c r="AP472" s="3103"/>
      <c r="AQ472" s="3103"/>
      <c r="AR472" s="3103"/>
      <c r="AS472" s="3103"/>
      <c r="AT472" s="3113"/>
      <c r="AU472" s="3114"/>
      <c r="AV472" s="1580">
        <f t="shared" si="243"/>
        <v>0</v>
      </c>
      <c r="AW472" s="1580">
        <f t="shared" si="244"/>
        <v>0</v>
      </c>
      <c r="AX472" s="1580">
        <f t="shared" si="245"/>
        <v>0</v>
      </c>
      <c r="AY472" s="3128">
        <f t="shared" si="246"/>
        <v>0</v>
      </c>
      <c r="AZ472" s="3083">
        <f t="shared" si="247"/>
        <v>0</v>
      </c>
      <c r="BA472" s="3083">
        <f t="shared" si="248"/>
        <v>0</v>
      </c>
      <c r="BB472" s="3083">
        <f t="shared" si="249"/>
        <v>0</v>
      </c>
      <c r="BC472" s="3083">
        <f t="shared" si="250"/>
        <v>0</v>
      </c>
      <c r="BD472" s="3083">
        <f t="shared" si="251"/>
        <v>0</v>
      </c>
      <c r="BE472" s="3083">
        <f t="shared" si="252"/>
        <v>0</v>
      </c>
      <c r="BF472" s="3083">
        <f t="shared" si="253"/>
        <v>0</v>
      </c>
      <c r="BG472" s="3083">
        <f t="shared" si="254"/>
        <v>0</v>
      </c>
      <c r="BH472" s="3083">
        <f t="shared" si="255"/>
        <v>0</v>
      </c>
      <c r="BI472" s="3083">
        <f t="shared" si="256"/>
        <v>0</v>
      </c>
      <c r="BJ472" s="3083">
        <f t="shared" si="257"/>
        <v>0</v>
      </c>
      <c r="BK472" s="3083">
        <f t="shared" si="258"/>
        <v>0</v>
      </c>
      <c r="BL472" s="3083">
        <f t="shared" si="259"/>
        <v>0</v>
      </c>
      <c r="BM472" s="3083">
        <f t="shared" si="260"/>
        <v>0</v>
      </c>
      <c r="BN472" s="3083">
        <f t="shared" si="261"/>
        <v>0</v>
      </c>
      <c r="BO472" s="3083">
        <f t="shared" si="262"/>
        <v>0</v>
      </c>
      <c r="BP472" s="3083">
        <f t="shared" si="263"/>
        <v>0</v>
      </c>
      <c r="BQ472" s="3083">
        <f t="shared" si="264"/>
        <v>0</v>
      </c>
      <c r="BR472" s="3083">
        <f t="shared" si="265"/>
        <v>0</v>
      </c>
      <c r="BS472" s="3083">
        <f t="shared" si="266"/>
        <v>0</v>
      </c>
      <c r="BT472" s="3135">
        <f t="shared" si="267"/>
        <v>0</v>
      </c>
    </row>
    <row r="473" spans="1:72">
      <c r="A473" s="3080"/>
      <c r="B473" s="3081"/>
      <c r="C473" s="3081"/>
      <c r="D473" s="3082"/>
      <c r="E473" s="3083">
        <f t="shared" si="239"/>
        <v>0</v>
      </c>
      <c r="F473" s="3084"/>
      <c r="G473" s="3085">
        <f t="shared" si="240"/>
        <v>0</v>
      </c>
      <c r="H473" s="3086">
        <f t="shared" si="241"/>
        <v>0</v>
      </c>
      <c r="I473" s="3093"/>
      <c r="J473" s="3093"/>
      <c r="K473" s="3093"/>
      <c r="L473" s="3093"/>
      <c r="M473" s="3093"/>
      <c r="N473" s="3093"/>
      <c r="O473" s="3093"/>
      <c r="P473" s="3093"/>
      <c r="Q473" s="3093"/>
      <c r="R473" s="3093"/>
      <c r="S473" s="3093"/>
      <c r="T473" s="3093"/>
      <c r="U473" s="3093"/>
      <c r="V473" s="3093"/>
      <c r="W473" s="3093"/>
      <c r="X473" s="3093"/>
      <c r="Y473" s="3093"/>
      <c r="Z473" s="3093"/>
      <c r="AA473" s="3093"/>
      <c r="AB473" s="3093"/>
      <c r="AC473" s="3083">
        <f t="shared" si="242"/>
        <v>0</v>
      </c>
      <c r="AD473" s="3103"/>
      <c r="AE473" s="3103"/>
      <c r="AF473" s="3103"/>
      <c r="AG473" s="3103"/>
      <c r="AH473" s="3103"/>
      <c r="AI473" s="3103"/>
      <c r="AJ473" s="3103"/>
      <c r="AK473" s="3103"/>
      <c r="AL473" s="3103"/>
      <c r="AM473" s="3103"/>
      <c r="AN473" s="3103"/>
      <c r="AO473" s="3103"/>
      <c r="AP473" s="3103"/>
      <c r="AQ473" s="3103"/>
      <c r="AR473" s="3103"/>
      <c r="AS473" s="3103"/>
      <c r="AT473" s="3113"/>
      <c r="AU473" s="3114"/>
      <c r="AV473" s="1580">
        <f t="shared" si="243"/>
        <v>0</v>
      </c>
      <c r="AW473" s="1580">
        <f t="shared" si="244"/>
        <v>0</v>
      </c>
      <c r="AX473" s="1580">
        <f t="shared" si="245"/>
        <v>0</v>
      </c>
      <c r="AY473" s="3128">
        <f t="shared" si="246"/>
        <v>0</v>
      </c>
      <c r="AZ473" s="3083">
        <f t="shared" si="247"/>
        <v>0</v>
      </c>
      <c r="BA473" s="3083">
        <f t="shared" si="248"/>
        <v>0</v>
      </c>
      <c r="BB473" s="3083">
        <f t="shared" si="249"/>
        <v>0</v>
      </c>
      <c r="BC473" s="3083">
        <f t="shared" si="250"/>
        <v>0</v>
      </c>
      <c r="BD473" s="3083">
        <f t="shared" si="251"/>
        <v>0</v>
      </c>
      <c r="BE473" s="3083">
        <f t="shared" si="252"/>
        <v>0</v>
      </c>
      <c r="BF473" s="3083">
        <f t="shared" si="253"/>
        <v>0</v>
      </c>
      <c r="BG473" s="3083">
        <f t="shared" si="254"/>
        <v>0</v>
      </c>
      <c r="BH473" s="3083">
        <f t="shared" si="255"/>
        <v>0</v>
      </c>
      <c r="BI473" s="3083">
        <f t="shared" si="256"/>
        <v>0</v>
      </c>
      <c r="BJ473" s="3083">
        <f t="shared" si="257"/>
        <v>0</v>
      </c>
      <c r="BK473" s="3083">
        <f t="shared" si="258"/>
        <v>0</v>
      </c>
      <c r="BL473" s="3083">
        <f t="shared" si="259"/>
        <v>0</v>
      </c>
      <c r="BM473" s="3083">
        <f t="shared" si="260"/>
        <v>0</v>
      </c>
      <c r="BN473" s="3083">
        <f t="shared" si="261"/>
        <v>0</v>
      </c>
      <c r="BO473" s="3083">
        <f t="shared" si="262"/>
        <v>0</v>
      </c>
      <c r="BP473" s="3083">
        <f t="shared" si="263"/>
        <v>0</v>
      </c>
      <c r="BQ473" s="3083">
        <f t="shared" si="264"/>
        <v>0</v>
      </c>
      <c r="BR473" s="3083">
        <f t="shared" si="265"/>
        <v>0</v>
      </c>
      <c r="BS473" s="3083">
        <f t="shared" si="266"/>
        <v>0</v>
      </c>
      <c r="BT473" s="3135">
        <f t="shared" si="267"/>
        <v>0</v>
      </c>
    </row>
    <row r="474" spans="1:72">
      <c r="A474" s="3080"/>
      <c r="B474" s="3081"/>
      <c r="C474" s="3081"/>
      <c r="D474" s="3082"/>
      <c r="E474" s="3083">
        <f t="shared" si="239"/>
        <v>0</v>
      </c>
      <c r="F474" s="3084"/>
      <c r="G474" s="3085">
        <f t="shared" si="240"/>
        <v>0</v>
      </c>
      <c r="H474" s="3086">
        <f t="shared" si="241"/>
        <v>0</v>
      </c>
      <c r="I474" s="3093"/>
      <c r="J474" s="3093"/>
      <c r="K474" s="3093"/>
      <c r="L474" s="3093"/>
      <c r="M474" s="3093"/>
      <c r="N474" s="3093"/>
      <c r="O474" s="3093"/>
      <c r="P474" s="3093"/>
      <c r="Q474" s="3093"/>
      <c r="R474" s="3093"/>
      <c r="S474" s="3093"/>
      <c r="T474" s="3093"/>
      <c r="U474" s="3093"/>
      <c r="V474" s="3093"/>
      <c r="W474" s="3093"/>
      <c r="X474" s="3093"/>
      <c r="Y474" s="3093"/>
      <c r="Z474" s="3093"/>
      <c r="AA474" s="3093"/>
      <c r="AB474" s="3093"/>
      <c r="AC474" s="3083">
        <f t="shared" si="242"/>
        <v>0</v>
      </c>
      <c r="AD474" s="3103"/>
      <c r="AE474" s="3103"/>
      <c r="AF474" s="3103"/>
      <c r="AG474" s="3103"/>
      <c r="AH474" s="3103"/>
      <c r="AI474" s="3103"/>
      <c r="AJ474" s="3103"/>
      <c r="AK474" s="3103"/>
      <c r="AL474" s="3103"/>
      <c r="AM474" s="3103"/>
      <c r="AN474" s="3103"/>
      <c r="AO474" s="3103"/>
      <c r="AP474" s="3103"/>
      <c r="AQ474" s="3103"/>
      <c r="AR474" s="3103"/>
      <c r="AS474" s="3103"/>
      <c r="AT474" s="3113"/>
      <c r="AU474" s="3114"/>
      <c r="AV474" s="1580">
        <f t="shared" si="243"/>
        <v>0</v>
      </c>
      <c r="AW474" s="1580">
        <f t="shared" si="244"/>
        <v>0</v>
      </c>
      <c r="AX474" s="1580">
        <f t="shared" si="245"/>
        <v>0</v>
      </c>
      <c r="AY474" s="3128">
        <f t="shared" si="246"/>
        <v>0</v>
      </c>
      <c r="AZ474" s="3083">
        <f t="shared" si="247"/>
        <v>0</v>
      </c>
      <c r="BA474" s="3083">
        <f t="shared" si="248"/>
        <v>0</v>
      </c>
      <c r="BB474" s="3083">
        <f t="shared" si="249"/>
        <v>0</v>
      </c>
      <c r="BC474" s="3083">
        <f t="shared" si="250"/>
        <v>0</v>
      </c>
      <c r="BD474" s="3083">
        <f t="shared" si="251"/>
        <v>0</v>
      </c>
      <c r="BE474" s="3083">
        <f t="shared" si="252"/>
        <v>0</v>
      </c>
      <c r="BF474" s="3083">
        <f t="shared" si="253"/>
        <v>0</v>
      </c>
      <c r="BG474" s="3083">
        <f t="shared" si="254"/>
        <v>0</v>
      </c>
      <c r="BH474" s="3083">
        <f t="shared" si="255"/>
        <v>0</v>
      </c>
      <c r="BI474" s="3083">
        <f t="shared" si="256"/>
        <v>0</v>
      </c>
      <c r="BJ474" s="3083">
        <f t="shared" si="257"/>
        <v>0</v>
      </c>
      <c r="BK474" s="3083">
        <f t="shared" si="258"/>
        <v>0</v>
      </c>
      <c r="BL474" s="3083">
        <f t="shared" si="259"/>
        <v>0</v>
      </c>
      <c r="BM474" s="3083">
        <f t="shared" si="260"/>
        <v>0</v>
      </c>
      <c r="BN474" s="3083">
        <f t="shared" si="261"/>
        <v>0</v>
      </c>
      <c r="BO474" s="3083">
        <f t="shared" si="262"/>
        <v>0</v>
      </c>
      <c r="BP474" s="3083">
        <f t="shared" si="263"/>
        <v>0</v>
      </c>
      <c r="BQ474" s="3083">
        <f t="shared" si="264"/>
        <v>0</v>
      </c>
      <c r="BR474" s="3083">
        <f t="shared" si="265"/>
        <v>0</v>
      </c>
      <c r="BS474" s="3083">
        <f t="shared" si="266"/>
        <v>0</v>
      </c>
      <c r="BT474" s="3135">
        <f t="shared" si="267"/>
        <v>0</v>
      </c>
    </row>
    <row r="475" spans="1:72">
      <c r="A475" s="3080"/>
      <c r="B475" s="3081"/>
      <c r="C475" s="3081"/>
      <c r="D475" s="3082"/>
      <c r="E475" s="3083">
        <f t="shared" si="239"/>
        <v>0</v>
      </c>
      <c r="F475" s="3084"/>
      <c r="G475" s="3085">
        <f t="shared" si="240"/>
        <v>0</v>
      </c>
      <c r="H475" s="3086">
        <f t="shared" si="241"/>
        <v>0</v>
      </c>
      <c r="I475" s="3093"/>
      <c r="J475" s="3093"/>
      <c r="K475" s="3093"/>
      <c r="L475" s="3093"/>
      <c r="M475" s="3093"/>
      <c r="N475" s="3093"/>
      <c r="O475" s="3093"/>
      <c r="P475" s="3093"/>
      <c r="Q475" s="3093"/>
      <c r="R475" s="3093"/>
      <c r="S475" s="3093"/>
      <c r="T475" s="3093"/>
      <c r="U475" s="3093"/>
      <c r="V475" s="3093"/>
      <c r="W475" s="3093"/>
      <c r="X475" s="3093"/>
      <c r="Y475" s="3093"/>
      <c r="Z475" s="3093"/>
      <c r="AA475" s="3093"/>
      <c r="AB475" s="3093"/>
      <c r="AC475" s="3083">
        <f t="shared" si="242"/>
        <v>0</v>
      </c>
      <c r="AD475" s="3103"/>
      <c r="AE475" s="3103"/>
      <c r="AF475" s="3103"/>
      <c r="AG475" s="3103"/>
      <c r="AH475" s="3103"/>
      <c r="AI475" s="3103"/>
      <c r="AJ475" s="3103"/>
      <c r="AK475" s="3103"/>
      <c r="AL475" s="3103"/>
      <c r="AM475" s="3103"/>
      <c r="AN475" s="3103"/>
      <c r="AO475" s="3103"/>
      <c r="AP475" s="3103"/>
      <c r="AQ475" s="3103"/>
      <c r="AR475" s="3103"/>
      <c r="AS475" s="3103"/>
      <c r="AT475" s="3113"/>
      <c r="AU475" s="3114"/>
      <c r="AV475" s="1580">
        <f t="shared" si="243"/>
        <v>0</v>
      </c>
      <c r="AW475" s="1580">
        <f t="shared" si="244"/>
        <v>0</v>
      </c>
      <c r="AX475" s="1580">
        <f t="shared" si="245"/>
        <v>0</v>
      </c>
      <c r="AY475" s="3128">
        <f t="shared" si="246"/>
        <v>0</v>
      </c>
      <c r="AZ475" s="3083">
        <f t="shared" si="247"/>
        <v>0</v>
      </c>
      <c r="BA475" s="3083">
        <f t="shared" si="248"/>
        <v>0</v>
      </c>
      <c r="BB475" s="3083">
        <f t="shared" si="249"/>
        <v>0</v>
      </c>
      <c r="BC475" s="3083">
        <f t="shared" si="250"/>
        <v>0</v>
      </c>
      <c r="BD475" s="3083">
        <f t="shared" si="251"/>
        <v>0</v>
      </c>
      <c r="BE475" s="3083">
        <f t="shared" si="252"/>
        <v>0</v>
      </c>
      <c r="BF475" s="3083">
        <f t="shared" si="253"/>
        <v>0</v>
      </c>
      <c r="BG475" s="3083">
        <f t="shared" si="254"/>
        <v>0</v>
      </c>
      <c r="BH475" s="3083">
        <f t="shared" si="255"/>
        <v>0</v>
      </c>
      <c r="BI475" s="3083">
        <f t="shared" si="256"/>
        <v>0</v>
      </c>
      <c r="BJ475" s="3083">
        <f t="shared" si="257"/>
        <v>0</v>
      </c>
      <c r="BK475" s="3083">
        <f t="shared" si="258"/>
        <v>0</v>
      </c>
      <c r="BL475" s="3083">
        <f t="shared" si="259"/>
        <v>0</v>
      </c>
      <c r="BM475" s="3083">
        <f t="shared" si="260"/>
        <v>0</v>
      </c>
      <c r="BN475" s="3083">
        <f t="shared" si="261"/>
        <v>0</v>
      </c>
      <c r="BO475" s="3083">
        <f t="shared" si="262"/>
        <v>0</v>
      </c>
      <c r="BP475" s="3083">
        <f t="shared" si="263"/>
        <v>0</v>
      </c>
      <c r="BQ475" s="3083">
        <f t="shared" si="264"/>
        <v>0</v>
      </c>
      <c r="BR475" s="3083">
        <f t="shared" si="265"/>
        <v>0</v>
      </c>
      <c r="BS475" s="3083">
        <f t="shared" si="266"/>
        <v>0</v>
      </c>
      <c r="BT475" s="3135">
        <f t="shared" si="267"/>
        <v>0</v>
      </c>
    </row>
    <row r="476" spans="1:72">
      <c r="A476" s="3080"/>
      <c r="B476" s="3081"/>
      <c r="C476" s="3081"/>
      <c r="D476" s="3082"/>
      <c r="E476" s="3083">
        <f t="shared" si="239"/>
        <v>0</v>
      </c>
      <c r="F476" s="3084"/>
      <c r="G476" s="3085">
        <f t="shared" si="240"/>
        <v>0</v>
      </c>
      <c r="H476" s="3086">
        <f t="shared" si="241"/>
        <v>0</v>
      </c>
      <c r="I476" s="3093"/>
      <c r="J476" s="3093"/>
      <c r="K476" s="3093"/>
      <c r="L476" s="3093"/>
      <c r="M476" s="3093"/>
      <c r="N476" s="3093"/>
      <c r="O476" s="3093"/>
      <c r="P476" s="3093"/>
      <c r="Q476" s="3093"/>
      <c r="R476" s="3093"/>
      <c r="S476" s="3093"/>
      <c r="T476" s="3093"/>
      <c r="U476" s="3093"/>
      <c r="V476" s="3093"/>
      <c r="W476" s="3093"/>
      <c r="X476" s="3093"/>
      <c r="Y476" s="3093"/>
      <c r="Z476" s="3093"/>
      <c r="AA476" s="3093"/>
      <c r="AB476" s="3093"/>
      <c r="AC476" s="3083">
        <f t="shared" si="242"/>
        <v>0</v>
      </c>
      <c r="AD476" s="3103"/>
      <c r="AE476" s="3103"/>
      <c r="AF476" s="3103"/>
      <c r="AG476" s="3103"/>
      <c r="AH476" s="3103"/>
      <c r="AI476" s="3103"/>
      <c r="AJ476" s="3103"/>
      <c r="AK476" s="3103"/>
      <c r="AL476" s="3103"/>
      <c r="AM476" s="3103"/>
      <c r="AN476" s="3103"/>
      <c r="AO476" s="3103"/>
      <c r="AP476" s="3103"/>
      <c r="AQ476" s="3103"/>
      <c r="AR476" s="3103"/>
      <c r="AS476" s="3103"/>
      <c r="AT476" s="3113"/>
      <c r="AU476" s="3114"/>
      <c r="AV476" s="1580">
        <f t="shared" si="243"/>
        <v>0</v>
      </c>
      <c r="AW476" s="1580">
        <f t="shared" si="244"/>
        <v>0</v>
      </c>
      <c r="AX476" s="1580">
        <f t="shared" si="245"/>
        <v>0</v>
      </c>
      <c r="AY476" s="3128">
        <f t="shared" si="246"/>
        <v>0</v>
      </c>
      <c r="AZ476" s="3083">
        <f t="shared" si="247"/>
        <v>0</v>
      </c>
      <c r="BA476" s="3083">
        <f t="shared" si="248"/>
        <v>0</v>
      </c>
      <c r="BB476" s="3083">
        <f t="shared" si="249"/>
        <v>0</v>
      </c>
      <c r="BC476" s="3083">
        <f t="shared" si="250"/>
        <v>0</v>
      </c>
      <c r="BD476" s="3083">
        <f t="shared" si="251"/>
        <v>0</v>
      </c>
      <c r="BE476" s="3083">
        <f t="shared" si="252"/>
        <v>0</v>
      </c>
      <c r="BF476" s="3083">
        <f t="shared" si="253"/>
        <v>0</v>
      </c>
      <c r="BG476" s="3083">
        <f t="shared" si="254"/>
        <v>0</v>
      </c>
      <c r="BH476" s="3083">
        <f t="shared" si="255"/>
        <v>0</v>
      </c>
      <c r="BI476" s="3083">
        <f t="shared" si="256"/>
        <v>0</v>
      </c>
      <c r="BJ476" s="3083">
        <f t="shared" si="257"/>
        <v>0</v>
      </c>
      <c r="BK476" s="3083">
        <f t="shared" si="258"/>
        <v>0</v>
      </c>
      <c r="BL476" s="3083">
        <f t="shared" si="259"/>
        <v>0</v>
      </c>
      <c r="BM476" s="3083">
        <f t="shared" si="260"/>
        <v>0</v>
      </c>
      <c r="BN476" s="3083">
        <f t="shared" si="261"/>
        <v>0</v>
      </c>
      <c r="BO476" s="3083">
        <f t="shared" si="262"/>
        <v>0</v>
      </c>
      <c r="BP476" s="3083">
        <f t="shared" si="263"/>
        <v>0</v>
      </c>
      <c r="BQ476" s="3083">
        <f t="shared" si="264"/>
        <v>0</v>
      </c>
      <c r="BR476" s="3083">
        <f t="shared" si="265"/>
        <v>0</v>
      </c>
      <c r="BS476" s="3083">
        <f t="shared" si="266"/>
        <v>0</v>
      </c>
      <c r="BT476" s="3135">
        <f t="shared" si="267"/>
        <v>0</v>
      </c>
    </row>
    <row r="477" spans="1:72">
      <c r="A477" s="3080"/>
      <c r="B477" s="3081"/>
      <c r="C477" s="3081"/>
      <c r="D477" s="3082"/>
      <c r="E477" s="3083">
        <f t="shared" si="239"/>
        <v>0</v>
      </c>
      <c r="F477" s="3084"/>
      <c r="G477" s="3085">
        <f t="shared" si="240"/>
        <v>0</v>
      </c>
      <c r="H477" s="3086">
        <f t="shared" si="241"/>
        <v>0</v>
      </c>
      <c r="I477" s="3093"/>
      <c r="J477" s="3093"/>
      <c r="K477" s="3093"/>
      <c r="L477" s="3093"/>
      <c r="M477" s="3093"/>
      <c r="N477" s="3093"/>
      <c r="O477" s="3093"/>
      <c r="P477" s="3093"/>
      <c r="Q477" s="3093"/>
      <c r="R477" s="3093"/>
      <c r="S477" s="3093"/>
      <c r="T477" s="3093"/>
      <c r="U477" s="3093"/>
      <c r="V477" s="3093"/>
      <c r="W477" s="3093"/>
      <c r="X477" s="3093"/>
      <c r="Y477" s="3093"/>
      <c r="Z477" s="3093"/>
      <c r="AA477" s="3093"/>
      <c r="AB477" s="3093"/>
      <c r="AC477" s="3083">
        <f t="shared" si="242"/>
        <v>0</v>
      </c>
      <c r="AD477" s="3103"/>
      <c r="AE477" s="3103"/>
      <c r="AF477" s="3103"/>
      <c r="AG477" s="3103"/>
      <c r="AH477" s="3103"/>
      <c r="AI477" s="3103"/>
      <c r="AJ477" s="3103"/>
      <c r="AK477" s="3103"/>
      <c r="AL477" s="3103"/>
      <c r="AM477" s="3103"/>
      <c r="AN477" s="3103"/>
      <c r="AO477" s="3103"/>
      <c r="AP477" s="3103"/>
      <c r="AQ477" s="3103"/>
      <c r="AR477" s="3103"/>
      <c r="AS477" s="3103"/>
      <c r="AT477" s="3113"/>
      <c r="AU477" s="3114"/>
      <c r="AV477" s="1580">
        <f t="shared" si="243"/>
        <v>0</v>
      </c>
      <c r="AW477" s="1580">
        <f t="shared" si="244"/>
        <v>0</v>
      </c>
      <c r="AX477" s="1580">
        <f t="shared" si="245"/>
        <v>0</v>
      </c>
      <c r="AY477" s="3128">
        <f t="shared" si="246"/>
        <v>0</v>
      </c>
      <c r="AZ477" s="3083">
        <f t="shared" si="247"/>
        <v>0</v>
      </c>
      <c r="BA477" s="3083">
        <f t="shared" si="248"/>
        <v>0</v>
      </c>
      <c r="BB477" s="3083">
        <f t="shared" si="249"/>
        <v>0</v>
      </c>
      <c r="BC477" s="3083">
        <f t="shared" si="250"/>
        <v>0</v>
      </c>
      <c r="BD477" s="3083">
        <f t="shared" si="251"/>
        <v>0</v>
      </c>
      <c r="BE477" s="3083">
        <f t="shared" si="252"/>
        <v>0</v>
      </c>
      <c r="BF477" s="3083">
        <f t="shared" si="253"/>
        <v>0</v>
      </c>
      <c r="BG477" s="3083">
        <f t="shared" si="254"/>
        <v>0</v>
      </c>
      <c r="BH477" s="3083">
        <f t="shared" si="255"/>
        <v>0</v>
      </c>
      <c r="BI477" s="3083">
        <f t="shared" si="256"/>
        <v>0</v>
      </c>
      <c r="BJ477" s="3083">
        <f t="shared" si="257"/>
        <v>0</v>
      </c>
      <c r="BK477" s="3083">
        <f t="shared" si="258"/>
        <v>0</v>
      </c>
      <c r="BL477" s="3083">
        <f t="shared" si="259"/>
        <v>0</v>
      </c>
      <c r="BM477" s="3083">
        <f t="shared" si="260"/>
        <v>0</v>
      </c>
      <c r="BN477" s="3083">
        <f t="shared" si="261"/>
        <v>0</v>
      </c>
      <c r="BO477" s="3083">
        <f t="shared" si="262"/>
        <v>0</v>
      </c>
      <c r="BP477" s="3083">
        <f t="shared" si="263"/>
        <v>0</v>
      </c>
      <c r="BQ477" s="3083">
        <f t="shared" si="264"/>
        <v>0</v>
      </c>
      <c r="BR477" s="3083">
        <f t="shared" si="265"/>
        <v>0</v>
      </c>
      <c r="BS477" s="3083">
        <f t="shared" si="266"/>
        <v>0</v>
      </c>
      <c r="BT477" s="3135">
        <f t="shared" si="267"/>
        <v>0</v>
      </c>
    </row>
    <row r="478" spans="1:72">
      <c r="A478" s="3080"/>
      <c r="B478" s="3081"/>
      <c r="C478" s="3081"/>
      <c r="D478" s="3082"/>
      <c r="E478" s="3083">
        <f t="shared" si="239"/>
        <v>0</v>
      </c>
      <c r="F478" s="3084"/>
      <c r="G478" s="3085">
        <f t="shared" si="240"/>
        <v>0</v>
      </c>
      <c r="H478" s="3086">
        <f t="shared" si="241"/>
        <v>0</v>
      </c>
      <c r="I478" s="3093"/>
      <c r="J478" s="3093"/>
      <c r="K478" s="3093"/>
      <c r="L478" s="3093"/>
      <c r="M478" s="3093"/>
      <c r="N478" s="3093"/>
      <c r="O478" s="3093"/>
      <c r="P478" s="3093"/>
      <c r="Q478" s="3093"/>
      <c r="R478" s="3093"/>
      <c r="S478" s="3093"/>
      <c r="T478" s="3093"/>
      <c r="U478" s="3093"/>
      <c r="V478" s="3093"/>
      <c r="W478" s="3093"/>
      <c r="X478" s="3093"/>
      <c r="Y478" s="3093"/>
      <c r="Z478" s="3093"/>
      <c r="AA478" s="3093"/>
      <c r="AB478" s="3093"/>
      <c r="AC478" s="3083">
        <f t="shared" si="242"/>
        <v>0</v>
      </c>
      <c r="AD478" s="3103"/>
      <c r="AE478" s="3103"/>
      <c r="AF478" s="3103"/>
      <c r="AG478" s="3103"/>
      <c r="AH478" s="3103"/>
      <c r="AI478" s="3103"/>
      <c r="AJ478" s="3103"/>
      <c r="AK478" s="3103"/>
      <c r="AL478" s="3103"/>
      <c r="AM478" s="3103"/>
      <c r="AN478" s="3103"/>
      <c r="AO478" s="3103"/>
      <c r="AP478" s="3103"/>
      <c r="AQ478" s="3103"/>
      <c r="AR478" s="3103"/>
      <c r="AS478" s="3103"/>
      <c r="AT478" s="3113"/>
      <c r="AU478" s="3114"/>
      <c r="AV478" s="1580">
        <f t="shared" si="243"/>
        <v>0</v>
      </c>
      <c r="AW478" s="1580">
        <f t="shared" si="244"/>
        <v>0</v>
      </c>
      <c r="AX478" s="1580">
        <f t="shared" si="245"/>
        <v>0</v>
      </c>
      <c r="AY478" s="3128">
        <f t="shared" si="246"/>
        <v>0</v>
      </c>
      <c r="AZ478" s="3083">
        <f t="shared" si="247"/>
        <v>0</v>
      </c>
      <c r="BA478" s="3083">
        <f t="shared" si="248"/>
        <v>0</v>
      </c>
      <c r="BB478" s="3083">
        <f t="shared" si="249"/>
        <v>0</v>
      </c>
      <c r="BC478" s="3083">
        <f t="shared" si="250"/>
        <v>0</v>
      </c>
      <c r="BD478" s="3083">
        <f t="shared" si="251"/>
        <v>0</v>
      </c>
      <c r="BE478" s="3083">
        <f t="shared" si="252"/>
        <v>0</v>
      </c>
      <c r="BF478" s="3083">
        <f t="shared" si="253"/>
        <v>0</v>
      </c>
      <c r="BG478" s="3083">
        <f t="shared" si="254"/>
        <v>0</v>
      </c>
      <c r="BH478" s="3083">
        <f t="shared" si="255"/>
        <v>0</v>
      </c>
      <c r="BI478" s="3083">
        <f t="shared" si="256"/>
        <v>0</v>
      </c>
      <c r="BJ478" s="3083">
        <f t="shared" si="257"/>
        <v>0</v>
      </c>
      <c r="BK478" s="3083">
        <f t="shared" si="258"/>
        <v>0</v>
      </c>
      <c r="BL478" s="3083">
        <f t="shared" si="259"/>
        <v>0</v>
      </c>
      <c r="BM478" s="3083">
        <f t="shared" si="260"/>
        <v>0</v>
      </c>
      <c r="BN478" s="3083">
        <f t="shared" si="261"/>
        <v>0</v>
      </c>
      <c r="BO478" s="3083">
        <f t="shared" si="262"/>
        <v>0</v>
      </c>
      <c r="BP478" s="3083">
        <f t="shared" si="263"/>
        <v>0</v>
      </c>
      <c r="BQ478" s="3083">
        <f t="shared" si="264"/>
        <v>0</v>
      </c>
      <c r="BR478" s="3083">
        <f t="shared" si="265"/>
        <v>0</v>
      </c>
      <c r="BS478" s="3083">
        <f t="shared" si="266"/>
        <v>0</v>
      </c>
      <c r="BT478" s="3135">
        <f t="shared" si="267"/>
        <v>0</v>
      </c>
    </row>
    <row r="479" spans="1:72">
      <c r="A479" s="3080"/>
      <c r="B479" s="3081"/>
      <c r="C479" s="3081"/>
      <c r="D479" s="3082"/>
      <c r="E479" s="3083">
        <f t="shared" si="239"/>
        <v>0</v>
      </c>
      <c r="F479" s="3084"/>
      <c r="G479" s="3085">
        <f t="shared" si="240"/>
        <v>0</v>
      </c>
      <c r="H479" s="3086">
        <f t="shared" si="241"/>
        <v>0</v>
      </c>
      <c r="I479" s="3093"/>
      <c r="J479" s="3093"/>
      <c r="K479" s="3093"/>
      <c r="L479" s="3093"/>
      <c r="M479" s="3093"/>
      <c r="N479" s="3093"/>
      <c r="O479" s="3093"/>
      <c r="P479" s="3093"/>
      <c r="Q479" s="3093"/>
      <c r="R479" s="3093"/>
      <c r="S479" s="3093"/>
      <c r="T479" s="3093"/>
      <c r="U479" s="3093"/>
      <c r="V479" s="3093"/>
      <c r="W479" s="3093"/>
      <c r="X479" s="3093"/>
      <c r="Y479" s="3093"/>
      <c r="Z479" s="3093"/>
      <c r="AA479" s="3093"/>
      <c r="AB479" s="3093"/>
      <c r="AC479" s="3083">
        <f t="shared" si="242"/>
        <v>0</v>
      </c>
      <c r="AD479" s="3103"/>
      <c r="AE479" s="3103"/>
      <c r="AF479" s="3103"/>
      <c r="AG479" s="3103"/>
      <c r="AH479" s="3103"/>
      <c r="AI479" s="3103"/>
      <c r="AJ479" s="3103"/>
      <c r="AK479" s="3103"/>
      <c r="AL479" s="3103"/>
      <c r="AM479" s="3103"/>
      <c r="AN479" s="3103"/>
      <c r="AO479" s="3103"/>
      <c r="AP479" s="3103"/>
      <c r="AQ479" s="3103"/>
      <c r="AR479" s="3103"/>
      <c r="AS479" s="3103"/>
      <c r="AT479" s="3113"/>
      <c r="AU479" s="3114"/>
      <c r="AV479" s="1580">
        <f t="shared" si="243"/>
        <v>0</v>
      </c>
      <c r="AW479" s="1580">
        <f t="shared" si="244"/>
        <v>0</v>
      </c>
      <c r="AX479" s="1580">
        <f t="shared" si="245"/>
        <v>0</v>
      </c>
      <c r="AY479" s="3128">
        <f t="shared" si="246"/>
        <v>0</v>
      </c>
      <c r="AZ479" s="3083">
        <f t="shared" si="247"/>
        <v>0</v>
      </c>
      <c r="BA479" s="3083">
        <f t="shared" si="248"/>
        <v>0</v>
      </c>
      <c r="BB479" s="3083">
        <f t="shared" si="249"/>
        <v>0</v>
      </c>
      <c r="BC479" s="3083">
        <f t="shared" si="250"/>
        <v>0</v>
      </c>
      <c r="BD479" s="3083">
        <f t="shared" si="251"/>
        <v>0</v>
      </c>
      <c r="BE479" s="3083">
        <f t="shared" si="252"/>
        <v>0</v>
      </c>
      <c r="BF479" s="3083">
        <f t="shared" si="253"/>
        <v>0</v>
      </c>
      <c r="BG479" s="3083">
        <f t="shared" si="254"/>
        <v>0</v>
      </c>
      <c r="BH479" s="3083">
        <f t="shared" si="255"/>
        <v>0</v>
      </c>
      <c r="BI479" s="3083">
        <f t="shared" si="256"/>
        <v>0</v>
      </c>
      <c r="BJ479" s="3083">
        <f t="shared" si="257"/>
        <v>0</v>
      </c>
      <c r="BK479" s="3083">
        <f t="shared" si="258"/>
        <v>0</v>
      </c>
      <c r="BL479" s="3083">
        <f t="shared" si="259"/>
        <v>0</v>
      </c>
      <c r="BM479" s="3083">
        <f t="shared" si="260"/>
        <v>0</v>
      </c>
      <c r="BN479" s="3083">
        <f t="shared" si="261"/>
        <v>0</v>
      </c>
      <c r="BO479" s="3083">
        <f t="shared" si="262"/>
        <v>0</v>
      </c>
      <c r="BP479" s="3083">
        <f t="shared" si="263"/>
        <v>0</v>
      </c>
      <c r="BQ479" s="3083">
        <f t="shared" si="264"/>
        <v>0</v>
      </c>
      <c r="BR479" s="3083">
        <f t="shared" si="265"/>
        <v>0</v>
      </c>
      <c r="BS479" s="3083">
        <f t="shared" si="266"/>
        <v>0</v>
      </c>
      <c r="BT479" s="3135">
        <f t="shared" si="267"/>
        <v>0</v>
      </c>
    </row>
    <row r="480" spans="1:72">
      <c r="A480" s="3080"/>
      <c r="B480" s="3081"/>
      <c r="C480" s="3081"/>
      <c r="D480" s="3082"/>
      <c r="E480" s="3083">
        <f t="shared" si="239"/>
        <v>0</v>
      </c>
      <c r="F480" s="3084"/>
      <c r="G480" s="3085">
        <f t="shared" si="240"/>
        <v>0</v>
      </c>
      <c r="H480" s="3086">
        <f t="shared" si="241"/>
        <v>0</v>
      </c>
      <c r="I480" s="3093"/>
      <c r="J480" s="3093"/>
      <c r="K480" s="3093"/>
      <c r="L480" s="3093"/>
      <c r="M480" s="3093"/>
      <c r="N480" s="3093"/>
      <c r="O480" s="3093"/>
      <c r="P480" s="3093"/>
      <c r="Q480" s="3093"/>
      <c r="R480" s="3093"/>
      <c r="S480" s="3093"/>
      <c r="T480" s="3093"/>
      <c r="U480" s="3093"/>
      <c r="V480" s="3093"/>
      <c r="W480" s="3093"/>
      <c r="X480" s="3093"/>
      <c r="Y480" s="3093"/>
      <c r="Z480" s="3093"/>
      <c r="AA480" s="3093"/>
      <c r="AB480" s="3093"/>
      <c r="AC480" s="3083">
        <f t="shared" si="242"/>
        <v>0</v>
      </c>
      <c r="AD480" s="3103"/>
      <c r="AE480" s="3103"/>
      <c r="AF480" s="3103"/>
      <c r="AG480" s="3103"/>
      <c r="AH480" s="3103"/>
      <c r="AI480" s="3103"/>
      <c r="AJ480" s="3103"/>
      <c r="AK480" s="3103"/>
      <c r="AL480" s="3103"/>
      <c r="AM480" s="3103"/>
      <c r="AN480" s="3103"/>
      <c r="AO480" s="3103"/>
      <c r="AP480" s="3103"/>
      <c r="AQ480" s="3103"/>
      <c r="AR480" s="3103"/>
      <c r="AS480" s="3103"/>
      <c r="AT480" s="3113"/>
      <c r="AU480" s="3114"/>
      <c r="AV480" s="1580">
        <f t="shared" si="243"/>
        <v>0</v>
      </c>
      <c r="AW480" s="1580">
        <f t="shared" si="244"/>
        <v>0</v>
      </c>
      <c r="AX480" s="1580">
        <f t="shared" si="245"/>
        <v>0</v>
      </c>
      <c r="AY480" s="3128">
        <f t="shared" si="246"/>
        <v>0</v>
      </c>
      <c r="AZ480" s="3083">
        <f t="shared" si="247"/>
        <v>0</v>
      </c>
      <c r="BA480" s="3083">
        <f t="shared" si="248"/>
        <v>0</v>
      </c>
      <c r="BB480" s="3083">
        <f t="shared" si="249"/>
        <v>0</v>
      </c>
      <c r="BC480" s="3083">
        <f t="shared" si="250"/>
        <v>0</v>
      </c>
      <c r="BD480" s="3083">
        <f t="shared" si="251"/>
        <v>0</v>
      </c>
      <c r="BE480" s="3083">
        <f t="shared" si="252"/>
        <v>0</v>
      </c>
      <c r="BF480" s="3083">
        <f t="shared" si="253"/>
        <v>0</v>
      </c>
      <c r="BG480" s="3083">
        <f t="shared" si="254"/>
        <v>0</v>
      </c>
      <c r="BH480" s="3083">
        <f t="shared" si="255"/>
        <v>0</v>
      </c>
      <c r="BI480" s="3083">
        <f t="shared" si="256"/>
        <v>0</v>
      </c>
      <c r="BJ480" s="3083">
        <f t="shared" si="257"/>
        <v>0</v>
      </c>
      <c r="BK480" s="3083">
        <f t="shared" si="258"/>
        <v>0</v>
      </c>
      <c r="BL480" s="3083">
        <f t="shared" si="259"/>
        <v>0</v>
      </c>
      <c r="BM480" s="3083">
        <f t="shared" si="260"/>
        <v>0</v>
      </c>
      <c r="BN480" s="3083">
        <f t="shared" si="261"/>
        <v>0</v>
      </c>
      <c r="BO480" s="3083">
        <f t="shared" si="262"/>
        <v>0</v>
      </c>
      <c r="BP480" s="3083">
        <f t="shared" si="263"/>
        <v>0</v>
      </c>
      <c r="BQ480" s="3083">
        <f t="shared" si="264"/>
        <v>0</v>
      </c>
      <c r="BR480" s="3083">
        <f t="shared" si="265"/>
        <v>0</v>
      </c>
      <c r="BS480" s="3083">
        <f t="shared" si="266"/>
        <v>0</v>
      </c>
      <c r="BT480" s="3135">
        <f t="shared" si="267"/>
        <v>0</v>
      </c>
    </row>
    <row r="481" spans="1:72">
      <c r="A481" s="3080"/>
      <c r="B481" s="3081"/>
      <c r="C481" s="3081"/>
      <c r="D481" s="3082"/>
      <c r="E481" s="3083">
        <f t="shared" si="239"/>
        <v>0</v>
      </c>
      <c r="F481" s="3084"/>
      <c r="G481" s="3085">
        <f t="shared" si="240"/>
        <v>0</v>
      </c>
      <c r="H481" s="3086">
        <f t="shared" si="241"/>
        <v>0</v>
      </c>
      <c r="I481" s="3093"/>
      <c r="J481" s="3093"/>
      <c r="K481" s="3093"/>
      <c r="L481" s="3093"/>
      <c r="M481" s="3093"/>
      <c r="N481" s="3093"/>
      <c r="O481" s="3093"/>
      <c r="P481" s="3093"/>
      <c r="Q481" s="3093"/>
      <c r="R481" s="3093"/>
      <c r="S481" s="3093"/>
      <c r="T481" s="3093"/>
      <c r="U481" s="3093"/>
      <c r="V481" s="3093"/>
      <c r="W481" s="3093"/>
      <c r="X481" s="3093"/>
      <c r="Y481" s="3093"/>
      <c r="Z481" s="3093"/>
      <c r="AA481" s="3093"/>
      <c r="AB481" s="3093"/>
      <c r="AC481" s="3083">
        <f t="shared" si="242"/>
        <v>0</v>
      </c>
      <c r="AD481" s="3103"/>
      <c r="AE481" s="3103"/>
      <c r="AF481" s="3103"/>
      <c r="AG481" s="3103"/>
      <c r="AH481" s="3103"/>
      <c r="AI481" s="3103"/>
      <c r="AJ481" s="3103"/>
      <c r="AK481" s="3103"/>
      <c r="AL481" s="3103"/>
      <c r="AM481" s="3103"/>
      <c r="AN481" s="3103"/>
      <c r="AO481" s="3103"/>
      <c r="AP481" s="3103"/>
      <c r="AQ481" s="3103"/>
      <c r="AR481" s="3103"/>
      <c r="AS481" s="3103"/>
      <c r="AT481" s="3113"/>
      <c r="AU481" s="3114"/>
      <c r="AV481" s="1580">
        <f t="shared" si="243"/>
        <v>0</v>
      </c>
      <c r="AW481" s="1580">
        <f t="shared" si="244"/>
        <v>0</v>
      </c>
      <c r="AX481" s="1580">
        <f t="shared" si="245"/>
        <v>0</v>
      </c>
      <c r="AY481" s="3128">
        <f t="shared" si="246"/>
        <v>0</v>
      </c>
      <c r="AZ481" s="3083">
        <f t="shared" si="247"/>
        <v>0</v>
      </c>
      <c r="BA481" s="3083">
        <f t="shared" si="248"/>
        <v>0</v>
      </c>
      <c r="BB481" s="3083">
        <f t="shared" si="249"/>
        <v>0</v>
      </c>
      <c r="BC481" s="3083">
        <f t="shared" si="250"/>
        <v>0</v>
      </c>
      <c r="BD481" s="3083">
        <f t="shared" si="251"/>
        <v>0</v>
      </c>
      <c r="BE481" s="3083">
        <f t="shared" si="252"/>
        <v>0</v>
      </c>
      <c r="BF481" s="3083">
        <f t="shared" si="253"/>
        <v>0</v>
      </c>
      <c r="BG481" s="3083">
        <f t="shared" si="254"/>
        <v>0</v>
      </c>
      <c r="BH481" s="3083">
        <f t="shared" si="255"/>
        <v>0</v>
      </c>
      <c r="BI481" s="3083">
        <f t="shared" si="256"/>
        <v>0</v>
      </c>
      <c r="BJ481" s="3083">
        <f t="shared" si="257"/>
        <v>0</v>
      </c>
      <c r="BK481" s="3083">
        <f t="shared" si="258"/>
        <v>0</v>
      </c>
      <c r="BL481" s="3083">
        <f t="shared" si="259"/>
        <v>0</v>
      </c>
      <c r="BM481" s="3083">
        <f t="shared" si="260"/>
        <v>0</v>
      </c>
      <c r="BN481" s="3083">
        <f t="shared" si="261"/>
        <v>0</v>
      </c>
      <c r="BO481" s="3083">
        <f t="shared" si="262"/>
        <v>0</v>
      </c>
      <c r="BP481" s="3083">
        <f t="shared" si="263"/>
        <v>0</v>
      </c>
      <c r="BQ481" s="3083">
        <f t="shared" si="264"/>
        <v>0</v>
      </c>
      <c r="BR481" s="3083">
        <f t="shared" si="265"/>
        <v>0</v>
      </c>
      <c r="BS481" s="3083">
        <f t="shared" si="266"/>
        <v>0</v>
      </c>
      <c r="BT481" s="3135">
        <f t="shared" si="267"/>
        <v>0</v>
      </c>
    </row>
    <row r="482" spans="1:72">
      <c r="A482" s="3080"/>
      <c r="B482" s="3081"/>
      <c r="C482" s="3081"/>
      <c r="D482" s="3082"/>
      <c r="E482" s="3083">
        <f t="shared" si="239"/>
        <v>0</v>
      </c>
      <c r="F482" s="3084"/>
      <c r="G482" s="3085">
        <f t="shared" si="240"/>
        <v>0</v>
      </c>
      <c r="H482" s="3086">
        <f t="shared" si="241"/>
        <v>0</v>
      </c>
      <c r="I482" s="3093"/>
      <c r="J482" s="3093"/>
      <c r="K482" s="3093"/>
      <c r="L482" s="3093"/>
      <c r="M482" s="3093"/>
      <c r="N482" s="3093"/>
      <c r="O482" s="3093"/>
      <c r="P482" s="3093"/>
      <c r="Q482" s="3093"/>
      <c r="R482" s="3093"/>
      <c r="S482" s="3093"/>
      <c r="T482" s="3093"/>
      <c r="U482" s="3093"/>
      <c r="V482" s="3093"/>
      <c r="W482" s="3093"/>
      <c r="X482" s="3093"/>
      <c r="Y482" s="3093"/>
      <c r="Z482" s="3093"/>
      <c r="AA482" s="3093"/>
      <c r="AB482" s="3093"/>
      <c r="AC482" s="3083">
        <f t="shared" si="242"/>
        <v>0</v>
      </c>
      <c r="AD482" s="3103"/>
      <c r="AE482" s="3103"/>
      <c r="AF482" s="3103"/>
      <c r="AG482" s="3103"/>
      <c r="AH482" s="3103"/>
      <c r="AI482" s="3103"/>
      <c r="AJ482" s="3103"/>
      <c r="AK482" s="3103"/>
      <c r="AL482" s="3103"/>
      <c r="AM482" s="3103"/>
      <c r="AN482" s="3103"/>
      <c r="AO482" s="3103"/>
      <c r="AP482" s="3103"/>
      <c r="AQ482" s="3103"/>
      <c r="AR482" s="3103"/>
      <c r="AS482" s="3103"/>
      <c r="AT482" s="3113"/>
      <c r="AU482" s="3114"/>
      <c r="AV482" s="1580">
        <f t="shared" si="243"/>
        <v>0</v>
      </c>
      <c r="AW482" s="1580">
        <f t="shared" si="244"/>
        <v>0</v>
      </c>
      <c r="AX482" s="1580">
        <f t="shared" si="245"/>
        <v>0</v>
      </c>
      <c r="AY482" s="3128">
        <f t="shared" si="246"/>
        <v>0</v>
      </c>
      <c r="AZ482" s="3083">
        <f t="shared" si="247"/>
        <v>0</v>
      </c>
      <c r="BA482" s="3083">
        <f t="shared" si="248"/>
        <v>0</v>
      </c>
      <c r="BB482" s="3083">
        <f t="shared" si="249"/>
        <v>0</v>
      </c>
      <c r="BC482" s="3083">
        <f t="shared" si="250"/>
        <v>0</v>
      </c>
      <c r="BD482" s="3083">
        <f t="shared" si="251"/>
        <v>0</v>
      </c>
      <c r="BE482" s="3083">
        <f t="shared" si="252"/>
        <v>0</v>
      </c>
      <c r="BF482" s="3083">
        <f t="shared" si="253"/>
        <v>0</v>
      </c>
      <c r="BG482" s="3083">
        <f t="shared" si="254"/>
        <v>0</v>
      </c>
      <c r="BH482" s="3083">
        <f t="shared" si="255"/>
        <v>0</v>
      </c>
      <c r="BI482" s="3083">
        <f t="shared" si="256"/>
        <v>0</v>
      </c>
      <c r="BJ482" s="3083">
        <f t="shared" si="257"/>
        <v>0</v>
      </c>
      <c r="BK482" s="3083">
        <f t="shared" si="258"/>
        <v>0</v>
      </c>
      <c r="BL482" s="3083">
        <f t="shared" si="259"/>
        <v>0</v>
      </c>
      <c r="BM482" s="3083">
        <f t="shared" si="260"/>
        <v>0</v>
      </c>
      <c r="BN482" s="3083">
        <f t="shared" si="261"/>
        <v>0</v>
      </c>
      <c r="BO482" s="3083">
        <f t="shared" si="262"/>
        <v>0</v>
      </c>
      <c r="BP482" s="3083">
        <f t="shared" si="263"/>
        <v>0</v>
      </c>
      <c r="BQ482" s="3083">
        <f t="shared" si="264"/>
        <v>0</v>
      </c>
      <c r="BR482" s="3083">
        <f t="shared" si="265"/>
        <v>0</v>
      </c>
      <c r="BS482" s="3083">
        <f t="shared" si="266"/>
        <v>0</v>
      </c>
      <c r="BT482" s="3135">
        <f t="shared" si="267"/>
        <v>0</v>
      </c>
    </row>
    <row r="483" spans="1:72">
      <c r="A483" s="3080"/>
      <c r="B483" s="3081"/>
      <c r="C483" s="3081"/>
      <c r="D483" s="3082"/>
      <c r="E483" s="3083">
        <f t="shared" si="239"/>
        <v>0</v>
      </c>
      <c r="F483" s="3084"/>
      <c r="G483" s="3085">
        <f t="shared" si="240"/>
        <v>0</v>
      </c>
      <c r="H483" s="3086">
        <f t="shared" si="241"/>
        <v>0</v>
      </c>
      <c r="I483" s="3093"/>
      <c r="J483" s="3093"/>
      <c r="K483" s="3093"/>
      <c r="L483" s="3093"/>
      <c r="M483" s="3093"/>
      <c r="N483" s="3093"/>
      <c r="O483" s="3093"/>
      <c r="P483" s="3093"/>
      <c r="Q483" s="3093"/>
      <c r="R483" s="3093"/>
      <c r="S483" s="3093"/>
      <c r="T483" s="3093"/>
      <c r="U483" s="3093"/>
      <c r="V483" s="3093"/>
      <c r="W483" s="3093"/>
      <c r="X483" s="3093"/>
      <c r="Y483" s="3093"/>
      <c r="Z483" s="3093"/>
      <c r="AA483" s="3093"/>
      <c r="AB483" s="3093"/>
      <c r="AC483" s="3083">
        <f t="shared" si="242"/>
        <v>0</v>
      </c>
      <c r="AD483" s="3103"/>
      <c r="AE483" s="3103"/>
      <c r="AF483" s="3103"/>
      <c r="AG483" s="3103"/>
      <c r="AH483" s="3103"/>
      <c r="AI483" s="3103"/>
      <c r="AJ483" s="3103"/>
      <c r="AK483" s="3103"/>
      <c r="AL483" s="3103"/>
      <c r="AM483" s="3103"/>
      <c r="AN483" s="3103"/>
      <c r="AO483" s="3103"/>
      <c r="AP483" s="3103"/>
      <c r="AQ483" s="3103"/>
      <c r="AR483" s="3103"/>
      <c r="AS483" s="3103"/>
      <c r="AT483" s="3113"/>
      <c r="AU483" s="3114"/>
      <c r="AV483" s="1580">
        <f t="shared" si="243"/>
        <v>0</v>
      </c>
      <c r="AW483" s="1580">
        <f t="shared" si="244"/>
        <v>0</v>
      </c>
      <c r="AX483" s="1580">
        <f t="shared" si="245"/>
        <v>0</v>
      </c>
      <c r="AY483" s="3128">
        <f t="shared" si="246"/>
        <v>0</v>
      </c>
      <c r="AZ483" s="3083">
        <f t="shared" si="247"/>
        <v>0</v>
      </c>
      <c r="BA483" s="3083">
        <f t="shared" si="248"/>
        <v>0</v>
      </c>
      <c r="BB483" s="3083">
        <f t="shared" si="249"/>
        <v>0</v>
      </c>
      <c r="BC483" s="3083">
        <f t="shared" si="250"/>
        <v>0</v>
      </c>
      <c r="BD483" s="3083">
        <f t="shared" si="251"/>
        <v>0</v>
      </c>
      <c r="BE483" s="3083">
        <f t="shared" si="252"/>
        <v>0</v>
      </c>
      <c r="BF483" s="3083">
        <f t="shared" si="253"/>
        <v>0</v>
      </c>
      <c r="BG483" s="3083">
        <f t="shared" si="254"/>
        <v>0</v>
      </c>
      <c r="BH483" s="3083">
        <f t="shared" si="255"/>
        <v>0</v>
      </c>
      <c r="BI483" s="3083">
        <f t="shared" si="256"/>
        <v>0</v>
      </c>
      <c r="BJ483" s="3083">
        <f t="shared" si="257"/>
        <v>0</v>
      </c>
      <c r="BK483" s="3083">
        <f t="shared" si="258"/>
        <v>0</v>
      </c>
      <c r="BL483" s="3083">
        <f t="shared" si="259"/>
        <v>0</v>
      </c>
      <c r="BM483" s="3083">
        <f t="shared" si="260"/>
        <v>0</v>
      </c>
      <c r="BN483" s="3083">
        <f t="shared" si="261"/>
        <v>0</v>
      </c>
      <c r="BO483" s="3083">
        <f t="shared" si="262"/>
        <v>0</v>
      </c>
      <c r="BP483" s="3083">
        <f t="shared" si="263"/>
        <v>0</v>
      </c>
      <c r="BQ483" s="3083">
        <f t="shared" si="264"/>
        <v>0</v>
      </c>
      <c r="BR483" s="3083">
        <f t="shared" si="265"/>
        <v>0</v>
      </c>
      <c r="BS483" s="3083">
        <f t="shared" si="266"/>
        <v>0</v>
      </c>
      <c r="BT483" s="3135">
        <f t="shared" si="267"/>
        <v>0</v>
      </c>
    </row>
    <row r="484" spans="1:72">
      <c r="A484" s="3080"/>
      <c r="B484" s="3081"/>
      <c r="C484" s="3081"/>
      <c r="D484" s="3082"/>
      <c r="E484" s="3083">
        <f t="shared" si="239"/>
        <v>0</v>
      </c>
      <c r="F484" s="3084"/>
      <c r="G484" s="3085">
        <f t="shared" si="240"/>
        <v>0</v>
      </c>
      <c r="H484" s="3086">
        <f t="shared" si="241"/>
        <v>0</v>
      </c>
      <c r="I484" s="3093"/>
      <c r="J484" s="3093"/>
      <c r="K484" s="3093"/>
      <c r="L484" s="3093"/>
      <c r="M484" s="3093"/>
      <c r="N484" s="3093"/>
      <c r="O484" s="3093"/>
      <c r="P484" s="3093"/>
      <c r="Q484" s="3093"/>
      <c r="R484" s="3093"/>
      <c r="S484" s="3093"/>
      <c r="T484" s="3093"/>
      <c r="U484" s="3093"/>
      <c r="V484" s="3093"/>
      <c r="W484" s="3093"/>
      <c r="X484" s="3093"/>
      <c r="Y484" s="3093"/>
      <c r="Z484" s="3093"/>
      <c r="AA484" s="3093"/>
      <c r="AB484" s="3093"/>
      <c r="AC484" s="3083">
        <f t="shared" si="242"/>
        <v>0</v>
      </c>
      <c r="AD484" s="3103"/>
      <c r="AE484" s="3103"/>
      <c r="AF484" s="3103"/>
      <c r="AG484" s="3103"/>
      <c r="AH484" s="3103"/>
      <c r="AI484" s="3103"/>
      <c r="AJ484" s="3103"/>
      <c r="AK484" s="3103"/>
      <c r="AL484" s="3103"/>
      <c r="AM484" s="3103"/>
      <c r="AN484" s="3103"/>
      <c r="AO484" s="3103"/>
      <c r="AP484" s="3103"/>
      <c r="AQ484" s="3103"/>
      <c r="AR484" s="3103"/>
      <c r="AS484" s="3103"/>
      <c r="AT484" s="3113"/>
      <c r="AU484" s="3114"/>
      <c r="AV484" s="1580">
        <f t="shared" si="243"/>
        <v>0</v>
      </c>
      <c r="AW484" s="1580">
        <f t="shared" si="244"/>
        <v>0</v>
      </c>
      <c r="AX484" s="1580">
        <f t="shared" si="245"/>
        <v>0</v>
      </c>
      <c r="AY484" s="3128">
        <f t="shared" si="246"/>
        <v>0</v>
      </c>
      <c r="AZ484" s="3083">
        <f t="shared" si="247"/>
        <v>0</v>
      </c>
      <c r="BA484" s="3083">
        <f t="shared" si="248"/>
        <v>0</v>
      </c>
      <c r="BB484" s="3083">
        <f t="shared" si="249"/>
        <v>0</v>
      </c>
      <c r="BC484" s="3083">
        <f t="shared" si="250"/>
        <v>0</v>
      </c>
      <c r="BD484" s="3083">
        <f t="shared" si="251"/>
        <v>0</v>
      </c>
      <c r="BE484" s="3083">
        <f t="shared" si="252"/>
        <v>0</v>
      </c>
      <c r="BF484" s="3083">
        <f t="shared" si="253"/>
        <v>0</v>
      </c>
      <c r="BG484" s="3083">
        <f t="shared" si="254"/>
        <v>0</v>
      </c>
      <c r="BH484" s="3083">
        <f t="shared" si="255"/>
        <v>0</v>
      </c>
      <c r="BI484" s="3083">
        <f t="shared" si="256"/>
        <v>0</v>
      </c>
      <c r="BJ484" s="3083">
        <f t="shared" si="257"/>
        <v>0</v>
      </c>
      <c r="BK484" s="3083">
        <f t="shared" si="258"/>
        <v>0</v>
      </c>
      <c r="BL484" s="3083">
        <f t="shared" si="259"/>
        <v>0</v>
      </c>
      <c r="BM484" s="3083">
        <f t="shared" si="260"/>
        <v>0</v>
      </c>
      <c r="BN484" s="3083">
        <f t="shared" si="261"/>
        <v>0</v>
      </c>
      <c r="BO484" s="3083">
        <f t="shared" si="262"/>
        <v>0</v>
      </c>
      <c r="BP484" s="3083">
        <f t="shared" si="263"/>
        <v>0</v>
      </c>
      <c r="BQ484" s="3083">
        <f t="shared" si="264"/>
        <v>0</v>
      </c>
      <c r="BR484" s="3083">
        <f t="shared" si="265"/>
        <v>0</v>
      </c>
      <c r="BS484" s="3083">
        <f t="shared" si="266"/>
        <v>0</v>
      </c>
      <c r="BT484" s="3135">
        <f t="shared" si="267"/>
        <v>0</v>
      </c>
    </row>
    <row r="485" spans="1:72">
      <c r="A485" s="3080"/>
      <c r="B485" s="3081"/>
      <c r="C485" s="3081"/>
      <c r="D485" s="3082"/>
      <c r="E485" s="3083">
        <f t="shared" si="239"/>
        <v>0</v>
      </c>
      <c r="F485" s="3084"/>
      <c r="G485" s="3085">
        <f t="shared" si="240"/>
        <v>0</v>
      </c>
      <c r="H485" s="3086">
        <f t="shared" si="241"/>
        <v>0</v>
      </c>
      <c r="I485" s="3093"/>
      <c r="J485" s="3093"/>
      <c r="K485" s="3093"/>
      <c r="L485" s="3093"/>
      <c r="M485" s="3093"/>
      <c r="N485" s="3093"/>
      <c r="O485" s="3093"/>
      <c r="P485" s="3093"/>
      <c r="Q485" s="3093"/>
      <c r="R485" s="3093"/>
      <c r="S485" s="3093"/>
      <c r="T485" s="3093"/>
      <c r="U485" s="3093"/>
      <c r="V485" s="3093"/>
      <c r="W485" s="3093"/>
      <c r="X485" s="3093"/>
      <c r="Y485" s="3093"/>
      <c r="Z485" s="3093"/>
      <c r="AA485" s="3093"/>
      <c r="AB485" s="3093"/>
      <c r="AC485" s="3083">
        <f t="shared" si="242"/>
        <v>0</v>
      </c>
      <c r="AD485" s="3103"/>
      <c r="AE485" s="3103"/>
      <c r="AF485" s="3103"/>
      <c r="AG485" s="3103"/>
      <c r="AH485" s="3103"/>
      <c r="AI485" s="3103"/>
      <c r="AJ485" s="3103"/>
      <c r="AK485" s="3103"/>
      <c r="AL485" s="3103"/>
      <c r="AM485" s="3103"/>
      <c r="AN485" s="3103"/>
      <c r="AO485" s="3103"/>
      <c r="AP485" s="3103"/>
      <c r="AQ485" s="3103"/>
      <c r="AR485" s="3103"/>
      <c r="AS485" s="3103"/>
      <c r="AT485" s="3113"/>
      <c r="AU485" s="3114"/>
      <c r="AV485" s="1580">
        <f t="shared" si="243"/>
        <v>0</v>
      </c>
      <c r="AW485" s="1580">
        <f t="shared" si="244"/>
        <v>0</v>
      </c>
      <c r="AX485" s="1580">
        <f t="shared" si="245"/>
        <v>0</v>
      </c>
      <c r="AY485" s="3128">
        <f t="shared" si="246"/>
        <v>0</v>
      </c>
      <c r="AZ485" s="3083">
        <f t="shared" si="247"/>
        <v>0</v>
      </c>
      <c r="BA485" s="3083">
        <f t="shared" si="248"/>
        <v>0</v>
      </c>
      <c r="BB485" s="3083">
        <f t="shared" si="249"/>
        <v>0</v>
      </c>
      <c r="BC485" s="3083">
        <f t="shared" si="250"/>
        <v>0</v>
      </c>
      <c r="BD485" s="3083">
        <f t="shared" si="251"/>
        <v>0</v>
      </c>
      <c r="BE485" s="3083">
        <f t="shared" si="252"/>
        <v>0</v>
      </c>
      <c r="BF485" s="3083">
        <f t="shared" si="253"/>
        <v>0</v>
      </c>
      <c r="BG485" s="3083">
        <f t="shared" si="254"/>
        <v>0</v>
      </c>
      <c r="BH485" s="3083">
        <f t="shared" si="255"/>
        <v>0</v>
      </c>
      <c r="BI485" s="3083">
        <f t="shared" si="256"/>
        <v>0</v>
      </c>
      <c r="BJ485" s="3083">
        <f t="shared" si="257"/>
        <v>0</v>
      </c>
      <c r="BK485" s="3083">
        <f t="shared" si="258"/>
        <v>0</v>
      </c>
      <c r="BL485" s="3083">
        <f t="shared" si="259"/>
        <v>0</v>
      </c>
      <c r="BM485" s="3083">
        <f t="shared" si="260"/>
        <v>0</v>
      </c>
      <c r="BN485" s="3083">
        <f t="shared" si="261"/>
        <v>0</v>
      </c>
      <c r="BO485" s="3083">
        <f t="shared" si="262"/>
        <v>0</v>
      </c>
      <c r="BP485" s="3083">
        <f t="shared" si="263"/>
        <v>0</v>
      </c>
      <c r="BQ485" s="3083">
        <f t="shared" si="264"/>
        <v>0</v>
      </c>
      <c r="BR485" s="3083">
        <f t="shared" si="265"/>
        <v>0</v>
      </c>
      <c r="BS485" s="3083">
        <f t="shared" si="266"/>
        <v>0</v>
      </c>
      <c r="BT485" s="3135">
        <f t="shared" si="267"/>
        <v>0</v>
      </c>
    </row>
    <row r="486" spans="1:72">
      <c r="A486" s="3080"/>
      <c r="B486" s="3081"/>
      <c r="C486" s="3081"/>
      <c r="D486" s="3082"/>
      <c r="E486" s="3083">
        <f t="shared" si="239"/>
        <v>0</v>
      </c>
      <c r="F486" s="3084"/>
      <c r="G486" s="3085">
        <f t="shared" si="240"/>
        <v>0</v>
      </c>
      <c r="H486" s="3086">
        <f t="shared" si="241"/>
        <v>0</v>
      </c>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3083">
        <f t="shared" si="242"/>
        <v>0</v>
      </c>
      <c r="AD486" s="3103"/>
      <c r="AE486" s="3103"/>
      <c r="AF486" s="3103"/>
      <c r="AG486" s="3103"/>
      <c r="AH486" s="3103"/>
      <c r="AI486" s="3103"/>
      <c r="AJ486" s="3103"/>
      <c r="AK486" s="3103"/>
      <c r="AL486" s="3103"/>
      <c r="AM486" s="3103"/>
      <c r="AN486" s="3103"/>
      <c r="AO486" s="3103"/>
      <c r="AP486" s="3103"/>
      <c r="AQ486" s="3103"/>
      <c r="AR486" s="3103"/>
      <c r="AS486" s="3103"/>
      <c r="AT486" s="3113"/>
      <c r="AU486" s="3114"/>
      <c r="AV486" s="1580">
        <f t="shared" si="243"/>
        <v>0</v>
      </c>
      <c r="AW486" s="1580">
        <f t="shared" si="244"/>
        <v>0</v>
      </c>
      <c r="AX486" s="1580">
        <f t="shared" si="245"/>
        <v>0</v>
      </c>
      <c r="AY486" s="3128">
        <f t="shared" si="246"/>
        <v>0</v>
      </c>
      <c r="AZ486" s="3083">
        <f t="shared" si="247"/>
        <v>0</v>
      </c>
      <c r="BA486" s="3083">
        <f t="shared" si="248"/>
        <v>0</v>
      </c>
      <c r="BB486" s="3083">
        <f t="shared" si="249"/>
        <v>0</v>
      </c>
      <c r="BC486" s="3083">
        <f t="shared" si="250"/>
        <v>0</v>
      </c>
      <c r="BD486" s="3083">
        <f t="shared" si="251"/>
        <v>0</v>
      </c>
      <c r="BE486" s="3083">
        <f t="shared" si="252"/>
        <v>0</v>
      </c>
      <c r="BF486" s="3083">
        <f t="shared" si="253"/>
        <v>0</v>
      </c>
      <c r="BG486" s="3083">
        <f t="shared" si="254"/>
        <v>0</v>
      </c>
      <c r="BH486" s="3083">
        <f t="shared" si="255"/>
        <v>0</v>
      </c>
      <c r="BI486" s="3083">
        <f t="shared" si="256"/>
        <v>0</v>
      </c>
      <c r="BJ486" s="3083">
        <f t="shared" si="257"/>
        <v>0</v>
      </c>
      <c r="BK486" s="3083">
        <f t="shared" si="258"/>
        <v>0</v>
      </c>
      <c r="BL486" s="3083">
        <f t="shared" si="259"/>
        <v>0</v>
      </c>
      <c r="BM486" s="3083">
        <f t="shared" si="260"/>
        <v>0</v>
      </c>
      <c r="BN486" s="3083">
        <f t="shared" si="261"/>
        <v>0</v>
      </c>
      <c r="BO486" s="3083">
        <f t="shared" si="262"/>
        <v>0</v>
      </c>
      <c r="BP486" s="3083">
        <f t="shared" si="263"/>
        <v>0</v>
      </c>
      <c r="BQ486" s="3083">
        <f t="shared" si="264"/>
        <v>0</v>
      </c>
      <c r="BR486" s="3083">
        <f t="shared" si="265"/>
        <v>0</v>
      </c>
      <c r="BS486" s="3083">
        <f t="shared" si="266"/>
        <v>0</v>
      </c>
      <c r="BT486" s="3135">
        <f t="shared" si="267"/>
        <v>0</v>
      </c>
    </row>
    <row r="487" spans="1:72">
      <c r="A487" s="3080"/>
      <c r="B487" s="3081"/>
      <c r="C487" s="3081"/>
      <c r="D487" s="3082"/>
      <c r="E487" s="3083">
        <f t="shared" si="239"/>
        <v>0</v>
      </c>
      <c r="F487" s="3084"/>
      <c r="G487" s="3085">
        <f t="shared" si="240"/>
        <v>0</v>
      </c>
      <c r="H487" s="3086">
        <f t="shared" si="241"/>
        <v>0</v>
      </c>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3083">
        <f t="shared" si="242"/>
        <v>0</v>
      </c>
      <c r="AD487" s="3103"/>
      <c r="AE487" s="3103"/>
      <c r="AF487" s="3103"/>
      <c r="AG487" s="3103"/>
      <c r="AH487" s="3103"/>
      <c r="AI487" s="3103"/>
      <c r="AJ487" s="3103"/>
      <c r="AK487" s="3103"/>
      <c r="AL487" s="3103"/>
      <c r="AM487" s="3103"/>
      <c r="AN487" s="3103"/>
      <c r="AO487" s="3103"/>
      <c r="AP487" s="3103"/>
      <c r="AQ487" s="3103"/>
      <c r="AR487" s="3103"/>
      <c r="AS487" s="3103"/>
      <c r="AT487" s="3113"/>
      <c r="AU487" s="3114"/>
      <c r="AV487" s="1580">
        <f t="shared" si="243"/>
        <v>0</v>
      </c>
      <c r="AW487" s="1580">
        <f t="shared" si="244"/>
        <v>0</v>
      </c>
      <c r="AX487" s="1580">
        <f t="shared" si="245"/>
        <v>0</v>
      </c>
      <c r="AY487" s="3128">
        <f t="shared" si="246"/>
        <v>0</v>
      </c>
      <c r="AZ487" s="3083">
        <f t="shared" si="247"/>
        <v>0</v>
      </c>
      <c r="BA487" s="3083">
        <f t="shared" si="248"/>
        <v>0</v>
      </c>
      <c r="BB487" s="3083">
        <f t="shared" si="249"/>
        <v>0</v>
      </c>
      <c r="BC487" s="3083">
        <f t="shared" si="250"/>
        <v>0</v>
      </c>
      <c r="BD487" s="3083">
        <f t="shared" si="251"/>
        <v>0</v>
      </c>
      <c r="BE487" s="3083">
        <f t="shared" si="252"/>
        <v>0</v>
      </c>
      <c r="BF487" s="3083">
        <f t="shared" si="253"/>
        <v>0</v>
      </c>
      <c r="BG487" s="3083">
        <f t="shared" si="254"/>
        <v>0</v>
      </c>
      <c r="BH487" s="3083">
        <f t="shared" si="255"/>
        <v>0</v>
      </c>
      <c r="BI487" s="3083">
        <f t="shared" si="256"/>
        <v>0</v>
      </c>
      <c r="BJ487" s="3083">
        <f t="shared" si="257"/>
        <v>0</v>
      </c>
      <c r="BK487" s="3083">
        <f t="shared" si="258"/>
        <v>0</v>
      </c>
      <c r="BL487" s="3083">
        <f t="shared" si="259"/>
        <v>0</v>
      </c>
      <c r="BM487" s="3083">
        <f t="shared" si="260"/>
        <v>0</v>
      </c>
      <c r="BN487" s="3083">
        <f t="shared" si="261"/>
        <v>0</v>
      </c>
      <c r="BO487" s="3083">
        <f t="shared" si="262"/>
        <v>0</v>
      </c>
      <c r="BP487" s="3083">
        <f t="shared" si="263"/>
        <v>0</v>
      </c>
      <c r="BQ487" s="3083">
        <f t="shared" si="264"/>
        <v>0</v>
      </c>
      <c r="BR487" s="3083">
        <f t="shared" si="265"/>
        <v>0</v>
      </c>
      <c r="BS487" s="3083">
        <f t="shared" si="266"/>
        <v>0</v>
      </c>
      <c r="BT487" s="3135">
        <f t="shared" si="267"/>
        <v>0</v>
      </c>
    </row>
    <row r="488" spans="1:72">
      <c r="A488" s="3080"/>
      <c r="B488" s="3081"/>
      <c r="C488" s="3081"/>
      <c r="D488" s="3082"/>
      <c r="E488" s="3083">
        <f t="shared" si="239"/>
        <v>0</v>
      </c>
      <c r="F488" s="3084"/>
      <c r="G488" s="3085">
        <f t="shared" si="240"/>
        <v>0</v>
      </c>
      <c r="H488" s="3086">
        <f t="shared" si="241"/>
        <v>0</v>
      </c>
      <c r="I488" s="3093"/>
      <c r="J488" s="3093"/>
      <c r="K488" s="3093"/>
      <c r="L488" s="3093"/>
      <c r="M488" s="3093"/>
      <c r="N488" s="3093"/>
      <c r="O488" s="3093"/>
      <c r="P488" s="3093"/>
      <c r="Q488" s="3093"/>
      <c r="R488" s="3093"/>
      <c r="S488" s="3093"/>
      <c r="T488" s="3093"/>
      <c r="U488" s="3093"/>
      <c r="V488" s="3093"/>
      <c r="W488" s="3093"/>
      <c r="X488" s="3093"/>
      <c r="Y488" s="3093"/>
      <c r="Z488" s="3093"/>
      <c r="AA488" s="3093"/>
      <c r="AB488" s="3093"/>
      <c r="AC488" s="3083">
        <f t="shared" si="242"/>
        <v>0</v>
      </c>
      <c r="AD488" s="3103"/>
      <c r="AE488" s="3103"/>
      <c r="AF488" s="3103"/>
      <c r="AG488" s="3103"/>
      <c r="AH488" s="3103"/>
      <c r="AI488" s="3103"/>
      <c r="AJ488" s="3103"/>
      <c r="AK488" s="3103"/>
      <c r="AL488" s="3103"/>
      <c r="AM488" s="3103"/>
      <c r="AN488" s="3103"/>
      <c r="AO488" s="3103"/>
      <c r="AP488" s="3103"/>
      <c r="AQ488" s="3103"/>
      <c r="AR488" s="3103"/>
      <c r="AS488" s="3103"/>
      <c r="AT488" s="3113"/>
      <c r="AU488" s="3114"/>
      <c r="AV488" s="1580">
        <f t="shared" si="243"/>
        <v>0</v>
      </c>
      <c r="AW488" s="1580">
        <f t="shared" si="244"/>
        <v>0</v>
      </c>
      <c r="AX488" s="1580">
        <f t="shared" si="245"/>
        <v>0</v>
      </c>
      <c r="AY488" s="3128">
        <f t="shared" si="246"/>
        <v>0</v>
      </c>
      <c r="AZ488" s="3083">
        <f t="shared" si="247"/>
        <v>0</v>
      </c>
      <c r="BA488" s="3083">
        <f t="shared" si="248"/>
        <v>0</v>
      </c>
      <c r="BB488" s="3083">
        <f t="shared" si="249"/>
        <v>0</v>
      </c>
      <c r="BC488" s="3083">
        <f t="shared" si="250"/>
        <v>0</v>
      </c>
      <c r="BD488" s="3083">
        <f t="shared" si="251"/>
        <v>0</v>
      </c>
      <c r="BE488" s="3083">
        <f t="shared" si="252"/>
        <v>0</v>
      </c>
      <c r="BF488" s="3083">
        <f t="shared" si="253"/>
        <v>0</v>
      </c>
      <c r="BG488" s="3083">
        <f t="shared" si="254"/>
        <v>0</v>
      </c>
      <c r="BH488" s="3083">
        <f t="shared" si="255"/>
        <v>0</v>
      </c>
      <c r="BI488" s="3083">
        <f t="shared" si="256"/>
        <v>0</v>
      </c>
      <c r="BJ488" s="3083">
        <f t="shared" si="257"/>
        <v>0</v>
      </c>
      <c r="BK488" s="3083">
        <f t="shared" si="258"/>
        <v>0</v>
      </c>
      <c r="BL488" s="3083">
        <f t="shared" si="259"/>
        <v>0</v>
      </c>
      <c r="BM488" s="3083">
        <f t="shared" si="260"/>
        <v>0</v>
      </c>
      <c r="BN488" s="3083">
        <f t="shared" si="261"/>
        <v>0</v>
      </c>
      <c r="BO488" s="3083">
        <f t="shared" si="262"/>
        <v>0</v>
      </c>
      <c r="BP488" s="3083">
        <f t="shared" si="263"/>
        <v>0</v>
      </c>
      <c r="BQ488" s="3083">
        <f t="shared" si="264"/>
        <v>0</v>
      </c>
      <c r="BR488" s="3083">
        <f t="shared" si="265"/>
        <v>0</v>
      </c>
      <c r="BS488" s="3083">
        <f t="shared" si="266"/>
        <v>0</v>
      </c>
      <c r="BT488" s="3135">
        <f t="shared" si="267"/>
        <v>0</v>
      </c>
    </row>
    <row r="489" spans="1:72">
      <c r="A489" s="3080"/>
      <c r="B489" s="3081"/>
      <c r="C489" s="3081"/>
      <c r="D489" s="3082"/>
      <c r="E489" s="3083">
        <f t="shared" si="239"/>
        <v>0</v>
      </c>
      <c r="F489" s="3084"/>
      <c r="G489" s="3085">
        <f t="shared" si="240"/>
        <v>0</v>
      </c>
      <c r="H489" s="3086">
        <f t="shared" si="241"/>
        <v>0</v>
      </c>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3083">
        <f t="shared" si="242"/>
        <v>0</v>
      </c>
      <c r="AD489" s="3103"/>
      <c r="AE489" s="3103"/>
      <c r="AF489" s="3103"/>
      <c r="AG489" s="3103"/>
      <c r="AH489" s="3103"/>
      <c r="AI489" s="3103"/>
      <c r="AJ489" s="3103"/>
      <c r="AK489" s="3103"/>
      <c r="AL489" s="3103"/>
      <c r="AM489" s="3103"/>
      <c r="AN489" s="3103"/>
      <c r="AO489" s="3103"/>
      <c r="AP489" s="3103"/>
      <c r="AQ489" s="3103"/>
      <c r="AR489" s="3103"/>
      <c r="AS489" s="3103"/>
      <c r="AT489" s="3113"/>
      <c r="AU489" s="3114"/>
      <c r="AV489" s="1580">
        <f t="shared" si="243"/>
        <v>0</v>
      </c>
      <c r="AW489" s="1580">
        <f t="shared" si="244"/>
        <v>0</v>
      </c>
      <c r="AX489" s="1580">
        <f t="shared" si="245"/>
        <v>0</v>
      </c>
      <c r="AY489" s="3128">
        <f t="shared" si="246"/>
        <v>0</v>
      </c>
      <c r="AZ489" s="3083">
        <f t="shared" si="247"/>
        <v>0</v>
      </c>
      <c r="BA489" s="3083">
        <f t="shared" si="248"/>
        <v>0</v>
      </c>
      <c r="BB489" s="3083">
        <f t="shared" si="249"/>
        <v>0</v>
      </c>
      <c r="BC489" s="3083">
        <f t="shared" si="250"/>
        <v>0</v>
      </c>
      <c r="BD489" s="3083">
        <f t="shared" si="251"/>
        <v>0</v>
      </c>
      <c r="BE489" s="3083">
        <f t="shared" si="252"/>
        <v>0</v>
      </c>
      <c r="BF489" s="3083">
        <f t="shared" si="253"/>
        <v>0</v>
      </c>
      <c r="BG489" s="3083">
        <f t="shared" si="254"/>
        <v>0</v>
      </c>
      <c r="BH489" s="3083">
        <f t="shared" si="255"/>
        <v>0</v>
      </c>
      <c r="BI489" s="3083">
        <f t="shared" si="256"/>
        <v>0</v>
      </c>
      <c r="BJ489" s="3083">
        <f t="shared" si="257"/>
        <v>0</v>
      </c>
      <c r="BK489" s="3083">
        <f t="shared" si="258"/>
        <v>0</v>
      </c>
      <c r="BL489" s="3083">
        <f t="shared" si="259"/>
        <v>0</v>
      </c>
      <c r="BM489" s="3083">
        <f t="shared" si="260"/>
        <v>0</v>
      </c>
      <c r="BN489" s="3083">
        <f t="shared" si="261"/>
        <v>0</v>
      </c>
      <c r="BO489" s="3083">
        <f t="shared" si="262"/>
        <v>0</v>
      </c>
      <c r="BP489" s="3083">
        <f t="shared" si="263"/>
        <v>0</v>
      </c>
      <c r="BQ489" s="3083">
        <f t="shared" si="264"/>
        <v>0</v>
      </c>
      <c r="BR489" s="3083">
        <f t="shared" si="265"/>
        <v>0</v>
      </c>
      <c r="BS489" s="3083">
        <f t="shared" si="266"/>
        <v>0</v>
      </c>
      <c r="BT489" s="3135">
        <f t="shared" si="267"/>
        <v>0</v>
      </c>
    </row>
    <row r="490" spans="1:72">
      <c r="A490" s="3080"/>
      <c r="B490" s="3080"/>
      <c r="C490" s="3080"/>
      <c r="D490" s="3082"/>
      <c r="E490" s="3083">
        <f t="shared" si="239"/>
        <v>0</v>
      </c>
      <c r="F490" s="3136"/>
      <c r="G490" s="3085">
        <f t="shared" ref="G490:G521" si="268">H490+AC490+AT490</f>
        <v>0</v>
      </c>
      <c r="H490" s="3086">
        <f t="shared" ref="H490:H521" si="269">SUMIF(I$12:AB$12,"总值",I490:AB490)</f>
        <v>0</v>
      </c>
      <c r="I490" s="3137"/>
      <c r="J490" s="3137"/>
      <c r="K490" s="3093"/>
      <c r="L490" s="3093"/>
      <c r="M490" s="3093"/>
      <c r="N490" s="3093"/>
      <c r="O490" s="3093"/>
      <c r="P490" s="3093"/>
      <c r="Q490" s="3093"/>
      <c r="R490" s="3093"/>
      <c r="S490" s="3093"/>
      <c r="T490" s="3093"/>
      <c r="U490" s="3093"/>
      <c r="V490" s="3093"/>
      <c r="W490" s="3093"/>
      <c r="X490" s="3093"/>
      <c r="Y490" s="3093"/>
      <c r="Z490" s="3093"/>
      <c r="AA490" s="3093"/>
      <c r="AB490" s="3093"/>
      <c r="AC490" s="3083">
        <f t="shared" ref="AC490:AC521" si="270">SUMIF(AD$12:AS$12,"总值",AD490:AS490)</f>
        <v>0</v>
      </c>
      <c r="AD490" s="3103"/>
      <c r="AE490" s="3103"/>
      <c r="AF490" s="3103"/>
      <c r="AG490" s="3103"/>
      <c r="AH490" s="3103"/>
      <c r="AI490" s="3103"/>
      <c r="AJ490" s="3103"/>
      <c r="AK490" s="3103"/>
      <c r="AL490" s="3103"/>
      <c r="AM490" s="3103"/>
      <c r="AN490" s="3103"/>
      <c r="AO490" s="3103"/>
      <c r="AP490" s="3103"/>
      <c r="AQ490" s="3103"/>
      <c r="AR490" s="3103"/>
      <c r="AS490" s="3103"/>
      <c r="AT490" s="3103"/>
      <c r="AU490" s="3138"/>
      <c r="AV490" s="1580">
        <f t="shared" si="243"/>
        <v>0</v>
      </c>
      <c r="AW490" s="1580">
        <f t="shared" si="244"/>
        <v>0</v>
      </c>
      <c r="AX490" s="1580">
        <f t="shared" si="245"/>
        <v>0</v>
      </c>
      <c r="AY490" s="3128">
        <f t="shared" ref="AY490:AY521" si="271">ROUND($AY$6*AZ490/$AZ$5,2)</f>
        <v>0</v>
      </c>
      <c r="AZ490" s="3083">
        <f t="shared" ref="AZ490:AZ521" si="272">BA490+BL490</f>
        <v>0</v>
      </c>
      <c r="BA490" s="3083">
        <f t="shared" ref="BA490:BA521" si="273">SUM(BB490:BK490)</f>
        <v>0</v>
      </c>
      <c r="BB490" s="3083">
        <f t="shared" ref="BB490:BB521" si="274">IF($D490="是",I490-J490,0)</f>
        <v>0</v>
      </c>
      <c r="BC490" s="3083">
        <f t="shared" ref="BC490:BC521" si="275">IF($D490="是",K490-L490,0)</f>
        <v>0</v>
      </c>
      <c r="BD490" s="3083">
        <f t="shared" ref="BD490:BD521" si="276">IF($D490="是",M490-N490,0)</f>
        <v>0</v>
      </c>
      <c r="BE490" s="3083">
        <f t="shared" ref="BE490:BE521" si="277">IF($D490="是",O490-P490,0)</f>
        <v>0</v>
      </c>
      <c r="BF490" s="3083">
        <f t="shared" ref="BF490:BF521" si="278">IF($D490="是",Q490-R490,0)</f>
        <v>0</v>
      </c>
      <c r="BG490" s="3083">
        <f t="shared" ref="BG490:BG521" si="279">IF($D490="是",S490-T490,0)</f>
        <v>0</v>
      </c>
      <c r="BH490" s="3083">
        <f t="shared" ref="BH490:BH521" si="280">IF($D490="是",U490-V490,0)</f>
        <v>0</v>
      </c>
      <c r="BI490" s="3083">
        <f t="shared" ref="BI490:BI521" si="281">IF($D490="是",W490-X490,0)</f>
        <v>0</v>
      </c>
      <c r="BJ490" s="3083">
        <f t="shared" ref="BJ490:BJ521" si="282">IF($D490="是",Y490-Z490,0)</f>
        <v>0</v>
      </c>
      <c r="BK490" s="3083">
        <f t="shared" ref="BK490:BK521" si="283">IF($D490="是",AA490-AB490,0)</f>
        <v>0</v>
      </c>
      <c r="BL490" s="3083">
        <f t="shared" ref="BL490:BL521" si="284">SUM(BM490:BT490)</f>
        <v>0</v>
      </c>
      <c r="BM490" s="3083">
        <f t="shared" ref="BM490:BM521" si="285">IF($D490="是",AD490-AE490,0)</f>
        <v>0</v>
      </c>
      <c r="BN490" s="3083">
        <f t="shared" ref="BN490:BN521" si="286">IF($D490="是",AF490-AG490,0)</f>
        <v>0</v>
      </c>
      <c r="BO490" s="3083">
        <f t="shared" ref="BO490:BO521" si="287">IF($D490="是",AH490-AI490,0)</f>
        <v>0</v>
      </c>
      <c r="BP490" s="3083">
        <f t="shared" ref="BP490:BP521" si="288">IF($D490="是",AJ490-AK490,0)</f>
        <v>0</v>
      </c>
      <c r="BQ490" s="3083">
        <f t="shared" ref="BQ490:BQ521" si="289">IF($D490="是",AL490-AM490,0)</f>
        <v>0</v>
      </c>
      <c r="BR490" s="3083">
        <f t="shared" ref="BR490:BR521" si="290">IF($D490="是",AN490-AO490,0)</f>
        <v>0</v>
      </c>
      <c r="BS490" s="3083">
        <f t="shared" ref="BS490:BS521" si="291">IF($D490="是",AP490-AQ490,0)</f>
        <v>0</v>
      </c>
      <c r="BT490" s="3135">
        <f t="shared" ref="BT490:BT521" si="292">IF($D490="是",AR490-AS490,0)</f>
        <v>0</v>
      </c>
    </row>
    <row r="491" spans="1:72">
      <c r="A491" s="3080"/>
      <c r="B491" s="3080"/>
      <c r="C491" s="3080"/>
      <c r="D491" s="3082"/>
      <c r="E491" s="3083">
        <f t="shared" si="239"/>
        <v>0</v>
      </c>
      <c r="F491" s="3136"/>
      <c r="G491" s="3085">
        <f t="shared" si="268"/>
        <v>0</v>
      </c>
      <c r="H491" s="3086">
        <f t="shared" si="269"/>
        <v>0</v>
      </c>
      <c r="I491" s="3093"/>
      <c r="J491" s="3093"/>
      <c r="K491" s="3093"/>
      <c r="L491" s="3093"/>
      <c r="M491" s="3093"/>
      <c r="N491" s="3093"/>
      <c r="O491" s="3093"/>
      <c r="P491" s="3093"/>
      <c r="Q491" s="3093"/>
      <c r="R491" s="3093"/>
      <c r="S491" s="3093"/>
      <c r="T491" s="3093"/>
      <c r="U491" s="3093"/>
      <c r="V491" s="3093"/>
      <c r="W491" s="3093"/>
      <c r="X491" s="3093"/>
      <c r="Y491" s="3093"/>
      <c r="Z491" s="3093"/>
      <c r="AA491" s="3093"/>
      <c r="AB491" s="3093"/>
      <c r="AC491" s="3083">
        <f t="shared" si="270"/>
        <v>0</v>
      </c>
      <c r="AD491" s="3103"/>
      <c r="AE491" s="3103"/>
      <c r="AF491" s="3103"/>
      <c r="AG491" s="3103"/>
      <c r="AH491" s="3103"/>
      <c r="AI491" s="3103"/>
      <c r="AJ491" s="3103"/>
      <c r="AK491" s="3103"/>
      <c r="AL491" s="3103"/>
      <c r="AM491" s="3103"/>
      <c r="AN491" s="3103"/>
      <c r="AO491" s="3103"/>
      <c r="AP491" s="3103"/>
      <c r="AQ491" s="3103"/>
      <c r="AR491" s="3103"/>
      <c r="AS491" s="3103"/>
      <c r="AT491" s="3103"/>
      <c r="AU491" s="3138"/>
      <c r="AV491" s="1580">
        <f t="shared" si="243"/>
        <v>0</v>
      </c>
      <c r="AW491" s="1580">
        <f t="shared" si="244"/>
        <v>0</v>
      </c>
      <c r="AX491" s="1580">
        <f t="shared" si="245"/>
        <v>0</v>
      </c>
      <c r="AY491" s="3128">
        <f t="shared" si="271"/>
        <v>0</v>
      </c>
      <c r="AZ491" s="3083">
        <f t="shared" si="272"/>
        <v>0</v>
      </c>
      <c r="BA491" s="3083">
        <f t="shared" si="273"/>
        <v>0</v>
      </c>
      <c r="BB491" s="3083">
        <f t="shared" si="274"/>
        <v>0</v>
      </c>
      <c r="BC491" s="3083">
        <f t="shared" si="275"/>
        <v>0</v>
      </c>
      <c r="BD491" s="3083">
        <f t="shared" si="276"/>
        <v>0</v>
      </c>
      <c r="BE491" s="3083">
        <f t="shared" si="277"/>
        <v>0</v>
      </c>
      <c r="BF491" s="3083">
        <f t="shared" si="278"/>
        <v>0</v>
      </c>
      <c r="BG491" s="3083">
        <f t="shared" si="279"/>
        <v>0</v>
      </c>
      <c r="BH491" s="3083">
        <f t="shared" si="280"/>
        <v>0</v>
      </c>
      <c r="BI491" s="3083">
        <f t="shared" si="281"/>
        <v>0</v>
      </c>
      <c r="BJ491" s="3083">
        <f t="shared" si="282"/>
        <v>0</v>
      </c>
      <c r="BK491" s="3083">
        <f t="shared" si="283"/>
        <v>0</v>
      </c>
      <c r="BL491" s="3083">
        <f t="shared" si="284"/>
        <v>0</v>
      </c>
      <c r="BM491" s="3083">
        <f t="shared" si="285"/>
        <v>0</v>
      </c>
      <c r="BN491" s="3083">
        <f t="shared" si="286"/>
        <v>0</v>
      </c>
      <c r="BO491" s="3083">
        <f t="shared" si="287"/>
        <v>0</v>
      </c>
      <c r="BP491" s="3083">
        <f t="shared" si="288"/>
        <v>0</v>
      </c>
      <c r="BQ491" s="3083">
        <f t="shared" si="289"/>
        <v>0</v>
      </c>
      <c r="BR491" s="3083">
        <f t="shared" si="290"/>
        <v>0</v>
      </c>
      <c r="BS491" s="3083">
        <f t="shared" si="291"/>
        <v>0</v>
      </c>
      <c r="BT491" s="3135">
        <f t="shared" si="292"/>
        <v>0</v>
      </c>
    </row>
    <row r="492" spans="1:72">
      <c r="A492" s="3080"/>
      <c r="B492" s="3080"/>
      <c r="C492" s="3080"/>
      <c r="D492" s="3082"/>
      <c r="E492" s="3083">
        <f t="shared" si="239"/>
        <v>0</v>
      </c>
      <c r="F492" s="3136"/>
      <c r="G492" s="3085">
        <f t="shared" si="268"/>
        <v>0</v>
      </c>
      <c r="H492" s="3086">
        <f t="shared" si="269"/>
        <v>0</v>
      </c>
      <c r="I492" s="3093"/>
      <c r="J492" s="3093"/>
      <c r="K492" s="3093"/>
      <c r="L492" s="3093"/>
      <c r="M492" s="3093"/>
      <c r="N492" s="3093"/>
      <c r="O492" s="3093"/>
      <c r="P492" s="3093"/>
      <c r="Q492" s="3093"/>
      <c r="R492" s="3093"/>
      <c r="S492" s="3093"/>
      <c r="T492" s="3093"/>
      <c r="U492" s="3093"/>
      <c r="V492" s="3093"/>
      <c r="W492" s="3093"/>
      <c r="X492" s="3093"/>
      <c r="Y492" s="3093"/>
      <c r="Z492" s="3093"/>
      <c r="AA492" s="3093"/>
      <c r="AB492" s="3093"/>
      <c r="AC492" s="3083">
        <f t="shared" si="270"/>
        <v>0</v>
      </c>
      <c r="AD492" s="3103"/>
      <c r="AE492" s="3103"/>
      <c r="AF492" s="3103"/>
      <c r="AG492" s="3103"/>
      <c r="AH492" s="3103"/>
      <c r="AI492" s="3103"/>
      <c r="AJ492" s="3103"/>
      <c r="AK492" s="3103"/>
      <c r="AL492" s="3103"/>
      <c r="AM492" s="3103"/>
      <c r="AN492" s="3103"/>
      <c r="AO492" s="3103"/>
      <c r="AP492" s="3103"/>
      <c r="AQ492" s="3103"/>
      <c r="AR492" s="3103"/>
      <c r="AS492" s="3103"/>
      <c r="AT492" s="3103"/>
      <c r="AU492" s="3138"/>
      <c r="AV492" s="1580">
        <f t="shared" si="243"/>
        <v>0</v>
      </c>
      <c r="AW492" s="1580">
        <f t="shared" si="244"/>
        <v>0</v>
      </c>
      <c r="AX492" s="1580">
        <f t="shared" si="245"/>
        <v>0</v>
      </c>
      <c r="AY492" s="3128">
        <f t="shared" si="271"/>
        <v>0</v>
      </c>
      <c r="AZ492" s="3083">
        <f t="shared" si="272"/>
        <v>0</v>
      </c>
      <c r="BA492" s="3083">
        <f t="shared" si="273"/>
        <v>0</v>
      </c>
      <c r="BB492" s="3083">
        <f t="shared" si="274"/>
        <v>0</v>
      </c>
      <c r="BC492" s="3083">
        <f t="shared" si="275"/>
        <v>0</v>
      </c>
      <c r="BD492" s="3083">
        <f t="shared" si="276"/>
        <v>0</v>
      </c>
      <c r="BE492" s="3083">
        <f t="shared" si="277"/>
        <v>0</v>
      </c>
      <c r="BF492" s="3083">
        <f t="shared" si="278"/>
        <v>0</v>
      </c>
      <c r="BG492" s="3083">
        <f t="shared" si="279"/>
        <v>0</v>
      </c>
      <c r="BH492" s="3083">
        <f t="shared" si="280"/>
        <v>0</v>
      </c>
      <c r="BI492" s="3083">
        <f t="shared" si="281"/>
        <v>0</v>
      </c>
      <c r="BJ492" s="3083">
        <f t="shared" si="282"/>
        <v>0</v>
      </c>
      <c r="BK492" s="3083">
        <f t="shared" si="283"/>
        <v>0</v>
      </c>
      <c r="BL492" s="3083">
        <f t="shared" si="284"/>
        <v>0</v>
      </c>
      <c r="BM492" s="3083">
        <f t="shared" si="285"/>
        <v>0</v>
      </c>
      <c r="BN492" s="3083">
        <f t="shared" si="286"/>
        <v>0</v>
      </c>
      <c r="BO492" s="3083">
        <f t="shared" si="287"/>
        <v>0</v>
      </c>
      <c r="BP492" s="3083">
        <f t="shared" si="288"/>
        <v>0</v>
      </c>
      <c r="BQ492" s="3083">
        <f t="shared" si="289"/>
        <v>0</v>
      </c>
      <c r="BR492" s="3083">
        <f t="shared" si="290"/>
        <v>0</v>
      </c>
      <c r="BS492" s="3083">
        <f t="shared" si="291"/>
        <v>0</v>
      </c>
      <c r="BT492" s="3135">
        <f t="shared" si="292"/>
        <v>0</v>
      </c>
    </row>
    <row r="493" spans="1:72">
      <c r="A493" s="3080"/>
      <c r="B493" s="3081"/>
      <c r="C493" s="3081"/>
      <c r="D493" s="3082"/>
      <c r="E493" s="3083">
        <f t="shared" ref="E493:E519" si="293">IF($C$3="是",ROUND($A$3*G493/$B$3,2),ROUND($A$3*(G493-AT493)/$B$3,2))</f>
        <v>0</v>
      </c>
      <c r="F493" s="3084"/>
      <c r="G493" s="3085">
        <f t="shared" si="268"/>
        <v>0</v>
      </c>
      <c r="H493" s="3086">
        <f t="shared" si="269"/>
        <v>0</v>
      </c>
      <c r="I493" s="3093"/>
      <c r="J493" s="3093"/>
      <c r="K493" s="3093"/>
      <c r="L493" s="3093"/>
      <c r="M493" s="3093"/>
      <c r="N493" s="3093"/>
      <c r="O493" s="3093"/>
      <c r="P493" s="3093"/>
      <c r="Q493" s="3093"/>
      <c r="R493" s="3093"/>
      <c r="S493" s="3093"/>
      <c r="T493" s="3093"/>
      <c r="U493" s="3093"/>
      <c r="V493" s="3093"/>
      <c r="W493" s="3093"/>
      <c r="X493" s="3093"/>
      <c r="Y493" s="3093"/>
      <c r="Z493" s="3093"/>
      <c r="AA493" s="3093"/>
      <c r="AB493" s="3093"/>
      <c r="AC493" s="3083">
        <f t="shared" si="270"/>
        <v>0</v>
      </c>
      <c r="AD493" s="3103"/>
      <c r="AE493" s="3103"/>
      <c r="AF493" s="3103"/>
      <c r="AG493" s="3103"/>
      <c r="AH493" s="3103"/>
      <c r="AI493" s="3103"/>
      <c r="AJ493" s="3103"/>
      <c r="AK493" s="3103"/>
      <c r="AL493" s="3103"/>
      <c r="AM493" s="3103"/>
      <c r="AN493" s="3103"/>
      <c r="AO493" s="3103"/>
      <c r="AP493" s="3103"/>
      <c r="AQ493" s="3103"/>
      <c r="AR493" s="3103"/>
      <c r="AS493" s="3103"/>
      <c r="AT493" s="3113"/>
      <c r="AU493" s="3114"/>
      <c r="AV493" s="1580">
        <f t="shared" ref="AV493:AV520" si="294">A493</f>
        <v>0</v>
      </c>
      <c r="AW493" s="1580">
        <f t="shared" ref="AW493:AW520" si="295">B493</f>
        <v>0</v>
      </c>
      <c r="AX493" s="1580">
        <f t="shared" ref="AX493:AX520" si="296">C493</f>
        <v>0</v>
      </c>
      <c r="AY493" s="3128">
        <f t="shared" si="271"/>
        <v>0</v>
      </c>
      <c r="AZ493" s="3083">
        <f t="shared" si="272"/>
        <v>0</v>
      </c>
      <c r="BA493" s="3083">
        <f t="shared" si="273"/>
        <v>0</v>
      </c>
      <c r="BB493" s="3083">
        <f t="shared" si="274"/>
        <v>0</v>
      </c>
      <c r="BC493" s="3083">
        <f t="shared" si="275"/>
        <v>0</v>
      </c>
      <c r="BD493" s="3083">
        <f t="shared" si="276"/>
        <v>0</v>
      </c>
      <c r="BE493" s="3083">
        <f t="shared" si="277"/>
        <v>0</v>
      </c>
      <c r="BF493" s="3083">
        <f t="shared" si="278"/>
        <v>0</v>
      </c>
      <c r="BG493" s="3083">
        <f t="shared" si="279"/>
        <v>0</v>
      </c>
      <c r="BH493" s="3083">
        <f t="shared" si="280"/>
        <v>0</v>
      </c>
      <c r="BI493" s="3083">
        <f t="shared" si="281"/>
        <v>0</v>
      </c>
      <c r="BJ493" s="3083">
        <f t="shared" si="282"/>
        <v>0</v>
      </c>
      <c r="BK493" s="3083">
        <f t="shared" si="283"/>
        <v>0</v>
      </c>
      <c r="BL493" s="3083">
        <f t="shared" si="284"/>
        <v>0</v>
      </c>
      <c r="BM493" s="3083">
        <f t="shared" si="285"/>
        <v>0</v>
      </c>
      <c r="BN493" s="3083">
        <f t="shared" si="286"/>
        <v>0</v>
      </c>
      <c r="BO493" s="3083">
        <f t="shared" si="287"/>
        <v>0</v>
      </c>
      <c r="BP493" s="3083">
        <f t="shared" si="288"/>
        <v>0</v>
      </c>
      <c r="BQ493" s="3083">
        <f t="shared" si="289"/>
        <v>0</v>
      </c>
      <c r="BR493" s="3083">
        <f t="shared" si="290"/>
        <v>0</v>
      </c>
      <c r="BS493" s="3083">
        <f t="shared" si="291"/>
        <v>0</v>
      </c>
      <c r="BT493" s="3135">
        <f t="shared" si="292"/>
        <v>0</v>
      </c>
    </row>
    <row r="494" spans="1:72">
      <c r="A494" s="3080"/>
      <c r="B494" s="3081"/>
      <c r="C494" s="3081"/>
      <c r="D494" s="3082"/>
      <c r="E494" s="3083">
        <f t="shared" si="293"/>
        <v>0</v>
      </c>
      <c r="F494" s="3084"/>
      <c r="G494" s="3085">
        <f t="shared" si="268"/>
        <v>0</v>
      </c>
      <c r="H494" s="3086">
        <f t="shared" si="269"/>
        <v>0</v>
      </c>
      <c r="I494" s="3093"/>
      <c r="J494" s="3093"/>
      <c r="K494" s="3093"/>
      <c r="L494" s="3093"/>
      <c r="M494" s="3093"/>
      <c r="N494" s="3093"/>
      <c r="O494" s="3093"/>
      <c r="P494" s="3093"/>
      <c r="Q494" s="3093"/>
      <c r="R494" s="3093"/>
      <c r="S494" s="3093"/>
      <c r="T494" s="3093"/>
      <c r="U494" s="3093"/>
      <c r="V494" s="3093"/>
      <c r="W494" s="3093"/>
      <c r="X494" s="3093"/>
      <c r="Y494" s="3093"/>
      <c r="Z494" s="3093"/>
      <c r="AA494" s="3093"/>
      <c r="AB494" s="3093"/>
      <c r="AC494" s="3083">
        <f t="shared" si="270"/>
        <v>0</v>
      </c>
      <c r="AD494" s="3103"/>
      <c r="AE494" s="3103"/>
      <c r="AF494" s="3103"/>
      <c r="AG494" s="3103"/>
      <c r="AH494" s="3103"/>
      <c r="AI494" s="3103"/>
      <c r="AJ494" s="3103"/>
      <c r="AK494" s="3103"/>
      <c r="AL494" s="3103"/>
      <c r="AM494" s="3103"/>
      <c r="AN494" s="3103"/>
      <c r="AO494" s="3103"/>
      <c r="AP494" s="3103"/>
      <c r="AQ494" s="3103"/>
      <c r="AR494" s="3103"/>
      <c r="AS494" s="3103"/>
      <c r="AT494" s="3113"/>
      <c r="AU494" s="3114"/>
      <c r="AV494" s="1580">
        <f t="shared" si="294"/>
        <v>0</v>
      </c>
      <c r="AW494" s="1580">
        <f t="shared" si="295"/>
        <v>0</v>
      </c>
      <c r="AX494" s="1580">
        <f t="shared" si="296"/>
        <v>0</v>
      </c>
      <c r="AY494" s="3128">
        <f t="shared" si="271"/>
        <v>0</v>
      </c>
      <c r="AZ494" s="3083">
        <f t="shared" si="272"/>
        <v>0</v>
      </c>
      <c r="BA494" s="3083">
        <f t="shared" si="273"/>
        <v>0</v>
      </c>
      <c r="BB494" s="3083">
        <f t="shared" si="274"/>
        <v>0</v>
      </c>
      <c r="BC494" s="3083">
        <f t="shared" si="275"/>
        <v>0</v>
      </c>
      <c r="BD494" s="3083">
        <f t="shared" si="276"/>
        <v>0</v>
      </c>
      <c r="BE494" s="3083">
        <f t="shared" si="277"/>
        <v>0</v>
      </c>
      <c r="BF494" s="3083">
        <f t="shared" si="278"/>
        <v>0</v>
      </c>
      <c r="BG494" s="3083">
        <f t="shared" si="279"/>
        <v>0</v>
      </c>
      <c r="BH494" s="3083">
        <f t="shared" si="280"/>
        <v>0</v>
      </c>
      <c r="BI494" s="3083">
        <f t="shared" si="281"/>
        <v>0</v>
      </c>
      <c r="BJ494" s="3083">
        <f t="shared" si="282"/>
        <v>0</v>
      </c>
      <c r="BK494" s="3083">
        <f t="shared" si="283"/>
        <v>0</v>
      </c>
      <c r="BL494" s="3083">
        <f t="shared" si="284"/>
        <v>0</v>
      </c>
      <c r="BM494" s="3083">
        <f t="shared" si="285"/>
        <v>0</v>
      </c>
      <c r="BN494" s="3083">
        <f t="shared" si="286"/>
        <v>0</v>
      </c>
      <c r="BO494" s="3083">
        <f t="shared" si="287"/>
        <v>0</v>
      </c>
      <c r="BP494" s="3083">
        <f t="shared" si="288"/>
        <v>0</v>
      </c>
      <c r="BQ494" s="3083">
        <f t="shared" si="289"/>
        <v>0</v>
      </c>
      <c r="BR494" s="3083">
        <f t="shared" si="290"/>
        <v>0</v>
      </c>
      <c r="BS494" s="3083">
        <f t="shared" si="291"/>
        <v>0</v>
      </c>
      <c r="BT494" s="3135">
        <f t="shared" si="292"/>
        <v>0</v>
      </c>
    </row>
    <row r="495" spans="1:72">
      <c r="A495" s="3080"/>
      <c r="B495" s="3081"/>
      <c r="C495" s="3081"/>
      <c r="D495" s="3082"/>
      <c r="E495" s="3083">
        <f t="shared" si="293"/>
        <v>0</v>
      </c>
      <c r="F495" s="3084"/>
      <c r="G495" s="3085">
        <f t="shared" si="268"/>
        <v>0</v>
      </c>
      <c r="H495" s="3086">
        <f t="shared" si="269"/>
        <v>0</v>
      </c>
      <c r="I495" s="3093"/>
      <c r="J495" s="3093"/>
      <c r="K495" s="3093"/>
      <c r="L495" s="3093"/>
      <c r="M495" s="3093"/>
      <c r="N495" s="3093"/>
      <c r="O495" s="3093"/>
      <c r="P495" s="3093"/>
      <c r="Q495" s="3093"/>
      <c r="R495" s="3093"/>
      <c r="S495" s="3093"/>
      <c r="T495" s="3093"/>
      <c r="U495" s="3093"/>
      <c r="V495" s="3093"/>
      <c r="W495" s="3093"/>
      <c r="X495" s="3093"/>
      <c r="Y495" s="3093"/>
      <c r="Z495" s="3093"/>
      <c r="AA495" s="3093"/>
      <c r="AB495" s="3093"/>
      <c r="AC495" s="3083">
        <f t="shared" si="270"/>
        <v>0</v>
      </c>
      <c r="AD495" s="3103"/>
      <c r="AE495" s="3103"/>
      <c r="AF495" s="3103"/>
      <c r="AG495" s="3103"/>
      <c r="AH495" s="3103"/>
      <c r="AI495" s="3103"/>
      <c r="AJ495" s="3103"/>
      <c r="AK495" s="3103"/>
      <c r="AL495" s="3103"/>
      <c r="AM495" s="3103"/>
      <c r="AN495" s="3103"/>
      <c r="AO495" s="3103"/>
      <c r="AP495" s="3103"/>
      <c r="AQ495" s="3103"/>
      <c r="AR495" s="3103"/>
      <c r="AS495" s="3103"/>
      <c r="AT495" s="3113"/>
      <c r="AU495" s="3114"/>
      <c r="AV495" s="1580">
        <f t="shared" si="294"/>
        <v>0</v>
      </c>
      <c r="AW495" s="1580">
        <f t="shared" si="295"/>
        <v>0</v>
      </c>
      <c r="AX495" s="1580">
        <f t="shared" si="296"/>
        <v>0</v>
      </c>
      <c r="AY495" s="3128">
        <f t="shared" si="271"/>
        <v>0</v>
      </c>
      <c r="AZ495" s="3083">
        <f t="shared" si="272"/>
        <v>0</v>
      </c>
      <c r="BA495" s="3083">
        <f t="shared" si="273"/>
        <v>0</v>
      </c>
      <c r="BB495" s="3083">
        <f t="shared" si="274"/>
        <v>0</v>
      </c>
      <c r="BC495" s="3083">
        <f t="shared" si="275"/>
        <v>0</v>
      </c>
      <c r="BD495" s="3083">
        <f t="shared" si="276"/>
        <v>0</v>
      </c>
      <c r="BE495" s="3083">
        <f t="shared" si="277"/>
        <v>0</v>
      </c>
      <c r="BF495" s="3083">
        <f t="shared" si="278"/>
        <v>0</v>
      </c>
      <c r="BG495" s="3083">
        <f t="shared" si="279"/>
        <v>0</v>
      </c>
      <c r="BH495" s="3083">
        <f t="shared" si="280"/>
        <v>0</v>
      </c>
      <c r="BI495" s="3083">
        <f t="shared" si="281"/>
        <v>0</v>
      </c>
      <c r="BJ495" s="3083">
        <f t="shared" si="282"/>
        <v>0</v>
      </c>
      <c r="BK495" s="3083">
        <f t="shared" si="283"/>
        <v>0</v>
      </c>
      <c r="BL495" s="3083">
        <f t="shared" si="284"/>
        <v>0</v>
      </c>
      <c r="BM495" s="3083">
        <f t="shared" si="285"/>
        <v>0</v>
      </c>
      <c r="BN495" s="3083">
        <f t="shared" si="286"/>
        <v>0</v>
      </c>
      <c r="BO495" s="3083">
        <f t="shared" si="287"/>
        <v>0</v>
      </c>
      <c r="BP495" s="3083">
        <f t="shared" si="288"/>
        <v>0</v>
      </c>
      <c r="BQ495" s="3083">
        <f t="shared" si="289"/>
        <v>0</v>
      </c>
      <c r="BR495" s="3083">
        <f t="shared" si="290"/>
        <v>0</v>
      </c>
      <c r="BS495" s="3083">
        <f t="shared" si="291"/>
        <v>0</v>
      </c>
      <c r="BT495" s="3135">
        <f t="shared" si="292"/>
        <v>0</v>
      </c>
    </row>
    <row r="496" spans="1:72">
      <c r="A496" s="3080"/>
      <c r="B496" s="3081"/>
      <c r="C496" s="3081"/>
      <c r="D496" s="3082"/>
      <c r="E496" s="3083">
        <f t="shared" si="293"/>
        <v>0</v>
      </c>
      <c r="F496" s="3084"/>
      <c r="G496" s="3085">
        <f t="shared" si="268"/>
        <v>0</v>
      </c>
      <c r="H496" s="3086">
        <f t="shared" si="269"/>
        <v>0</v>
      </c>
      <c r="I496" s="3093"/>
      <c r="J496" s="3093"/>
      <c r="K496" s="3093"/>
      <c r="L496" s="3093"/>
      <c r="M496" s="3093"/>
      <c r="N496" s="3093"/>
      <c r="O496" s="3093"/>
      <c r="P496" s="3093"/>
      <c r="Q496" s="3093"/>
      <c r="R496" s="3093"/>
      <c r="S496" s="3093"/>
      <c r="T496" s="3093"/>
      <c r="U496" s="3093"/>
      <c r="V496" s="3093"/>
      <c r="W496" s="3093"/>
      <c r="X496" s="3093"/>
      <c r="Y496" s="3093"/>
      <c r="Z496" s="3093"/>
      <c r="AA496" s="3093"/>
      <c r="AB496" s="3093"/>
      <c r="AC496" s="3083">
        <f t="shared" si="270"/>
        <v>0</v>
      </c>
      <c r="AD496" s="3103"/>
      <c r="AE496" s="3103"/>
      <c r="AF496" s="3103"/>
      <c r="AG496" s="3103"/>
      <c r="AH496" s="3103"/>
      <c r="AI496" s="3103"/>
      <c r="AJ496" s="3103"/>
      <c r="AK496" s="3103"/>
      <c r="AL496" s="3103"/>
      <c r="AM496" s="3103"/>
      <c r="AN496" s="3103"/>
      <c r="AO496" s="3103"/>
      <c r="AP496" s="3103"/>
      <c r="AQ496" s="3103"/>
      <c r="AR496" s="3103"/>
      <c r="AS496" s="3103"/>
      <c r="AT496" s="3113"/>
      <c r="AU496" s="3114"/>
      <c r="AV496" s="1580">
        <f t="shared" si="294"/>
        <v>0</v>
      </c>
      <c r="AW496" s="1580">
        <f t="shared" si="295"/>
        <v>0</v>
      </c>
      <c r="AX496" s="1580">
        <f t="shared" si="296"/>
        <v>0</v>
      </c>
      <c r="AY496" s="3128">
        <f t="shared" si="271"/>
        <v>0</v>
      </c>
      <c r="AZ496" s="3083">
        <f t="shared" si="272"/>
        <v>0</v>
      </c>
      <c r="BA496" s="3083">
        <f t="shared" si="273"/>
        <v>0</v>
      </c>
      <c r="BB496" s="3083">
        <f t="shared" si="274"/>
        <v>0</v>
      </c>
      <c r="BC496" s="3083">
        <f t="shared" si="275"/>
        <v>0</v>
      </c>
      <c r="BD496" s="3083">
        <f t="shared" si="276"/>
        <v>0</v>
      </c>
      <c r="BE496" s="3083">
        <f t="shared" si="277"/>
        <v>0</v>
      </c>
      <c r="BF496" s="3083">
        <f t="shared" si="278"/>
        <v>0</v>
      </c>
      <c r="BG496" s="3083">
        <f t="shared" si="279"/>
        <v>0</v>
      </c>
      <c r="BH496" s="3083">
        <f t="shared" si="280"/>
        <v>0</v>
      </c>
      <c r="BI496" s="3083">
        <f t="shared" si="281"/>
        <v>0</v>
      </c>
      <c r="BJ496" s="3083">
        <f t="shared" si="282"/>
        <v>0</v>
      </c>
      <c r="BK496" s="3083">
        <f t="shared" si="283"/>
        <v>0</v>
      </c>
      <c r="BL496" s="3083">
        <f t="shared" si="284"/>
        <v>0</v>
      </c>
      <c r="BM496" s="3083">
        <f t="shared" si="285"/>
        <v>0</v>
      </c>
      <c r="BN496" s="3083">
        <f t="shared" si="286"/>
        <v>0</v>
      </c>
      <c r="BO496" s="3083">
        <f t="shared" si="287"/>
        <v>0</v>
      </c>
      <c r="BP496" s="3083">
        <f t="shared" si="288"/>
        <v>0</v>
      </c>
      <c r="BQ496" s="3083">
        <f t="shared" si="289"/>
        <v>0</v>
      </c>
      <c r="BR496" s="3083">
        <f t="shared" si="290"/>
        <v>0</v>
      </c>
      <c r="BS496" s="3083">
        <f t="shared" si="291"/>
        <v>0</v>
      </c>
      <c r="BT496" s="3135">
        <f t="shared" si="292"/>
        <v>0</v>
      </c>
    </row>
    <row r="497" spans="1:72">
      <c r="A497" s="3080"/>
      <c r="B497" s="3081"/>
      <c r="C497" s="3081"/>
      <c r="D497" s="3082"/>
      <c r="E497" s="3083">
        <f t="shared" si="293"/>
        <v>0</v>
      </c>
      <c r="F497" s="3084"/>
      <c r="G497" s="3085">
        <f t="shared" si="268"/>
        <v>0</v>
      </c>
      <c r="H497" s="3086">
        <f t="shared" si="269"/>
        <v>0</v>
      </c>
      <c r="I497" s="3093"/>
      <c r="J497" s="3093"/>
      <c r="K497" s="3093"/>
      <c r="L497" s="3093"/>
      <c r="M497" s="3093"/>
      <c r="N497" s="3093"/>
      <c r="O497" s="3093"/>
      <c r="P497" s="3093"/>
      <c r="Q497" s="3093"/>
      <c r="R497" s="3093"/>
      <c r="S497" s="3093"/>
      <c r="T497" s="3093"/>
      <c r="U497" s="3093"/>
      <c r="V497" s="3093"/>
      <c r="W497" s="3093"/>
      <c r="X497" s="3093"/>
      <c r="Y497" s="3093"/>
      <c r="Z497" s="3093"/>
      <c r="AA497" s="3093"/>
      <c r="AB497" s="3093"/>
      <c r="AC497" s="3083">
        <f t="shared" si="270"/>
        <v>0</v>
      </c>
      <c r="AD497" s="3103"/>
      <c r="AE497" s="3103"/>
      <c r="AF497" s="3103"/>
      <c r="AG497" s="3103"/>
      <c r="AH497" s="3103"/>
      <c r="AI497" s="3103"/>
      <c r="AJ497" s="3103"/>
      <c r="AK497" s="3103"/>
      <c r="AL497" s="3103"/>
      <c r="AM497" s="3103"/>
      <c r="AN497" s="3103"/>
      <c r="AO497" s="3103"/>
      <c r="AP497" s="3103"/>
      <c r="AQ497" s="3103"/>
      <c r="AR497" s="3103"/>
      <c r="AS497" s="3103"/>
      <c r="AT497" s="3113"/>
      <c r="AU497" s="3114"/>
      <c r="AV497" s="1580">
        <f t="shared" si="294"/>
        <v>0</v>
      </c>
      <c r="AW497" s="1580">
        <f t="shared" si="295"/>
        <v>0</v>
      </c>
      <c r="AX497" s="1580">
        <f t="shared" si="296"/>
        <v>0</v>
      </c>
      <c r="AY497" s="3128">
        <f t="shared" si="271"/>
        <v>0</v>
      </c>
      <c r="AZ497" s="3083">
        <f t="shared" si="272"/>
        <v>0</v>
      </c>
      <c r="BA497" s="3083">
        <f t="shared" si="273"/>
        <v>0</v>
      </c>
      <c r="BB497" s="3083">
        <f t="shared" si="274"/>
        <v>0</v>
      </c>
      <c r="BC497" s="3083">
        <f t="shared" si="275"/>
        <v>0</v>
      </c>
      <c r="BD497" s="3083">
        <f t="shared" si="276"/>
        <v>0</v>
      </c>
      <c r="BE497" s="3083">
        <f t="shared" si="277"/>
        <v>0</v>
      </c>
      <c r="BF497" s="3083">
        <f t="shared" si="278"/>
        <v>0</v>
      </c>
      <c r="BG497" s="3083">
        <f t="shared" si="279"/>
        <v>0</v>
      </c>
      <c r="BH497" s="3083">
        <f t="shared" si="280"/>
        <v>0</v>
      </c>
      <c r="BI497" s="3083">
        <f t="shared" si="281"/>
        <v>0</v>
      </c>
      <c r="BJ497" s="3083">
        <f t="shared" si="282"/>
        <v>0</v>
      </c>
      <c r="BK497" s="3083">
        <f t="shared" si="283"/>
        <v>0</v>
      </c>
      <c r="BL497" s="3083">
        <f t="shared" si="284"/>
        <v>0</v>
      </c>
      <c r="BM497" s="3083">
        <f t="shared" si="285"/>
        <v>0</v>
      </c>
      <c r="BN497" s="3083">
        <f t="shared" si="286"/>
        <v>0</v>
      </c>
      <c r="BO497" s="3083">
        <f t="shared" si="287"/>
        <v>0</v>
      </c>
      <c r="BP497" s="3083">
        <f t="shared" si="288"/>
        <v>0</v>
      </c>
      <c r="BQ497" s="3083">
        <f t="shared" si="289"/>
        <v>0</v>
      </c>
      <c r="BR497" s="3083">
        <f t="shared" si="290"/>
        <v>0</v>
      </c>
      <c r="BS497" s="3083">
        <f t="shared" si="291"/>
        <v>0</v>
      </c>
      <c r="BT497" s="3135">
        <f t="shared" si="292"/>
        <v>0</v>
      </c>
    </row>
    <row r="498" spans="1:72">
      <c r="A498" s="3080"/>
      <c r="B498" s="3081"/>
      <c r="C498" s="3081"/>
      <c r="D498" s="3082"/>
      <c r="E498" s="3083">
        <f t="shared" si="293"/>
        <v>0</v>
      </c>
      <c r="F498" s="3084"/>
      <c r="G498" s="3085">
        <f t="shared" si="268"/>
        <v>0</v>
      </c>
      <c r="H498" s="3086">
        <f t="shared" si="269"/>
        <v>0</v>
      </c>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3083">
        <f t="shared" si="270"/>
        <v>0</v>
      </c>
      <c r="AD498" s="3103"/>
      <c r="AE498" s="3103"/>
      <c r="AF498" s="3103"/>
      <c r="AG498" s="3103"/>
      <c r="AH498" s="3103"/>
      <c r="AI498" s="3103"/>
      <c r="AJ498" s="3103"/>
      <c r="AK498" s="3103"/>
      <c r="AL498" s="3103"/>
      <c r="AM498" s="3103"/>
      <c r="AN498" s="3103"/>
      <c r="AO498" s="3103"/>
      <c r="AP498" s="3103"/>
      <c r="AQ498" s="3103"/>
      <c r="AR498" s="3103"/>
      <c r="AS498" s="3103"/>
      <c r="AT498" s="3113"/>
      <c r="AU498" s="3114"/>
      <c r="AV498" s="1580">
        <f t="shared" si="294"/>
        <v>0</v>
      </c>
      <c r="AW498" s="1580">
        <f t="shared" si="295"/>
        <v>0</v>
      </c>
      <c r="AX498" s="1580">
        <f t="shared" si="296"/>
        <v>0</v>
      </c>
      <c r="AY498" s="3128">
        <f t="shared" si="271"/>
        <v>0</v>
      </c>
      <c r="AZ498" s="3083">
        <f t="shared" si="272"/>
        <v>0</v>
      </c>
      <c r="BA498" s="3083">
        <f t="shared" si="273"/>
        <v>0</v>
      </c>
      <c r="BB498" s="3083">
        <f t="shared" si="274"/>
        <v>0</v>
      </c>
      <c r="BC498" s="3083">
        <f t="shared" si="275"/>
        <v>0</v>
      </c>
      <c r="BD498" s="3083">
        <f t="shared" si="276"/>
        <v>0</v>
      </c>
      <c r="BE498" s="3083">
        <f t="shared" si="277"/>
        <v>0</v>
      </c>
      <c r="BF498" s="3083">
        <f t="shared" si="278"/>
        <v>0</v>
      </c>
      <c r="BG498" s="3083">
        <f t="shared" si="279"/>
        <v>0</v>
      </c>
      <c r="BH498" s="3083">
        <f t="shared" si="280"/>
        <v>0</v>
      </c>
      <c r="BI498" s="3083">
        <f t="shared" si="281"/>
        <v>0</v>
      </c>
      <c r="BJ498" s="3083">
        <f t="shared" si="282"/>
        <v>0</v>
      </c>
      <c r="BK498" s="3083">
        <f t="shared" si="283"/>
        <v>0</v>
      </c>
      <c r="BL498" s="3083">
        <f t="shared" si="284"/>
        <v>0</v>
      </c>
      <c r="BM498" s="3083">
        <f t="shared" si="285"/>
        <v>0</v>
      </c>
      <c r="BN498" s="3083">
        <f t="shared" si="286"/>
        <v>0</v>
      </c>
      <c r="BO498" s="3083">
        <f t="shared" si="287"/>
        <v>0</v>
      </c>
      <c r="BP498" s="3083">
        <f t="shared" si="288"/>
        <v>0</v>
      </c>
      <c r="BQ498" s="3083">
        <f t="shared" si="289"/>
        <v>0</v>
      </c>
      <c r="BR498" s="3083">
        <f t="shared" si="290"/>
        <v>0</v>
      </c>
      <c r="BS498" s="3083">
        <f t="shared" si="291"/>
        <v>0</v>
      </c>
      <c r="BT498" s="3135">
        <f t="shared" si="292"/>
        <v>0</v>
      </c>
    </row>
    <row r="499" spans="1:72">
      <c r="A499" s="3080"/>
      <c r="B499" s="3081"/>
      <c r="C499" s="3081"/>
      <c r="D499" s="3082"/>
      <c r="E499" s="3083">
        <f t="shared" si="293"/>
        <v>0</v>
      </c>
      <c r="F499" s="3084"/>
      <c r="G499" s="3085">
        <f t="shared" si="268"/>
        <v>0</v>
      </c>
      <c r="H499" s="3086">
        <f t="shared" si="269"/>
        <v>0</v>
      </c>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3083">
        <f t="shared" si="270"/>
        <v>0</v>
      </c>
      <c r="AD499" s="3103"/>
      <c r="AE499" s="3103"/>
      <c r="AF499" s="3103"/>
      <c r="AG499" s="3103"/>
      <c r="AH499" s="3103"/>
      <c r="AI499" s="3103"/>
      <c r="AJ499" s="3103"/>
      <c r="AK499" s="3103"/>
      <c r="AL499" s="3103"/>
      <c r="AM499" s="3103"/>
      <c r="AN499" s="3103"/>
      <c r="AO499" s="3103"/>
      <c r="AP499" s="3103"/>
      <c r="AQ499" s="3103"/>
      <c r="AR499" s="3103"/>
      <c r="AS499" s="3103"/>
      <c r="AT499" s="3113"/>
      <c r="AU499" s="3114"/>
      <c r="AV499" s="1580">
        <f t="shared" si="294"/>
        <v>0</v>
      </c>
      <c r="AW499" s="1580">
        <f t="shared" si="295"/>
        <v>0</v>
      </c>
      <c r="AX499" s="1580">
        <f t="shared" si="296"/>
        <v>0</v>
      </c>
      <c r="AY499" s="3128">
        <f t="shared" si="271"/>
        <v>0</v>
      </c>
      <c r="AZ499" s="3083">
        <f t="shared" si="272"/>
        <v>0</v>
      </c>
      <c r="BA499" s="3083">
        <f t="shared" si="273"/>
        <v>0</v>
      </c>
      <c r="BB499" s="3083">
        <f t="shared" si="274"/>
        <v>0</v>
      </c>
      <c r="BC499" s="3083">
        <f t="shared" si="275"/>
        <v>0</v>
      </c>
      <c r="BD499" s="3083">
        <f t="shared" si="276"/>
        <v>0</v>
      </c>
      <c r="BE499" s="3083">
        <f t="shared" si="277"/>
        <v>0</v>
      </c>
      <c r="BF499" s="3083">
        <f t="shared" si="278"/>
        <v>0</v>
      </c>
      <c r="BG499" s="3083">
        <f t="shared" si="279"/>
        <v>0</v>
      </c>
      <c r="BH499" s="3083">
        <f t="shared" si="280"/>
        <v>0</v>
      </c>
      <c r="BI499" s="3083">
        <f t="shared" si="281"/>
        <v>0</v>
      </c>
      <c r="BJ499" s="3083">
        <f t="shared" si="282"/>
        <v>0</v>
      </c>
      <c r="BK499" s="3083">
        <f t="shared" si="283"/>
        <v>0</v>
      </c>
      <c r="BL499" s="3083">
        <f t="shared" si="284"/>
        <v>0</v>
      </c>
      <c r="BM499" s="3083">
        <f t="shared" si="285"/>
        <v>0</v>
      </c>
      <c r="BN499" s="3083">
        <f t="shared" si="286"/>
        <v>0</v>
      </c>
      <c r="BO499" s="3083">
        <f t="shared" si="287"/>
        <v>0</v>
      </c>
      <c r="BP499" s="3083">
        <f t="shared" si="288"/>
        <v>0</v>
      </c>
      <c r="BQ499" s="3083">
        <f t="shared" si="289"/>
        <v>0</v>
      </c>
      <c r="BR499" s="3083">
        <f t="shared" si="290"/>
        <v>0</v>
      </c>
      <c r="BS499" s="3083">
        <f t="shared" si="291"/>
        <v>0</v>
      </c>
      <c r="BT499" s="3135">
        <f t="shared" si="292"/>
        <v>0</v>
      </c>
    </row>
    <row r="500" spans="1:72">
      <c r="A500" s="3080"/>
      <c r="B500" s="3081"/>
      <c r="C500" s="3081"/>
      <c r="D500" s="3082"/>
      <c r="E500" s="3083">
        <f t="shared" si="293"/>
        <v>0</v>
      </c>
      <c r="F500" s="3084"/>
      <c r="G500" s="3085">
        <f t="shared" si="268"/>
        <v>0</v>
      </c>
      <c r="H500" s="3086">
        <f t="shared" si="269"/>
        <v>0</v>
      </c>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3083">
        <f t="shared" si="270"/>
        <v>0</v>
      </c>
      <c r="AD500" s="3103"/>
      <c r="AE500" s="3103"/>
      <c r="AF500" s="3103"/>
      <c r="AG500" s="3103"/>
      <c r="AH500" s="3103"/>
      <c r="AI500" s="3103"/>
      <c r="AJ500" s="3103"/>
      <c r="AK500" s="3103"/>
      <c r="AL500" s="3103"/>
      <c r="AM500" s="3103"/>
      <c r="AN500" s="3103"/>
      <c r="AO500" s="3103"/>
      <c r="AP500" s="3103"/>
      <c r="AQ500" s="3103"/>
      <c r="AR500" s="3103"/>
      <c r="AS500" s="3103"/>
      <c r="AT500" s="3113"/>
      <c r="AU500" s="3114"/>
      <c r="AV500" s="1580">
        <f t="shared" si="294"/>
        <v>0</v>
      </c>
      <c r="AW500" s="1580">
        <f t="shared" si="295"/>
        <v>0</v>
      </c>
      <c r="AX500" s="1580">
        <f t="shared" si="296"/>
        <v>0</v>
      </c>
      <c r="AY500" s="3128">
        <f t="shared" si="271"/>
        <v>0</v>
      </c>
      <c r="AZ500" s="3083">
        <f t="shared" si="272"/>
        <v>0</v>
      </c>
      <c r="BA500" s="3083">
        <f t="shared" si="273"/>
        <v>0</v>
      </c>
      <c r="BB500" s="3083">
        <f t="shared" si="274"/>
        <v>0</v>
      </c>
      <c r="BC500" s="3083">
        <f t="shared" si="275"/>
        <v>0</v>
      </c>
      <c r="BD500" s="3083">
        <f t="shared" si="276"/>
        <v>0</v>
      </c>
      <c r="BE500" s="3083">
        <f t="shared" si="277"/>
        <v>0</v>
      </c>
      <c r="BF500" s="3083">
        <f t="shared" si="278"/>
        <v>0</v>
      </c>
      <c r="BG500" s="3083">
        <f t="shared" si="279"/>
        <v>0</v>
      </c>
      <c r="BH500" s="3083">
        <f t="shared" si="280"/>
        <v>0</v>
      </c>
      <c r="BI500" s="3083">
        <f t="shared" si="281"/>
        <v>0</v>
      </c>
      <c r="BJ500" s="3083">
        <f t="shared" si="282"/>
        <v>0</v>
      </c>
      <c r="BK500" s="3083">
        <f t="shared" si="283"/>
        <v>0</v>
      </c>
      <c r="BL500" s="3083">
        <f t="shared" si="284"/>
        <v>0</v>
      </c>
      <c r="BM500" s="3083">
        <f t="shared" si="285"/>
        <v>0</v>
      </c>
      <c r="BN500" s="3083">
        <f t="shared" si="286"/>
        <v>0</v>
      </c>
      <c r="BO500" s="3083">
        <f t="shared" si="287"/>
        <v>0</v>
      </c>
      <c r="BP500" s="3083">
        <f t="shared" si="288"/>
        <v>0</v>
      </c>
      <c r="BQ500" s="3083">
        <f t="shared" si="289"/>
        <v>0</v>
      </c>
      <c r="BR500" s="3083">
        <f t="shared" si="290"/>
        <v>0</v>
      </c>
      <c r="BS500" s="3083">
        <f t="shared" si="291"/>
        <v>0</v>
      </c>
      <c r="BT500" s="3135">
        <f t="shared" si="292"/>
        <v>0</v>
      </c>
    </row>
    <row r="501" spans="1:72">
      <c r="A501" s="3080"/>
      <c r="B501" s="3081"/>
      <c r="C501" s="3081"/>
      <c r="D501" s="3082"/>
      <c r="E501" s="3083">
        <f t="shared" si="293"/>
        <v>0</v>
      </c>
      <c r="F501" s="3084"/>
      <c r="G501" s="3085">
        <f t="shared" si="268"/>
        <v>0</v>
      </c>
      <c r="H501" s="3086">
        <f t="shared" si="269"/>
        <v>0</v>
      </c>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3083">
        <f t="shared" si="270"/>
        <v>0</v>
      </c>
      <c r="AD501" s="3103"/>
      <c r="AE501" s="3103"/>
      <c r="AF501" s="3103"/>
      <c r="AG501" s="3103"/>
      <c r="AH501" s="3103"/>
      <c r="AI501" s="3103"/>
      <c r="AJ501" s="3103"/>
      <c r="AK501" s="3103"/>
      <c r="AL501" s="3103"/>
      <c r="AM501" s="3103"/>
      <c r="AN501" s="3103"/>
      <c r="AO501" s="3103"/>
      <c r="AP501" s="3103"/>
      <c r="AQ501" s="3103"/>
      <c r="AR501" s="3103"/>
      <c r="AS501" s="3103"/>
      <c r="AT501" s="3113"/>
      <c r="AU501" s="3114"/>
      <c r="AV501" s="1580">
        <f t="shared" si="294"/>
        <v>0</v>
      </c>
      <c r="AW501" s="1580">
        <f t="shared" si="295"/>
        <v>0</v>
      </c>
      <c r="AX501" s="1580">
        <f t="shared" si="296"/>
        <v>0</v>
      </c>
      <c r="AY501" s="3128">
        <f t="shared" si="271"/>
        <v>0</v>
      </c>
      <c r="AZ501" s="3083">
        <f t="shared" si="272"/>
        <v>0</v>
      </c>
      <c r="BA501" s="3083">
        <f t="shared" si="273"/>
        <v>0</v>
      </c>
      <c r="BB501" s="3083">
        <f t="shared" si="274"/>
        <v>0</v>
      </c>
      <c r="BC501" s="3083">
        <f t="shared" si="275"/>
        <v>0</v>
      </c>
      <c r="BD501" s="3083">
        <f t="shared" si="276"/>
        <v>0</v>
      </c>
      <c r="BE501" s="3083">
        <f t="shared" si="277"/>
        <v>0</v>
      </c>
      <c r="BF501" s="3083">
        <f t="shared" si="278"/>
        <v>0</v>
      </c>
      <c r="BG501" s="3083">
        <f t="shared" si="279"/>
        <v>0</v>
      </c>
      <c r="BH501" s="3083">
        <f t="shared" si="280"/>
        <v>0</v>
      </c>
      <c r="BI501" s="3083">
        <f t="shared" si="281"/>
        <v>0</v>
      </c>
      <c r="BJ501" s="3083">
        <f t="shared" si="282"/>
        <v>0</v>
      </c>
      <c r="BK501" s="3083">
        <f t="shared" si="283"/>
        <v>0</v>
      </c>
      <c r="BL501" s="3083">
        <f t="shared" si="284"/>
        <v>0</v>
      </c>
      <c r="BM501" s="3083">
        <f t="shared" si="285"/>
        <v>0</v>
      </c>
      <c r="BN501" s="3083">
        <f t="shared" si="286"/>
        <v>0</v>
      </c>
      <c r="BO501" s="3083">
        <f t="shared" si="287"/>
        <v>0</v>
      </c>
      <c r="BP501" s="3083">
        <f t="shared" si="288"/>
        <v>0</v>
      </c>
      <c r="BQ501" s="3083">
        <f t="shared" si="289"/>
        <v>0</v>
      </c>
      <c r="BR501" s="3083">
        <f t="shared" si="290"/>
        <v>0</v>
      </c>
      <c r="BS501" s="3083">
        <f t="shared" si="291"/>
        <v>0</v>
      </c>
      <c r="BT501" s="3135">
        <f t="shared" si="292"/>
        <v>0</v>
      </c>
    </row>
    <row r="502" spans="1:72">
      <c r="A502" s="3080"/>
      <c r="B502" s="3081"/>
      <c r="C502" s="3081"/>
      <c r="D502" s="3082"/>
      <c r="E502" s="3083">
        <f t="shared" si="293"/>
        <v>0</v>
      </c>
      <c r="F502" s="3084"/>
      <c r="G502" s="3085">
        <f t="shared" si="268"/>
        <v>0</v>
      </c>
      <c r="H502" s="3086">
        <f t="shared" si="269"/>
        <v>0</v>
      </c>
      <c r="I502" s="3093"/>
      <c r="J502" s="3093"/>
      <c r="K502" s="3093"/>
      <c r="L502" s="3093"/>
      <c r="M502" s="3093"/>
      <c r="N502" s="3093"/>
      <c r="O502" s="3093"/>
      <c r="P502" s="3093"/>
      <c r="Q502" s="3093"/>
      <c r="R502" s="3093"/>
      <c r="S502" s="3093"/>
      <c r="T502" s="3093"/>
      <c r="U502" s="3093"/>
      <c r="V502" s="3093"/>
      <c r="W502" s="3093"/>
      <c r="X502" s="3093"/>
      <c r="Y502" s="3093"/>
      <c r="Z502" s="3093"/>
      <c r="AA502" s="3093"/>
      <c r="AB502" s="3093"/>
      <c r="AC502" s="3083">
        <f t="shared" si="270"/>
        <v>0</v>
      </c>
      <c r="AD502" s="3103"/>
      <c r="AE502" s="3103"/>
      <c r="AF502" s="3103"/>
      <c r="AG502" s="3103"/>
      <c r="AH502" s="3103"/>
      <c r="AI502" s="3103"/>
      <c r="AJ502" s="3103"/>
      <c r="AK502" s="3103"/>
      <c r="AL502" s="3103"/>
      <c r="AM502" s="3103"/>
      <c r="AN502" s="3103"/>
      <c r="AO502" s="3103"/>
      <c r="AP502" s="3103"/>
      <c r="AQ502" s="3103"/>
      <c r="AR502" s="3103"/>
      <c r="AS502" s="3103"/>
      <c r="AT502" s="3113"/>
      <c r="AU502" s="3114"/>
      <c r="AV502" s="1580">
        <f t="shared" si="294"/>
        <v>0</v>
      </c>
      <c r="AW502" s="1580">
        <f t="shared" si="295"/>
        <v>0</v>
      </c>
      <c r="AX502" s="1580">
        <f t="shared" si="296"/>
        <v>0</v>
      </c>
      <c r="AY502" s="3128">
        <f t="shared" si="271"/>
        <v>0</v>
      </c>
      <c r="AZ502" s="3083">
        <f t="shared" si="272"/>
        <v>0</v>
      </c>
      <c r="BA502" s="3083">
        <f t="shared" si="273"/>
        <v>0</v>
      </c>
      <c r="BB502" s="3083">
        <f t="shared" si="274"/>
        <v>0</v>
      </c>
      <c r="BC502" s="3083">
        <f t="shared" si="275"/>
        <v>0</v>
      </c>
      <c r="BD502" s="3083">
        <f t="shared" si="276"/>
        <v>0</v>
      </c>
      <c r="BE502" s="3083">
        <f t="shared" si="277"/>
        <v>0</v>
      </c>
      <c r="BF502" s="3083">
        <f t="shared" si="278"/>
        <v>0</v>
      </c>
      <c r="BG502" s="3083">
        <f t="shared" si="279"/>
        <v>0</v>
      </c>
      <c r="BH502" s="3083">
        <f t="shared" si="280"/>
        <v>0</v>
      </c>
      <c r="BI502" s="3083">
        <f t="shared" si="281"/>
        <v>0</v>
      </c>
      <c r="BJ502" s="3083">
        <f t="shared" si="282"/>
        <v>0</v>
      </c>
      <c r="BK502" s="3083">
        <f t="shared" si="283"/>
        <v>0</v>
      </c>
      <c r="BL502" s="3083">
        <f t="shared" si="284"/>
        <v>0</v>
      </c>
      <c r="BM502" s="3083">
        <f t="shared" si="285"/>
        <v>0</v>
      </c>
      <c r="BN502" s="3083">
        <f t="shared" si="286"/>
        <v>0</v>
      </c>
      <c r="BO502" s="3083">
        <f t="shared" si="287"/>
        <v>0</v>
      </c>
      <c r="BP502" s="3083">
        <f t="shared" si="288"/>
        <v>0</v>
      </c>
      <c r="BQ502" s="3083">
        <f t="shared" si="289"/>
        <v>0</v>
      </c>
      <c r="BR502" s="3083">
        <f t="shared" si="290"/>
        <v>0</v>
      </c>
      <c r="BS502" s="3083">
        <f t="shared" si="291"/>
        <v>0</v>
      </c>
      <c r="BT502" s="3135">
        <f t="shared" si="292"/>
        <v>0</v>
      </c>
    </row>
    <row r="503" spans="1:72">
      <c r="A503" s="3080"/>
      <c r="B503" s="3081"/>
      <c r="C503" s="3081"/>
      <c r="D503" s="3082"/>
      <c r="E503" s="3083">
        <f t="shared" si="293"/>
        <v>0</v>
      </c>
      <c r="F503" s="3084"/>
      <c r="G503" s="3085">
        <f t="shared" si="268"/>
        <v>0</v>
      </c>
      <c r="H503" s="3086">
        <f t="shared" si="269"/>
        <v>0</v>
      </c>
      <c r="I503" s="3093"/>
      <c r="J503" s="3093"/>
      <c r="K503" s="3093"/>
      <c r="L503" s="3093"/>
      <c r="M503" s="3093"/>
      <c r="N503" s="3093"/>
      <c r="O503" s="3093"/>
      <c r="P503" s="3093"/>
      <c r="Q503" s="3093"/>
      <c r="R503" s="3093"/>
      <c r="S503" s="3093"/>
      <c r="T503" s="3093"/>
      <c r="U503" s="3093"/>
      <c r="V503" s="3093"/>
      <c r="W503" s="3093"/>
      <c r="X503" s="3093"/>
      <c r="Y503" s="3093"/>
      <c r="Z503" s="3093"/>
      <c r="AA503" s="3093"/>
      <c r="AB503" s="3093"/>
      <c r="AC503" s="3083">
        <f t="shared" si="270"/>
        <v>0</v>
      </c>
      <c r="AD503" s="3103"/>
      <c r="AE503" s="3103"/>
      <c r="AF503" s="3103"/>
      <c r="AG503" s="3103"/>
      <c r="AH503" s="3103"/>
      <c r="AI503" s="3103"/>
      <c r="AJ503" s="3103"/>
      <c r="AK503" s="3103"/>
      <c r="AL503" s="3103"/>
      <c r="AM503" s="3103"/>
      <c r="AN503" s="3103"/>
      <c r="AO503" s="3103"/>
      <c r="AP503" s="3103"/>
      <c r="AQ503" s="3103"/>
      <c r="AR503" s="3103"/>
      <c r="AS503" s="3103"/>
      <c r="AT503" s="3113"/>
      <c r="AU503" s="3114"/>
      <c r="AV503" s="1580">
        <f t="shared" si="294"/>
        <v>0</v>
      </c>
      <c r="AW503" s="1580">
        <f t="shared" si="295"/>
        <v>0</v>
      </c>
      <c r="AX503" s="1580">
        <f t="shared" si="296"/>
        <v>0</v>
      </c>
      <c r="AY503" s="3128">
        <f t="shared" si="271"/>
        <v>0</v>
      </c>
      <c r="AZ503" s="3083">
        <f t="shared" si="272"/>
        <v>0</v>
      </c>
      <c r="BA503" s="3083">
        <f t="shared" si="273"/>
        <v>0</v>
      </c>
      <c r="BB503" s="3083">
        <f t="shared" si="274"/>
        <v>0</v>
      </c>
      <c r="BC503" s="3083">
        <f t="shared" si="275"/>
        <v>0</v>
      </c>
      <c r="BD503" s="3083">
        <f t="shared" si="276"/>
        <v>0</v>
      </c>
      <c r="BE503" s="3083">
        <f t="shared" si="277"/>
        <v>0</v>
      </c>
      <c r="BF503" s="3083">
        <f t="shared" si="278"/>
        <v>0</v>
      </c>
      <c r="BG503" s="3083">
        <f t="shared" si="279"/>
        <v>0</v>
      </c>
      <c r="BH503" s="3083">
        <f t="shared" si="280"/>
        <v>0</v>
      </c>
      <c r="BI503" s="3083">
        <f t="shared" si="281"/>
        <v>0</v>
      </c>
      <c r="BJ503" s="3083">
        <f t="shared" si="282"/>
        <v>0</v>
      </c>
      <c r="BK503" s="3083">
        <f t="shared" si="283"/>
        <v>0</v>
      </c>
      <c r="BL503" s="3083">
        <f t="shared" si="284"/>
        <v>0</v>
      </c>
      <c r="BM503" s="3083">
        <f t="shared" si="285"/>
        <v>0</v>
      </c>
      <c r="BN503" s="3083">
        <f t="shared" si="286"/>
        <v>0</v>
      </c>
      <c r="BO503" s="3083">
        <f t="shared" si="287"/>
        <v>0</v>
      </c>
      <c r="BP503" s="3083">
        <f t="shared" si="288"/>
        <v>0</v>
      </c>
      <c r="BQ503" s="3083">
        <f t="shared" si="289"/>
        <v>0</v>
      </c>
      <c r="BR503" s="3083">
        <f t="shared" si="290"/>
        <v>0</v>
      </c>
      <c r="BS503" s="3083">
        <f t="shared" si="291"/>
        <v>0</v>
      </c>
      <c r="BT503" s="3135">
        <f t="shared" si="292"/>
        <v>0</v>
      </c>
    </row>
    <row r="504" spans="1:72">
      <c r="A504" s="3080"/>
      <c r="B504" s="3081"/>
      <c r="C504" s="3081"/>
      <c r="D504" s="3082"/>
      <c r="E504" s="3083">
        <f t="shared" si="293"/>
        <v>0</v>
      </c>
      <c r="F504" s="3084"/>
      <c r="G504" s="3085">
        <f t="shared" si="268"/>
        <v>0</v>
      </c>
      <c r="H504" s="3086">
        <f t="shared" si="269"/>
        <v>0</v>
      </c>
      <c r="I504" s="3093"/>
      <c r="J504" s="3093"/>
      <c r="K504" s="3093"/>
      <c r="L504" s="3093"/>
      <c r="M504" s="3093"/>
      <c r="N504" s="3093"/>
      <c r="O504" s="3093"/>
      <c r="P504" s="3093"/>
      <c r="Q504" s="3093"/>
      <c r="R504" s="3093"/>
      <c r="S504" s="3093"/>
      <c r="T504" s="3093"/>
      <c r="U504" s="3093"/>
      <c r="V504" s="3093"/>
      <c r="W504" s="3093"/>
      <c r="X504" s="3093"/>
      <c r="Y504" s="3093"/>
      <c r="Z504" s="3093"/>
      <c r="AA504" s="3093"/>
      <c r="AB504" s="3093"/>
      <c r="AC504" s="3083">
        <f t="shared" si="270"/>
        <v>0</v>
      </c>
      <c r="AD504" s="3103"/>
      <c r="AE504" s="3103"/>
      <c r="AF504" s="3103"/>
      <c r="AG504" s="3103"/>
      <c r="AH504" s="3103"/>
      <c r="AI504" s="3103"/>
      <c r="AJ504" s="3103"/>
      <c r="AK504" s="3103"/>
      <c r="AL504" s="3103"/>
      <c r="AM504" s="3103"/>
      <c r="AN504" s="3103"/>
      <c r="AO504" s="3103"/>
      <c r="AP504" s="3103"/>
      <c r="AQ504" s="3103"/>
      <c r="AR504" s="3103"/>
      <c r="AS504" s="3103"/>
      <c r="AT504" s="3113"/>
      <c r="AU504" s="3114"/>
      <c r="AV504" s="1580">
        <f t="shared" si="294"/>
        <v>0</v>
      </c>
      <c r="AW504" s="1580">
        <f t="shared" si="295"/>
        <v>0</v>
      </c>
      <c r="AX504" s="1580">
        <f t="shared" si="296"/>
        <v>0</v>
      </c>
      <c r="AY504" s="3128">
        <f t="shared" si="271"/>
        <v>0</v>
      </c>
      <c r="AZ504" s="3083">
        <f t="shared" si="272"/>
        <v>0</v>
      </c>
      <c r="BA504" s="3083">
        <f t="shared" si="273"/>
        <v>0</v>
      </c>
      <c r="BB504" s="3083">
        <f t="shared" si="274"/>
        <v>0</v>
      </c>
      <c r="BC504" s="3083">
        <f t="shared" si="275"/>
        <v>0</v>
      </c>
      <c r="BD504" s="3083">
        <f t="shared" si="276"/>
        <v>0</v>
      </c>
      <c r="BE504" s="3083">
        <f t="shared" si="277"/>
        <v>0</v>
      </c>
      <c r="BF504" s="3083">
        <f t="shared" si="278"/>
        <v>0</v>
      </c>
      <c r="BG504" s="3083">
        <f t="shared" si="279"/>
        <v>0</v>
      </c>
      <c r="BH504" s="3083">
        <f t="shared" si="280"/>
        <v>0</v>
      </c>
      <c r="BI504" s="3083">
        <f t="shared" si="281"/>
        <v>0</v>
      </c>
      <c r="BJ504" s="3083">
        <f t="shared" si="282"/>
        <v>0</v>
      </c>
      <c r="BK504" s="3083">
        <f t="shared" si="283"/>
        <v>0</v>
      </c>
      <c r="BL504" s="3083">
        <f t="shared" si="284"/>
        <v>0</v>
      </c>
      <c r="BM504" s="3083">
        <f t="shared" si="285"/>
        <v>0</v>
      </c>
      <c r="BN504" s="3083">
        <f t="shared" si="286"/>
        <v>0</v>
      </c>
      <c r="BO504" s="3083">
        <f t="shared" si="287"/>
        <v>0</v>
      </c>
      <c r="BP504" s="3083">
        <f t="shared" si="288"/>
        <v>0</v>
      </c>
      <c r="BQ504" s="3083">
        <f t="shared" si="289"/>
        <v>0</v>
      </c>
      <c r="BR504" s="3083">
        <f t="shared" si="290"/>
        <v>0</v>
      </c>
      <c r="BS504" s="3083">
        <f t="shared" si="291"/>
        <v>0</v>
      </c>
      <c r="BT504" s="3135">
        <f t="shared" si="292"/>
        <v>0</v>
      </c>
    </row>
    <row r="505" spans="1:72">
      <c r="A505" s="3080"/>
      <c r="B505" s="3081"/>
      <c r="C505" s="3081"/>
      <c r="D505" s="3082"/>
      <c r="E505" s="3083">
        <f t="shared" si="293"/>
        <v>0</v>
      </c>
      <c r="F505" s="3084"/>
      <c r="G505" s="3085">
        <f t="shared" si="268"/>
        <v>0</v>
      </c>
      <c r="H505" s="3086">
        <f t="shared" si="269"/>
        <v>0</v>
      </c>
      <c r="I505" s="3093"/>
      <c r="J505" s="3093"/>
      <c r="K505" s="3093"/>
      <c r="L505" s="3093"/>
      <c r="M505" s="3093"/>
      <c r="N505" s="3093"/>
      <c r="O505" s="3093"/>
      <c r="P505" s="3093"/>
      <c r="Q505" s="3093"/>
      <c r="R505" s="3093"/>
      <c r="S505" s="3093"/>
      <c r="T505" s="3093"/>
      <c r="U505" s="3093"/>
      <c r="V505" s="3093"/>
      <c r="W505" s="3093"/>
      <c r="X505" s="3093"/>
      <c r="Y505" s="3093"/>
      <c r="Z505" s="3093"/>
      <c r="AA505" s="3093"/>
      <c r="AB505" s="3093"/>
      <c r="AC505" s="3083">
        <f t="shared" si="270"/>
        <v>0</v>
      </c>
      <c r="AD505" s="3103"/>
      <c r="AE505" s="3103"/>
      <c r="AF505" s="3103"/>
      <c r="AG505" s="3103"/>
      <c r="AH505" s="3103"/>
      <c r="AI505" s="3103"/>
      <c r="AJ505" s="3103"/>
      <c r="AK505" s="3103"/>
      <c r="AL505" s="3103"/>
      <c r="AM505" s="3103"/>
      <c r="AN505" s="3103"/>
      <c r="AO505" s="3103"/>
      <c r="AP505" s="3103"/>
      <c r="AQ505" s="3103"/>
      <c r="AR505" s="3103"/>
      <c r="AS505" s="3103"/>
      <c r="AT505" s="3113"/>
      <c r="AU505" s="3114"/>
      <c r="AV505" s="1580">
        <f t="shared" si="294"/>
        <v>0</v>
      </c>
      <c r="AW505" s="1580">
        <f t="shared" si="295"/>
        <v>0</v>
      </c>
      <c r="AX505" s="1580">
        <f t="shared" si="296"/>
        <v>0</v>
      </c>
      <c r="AY505" s="3128">
        <f t="shared" si="271"/>
        <v>0</v>
      </c>
      <c r="AZ505" s="3083">
        <f t="shared" si="272"/>
        <v>0</v>
      </c>
      <c r="BA505" s="3083">
        <f t="shared" si="273"/>
        <v>0</v>
      </c>
      <c r="BB505" s="3083">
        <f t="shared" si="274"/>
        <v>0</v>
      </c>
      <c r="BC505" s="3083">
        <f t="shared" si="275"/>
        <v>0</v>
      </c>
      <c r="BD505" s="3083">
        <f t="shared" si="276"/>
        <v>0</v>
      </c>
      <c r="BE505" s="3083">
        <f t="shared" si="277"/>
        <v>0</v>
      </c>
      <c r="BF505" s="3083">
        <f t="shared" si="278"/>
        <v>0</v>
      </c>
      <c r="BG505" s="3083">
        <f t="shared" si="279"/>
        <v>0</v>
      </c>
      <c r="BH505" s="3083">
        <f t="shared" si="280"/>
        <v>0</v>
      </c>
      <c r="BI505" s="3083">
        <f t="shared" si="281"/>
        <v>0</v>
      </c>
      <c r="BJ505" s="3083">
        <f t="shared" si="282"/>
        <v>0</v>
      </c>
      <c r="BK505" s="3083">
        <f t="shared" si="283"/>
        <v>0</v>
      </c>
      <c r="BL505" s="3083">
        <f t="shared" si="284"/>
        <v>0</v>
      </c>
      <c r="BM505" s="3083">
        <f t="shared" si="285"/>
        <v>0</v>
      </c>
      <c r="BN505" s="3083">
        <f t="shared" si="286"/>
        <v>0</v>
      </c>
      <c r="BO505" s="3083">
        <f t="shared" si="287"/>
        <v>0</v>
      </c>
      <c r="BP505" s="3083">
        <f t="shared" si="288"/>
        <v>0</v>
      </c>
      <c r="BQ505" s="3083">
        <f t="shared" si="289"/>
        <v>0</v>
      </c>
      <c r="BR505" s="3083">
        <f t="shared" si="290"/>
        <v>0</v>
      </c>
      <c r="BS505" s="3083">
        <f t="shared" si="291"/>
        <v>0</v>
      </c>
      <c r="BT505" s="3135">
        <f t="shared" si="292"/>
        <v>0</v>
      </c>
    </row>
    <row r="506" spans="1:72">
      <c r="A506" s="3080"/>
      <c r="B506" s="3081"/>
      <c r="C506" s="3081"/>
      <c r="D506" s="3082"/>
      <c r="E506" s="3083">
        <f t="shared" si="293"/>
        <v>0</v>
      </c>
      <c r="F506" s="3084"/>
      <c r="G506" s="3085">
        <f t="shared" si="268"/>
        <v>0</v>
      </c>
      <c r="H506" s="3086">
        <f t="shared" si="269"/>
        <v>0</v>
      </c>
      <c r="I506" s="3093"/>
      <c r="J506" s="3093"/>
      <c r="K506" s="3093"/>
      <c r="L506" s="3093"/>
      <c r="M506" s="3093"/>
      <c r="N506" s="3093"/>
      <c r="O506" s="3093"/>
      <c r="P506" s="3093"/>
      <c r="Q506" s="3093"/>
      <c r="R506" s="3093"/>
      <c r="S506" s="3093"/>
      <c r="T506" s="3093"/>
      <c r="U506" s="3093"/>
      <c r="V506" s="3093"/>
      <c r="W506" s="3093"/>
      <c r="X506" s="3093"/>
      <c r="Y506" s="3093"/>
      <c r="Z506" s="3093"/>
      <c r="AA506" s="3093"/>
      <c r="AB506" s="3093"/>
      <c r="AC506" s="3083">
        <f t="shared" si="270"/>
        <v>0</v>
      </c>
      <c r="AD506" s="3103"/>
      <c r="AE506" s="3103"/>
      <c r="AF506" s="3103"/>
      <c r="AG506" s="3103"/>
      <c r="AH506" s="3103"/>
      <c r="AI506" s="3103"/>
      <c r="AJ506" s="3103"/>
      <c r="AK506" s="3103"/>
      <c r="AL506" s="3103"/>
      <c r="AM506" s="3103"/>
      <c r="AN506" s="3103"/>
      <c r="AO506" s="3103"/>
      <c r="AP506" s="3103"/>
      <c r="AQ506" s="3103"/>
      <c r="AR506" s="3103"/>
      <c r="AS506" s="3103"/>
      <c r="AT506" s="3113"/>
      <c r="AU506" s="3114"/>
      <c r="AV506" s="1580">
        <f t="shared" si="294"/>
        <v>0</v>
      </c>
      <c r="AW506" s="1580">
        <f t="shared" si="295"/>
        <v>0</v>
      </c>
      <c r="AX506" s="1580">
        <f t="shared" si="296"/>
        <v>0</v>
      </c>
      <c r="AY506" s="3128">
        <f t="shared" si="271"/>
        <v>0</v>
      </c>
      <c r="AZ506" s="3083">
        <f t="shared" si="272"/>
        <v>0</v>
      </c>
      <c r="BA506" s="3083">
        <f t="shared" si="273"/>
        <v>0</v>
      </c>
      <c r="BB506" s="3083">
        <f t="shared" si="274"/>
        <v>0</v>
      </c>
      <c r="BC506" s="3083">
        <f t="shared" si="275"/>
        <v>0</v>
      </c>
      <c r="BD506" s="3083">
        <f t="shared" si="276"/>
        <v>0</v>
      </c>
      <c r="BE506" s="3083">
        <f t="shared" si="277"/>
        <v>0</v>
      </c>
      <c r="BF506" s="3083">
        <f t="shared" si="278"/>
        <v>0</v>
      </c>
      <c r="BG506" s="3083">
        <f t="shared" si="279"/>
        <v>0</v>
      </c>
      <c r="BH506" s="3083">
        <f t="shared" si="280"/>
        <v>0</v>
      </c>
      <c r="BI506" s="3083">
        <f t="shared" si="281"/>
        <v>0</v>
      </c>
      <c r="BJ506" s="3083">
        <f t="shared" si="282"/>
        <v>0</v>
      </c>
      <c r="BK506" s="3083">
        <f t="shared" si="283"/>
        <v>0</v>
      </c>
      <c r="BL506" s="3083">
        <f t="shared" si="284"/>
        <v>0</v>
      </c>
      <c r="BM506" s="3083">
        <f t="shared" si="285"/>
        <v>0</v>
      </c>
      <c r="BN506" s="3083">
        <f t="shared" si="286"/>
        <v>0</v>
      </c>
      <c r="BO506" s="3083">
        <f t="shared" si="287"/>
        <v>0</v>
      </c>
      <c r="BP506" s="3083">
        <f t="shared" si="288"/>
        <v>0</v>
      </c>
      <c r="BQ506" s="3083">
        <f t="shared" si="289"/>
        <v>0</v>
      </c>
      <c r="BR506" s="3083">
        <f t="shared" si="290"/>
        <v>0</v>
      </c>
      <c r="BS506" s="3083">
        <f t="shared" si="291"/>
        <v>0</v>
      </c>
      <c r="BT506" s="3135">
        <f t="shared" si="292"/>
        <v>0</v>
      </c>
    </row>
    <row r="507" spans="1:72">
      <c r="A507" s="3080"/>
      <c r="B507" s="3081"/>
      <c r="C507" s="3081"/>
      <c r="D507" s="3082"/>
      <c r="E507" s="3083">
        <f t="shared" si="293"/>
        <v>0</v>
      </c>
      <c r="F507" s="3084"/>
      <c r="G507" s="3085">
        <f t="shared" si="268"/>
        <v>0</v>
      </c>
      <c r="H507" s="3086">
        <f t="shared" si="269"/>
        <v>0</v>
      </c>
      <c r="I507" s="3093"/>
      <c r="J507" s="3093"/>
      <c r="K507" s="3093"/>
      <c r="L507" s="3093"/>
      <c r="M507" s="3093"/>
      <c r="N507" s="3093"/>
      <c r="O507" s="3093"/>
      <c r="P507" s="3093"/>
      <c r="Q507" s="3093"/>
      <c r="R507" s="3093"/>
      <c r="S507" s="3093"/>
      <c r="T507" s="3093"/>
      <c r="U507" s="3093"/>
      <c r="V507" s="3093"/>
      <c r="W507" s="3093"/>
      <c r="X507" s="3093"/>
      <c r="Y507" s="3093"/>
      <c r="Z507" s="3093"/>
      <c r="AA507" s="3093"/>
      <c r="AB507" s="3093"/>
      <c r="AC507" s="3083">
        <f t="shared" si="270"/>
        <v>0</v>
      </c>
      <c r="AD507" s="3103"/>
      <c r="AE507" s="3103"/>
      <c r="AF507" s="3103"/>
      <c r="AG507" s="3103"/>
      <c r="AH507" s="3103"/>
      <c r="AI507" s="3103"/>
      <c r="AJ507" s="3103"/>
      <c r="AK507" s="3103"/>
      <c r="AL507" s="3103"/>
      <c r="AM507" s="3103"/>
      <c r="AN507" s="3103"/>
      <c r="AO507" s="3103"/>
      <c r="AP507" s="3103"/>
      <c r="AQ507" s="3103"/>
      <c r="AR507" s="3103"/>
      <c r="AS507" s="3103"/>
      <c r="AT507" s="3113"/>
      <c r="AU507" s="3114"/>
      <c r="AV507" s="1580">
        <f t="shared" si="294"/>
        <v>0</v>
      </c>
      <c r="AW507" s="1580">
        <f t="shared" si="295"/>
        <v>0</v>
      </c>
      <c r="AX507" s="1580">
        <f t="shared" si="296"/>
        <v>0</v>
      </c>
      <c r="AY507" s="3128">
        <f t="shared" si="271"/>
        <v>0</v>
      </c>
      <c r="AZ507" s="3083">
        <f t="shared" si="272"/>
        <v>0</v>
      </c>
      <c r="BA507" s="3083">
        <f t="shared" si="273"/>
        <v>0</v>
      </c>
      <c r="BB507" s="3083">
        <f t="shared" si="274"/>
        <v>0</v>
      </c>
      <c r="BC507" s="3083">
        <f t="shared" si="275"/>
        <v>0</v>
      </c>
      <c r="BD507" s="3083">
        <f t="shared" si="276"/>
        <v>0</v>
      </c>
      <c r="BE507" s="3083">
        <f t="shared" si="277"/>
        <v>0</v>
      </c>
      <c r="BF507" s="3083">
        <f t="shared" si="278"/>
        <v>0</v>
      </c>
      <c r="BG507" s="3083">
        <f t="shared" si="279"/>
        <v>0</v>
      </c>
      <c r="BH507" s="3083">
        <f t="shared" si="280"/>
        <v>0</v>
      </c>
      <c r="BI507" s="3083">
        <f t="shared" si="281"/>
        <v>0</v>
      </c>
      <c r="BJ507" s="3083">
        <f t="shared" si="282"/>
        <v>0</v>
      </c>
      <c r="BK507" s="3083">
        <f t="shared" si="283"/>
        <v>0</v>
      </c>
      <c r="BL507" s="3083">
        <f t="shared" si="284"/>
        <v>0</v>
      </c>
      <c r="BM507" s="3083">
        <f t="shared" si="285"/>
        <v>0</v>
      </c>
      <c r="BN507" s="3083">
        <f t="shared" si="286"/>
        <v>0</v>
      </c>
      <c r="BO507" s="3083">
        <f t="shared" si="287"/>
        <v>0</v>
      </c>
      <c r="BP507" s="3083">
        <f t="shared" si="288"/>
        <v>0</v>
      </c>
      <c r="BQ507" s="3083">
        <f t="shared" si="289"/>
        <v>0</v>
      </c>
      <c r="BR507" s="3083">
        <f t="shared" si="290"/>
        <v>0</v>
      </c>
      <c r="BS507" s="3083">
        <f t="shared" si="291"/>
        <v>0</v>
      </c>
      <c r="BT507" s="3135">
        <f t="shared" si="292"/>
        <v>0</v>
      </c>
    </row>
    <row r="508" spans="1:72">
      <c r="A508" s="3080"/>
      <c r="B508" s="3081"/>
      <c r="C508" s="3081"/>
      <c r="D508" s="3082"/>
      <c r="E508" s="3083">
        <f t="shared" si="293"/>
        <v>0</v>
      </c>
      <c r="F508" s="3084"/>
      <c r="G508" s="3085">
        <f t="shared" si="268"/>
        <v>0</v>
      </c>
      <c r="H508" s="3086">
        <f t="shared" si="269"/>
        <v>0</v>
      </c>
      <c r="I508" s="3093"/>
      <c r="J508" s="3093"/>
      <c r="K508" s="3093"/>
      <c r="L508" s="3093"/>
      <c r="M508" s="3093"/>
      <c r="N508" s="3093"/>
      <c r="O508" s="3093"/>
      <c r="P508" s="3093"/>
      <c r="Q508" s="3093"/>
      <c r="R508" s="3093"/>
      <c r="S508" s="3093"/>
      <c r="T508" s="3093"/>
      <c r="U508" s="3093"/>
      <c r="V508" s="3093"/>
      <c r="W508" s="3093"/>
      <c r="X508" s="3093"/>
      <c r="Y508" s="3093"/>
      <c r="Z508" s="3093"/>
      <c r="AA508" s="3093"/>
      <c r="AB508" s="3093"/>
      <c r="AC508" s="3083">
        <f t="shared" si="270"/>
        <v>0</v>
      </c>
      <c r="AD508" s="3103"/>
      <c r="AE508" s="3103"/>
      <c r="AF508" s="3103"/>
      <c r="AG508" s="3103"/>
      <c r="AH508" s="3103"/>
      <c r="AI508" s="3103"/>
      <c r="AJ508" s="3103"/>
      <c r="AK508" s="3103"/>
      <c r="AL508" s="3103"/>
      <c r="AM508" s="3103"/>
      <c r="AN508" s="3103"/>
      <c r="AO508" s="3103"/>
      <c r="AP508" s="3103"/>
      <c r="AQ508" s="3103"/>
      <c r="AR508" s="3103"/>
      <c r="AS508" s="3103"/>
      <c r="AT508" s="3113"/>
      <c r="AU508" s="3114"/>
      <c r="AV508" s="1580">
        <f t="shared" si="294"/>
        <v>0</v>
      </c>
      <c r="AW508" s="1580">
        <f t="shared" si="295"/>
        <v>0</v>
      </c>
      <c r="AX508" s="1580">
        <f t="shared" si="296"/>
        <v>0</v>
      </c>
      <c r="AY508" s="3128">
        <f t="shared" si="271"/>
        <v>0</v>
      </c>
      <c r="AZ508" s="3083">
        <f t="shared" si="272"/>
        <v>0</v>
      </c>
      <c r="BA508" s="3083">
        <f t="shared" si="273"/>
        <v>0</v>
      </c>
      <c r="BB508" s="3083">
        <f t="shared" si="274"/>
        <v>0</v>
      </c>
      <c r="BC508" s="3083">
        <f t="shared" si="275"/>
        <v>0</v>
      </c>
      <c r="BD508" s="3083">
        <f t="shared" si="276"/>
        <v>0</v>
      </c>
      <c r="BE508" s="3083">
        <f t="shared" si="277"/>
        <v>0</v>
      </c>
      <c r="BF508" s="3083">
        <f t="shared" si="278"/>
        <v>0</v>
      </c>
      <c r="BG508" s="3083">
        <f t="shared" si="279"/>
        <v>0</v>
      </c>
      <c r="BH508" s="3083">
        <f t="shared" si="280"/>
        <v>0</v>
      </c>
      <c r="BI508" s="3083">
        <f t="shared" si="281"/>
        <v>0</v>
      </c>
      <c r="BJ508" s="3083">
        <f t="shared" si="282"/>
        <v>0</v>
      </c>
      <c r="BK508" s="3083">
        <f t="shared" si="283"/>
        <v>0</v>
      </c>
      <c r="BL508" s="3083">
        <f t="shared" si="284"/>
        <v>0</v>
      </c>
      <c r="BM508" s="3083">
        <f t="shared" si="285"/>
        <v>0</v>
      </c>
      <c r="BN508" s="3083">
        <f t="shared" si="286"/>
        <v>0</v>
      </c>
      <c r="BO508" s="3083">
        <f t="shared" si="287"/>
        <v>0</v>
      </c>
      <c r="BP508" s="3083">
        <f t="shared" si="288"/>
        <v>0</v>
      </c>
      <c r="BQ508" s="3083">
        <f t="shared" si="289"/>
        <v>0</v>
      </c>
      <c r="BR508" s="3083">
        <f t="shared" si="290"/>
        <v>0</v>
      </c>
      <c r="BS508" s="3083">
        <f t="shared" si="291"/>
        <v>0</v>
      </c>
      <c r="BT508" s="3135">
        <f t="shared" si="292"/>
        <v>0</v>
      </c>
    </row>
    <row r="509" spans="1:72">
      <c r="A509" s="3080"/>
      <c r="B509" s="3081"/>
      <c r="C509" s="3081"/>
      <c r="D509" s="3082"/>
      <c r="E509" s="3083">
        <f t="shared" si="293"/>
        <v>0</v>
      </c>
      <c r="F509" s="3084"/>
      <c r="G509" s="3085">
        <f t="shared" si="268"/>
        <v>0</v>
      </c>
      <c r="H509" s="3086">
        <f t="shared" si="269"/>
        <v>0</v>
      </c>
      <c r="I509" s="3093"/>
      <c r="J509" s="3093"/>
      <c r="K509" s="3093"/>
      <c r="L509" s="3093"/>
      <c r="M509" s="3093"/>
      <c r="N509" s="3093"/>
      <c r="O509" s="3093"/>
      <c r="P509" s="3093"/>
      <c r="Q509" s="3093"/>
      <c r="R509" s="3093"/>
      <c r="S509" s="3093"/>
      <c r="T509" s="3093"/>
      <c r="U509" s="3093"/>
      <c r="V509" s="3093"/>
      <c r="W509" s="3093"/>
      <c r="X509" s="3093"/>
      <c r="Y509" s="3093"/>
      <c r="Z509" s="3093"/>
      <c r="AA509" s="3093"/>
      <c r="AB509" s="3093"/>
      <c r="AC509" s="3083">
        <f t="shared" si="270"/>
        <v>0</v>
      </c>
      <c r="AD509" s="3103"/>
      <c r="AE509" s="3103"/>
      <c r="AF509" s="3103"/>
      <c r="AG509" s="3103"/>
      <c r="AH509" s="3103"/>
      <c r="AI509" s="3103"/>
      <c r="AJ509" s="3103"/>
      <c r="AK509" s="3103"/>
      <c r="AL509" s="3103"/>
      <c r="AM509" s="3103"/>
      <c r="AN509" s="3103"/>
      <c r="AO509" s="3103"/>
      <c r="AP509" s="3103"/>
      <c r="AQ509" s="3103"/>
      <c r="AR509" s="3103"/>
      <c r="AS509" s="3103"/>
      <c r="AT509" s="3113"/>
      <c r="AU509" s="3114"/>
      <c r="AV509" s="1580">
        <f t="shared" si="294"/>
        <v>0</v>
      </c>
      <c r="AW509" s="1580">
        <f t="shared" si="295"/>
        <v>0</v>
      </c>
      <c r="AX509" s="1580">
        <f t="shared" si="296"/>
        <v>0</v>
      </c>
      <c r="AY509" s="3128">
        <f t="shared" si="271"/>
        <v>0</v>
      </c>
      <c r="AZ509" s="3083">
        <f t="shared" si="272"/>
        <v>0</v>
      </c>
      <c r="BA509" s="3083">
        <f t="shared" si="273"/>
        <v>0</v>
      </c>
      <c r="BB509" s="3083">
        <f t="shared" si="274"/>
        <v>0</v>
      </c>
      <c r="BC509" s="3083">
        <f t="shared" si="275"/>
        <v>0</v>
      </c>
      <c r="BD509" s="3083">
        <f t="shared" si="276"/>
        <v>0</v>
      </c>
      <c r="BE509" s="3083">
        <f t="shared" si="277"/>
        <v>0</v>
      </c>
      <c r="BF509" s="3083">
        <f t="shared" si="278"/>
        <v>0</v>
      </c>
      <c r="BG509" s="3083">
        <f t="shared" si="279"/>
        <v>0</v>
      </c>
      <c r="BH509" s="3083">
        <f t="shared" si="280"/>
        <v>0</v>
      </c>
      <c r="BI509" s="3083">
        <f t="shared" si="281"/>
        <v>0</v>
      </c>
      <c r="BJ509" s="3083">
        <f t="shared" si="282"/>
        <v>0</v>
      </c>
      <c r="BK509" s="3083">
        <f t="shared" si="283"/>
        <v>0</v>
      </c>
      <c r="BL509" s="3083">
        <f t="shared" si="284"/>
        <v>0</v>
      </c>
      <c r="BM509" s="3083">
        <f t="shared" si="285"/>
        <v>0</v>
      </c>
      <c r="BN509" s="3083">
        <f t="shared" si="286"/>
        <v>0</v>
      </c>
      <c r="BO509" s="3083">
        <f t="shared" si="287"/>
        <v>0</v>
      </c>
      <c r="BP509" s="3083">
        <f t="shared" si="288"/>
        <v>0</v>
      </c>
      <c r="BQ509" s="3083">
        <f t="shared" si="289"/>
        <v>0</v>
      </c>
      <c r="BR509" s="3083">
        <f t="shared" si="290"/>
        <v>0</v>
      </c>
      <c r="BS509" s="3083">
        <f t="shared" si="291"/>
        <v>0</v>
      </c>
      <c r="BT509" s="3135">
        <f t="shared" si="292"/>
        <v>0</v>
      </c>
    </row>
    <row r="510" spans="1:72">
      <c r="A510" s="3080"/>
      <c r="B510" s="3081"/>
      <c r="C510" s="3081"/>
      <c r="D510" s="3082"/>
      <c r="E510" s="3083">
        <f t="shared" si="293"/>
        <v>0</v>
      </c>
      <c r="F510" s="3084"/>
      <c r="G510" s="3085">
        <f t="shared" si="268"/>
        <v>0</v>
      </c>
      <c r="H510" s="3086">
        <f t="shared" si="269"/>
        <v>0</v>
      </c>
      <c r="I510" s="3093"/>
      <c r="J510" s="3093"/>
      <c r="K510" s="3093"/>
      <c r="L510" s="3093"/>
      <c r="M510" s="3093"/>
      <c r="N510" s="3093"/>
      <c r="O510" s="3093"/>
      <c r="P510" s="3093"/>
      <c r="Q510" s="3093"/>
      <c r="R510" s="3093"/>
      <c r="S510" s="3093"/>
      <c r="T510" s="3093"/>
      <c r="U510" s="3093"/>
      <c r="V510" s="3093"/>
      <c r="W510" s="3093"/>
      <c r="X510" s="3093"/>
      <c r="Y510" s="3093"/>
      <c r="Z510" s="3093"/>
      <c r="AA510" s="3093"/>
      <c r="AB510" s="3093"/>
      <c r="AC510" s="3083">
        <f t="shared" si="270"/>
        <v>0</v>
      </c>
      <c r="AD510" s="3103"/>
      <c r="AE510" s="3103"/>
      <c r="AF510" s="3103"/>
      <c r="AG510" s="3103"/>
      <c r="AH510" s="3103"/>
      <c r="AI510" s="3103"/>
      <c r="AJ510" s="3103"/>
      <c r="AK510" s="3103"/>
      <c r="AL510" s="3103"/>
      <c r="AM510" s="3103"/>
      <c r="AN510" s="3103"/>
      <c r="AO510" s="3103"/>
      <c r="AP510" s="3103"/>
      <c r="AQ510" s="3103"/>
      <c r="AR510" s="3103"/>
      <c r="AS510" s="3103"/>
      <c r="AT510" s="3113"/>
      <c r="AU510" s="3114"/>
      <c r="AV510" s="1580">
        <f t="shared" si="294"/>
        <v>0</v>
      </c>
      <c r="AW510" s="1580">
        <f t="shared" si="295"/>
        <v>0</v>
      </c>
      <c r="AX510" s="1580">
        <f t="shared" si="296"/>
        <v>0</v>
      </c>
      <c r="AY510" s="3128">
        <f t="shared" si="271"/>
        <v>0</v>
      </c>
      <c r="AZ510" s="3083">
        <f t="shared" si="272"/>
        <v>0</v>
      </c>
      <c r="BA510" s="3083">
        <f t="shared" si="273"/>
        <v>0</v>
      </c>
      <c r="BB510" s="3083">
        <f t="shared" si="274"/>
        <v>0</v>
      </c>
      <c r="BC510" s="3083">
        <f t="shared" si="275"/>
        <v>0</v>
      </c>
      <c r="BD510" s="3083">
        <f t="shared" si="276"/>
        <v>0</v>
      </c>
      <c r="BE510" s="3083">
        <f t="shared" si="277"/>
        <v>0</v>
      </c>
      <c r="BF510" s="3083">
        <f t="shared" si="278"/>
        <v>0</v>
      </c>
      <c r="BG510" s="3083">
        <f t="shared" si="279"/>
        <v>0</v>
      </c>
      <c r="BH510" s="3083">
        <f t="shared" si="280"/>
        <v>0</v>
      </c>
      <c r="BI510" s="3083">
        <f t="shared" si="281"/>
        <v>0</v>
      </c>
      <c r="BJ510" s="3083">
        <f t="shared" si="282"/>
        <v>0</v>
      </c>
      <c r="BK510" s="3083">
        <f t="shared" si="283"/>
        <v>0</v>
      </c>
      <c r="BL510" s="3083">
        <f t="shared" si="284"/>
        <v>0</v>
      </c>
      <c r="BM510" s="3083">
        <f t="shared" si="285"/>
        <v>0</v>
      </c>
      <c r="BN510" s="3083">
        <f t="shared" si="286"/>
        <v>0</v>
      </c>
      <c r="BO510" s="3083">
        <f t="shared" si="287"/>
        <v>0</v>
      </c>
      <c r="BP510" s="3083">
        <f t="shared" si="288"/>
        <v>0</v>
      </c>
      <c r="BQ510" s="3083">
        <f t="shared" si="289"/>
        <v>0</v>
      </c>
      <c r="BR510" s="3083">
        <f t="shared" si="290"/>
        <v>0</v>
      </c>
      <c r="BS510" s="3083">
        <f t="shared" si="291"/>
        <v>0</v>
      </c>
      <c r="BT510" s="3135">
        <f t="shared" si="292"/>
        <v>0</v>
      </c>
    </row>
    <row r="511" spans="1:72">
      <c r="A511" s="3080"/>
      <c r="B511" s="3081"/>
      <c r="C511" s="3081"/>
      <c r="D511" s="3082"/>
      <c r="E511" s="3083">
        <f t="shared" si="293"/>
        <v>0</v>
      </c>
      <c r="F511" s="3084"/>
      <c r="G511" s="3085">
        <f t="shared" si="268"/>
        <v>0</v>
      </c>
      <c r="H511" s="3086">
        <f t="shared" si="269"/>
        <v>0</v>
      </c>
      <c r="I511" s="3093"/>
      <c r="J511" s="3093"/>
      <c r="K511" s="3093"/>
      <c r="L511" s="3093"/>
      <c r="M511" s="3093"/>
      <c r="N511" s="3093"/>
      <c r="O511" s="3093"/>
      <c r="P511" s="3093"/>
      <c r="Q511" s="3093"/>
      <c r="R511" s="3093"/>
      <c r="S511" s="3093"/>
      <c r="T511" s="3093"/>
      <c r="U511" s="3093"/>
      <c r="V511" s="3093"/>
      <c r="W511" s="3093"/>
      <c r="X511" s="3093"/>
      <c r="Y511" s="3093"/>
      <c r="Z511" s="3093"/>
      <c r="AA511" s="3093"/>
      <c r="AB511" s="3093"/>
      <c r="AC511" s="3083">
        <f t="shared" si="270"/>
        <v>0</v>
      </c>
      <c r="AD511" s="3103"/>
      <c r="AE511" s="3103"/>
      <c r="AF511" s="3103"/>
      <c r="AG511" s="3103"/>
      <c r="AH511" s="3103"/>
      <c r="AI511" s="3103"/>
      <c r="AJ511" s="3103"/>
      <c r="AK511" s="3103"/>
      <c r="AL511" s="3103"/>
      <c r="AM511" s="3103"/>
      <c r="AN511" s="3103"/>
      <c r="AO511" s="3103"/>
      <c r="AP511" s="3103"/>
      <c r="AQ511" s="3103"/>
      <c r="AR511" s="3103"/>
      <c r="AS511" s="3103"/>
      <c r="AT511" s="3113"/>
      <c r="AU511" s="3114"/>
      <c r="AV511" s="1580">
        <f t="shared" si="294"/>
        <v>0</v>
      </c>
      <c r="AW511" s="1580">
        <f t="shared" si="295"/>
        <v>0</v>
      </c>
      <c r="AX511" s="1580">
        <f t="shared" si="296"/>
        <v>0</v>
      </c>
      <c r="AY511" s="3128">
        <f t="shared" si="271"/>
        <v>0</v>
      </c>
      <c r="AZ511" s="3083">
        <f t="shared" si="272"/>
        <v>0</v>
      </c>
      <c r="BA511" s="3083">
        <f t="shared" si="273"/>
        <v>0</v>
      </c>
      <c r="BB511" s="3083">
        <f t="shared" si="274"/>
        <v>0</v>
      </c>
      <c r="BC511" s="3083">
        <f t="shared" si="275"/>
        <v>0</v>
      </c>
      <c r="BD511" s="3083">
        <f t="shared" si="276"/>
        <v>0</v>
      </c>
      <c r="BE511" s="3083">
        <f t="shared" si="277"/>
        <v>0</v>
      </c>
      <c r="BF511" s="3083">
        <f t="shared" si="278"/>
        <v>0</v>
      </c>
      <c r="BG511" s="3083">
        <f t="shared" si="279"/>
        <v>0</v>
      </c>
      <c r="BH511" s="3083">
        <f t="shared" si="280"/>
        <v>0</v>
      </c>
      <c r="BI511" s="3083">
        <f t="shared" si="281"/>
        <v>0</v>
      </c>
      <c r="BJ511" s="3083">
        <f t="shared" si="282"/>
        <v>0</v>
      </c>
      <c r="BK511" s="3083">
        <f t="shared" si="283"/>
        <v>0</v>
      </c>
      <c r="BL511" s="3083">
        <f t="shared" si="284"/>
        <v>0</v>
      </c>
      <c r="BM511" s="3083">
        <f t="shared" si="285"/>
        <v>0</v>
      </c>
      <c r="BN511" s="3083">
        <f t="shared" si="286"/>
        <v>0</v>
      </c>
      <c r="BO511" s="3083">
        <f t="shared" si="287"/>
        <v>0</v>
      </c>
      <c r="BP511" s="3083">
        <f t="shared" si="288"/>
        <v>0</v>
      </c>
      <c r="BQ511" s="3083">
        <f t="shared" si="289"/>
        <v>0</v>
      </c>
      <c r="BR511" s="3083">
        <f t="shared" si="290"/>
        <v>0</v>
      </c>
      <c r="BS511" s="3083">
        <f t="shared" si="291"/>
        <v>0</v>
      </c>
      <c r="BT511" s="3135">
        <f t="shared" si="292"/>
        <v>0</v>
      </c>
    </row>
    <row r="512" spans="1:72">
      <c r="A512" s="3080"/>
      <c r="B512" s="3081"/>
      <c r="C512" s="3081"/>
      <c r="D512" s="3082"/>
      <c r="E512" s="3083">
        <f t="shared" si="293"/>
        <v>0</v>
      </c>
      <c r="F512" s="3084"/>
      <c r="G512" s="3085">
        <f t="shared" si="268"/>
        <v>0</v>
      </c>
      <c r="H512" s="3086">
        <f t="shared" si="269"/>
        <v>0</v>
      </c>
      <c r="I512" s="3093"/>
      <c r="J512" s="3093"/>
      <c r="K512" s="3093"/>
      <c r="L512" s="3093"/>
      <c r="M512" s="3093"/>
      <c r="N512" s="3093"/>
      <c r="O512" s="3093"/>
      <c r="P512" s="3093"/>
      <c r="Q512" s="3093"/>
      <c r="R512" s="3093"/>
      <c r="S512" s="3093"/>
      <c r="T512" s="3093"/>
      <c r="U512" s="3093"/>
      <c r="V512" s="3093"/>
      <c r="W512" s="3093"/>
      <c r="X512" s="3093"/>
      <c r="Y512" s="3093"/>
      <c r="Z512" s="3093"/>
      <c r="AA512" s="3093"/>
      <c r="AB512" s="3093"/>
      <c r="AC512" s="3083">
        <f t="shared" si="270"/>
        <v>0</v>
      </c>
      <c r="AD512" s="3103"/>
      <c r="AE512" s="3103"/>
      <c r="AF512" s="3103"/>
      <c r="AG512" s="3103"/>
      <c r="AH512" s="3103"/>
      <c r="AI512" s="3103"/>
      <c r="AJ512" s="3103"/>
      <c r="AK512" s="3103"/>
      <c r="AL512" s="3103"/>
      <c r="AM512" s="3103"/>
      <c r="AN512" s="3103"/>
      <c r="AO512" s="3103"/>
      <c r="AP512" s="3103"/>
      <c r="AQ512" s="3103"/>
      <c r="AR512" s="3103"/>
      <c r="AS512" s="3103"/>
      <c r="AT512" s="3113"/>
      <c r="AU512" s="3114"/>
      <c r="AV512" s="1580">
        <f t="shared" si="294"/>
        <v>0</v>
      </c>
      <c r="AW512" s="1580">
        <f t="shared" si="295"/>
        <v>0</v>
      </c>
      <c r="AX512" s="1580">
        <f t="shared" si="296"/>
        <v>0</v>
      </c>
      <c r="AY512" s="3128">
        <f t="shared" si="271"/>
        <v>0</v>
      </c>
      <c r="AZ512" s="3083">
        <f t="shared" si="272"/>
        <v>0</v>
      </c>
      <c r="BA512" s="3083">
        <f t="shared" si="273"/>
        <v>0</v>
      </c>
      <c r="BB512" s="3083">
        <f t="shared" si="274"/>
        <v>0</v>
      </c>
      <c r="BC512" s="3083">
        <f t="shared" si="275"/>
        <v>0</v>
      </c>
      <c r="BD512" s="3083">
        <f t="shared" si="276"/>
        <v>0</v>
      </c>
      <c r="BE512" s="3083">
        <f t="shared" si="277"/>
        <v>0</v>
      </c>
      <c r="BF512" s="3083">
        <f t="shared" si="278"/>
        <v>0</v>
      </c>
      <c r="BG512" s="3083">
        <f t="shared" si="279"/>
        <v>0</v>
      </c>
      <c r="BH512" s="3083">
        <f t="shared" si="280"/>
        <v>0</v>
      </c>
      <c r="BI512" s="3083">
        <f t="shared" si="281"/>
        <v>0</v>
      </c>
      <c r="BJ512" s="3083">
        <f t="shared" si="282"/>
        <v>0</v>
      </c>
      <c r="BK512" s="3083">
        <f t="shared" si="283"/>
        <v>0</v>
      </c>
      <c r="BL512" s="3083">
        <f t="shared" si="284"/>
        <v>0</v>
      </c>
      <c r="BM512" s="3083">
        <f t="shared" si="285"/>
        <v>0</v>
      </c>
      <c r="BN512" s="3083">
        <f t="shared" si="286"/>
        <v>0</v>
      </c>
      <c r="BO512" s="3083">
        <f t="shared" si="287"/>
        <v>0</v>
      </c>
      <c r="BP512" s="3083">
        <f t="shared" si="288"/>
        <v>0</v>
      </c>
      <c r="BQ512" s="3083">
        <f t="shared" si="289"/>
        <v>0</v>
      </c>
      <c r="BR512" s="3083">
        <f t="shared" si="290"/>
        <v>0</v>
      </c>
      <c r="BS512" s="3083">
        <f t="shared" si="291"/>
        <v>0</v>
      </c>
      <c r="BT512" s="3135">
        <f t="shared" si="292"/>
        <v>0</v>
      </c>
    </row>
    <row r="513" spans="1:72">
      <c r="A513" s="3080"/>
      <c r="B513" s="3081"/>
      <c r="C513" s="3081"/>
      <c r="D513" s="3082"/>
      <c r="E513" s="3083">
        <f t="shared" si="293"/>
        <v>0</v>
      </c>
      <c r="F513" s="3084"/>
      <c r="G513" s="3085">
        <f t="shared" si="268"/>
        <v>0</v>
      </c>
      <c r="H513" s="3086">
        <f t="shared" si="269"/>
        <v>0</v>
      </c>
      <c r="I513" s="3093"/>
      <c r="J513" s="3093"/>
      <c r="K513" s="3093"/>
      <c r="L513" s="3093"/>
      <c r="M513" s="3093"/>
      <c r="N513" s="3093"/>
      <c r="O513" s="3093"/>
      <c r="P513" s="3093"/>
      <c r="Q513" s="3093"/>
      <c r="R513" s="3093"/>
      <c r="S513" s="3093"/>
      <c r="T513" s="3093"/>
      <c r="U513" s="3093"/>
      <c r="V513" s="3093"/>
      <c r="W513" s="3093"/>
      <c r="X513" s="3093"/>
      <c r="Y513" s="3093"/>
      <c r="Z513" s="3093"/>
      <c r="AA513" s="3093"/>
      <c r="AB513" s="3093"/>
      <c r="AC513" s="3083">
        <f t="shared" si="270"/>
        <v>0</v>
      </c>
      <c r="AD513" s="3103"/>
      <c r="AE513" s="3103"/>
      <c r="AF513" s="3103"/>
      <c r="AG513" s="3103"/>
      <c r="AH513" s="3103"/>
      <c r="AI513" s="3103"/>
      <c r="AJ513" s="3103"/>
      <c r="AK513" s="3103"/>
      <c r="AL513" s="3103"/>
      <c r="AM513" s="3103"/>
      <c r="AN513" s="3103"/>
      <c r="AO513" s="3103"/>
      <c r="AP513" s="3103"/>
      <c r="AQ513" s="3103"/>
      <c r="AR513" s="3103"/>
      <c r="AS513" s="3103"/>
      <c r="AT513" s="3113"/>
      <c r="AU513" s="3114"/>
      <c r="AV513" s="1580">
        <f t="shared" si="294"/>
        <v>0</v>
      </c>
      <c r="AW513" s="1580">
        <f t="shared" si="295"/>
        <v>0</v>
      </c>
      <c r="AX513" s="1580">
        <f t="shared" si="296"/>
        <v>0</v>
      </c>
      <c r="AY513" s="3128">
        <f t="shared" si="271"/>
        <v>0</v>
      </c>
      <c r="AZ513" s="3083">
        <f t="shared" si="272"/>
        <v>0</v>
      </c>
      <c r="BA513" s="3083">
        <f t="shared" si="273"/>
        <v>0</v>
      </c>
      <c r="BB513" s="3083">
        <f t="shared" si="274"/>
        <v>0</v>
      </c>
      <c r="BC513" s="3083">
        <f t="shared" si="275"/>
        <v>0</v>
      </c>
      <c r="BD513" s="3083">
        <f t="shared" si="276"/>
        <v>0</v>
      </c>
      <c r="BE513" s="3083">
        <f t="shared" si="277"/>
        <v>0</v>
      </c>
      <c r="BF513" s="3083">
        <f t="shared" si="278"/>
        <v>0</v>
      </c>
      <c r="BG513" s="3083">
        <f t="shared" si="279"/>
        <v>0</v>
      </c>
      <c r="BH513" s="3083">
        <f t="shared" si="280"/>
        <v>0</v>
      </c>
      <c r="BI513" s="3083">
        <f t="shared" si="281"/>
        <v>0</v>
      </c>
      <c r="BJ513" s="3083">
        <f t="shared" si="282"/>
        <v>0</v>
      </c>
      <c r="BK513" s="3083">
        <f t="shared" si="283"/>
        <v>0</v>
      </c>
      <c r="BL513" s="3083">
        <f t="shared" si="284"/>
        <v>0</v>
      </c>
      <c r="BM513" s="3083">
        <f t="shared" si="285"/>
        <v>0</v>
      </c>
      <c r="BN513" s="3083">
        <f t="shared" si="286"/>
        <v>0</v>
      </c>
      <c r="BO513" s="3083">
        <f t="shared" si="287"/>
        <v>0</v>
      </c>
      <c r="BP513" s="3083">
        <f t="shared" si="288"/>
        <v>0</v>
      </c>
      <c r="BQ513" s="3083">
        <f t="shared" si="289"/>
        <v>0</v>
      </c>
      <c r="BR513" s="3083">
        <f t="shared" si="290"/>
        <v>0</v>
      </c>
      <c r="BS513" s="3083">
        <f t="shared" si="291"/>
        <v>0</v>
      </c>
      <c r="BT513" s="3135">
        <f t="shared" si="292"/>
        <v>0</v>
      </c>
    </row>
    <row r="514" spans="1:72">
      <c r="A514" s="3080"/>
      <c r="B514" s="3081"/>
      <c r="C514" s="3081"/>
      <c r="D514" s="3082"/>
      <c r="E514" s="3083">
        <f t="shared" si="293"/>
        <v>0</v>
      </c>
      <c r="F514" s="3084"/>
      <c r="G514" s="3085">
        <f t="shared" si="268"/>
        <v>0</v>
      </c>
      <c r="H514" s="3086">
        <f t="shared" si="269"/>
        <v>0</v>
      </c>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3083">
        <f t="shared" si="270"/>
        <v>0</v>
      </c>
      <c r="AD514" s="3103"/>
      <c r="AE514" s="3103"/>
      <c r="AF514" s="3103"/>
      <c r="AG514" s="3103"/>
      <c r="AH514" s="3103"/>
      <c r="AI514" s="3103"/>
      <c r="AJ514" s="3103"/>
      <c r="AK514" s="3103"/>
      <c r="AL514" s="3103"/>
      <c r="AM514" s="3103"/>
      <c r="AN514" s="3103"/>
      <c r="AO514" s="3103"/>
      <c r="AP514" s="3103"/>
      <c r="AQ514" s="3103"/>
      <c r="AR514" s="3103"/>
      <c r="AS514" s="3103"/>
      <c r="AT514" s="3113"/>
      <c r="AU514" s="3114"/>
      <c r="AV514" s="1580">
        <f t="shared" si="294"/>
        <v>0</v>
      </c>
      <c r="AW514" s="1580">
        <f t="shared" si="295"/>
        <v>0</v>
      </c>
      <c r="AX514" s="1580">
        <f t="shared" si="296"/>
        <v>0</v>
      </c>
      <c r="AY514" s="3128">
        <f t="shared" si="271"/>
        <v>0</v>
      </c>
      <c r="AZ514" s="3083">
        <f t="shared" si="272"/>
        <v>0</v>
      </c>
      <c r="BA514" s="3083">
        <f t="shared" si="273"/>
        <v>0</v>
      </c>
      <c r="BB514" s="3083">
        <f t="shared" si="274"/>
        <v>0</v>
      </c>
      <c r="BC514" s="3083">
        <f t="shared" si="275"/>
        <v>0</v>
      </c>
      <c r="BD514" s="3083">
        <f t="shared" si="276"/>
        <v>0</v>
      </c>
      <c r="BE514" s="3083">
        <f t="shared" si="277"/>
        <v>0</v>
      </c>
      <c r="BF514" s="3083">
        <f t="shared" si="278"/>
        <v>0</v>
      </c>
      <c r="BG514" s="3083">
        <f t="shared" si="279"/>
        <v>0</v>
      </c>
      <c r="BH514" s="3083">
        <f t="shared" si="280"/>
        <v>0</v>
      </c>
      <c r="BI514" s="3083">
        <f t="shared" si="281"/>
        <v>0</v>
      </c>
      <c r="BJ514" s="3083">
        <f t="shared" si="282"/>
        <v>0</v>
      </c>
      <c r="BK514" s="3083">
        <f t="shared" si="283"/>
        <v>0</v>
      </c>
      <c r="BL514" s="3083">
        <f t="shared" si="284"/>
        <v>0</v>
      </c>
      <c r="BM514" s="3083">
        <f t="shared" si="285"/>
        <v>0</v>
      </c>
      <c r="BN514" s="3083">
        <f t="shared" si="286"/>
        <v>0</v>
      </c>
      <c r="BO514" s="3083">
        <f t="shared" si="287"/>
        <v>0</v>
      </c>
      <c r="BP514" s="3083">
        <f t="shared" si="288"/>
        <v>0</v>
      </c>
      <c r="BQ514" s="3083">
        <f t="shared" si="289"/>
        <v>0</v>
      </c>
      <c r="BR514" s="3083">
        <f t="shared" si="290"/>
        <v>0</v>
      </c>
      <c r="BS514" s="3083">
        <f t="shared" si="291"/>
        <v>0</v>
      </c>
      <c r="BT514" s="3135">
        <f t="shared" si="292"/>
        <v>0</v>
      </c>
    </row>
    <row r="515" spans="1:72">
      <c r="A515" s="3080"/>
      <c r="B515" s="3081"/>
      <c r="C515" s="3081"/>
      <c r="D515" s="3082"/>
      <c r="E515" s="3083">
        <f t="shared" si="293"/>
        <v>0</v>
      </c>
      <c r="F515" s="3084"/>
      <c r="G515" s="3085">
        <f t="shared" si="268"/>
        <v>0</v>
      </c>
      <c r="H515" s="3086">
        <f t="shared" si="269"/>
        <v>0</v>
      </c>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3083">
        <f t="shared" si="270"/>
        <v>0</v>
      </c>
      <c r="AD515" s="3103"/>
      <c r="AE515" s="3103"/>
      <c r="AF515" s="3103"/>
      <c r="AG515" s="3103"/>
      <c r="AH515" s="3103"/>
      <c r="AI515" s="3103"/>
      <c r="AJ515" s="3103"/>
      <c r="AK515" s="3103"/>
      <c r="AL515" s="3103"/>
      <c r="AM515" s="3103"/>
      <c r="AN515" s="3103"/>
      <c r="AO515" s="3103"/>
      <c r="AP515" s="3103"/>
      <c r="AQ515" s="3103"/>
      <c r="AR515" s="3103"/>
      <c r="AS515" s="3103"/>
      <c r="AT515" s="3113"/>
      <c r="AU515" s="3114"/>
      <c r="AV515" s="1580">
        <f t="shared" si="294"/>
        <v>0</v>
      </c>
      <c r="AW515" s="1580">
        <f t="shared" si="295"/>
        <v>0</v>
      </c>
      <c r="AX515" s="1580">
        <f t="shared" si="296"/>
        <v>0</v>
      </c>
      <c r="AY515" s="3128">
        <f t="shared" si="271"/>
        <v>0</v>
      </c>
      <c r="AZ515" s="3083">
        <f t="shared" si="272"/>
        <v>0</v>
      </c>
      <c r="BA515" s="3083">
        <f t="shared" si="273"/>
        <v>0</v>
      </c>
      <c r="BB515" s="3083">
        <f t="shared" si="274"/>
        <v>0</v>
      </c>
      <c r="BC515" s="3083">
        <f t="shared" si="275"/>
        <v>0</v>
      </c>
      <c r="BD515" s="3083">
        <f t="shared" si="276"/>
        <v>0</v>
      </c>
      <c r="BE515" s="3083">
        <f t="shared" si="277"/>
        <v>0</v>
      </c>
      <c r="BF515" s="3083">
        <f t="shared" si="278"/>
        <v>0</v>
      </c>
      <c r="BG515" s="3083">
        <f t="shared" si="279"/>
        <v>0</v>
      </c>
      <c r="BH515" s="3083">
        <f t="shared" si="280"/>
        <v>0</v>
      </c>
      <c r="BI515" s="3083">
        <f t="shared" si="281"/>
        <v>0</v>
      </c>
      <c r="BJ515" s="3083">
        <f t="shared" si="282"/>
        <v>0</v>
      </c>
      <c r="BK515" s="3083">
        <f t="shared" si="283"/>
        <v>0</v>
      </c>
      <c r="BL515" s="3083">
        <f t="shared" si="284"/>
        <v>0</v>
      </c>
      <c r="BM515" s="3083">
        <f t="shared" si="285"/>
        <v>0</v>
      </c>
      <c r="BN515" s="3083">
        <f t="shared" si="286"/>
        <v>0</v>
      </c>
      <c r="BO515" s="3083">
        <f t="shared" si="287"/>
        <v>0</v>
      </c>
      <c r="BP515" s="3083">
        <f t="shared" si="288"/>
        <v>0</v>
      </c>
      <c r="BQ515" s="3083">
        <f t="shared" si="289"/>
        <v>0</v>
      </c>
      <c r="BR515" s="3083">
        <f t="shared" si="290"/>
        <v>0</v>
      </c>
      <c r="BS515" s="3083">
        <f t="shared" si="291"/>
        <v>0</v>
      </c>
      <c r="BT515" s="3135">
        <f t="shared" si="292"/>
        <v>0</v>
      </c>
    </row>
    <row r="516" spans="1:72">
      <c r="A516" s="3080"/>
      <c r="B516" s="3081"/>
      <c r="C516" s="3081"/>
      <c r="D516" s="3082"/>
      <c r="E516" s="3083">
        <f t="shared" si="293"/>
        <v>0</v>
      </c>
      <c r="F516" s="3084"/>
      <c r="G516" s="3085">
        <f t="shared" si="268"/>
        <v>0</v>
      </c>
      <c r="H516" s="3086">
        <f t="shared" si="269"/>
        <v>0</v>
      </c>
      <c r="I516" s="3093"/>
      <c r="J516" s="3093"/>
      <c r="K516" s="3093"/>
      <c r="L516" s="3093"/>
      <c r="M516" s="3093"/>
      <c r="N516" s="3093"/>
      <c r="O516" s="3093"/>
      <c r="P516" s="3093"/>
      <c r="Q516" s="3093"/>
      <c r="R516" s="3093"/>
      <c r="S516" s="3093"/>
      <c r="T516" s="3093"/>
      <c r="U516" s="3093"/>
      <c r="V516" s="3093"/>
      <c r="W516" s="3093"/>
      <c r="X516" s="3093"/>
      <c r="Y516" s="3093"/>
      <c r="Z516" s="3093"/>
      <c r="AA516" s="3093"/>
      <c r="AB516" s="3093"/>
      <c r="AC516" s="3083">
        <f t="shared" si="270"/>
        <v>0</v>
      </c>
      <c r="AD516" s="3103"/>
      <c r="AE516" s="3103"/>
      <c r="AF516" s="3103"/>
      <c r="AG516" s="3103"/>
      <c r="AH516" s="3103"/>
      <c r="AI516" s="3103"/>
      <c r="AJ516" s="3103"/>
      <c r="AK516" s="3103"/>
      <c r="AL516" s="3103"/>
      <c r="AM516" s="3103"/>
      <c r="AN516" s="3103"/>
      <c r="AO516" s="3103"/>
      <c r="AP516" s="3103"/>
      <c r="AQ516" s="3103"/>
      <c r="AR516" s="3103"/>
      <c r="AS516" s="3103"/>
      <c r="AT516" s="3113"/>
      <c r="AU516" s="3114"/>
      <c r="AV516" s="1580">
        <f t="shared" si="294"/>
        <v>0</v>
      </c>
      <c r="AW516" s="1580">
        <f t="shared" si="295"/>
        <v>0</v>
      </c>
      <c r="AX516" s="1580">
        <f t="shared" si="296"/>
        <v>0</v>
      </c>
      <c r="AY516" s="3128">
        <f t="shared" si="271"/>
        <v>0</v>
      </c>
      <c r="AZ516" s="3083">
        <f t="shared" si="272"/>
        <v>0</v>
      </c>
      <c r="BA516" s="3083">
        <f t="shared" si="273"/>
        <v>0</v>
      </c>
      <c r="BB516" s="3083">
        <f t="shared" si="274"/>
        <v>0</v>
      </c>
      <c r="BC516" s="3083">
        <f t="shared" si="275"/>
        <v>0</v>
      </c>
      <c r="BD516" s="3083">
        <f t="shared" si="276"/>
        <v>0</v>
      </c>
      <c r="BE516" s="3083">
        <f t="shared" si="277"/>
        <v>0</v>
      </c>
      <c r="BF516" s="3083">
        <f t="shared" si="278"/>
        <v>0</v>
      </c>
      <c r="BG516" s="3083">
        <f t="shared" si="279"/>
        <v>0</v>
      </c>
      <c r="BH516" s="3083">
        <f t="shared" si="280"/>
        <v>0</v>
      </c>
      <c r="BI516" s="3083">
        <f t="shared" si="281"/>
        <v>0</v>
      </c>
      <c r="BJ516" s="3083">
        <f t="shared" si="282"/>
        <v>0</v>
      </c>
      <c r="BK516" s="3083">
        <f t="shared" si="283"/>
        <v>0</v>
      </c>
      <c r="BL516" s="3083">
        <f t="shared" si="284"/>
        <v>0</v>
      </c>
      <c r="BM516" s="3083">
        <f t="shared" si="285"/>
        <v>0</v>
      </c>
      <c r="BN516" s="3083">
        <f t="shared" si="286"/>
        <v>0</v>
      </c>
      <c r="BO516" s="3083">
        <f t="shared" si="287"/>
        <v>0</v>
      </c>
      <c r="BP516" s="3083">
        <f t="shared" si="288"/>
        <v>0</v>
      </c>
      <c r="BQ516" s="3083">
        <f t="shared" si="289"/>
        <v>0</v>
      </c>
      <c r="BR516" s="3083">
        <f t="shared" si="290"/>
        <v>0</v>
      </c>
      <c r="BS516" s="3083">
        <f t="shared" si="291"/>
        <v>0</v>
      </c>
      <c r="BT516" s="3135">
        <f t="shared" si="292"/>
        <v>0</v>
      </c>
    </row>
    <row r="517" spans="1:72">
      <c r="A517" s="3080"/>
      <c r="B517" s="3081"/>
      <c r="C517" s="3081"/>
      <c r="D517" s="3082"/>
      <c r="E517" s="3083">
        <f t="shared" si="293"/>
        <v>0</v>
      </c>
      <c r="F517" s="3084"/>
      <c r="G517" s="3085">
        <f t="shared" si="268"/>
        <v>0</v>
      </c>
      <c r="H517" s="3086">
        <f t="shared" si="269"/>
        <v>0</v>
      </c>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3083">
        <f t="shared" si="270"/>
        <v>0</v>
      </c>
      <c r="AD517" s="3103"/>
      <c r="AE517" s="3103"/>
      <c r="AF517" s="3103"/>
      <c r="AG517" s="3103"/>
      <c r="AH517" s="3103"/>
      <c r="AI517" s="3103"/>
      <c r="AJ517" s="3103"/>
      <c r="AK517" s="3103"/>
      <c r="AL517" s="3103"/>
      <c r="AM517" s="3103"/>
      <c r="AN517" s="3103"/>
      <c r="AO517" s="3103"/>
      <c r="AP517" s="3103"/>
      <c r="AQ517" s="3103"/>
      <c r="AR517" s="3103"/>
      <c r="AS517" s="3103"/>
      <c r="AT517" s="3113"/>
      <c r="AU517" s="3114"/>
      <c r="AV517" s="1580">
        <f t="shared" si="294"/>
        <v>0</v>
      </c>
      <c r="AW517" s="1580">
        <f t="shared" si="295"/>
        <v>0</v>
      </c>
      <c r="AX517" s="1580">
        <f t="shared" si="296"/>
        <v>0</v>
      </c>
      <c r="AY517" s="3128">
        <f t="shared" si="271"/>
        <v>0</v>
      </c>
      <c r="AZ517" s="3083">
        <f t="shared" si="272"/>
        <v>0</v>
      </c>
      <c r="BA517" s="3083">
        <f t="shared" si="273"/>
        <v>0</v>
      </c>
      <c r="BB517" s="3083">
        <f t="shared" si="274"/>
        <v>0</v>
      </c>
      <c r="BC517" s="3083">
        <f t="shared" si="275"/>
        <v>0</v>
      </c>
      <c r="BD517" s="3083">
        <f t="shared" si="276"/>
        <v>0</v>
      </c>
      <c r="BE517" s="3083">
        <f t="shared" si="277"/>
        <v>0</v>
      </c>
      <c r="BF517" s="3083">
        <f t="shared" si="278"/>
        <v>0</v>
      </c>
      <c r="BG517" s="3083">
        <f t="shared" si="279"/>
        <v>0</v>
      </c>
      <c r="BH517" s="3083">
        <f t="shared" si="280"/>
        <v>0</v>
      </c>
      <c r="BI517" s="3083">
        <f t="shared" si="281"/>
        <v>0</v>
      </c>
      <c r="BJ517" s="3083">
        <f t="shared" si="282"/>
        <v>0</v>
      </c>
      <c r="BK517" s="3083">
        <f t="shared" si="283"/>
        <v>0</v>
      </c>
      <c r="BL517" s="3083">
        <f t="shared" si="284"/>
        <v>0</v>
      </c>
      <c r="BM517" s="3083">
        <f t="shared" si="285"/>
        <v>0</v>
      </c>
      <c r="BN517" s="3083">
        <f t="shared" si="286"/>
        <v>0</v>
      </c>
      <c r="BO517" s="3083">
        <f t="shared" si="287"/>
        <v>0</v>
      </c>
      <c r="BP517" s="3083">
        <f t="shared" si="288"/>
        <v>0</v>
      </c>
      <c r="BQ517" s="3083">
        <f t="shared" si="289"/>
        <v>0</v>
      </c>
      <c r="BR517" s="3083">
        <f t="shared" si="290"/>
        <v>0</v>
      </c>
      <c r="BS517" s="3083">
        <f t="shared" si="291"/>
        <v>0</v>
      </c>
      <c r="BT517" s="3135">
        <f t="shared" si="292"/>
        <v>0</v>
      </c>
    </row>
    <row r="518" spans="1:72">
      <c r="A518" s="3080"/>
      <c r="B518" s="3081"/>
      <c r="C518" s="3081"/>
      <c r="D518" s="3082"/>
      <c r="E518" s="3083">
        <f t="shared" si="293"/>
        <v>0</v>
      </c>
      <c r="F518" s="3084"/>
      <c r="G518" s="3085">
        <f t="shared" si="268"/>
        <v>0</v>
      </c>
      <c r="H518" s="3086">
        <f t="shared" si="269"/>
        <v>0</v>
      </c>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3083">
        <f t="shared" si="270"/>
        <v>0</v>
      </c>
      <c r="AD518" s="3103"/>
      <c r="AE518" s="3103"/>
      <c r="AF518" s="3103"/>
      <c r="AG518" s="3103"/>
      <c r="AH518" s="3103"/>
      <c r="AI518" s="3103"/>
      <c r="AJ518" s="3103"/>
      <c r="AK518" s="3103"/>
      <c r="AL518" s="3103"/>
      <c r="AM518" s="3103"/>
      <c r="AN518" s="3103"/>
      <c r="AO518" s="3103"/>
      <c r="AP518" s="3103"/>
      <c r="AQ518" s="3103"/>
      <c r="AR518" s="3103"/>
      <c r="AS518" s="3103"/>
      <c r="AT518" s="3113"/>
      <c r="AU518" s="3114"/>
      <c r="AV518" s="1580">
        <f t="shared" si="294"/>
        <v>0</v>
      </c>
      <c r="AW518" s="1580">
        <f t="shared" si="295"/>
        <v>0</v>
      </c>
      <c r="AX518" s="1580">
        <f t="shared" si="296"/>
        <v>0</v>
      </c>
      <c r="AY518" s="3128">
        <f t="shared" si="271"/>
        <v>0</v>
      </c>
      <c r="AZ518" s="3083">
        <f t="shared" si="272"/>
        <v>0</v>
      </c>
      <c r="BA518" s="3083">
        <f t="shared" si="273"/>
        <v>0</v>
      </c>
      <c r="BB518" s="3083">
        <f t="shared" si="274"/>
        <v>0</v>
      </c>
      <c r="BC518" s="3083">
        <f t="shared" si="275"/>
        <v>0</v>
      </c>
      <c r="BD518" s="3083">
        <f t="shared" si="276"/>
        <v>0</v>
      </c>
      <c r="BE518" s="3083">
        <f t="shared" si="277"/>
        <v>0</v>
      </c>
      <c r="BF518" s="3083">
        <f t="shared" si="278"/>
        <v>0</v>
      </c>
      <c r="BG518" s="3083">
        <f t="shared" si="279"/>
        <v>0</v>
      </c>
      <c r="BH518" s="3083">
        <f t="shared" si="280"/>
        <v>0</v>
      </c>
      <c r="BI518" s="3083">
        <f t="shared" si="281"/>
        <v>0</v>
      </c>
      <c r="BJ518" s="3083">
        <f t="shared" si="282"/>
        <v>0</v>
      </c>
      <c r="BK518" s="3083">
        <f t="shared" si="283"/>
        <v>0</v>
      </c>
      <c r="BL518" s="3083">
        <f t="shared" si="284"/>
        <v>0</v>
      </c>
      <c r="BM518" s="3083">
        <f t="shared" si="285"/>
        <v>0</v>
      </c>
      <c r="BN518" s="3083">
        <f t="shared" si="286"/>
        <v>0</v>
      </c>
      <c r="BO518" s="3083">
        <f t="shared" si="287"/>
        <v>0</v>
      </c>
      <c r="BP518" s="3083">
        <f t="shared" si="288"/>
        <v>0</v>
      </c>
      <c r="BQ518" s="3083">
        <f t="shared" si="289"/>
        <v>0</v>
      </c>
      <c r="BR518" s="3083">
        <f t="shared" si="290"/>
        <v>0</v>
      </c>
      <c r="BS518" s="3083">
        <f t="shared" si="291"/>
        <v>0</v>
      </c>
      <c r="BT518" s="3135">
        <f t="shared" si="292"/>
        <v>0</v>
      </c>
    </row>
    <row r="519" spans="1:72">
      <c r="A519" s="3080"/>
      <c r="B519" s="3081"/>
      <c r="C519" s="3081"/>
      <c r="D519" s="3082"/>
      <c r="E519" s="3083">
        <f t="shared" si="293"/>
        <v>0</v>
      </c>
      <c r="F519" s="3084"/>
      <c r="G519" s="3085">
        <f t="shared" si="268"/>
        <v>0</v>
      </c>
      <c r="H519" s="3086">
        <f t="shared" si="269"/>
        <v>0</v>
      </c>
      <c r="I519" s="3093"/>
      <c r="J519" s="3093"/>
      <c r="K519" s="3093"/>
      <c r="L519" s="3093"/>
      <c r="M519" s="3093"/>
      <c r="N519" s="3093"/>
      <c r="O519" s="3093"/>
      <c r="P519" s="3093"/>
      <c r="Q519" s="3093"/>
      <c r="R519" s="3093"/>
      <c r="S519" s="3093"/>
      <c r="T519" s="3093"/>
      <c r="U519" s="3093"/>
      <c r="V519" s="3093"/>
      <c r="W519" s="3093"/>
      <c r="X519" s="3093"/>
      <c r="Y519" s="3093"/>
      <c r="Z519" s="3093"/>
      <c r="AA519" s="3093"/>
      <c r="AB519" s="3093"/>
      <c r="AC519" s="3083">
        <f t="shared" si="270"/>
        <v>0</v>
      </c>
      <c r="AD519" s="3103"/>
      <c r="AE519" s="3103"/>
      <c r="AF519" s="3103"/>
      <c r="AG519" s="3103"/>
      <c r="AH519" s="3103"/>
      <c r="AI519" s="3103"/>
      <c r="AJ519" s="3103"/>
      <c r="AK519" s="3103"/>
      <c r="AL519" s="3103"/>
      <c r="AM519" s="3103"/>
      <c r="AN519" s="3103"/>
      <c r="AO519" s="3103"/>
      <c r="AP519" s="3103"/>
      <c r="AQ519" s="3103"/>
      <c r="AR519" s="3103"/>
      <c r="AS519" s="3103"/>
      <c r="AT519" s="3113"/>
      <c r="AU519" s="3114"/>
      <c r="AV519" s="1580">
        <f t="shared" si="294"/>
        <v>0</v>
      </c>
      <c r="AW519" s="1580">
        <f t="shared" si="295"/>
        <v>0</v>
      </c>
      <c r="AX519" s="1580">
        <f t="shared" si="296"/>
        <v>0</v>
      </c>
      <c r="AY519" s="3128">
        <f t="shared" si="271"/>
        <v>0</v>
      </c>
      <c r="AZ519" s="3083">
        <f t="shared" si="272"/>
        <v>0</v>
      </c>
      <c r="BA519" s="3083">
        <f t="shared" si="273"/>
        <v>0</v>
      </c>
      <c r="BB519" s="3083">
        <f t="shared" si="274"/>
        <v>0</v>
      </c>
      <c r="BC519" s="3083">
        <f t="shared" si="275"/>
        <v>0</v>
      </c>
      <c r="BD519" s="3083">
        <f t="shared" si="276"/>
        <v>0</v>
      </c>
      <c r="BE519" s="3083">
        <f t="shared" si="277"/>
        <v>0</v>
      </c>
      <c r="BF519" s="3083">
        <f t="shared" si="278"/>
        <v>0</v>
      </c>
      <c r="BG519" s="3083">
        <f t="shared" si="279"/>
        <v>0</v>
      </c>
      <c r="BH519" s="3083">
        <f t="shared" si="280"/>
        <v>0</v>
      </c>
      <c r="BI519" s="3083">
        <f t="shared" si="281"/>
        <v>0</v>
      </c>
      <c r="BJ519" s="3083">
        <f t="shared" si="282"/>
        <v>0</v>
      </c>
      <c r="BK519" s="3083">
        <f t="shared" si="283"/>
        <v>0</v>
      </c>
      <c r="BL519" s="3083">
        <f t="shared" si="284"/>
        <v>0</v>
      </c>
      <c r="BM519" s="3083">
        <f t="shared" si="285"/>
        <v>0</v>
      </c>
      <c r="BN519" s="3083">
        <f t="shared" si="286"/>
        <v>0</v>
      </c>
      <c r="BO519" s="3083">
        <f t="shared" si="287"/>
        <v>0</v>
      </c>
      <c r="BP519" s="3083">
        <f t="shared" si="288"/>
        <v>0</v>
      </c>
      <c r="BQ519" s="3083">
        <f t="shared" si="289"/>
        <v>0</v>
      </c>
      <c r="BR519" s="3083">
        <f t="shared" si="290"/>
        <v>0</v>
      </c>
      <c r="BS519" s="3083">
        <f t="shared" si="291"/>
        <v>0</v>
      </c>
      <c r="BT519" s="3135">
        <f t="shared" si="292"/>
        <v>0</v>
      </c>
    </row>
    <row r="520" spans="1:72">
      <c r="A520" s="3080"/>
      <c r="B520" s="3081"/>
      <c r="C520" s="3081"/>
      <c r="D520" s="3082"/>
      <c r="E520" s="3083">
        <f t="shared" ref="E520:E551" si="297">IF($C$3="是",ROUND($A$3*G520/$B$3,2),ROUND($A$3*(G520-AT520)/$B$3,2))</f>
        <v>0</v>
      </c>
      <c r="F520" s="3084"/>
      <c r="G520" s="3085">
        <f t="shared" si="268"/>
        <v>0</v>
      </c>
      <c r="H520" s="3086">
        <f t="shared" si="269"/>
        <v>0</v>
      </c>
      <c r="I520" s="3093"/>
      <c r="J520" s="3093"/>
      <c r="K520" s="3093"/>
      <c r="L520" s="3093"/>
      <c r="M520" s="3093"/>
      <c r="N520" s="3093"/>
      <c r="O520" s="3093"/>
      <c r="P520" s="3093"/>
      <c r="Q520" s="3093"/>
      <c r="R520" s="3093"/>
      <c r="S520" s="3093"/>
      <c r="T520" s="3093"/>
      <c r="U520" s="3093"/>
      <c r="V520" s="3093"/>
      <c r="W520" s="3093"/>
      <c r="X520" s="3093"/>
      <c r="Y520" s="3093"/>
      <c r="Z520" s="3093"/>
      <c r="AA520" s="3093"/>
      <c r="AB520" s="3093"/>
      <c r="AC520" s="3083">
        <f t="shared" si="270"/>
        <v>0</v>
      </c>
      <c r="AD520" s="3103"/>
      <c r="AE520" s="3103"/>
      <c r="AF520" s="3103"/>
      <c r="AG520" s="3103"/>
      <c r="AH520" s="3103"/>
      <c r="AI520" s="3103"/>
      <c r="AJ520" s="3103"/>
      <c r="AK520" s="3103"/>
      <c r="AL520" s="3103"/>
      <c r="AM520" s="3103"/>
      <c r="AN520" s="3103"/>
      <c r="AO520" s="3103"/>
      <c r="AP520" s="3103"/>
      <c r="AQ520" s="3103"/>
      <c r="AR520" s="3103"/>
      <c r="AS520" s="3103"/>
      <c r="AT520" s="3113"/>
      <c r="AU520" s="3114"/>
      <c r="AV520" s="1580">
        <f t="shared" si="294"/>
        <v>0</v>
      </c>
      <c r="AW520" s="1580">
        <f t="shared" si="295"/>
        <v>0</v>
      </c>
      <c r="AX520" s="1580">
        <f t="shared" si="296"/>
        <v>0</v>
      </c>
      <c r="AY520" s="3128">
        <f t="shared" si="271"/>
        <v>0</v>
      </c>
      <c r="AZ520" s="3083">
        <f t="shared" si="272"/>
        <v>0</v>
      </c>
      <c r="BA520" s="3083">
        <f t="shared" si="273"/>
        <v>0</v>
      </c>
      <c r="BB520" s="3083">
        <f t="shared" si="274"/>
        <v>0</v>
      </c>
      <c r="BC520" s="3083">
        <f t="shared" si="275"/>
        <v>0</v>
      </c>
      <c r="BD520" s="3083">
        <f t="shared" si="276"/>
        <v>0</v>
      </c>
      <c r="BE520" s="3083">
        <f t="shared" si="277"/>
        <v>0</v>
      </c>
      <c r="BF520" s="3083">
        <f t="shared" si="278"/>
        <v>0</v>
      </c>
      <c r="BG520" s="3083">
        <f t="shared" si="279"/>
        <v>0</v>
      </c>
      <c r="BH520" s="3083">
        <f t="shared" si="280"/>
        <v>0</v>
      </c>
      <c r="BI520" s="3083">
        <f t="shared" si="281"/>
        <v>0</v>
      </c>
      <c r="BJ520" s="3083">
        <f t="shared" si="282"/>
        <v>0</v>
      </c>
      <c r="BK520" s="3083">
        <f t="shared" si="283"/>
        <v>0</v>
      </c>
      <c r="BL520" s="3083">
        <f t="shared" si="284"/>
        <v>0</v>
      </c>
      <c r="BM520" s="3083">
        <f t="shared" si="285"/>
        <v>0</v>
      </c>
      <c r="BN520" s="3083">
        <f t="shared" si="286"/>
        <v>0</v>
      </c>
      <c r="BO520" s="3083">
        <f t="shared" si="287"/>
        <v>0</v>
      </c>
      <c r="BP520" s="3083">
        <f t="shared" si="288"/>
        <v>0</v>
      </c>
      <c r="BQ520" s="3083">
        <f t="shared" si="289"/>
        <v>0</v>
      </c>
      <c r="BR520" s="3083">
        <f t="shared" si="290"/>
        <v>0</v>
      </c>
      <c r="BS520" s="3083">
        <f t="shared" si="291"/>
        <v>0</v>
      </c>
      <c r="BT520" s="3135">
        <f t="shared" si="292"/>
        <v>0</v>
      </c>
    </row>
    <row r="521" spans="1:72">
      <c r="A521" s="3080"/>
      <c r="B521" s="3081"/>
      <c r="C521" s="3081"/>
      <c r="D521" s="3082"/>
      <c r="E521" s="3083">
        <f t="shared" si="297"/>
        <v>0</v>
      </c>
      <c r="F521" s="3084"/>
      <c r="G521" s="3085">
        <f t="shared" si="268"/>
        <v>0</v>
      </c>
      <c r="H521" s="3086">
        <f t="shared" si="269"/>
        <v>0</v>
      </c>
      <c r="I521" s="3093"/>
      <c r="J521" s="3093"/>
      <c r="K521" s="3093"/>
      <c r="L521" s="3093"/>
      <c r="M521" s="3093"/>
      <c r="N521" s="3093"/>
      <c r="O521" s="3093"/>
      <c r="P521" s="3093"/>
      <c r="Q521" s="3093"/>
      <c r="R521" s="3093"/>
      <c r="S521" s="3093"/>
      <c r="T521" s="3093"/>
      <c r="U521" s="3093"/>
      <c r="V521" s="3093"/>
      <c r="W521" s="3093"/>
      <c r="X521" s="3093"/>
      <c r="Y521" s="3093"/>
      <c r="Z521" s="3093"/>
      <c r="AA521" s="3093"/>
      <c r="AB521" s="3093"/>
      <c r="AC521" s="3083">
        <f t="shared" si="270"/>
        <v>0</v>
      </c>
      <c r="AD521" s="3103"/>
      <c r="AE521" s="3103"/>
      <c r="AF521" s="3103"/>
      <c r="AG521" s="3103"/>
      <c r="AH521" s="3103"/>
      <c r="AI521" s="3103"/>
      <c r="AJ521" s="3103"/>
      <c r="AK521" s="3103"/>
      <c r="AL521" s="3103"/>
      <c r="AM521" s="3103"/>
      <c r="AN521" s="3103"/>
      <c r="AO521" s="3103"/>
      <c r="AP521" s="3103"/>
      <c r="AQ521" s="3103"/>
      <c r="AR521" s="3103"/>
      <c r="AS521" s="3103"/>
      <c r="AT521" s="3113"/>
      <c r="AU521" s="3114"/>
      <c r="AV521" s="1580">
        <f t="shared" ref="AV521:AV552" si="298">A521</f>
        <v>0</v>
      </c>
      <c r="AW521" s="1580">
        <f t="shared" ref="AW521:AW552" si="299">B521</f>
        <v>0</v>
      </c>
      <c r="AX521" s="1580">
        <f t="shared" ref="AX521:AX552" si="300">C521</f>
        <v>0</v>
      </c>
      <c r="AY521" s="3128">
        <f t="shared" si="271"/>
        <v>0</v>
      </c>
      <c r="AZ521" s="3083">
        <f t="shared" si="272"/>
        <v>0</v>
      </c>
      <c r="BA521" s="3083">
        <f t="shared" si="273"/>
        <v>0</v>
      </c>
      <c r="BB521" s="3083">
        <f t="shared" si="274"/>
        <v>0</v>
      </c>
      <c r="BC521" s="3083">
        <f t="shared" si="275"/>
        <v>0</v>
      </c>
      <c r="BD521" s="3083">
        <f t="shared" si="276"/>
        <v>0</v>
      </c>
      <c r="BE521" s="3083">
        <f t="shared" si="277"/>
        <v>0</v>
      </c>
      <c r="BF521" s="3083">
        <f t="shared" si="278"/>
        <v>0</v>
      </c>
      <c r="BG521" s="3083">
        <f t="shared" si="279"/>
        <v>0</v>
      </c>
      <c r="BH521" s="3083">
        <f t="shared" si="280"/>
        <v>0</v>
      </c>
      <c r="BI521" s="3083">
        <f t="shared" si="281"/>
        <v>0</v>
      </c>
      <c r="BJ521" s="3083">
        <f t="shared" si="282"/>
        <v>0</v>
      </c>
      <c r="BK521" s="3083">
        <f t="shared" si="283"/>
        <v>0</v>
      </c>
      <c r="BL521" s="3083">
        <f t="shared" si="284"/>
        <v>0</v>
      </c>
      <c r="BM521" s="3083">
        <f t="shared" si="285"/>
        <v>0</v>
      </c>
      <c r="BN521" s="3083">
        <f t="shared" si="286"/>
        <v>0</v>
      </c>
      <c r="BO521" s="3083">
        <f t="shared" si="287"/>
        <v>0</v>
      </c>
      <c r="BP521" s="3083">
        <f t="shared" si="288"/>
        <v>0</v>
      </c>
      <c r="BQ521" s="3083">
        <f t="shared" si="289"/>
        <v>0</v>
      </c>
      <c r="BR521" s="3083">
        <f t="shared" si="290"/>
        <v>0</v>
      </c>
      <c r="BS521" s="3083">
        <f t="shared" si="291"/>
        <v>0</v>
      </c>
      <c r="BT521" s="3135">
        <f t="shared" si="292"/>
        <v>0</v>
      </c>
    </row>
    <row r="522" spans="1:72">
      <c r="A522" s="3080"/>
      <c r="B522" s="3081"/>
      <c r="C522" s="3081"/>
      <c r="D522" s="3082"/>
      <c r="E522" s="3083">
        <f t="shared" si="297"/>
        <v>0</v>
      </c>
      <c r="F522" s="3084"/>
      <c r="G522" s="3085">
        <f t="shared" ref="G522:G552" si="301">H522+AC522+AT522</f>
        <v>0</v>
      </c>
      <c r="H522" s="3086">
        <f t="shared" ref="H522:H552" si="302">SUMIF(I$12:AB$12,"总值",I522:AB522)</f>
        <v>0</v>
      </c>
      <c r="I522" s="3093"/>
      <c r="J522" s="3093"/>
      <c r="K522" s="3093"/>
      <c r="L522" s="3093"/>
      <c r="M522" s="3093"/>
      <c r="N522" s="3093"/>
      <c r="O522" s="3093"/>
      <c r="P522" s="3093"/>
      <c r="Q522" s="3093"/>
      <c r="R522" s="3093"/>
      <c r="S522" s="3093"/>
      <c r="T522" s="3093"/>
      <c r="U522" s="3093"/>
      <c r="V522" s="3093"/>
      <c r="W522" s="3093"/>
      <c r="X522" s="3093"/>
      <c r="Y522" s="3093"/>
      <c r="Z522" s="3093"/>
      <c r="AA522" s="3093"/>
      <c r="AB522" s="3093"/>
      <c r="AC522" s="3083">
        <f t="shared" ref="AC522:AC552" si="303">SUMIF(AD$12:AS$12,"总值",AD522:AS522)</f>
        <v>0</v>
      </c>
      <c r="AD522" s="3103"/>
      <c r="AE522" s="3103"/>
      <c r="AF522" s="3103"/>
      <c r="AG522" s="3103"/>
      <c r="AH522" s="3103"/>
      <c r="AI522" s="3103"/>
      <c r="AJ522" s="3103"/>
      <c r="AK522" s="3103"/>
      <c r="AL522" s="3103"/>
      <c r="AM522" s="3103"/>
      <c r="AN522" s="3103"/>
      <c r="AO522" s="3103"/>
      <c r="AP522" s="3103"/>
      <c r="AQ522" s="3103"/>
      <c r="AR522" s="3103"/>
      <c r="AS522" s="3103"/>
      <c r="AT522" s="3113"/>
      <c r="AU522" s="3114"/>
      <c r="AV522" s="1580">
        <f t="shared" si="298"/>
        <v>0</v>
      </c>
      <c r="AW522" s="1580">
        <f t="shared" si="299"/>
        <v>0</v>
      </c>
      <c r="AX522" s="1580">
        <f t="shared" si="300"/>
        <v>0</v>
      </c>
      <c r="AY522" s="3128">
        <f t="shared" ref="AY522:AY552" si="304">ROUND($AY$6*AZ522/$AZ$5,2)</f>
        <v>0</v>
      </c>
      <c r="AZ522" s="3083">
        <f t="shared" ref="AZ522:AZ552" si="305">BA522+BL522</f>
        <v>0</v>
      </c>
      <c r="BA522" s="3083">
        <f t="shared" ref="BA522:BA552" si="306">SUM(BB522:BK522)</f>
        <v>0</v>
      </c>
      <c r="BB522" s="3083">
        <f t="shared" ref="BB522:BB552" si="307">IF($D522="是",I522-J522,0)</f>
        <v>0</v>
      </c>
      <c r="BC522" s="3083">
        <f t="shared" ref="BC522:BC552" si="308">IF($D522="是",K522-L522,0)</f>
        <v>0</v>
      </c>
      <c r="BD522" s="3083">
        <f t="shared" ref="BD522:BD552" si="309">IF($D522="是",M522-N522,0)</f>
        <v>0</v>
      </c>
      <c r="BE522" s="3083">
        <f t="shared" ref="BE522:BE552" si="310">IF($D522="是",O522-P522,0)</f>
        <v>0</v>
      </c>
      <c r="BF522" s="3083">
        <f t="shared" ref="BF522:BF552" si="311">IF($D522="是",Q522-R522,0)</f>
        <v>0</v>
      </c>
      <c r="BG522" s="3083">
        <f t="shared" ref="BG522:BG552" si="312">IF($D522="是",S522-T522,0)</f>
        <v>0</v>
      </c>
      <c r="BH522" s="3083">
        <f t="shared" ref="BH522:BH552" si="313">IF($D522="是",U522-V522,0)</f>
        <v>0</v>
      </c>
      <c r="BI522" s="3083">
        <f t="shared" ref="BI522:BI552" si="314">IF($D522="是",W522-X522,0)</f>
        <v>0</v>
      </c>
      <c r="BJ522" s="3083">
        <f t="shared" ref="BJ522:BJ552" si="315">IF($D522="是",Y522-Z522,0)</f>
        <v>0</v>
      </c>
      <c r="BK522" s="3083">
        <f t="shared" ref="BK522:BK552" si="316">IF($D522="是",AA522-AB522,0)</f>
        <v>0</v>
      </c>
      <c r="BL522" s="3083">
        <f t="shared" ref="BL522:BL552" si="317">SUM(BM522:BT522)</f>
        <v>0</v>
      </c>
      <c r="BM522" s="3083">
        <f t="shared" ref="BM522:BM552" si="318">IF($D522="是",AD522-AE522,0)</f>
        <v>0</v>
      </c>
      <c r="BN522" s="3083">
        <f t="shared" ref="BN522:BN552" si="319">IF($D522="是",AF522-AG522,0)</f>
        <v>0</v>
      </c>
      <c r="BO522" s="3083">
        <f t="shared" ref="BO522:BO552" si="320">IF($D522="是",AH522-AI522,0)</f>
        <v>0</v>
      </c>
      <c r="BP522" s="3083">
        <f t="shared" ref="BP522:BP552" si="321">IF($D522="是",AJ522-AK522,0)</f>
        <v>0</v>
      </c>
      <c r="BQ522" s="3083">
        <f t="shared" ref="BQ522:BQ552" si="322">IF($D522="是",AL522-AM522,0)</f>
        <v>0</v>
      </c>
      <c r="BR522" s="3083">
        <f t="shared" ref="BR522:BR552" si="323">IF($D522="是",AN522-AO522,0)</f>
        <v>0</v>
      </c>
      <c r="BS522" s="3083">
        <f t="shared" ref="BS522:BS552" si="324">IF($D522="是",AP522-AQ522,0)</f>
        <v>0</v>
      </c>
      <c r="BT522" s="3135">
        <f t="shared" ref="BT522:BT552" si="325">IF($D522="是",AR522-AS522,0)</f>
        <v>0</v>
      </c>
    </row>
    <row r="523" spans="1:72">
      <c r="A523" s="3080"/>
      <c r="B523" s="3081"/>
      <c r="C523" s="3081"/>
      <c r="D523" s="3082"/>
      <c r="E523" s="3083">
        <f t="shared" si="297"/>
        <v>0</v>
      </c>
      <c r="F523" s="3084"/>
      <c r="G523" s="3085">
        <f t="shared" si="301"/>
        <v>0</v>
      </c>
      <c r="H523" s="3086">
        <f t="shared" si="302"/>
        <v>0</v>
      </c>
      <c r="I523" s="3093"/>
      <c r="J523" s="3093"/>
      <c r="K523" s="3093"/>
      <c r="L523" s="3093"/>
      <c r="M523" s="3093"/>
      <c r="N523" s="3093"/>
      <c r="O523" s="3093"/>
      <c r="P523" s="3093"/>
      <c r="Q523" s="3093"/>
      <c r="R523" s="3093"/>
      <c r="S523" s="3093"/>
      <c r="T523" s="3093"/>
      <c r="U523" s="3093"/>
      <c r="V523" s="3093"/>
      <c r="W523" s="3093"/>
      <c r="X523" s="3093"/>
      <c r="Y523" s="3093"/>
      <c r="Z523" s="3093"/>
      <c r="AA523" s="3093"/>
      <c r="AB523" s="3093"/>
      <c r="AC523" s="3083">
        <f t="shared" si="303"/>
        <v>0</v>
      </c>
      <c r="AD523" s="3103"/>
      <c r="AE523" s="3103"/>
      <c r="AF523" s="3103"/>
      <c r="AG523" s="3103"/>
      <c r="AH523" s="3103"/>
      <c r="AI523" s="3103"/>
      <c r="AJ523" s="3103"/>
      <c r="AK523" s="3103"/>
      <c r="AL523" s="3103"/>
      <c r="AM523" s="3103"/>
      <c r="AN523" s="3103"/>
      <c r="AO523" s="3103"/>
      <c r="AP523" s="3103"/>
      <c r="AQ523" s="3103"/>
      <c r="AR523" s="3103"/>
      <c r="AS523" s="3103"/>
      <c r="AT523" s="3113"/>
      <c r="AU523" s="3114"/>
      <c r="AV523" s="1580">
        <f t="shared" si="298"/>
        <v>0</v>
      </c>
      <c r="AW523" s="1580">
        <f t="shared" si="299"/>
        <v>0</v>
      </c>
      <c r="AX523" s="1580">
        <f t="shared" si="300"/>
        <v>0</v>
      </c>
      <c r="AY523" s="3128">
        <f t="shared" si="304"/>
        <v>0</v>
      </c>
      <c r="AZ523" s="3083">
        <f t="shared" si="305"/>
        <v>0</v>
      </c>
      <c r="BA523" s="3083">
        <f t="shared" si="306"/>
        <v>0</v>
      </c>
      <c r="BB523" s="3083">
        <f t="shared" si="307"/>
        <v>0</v>
      </c>
      <c r="BC523" s="3083">
        <f t="shared" si="308"/>
        <v>0</v>
      </c>
      <c r="BD523" s="3083">
        <f t="shared" si="309"/>
        <v>0</v>
      </c>
      <c r="BE523" s="3083">
        <f t="shared" si="310"/>
        <v>0</v>
      </c>
      <c r="BF523" s="3083">
        <f t="shared" si="311"/>
        <v>0</v>
      </c>
      <c r="BG523" s="3083">
        <f t="shared" si="312"/>
        <v>0</v>
      </c>
      <c r="BH523" s="3083">
        <f t="shared" si="313"/>
        <v>0</v>
      </c>
      <c r="BI523" s="3083">
        <f t="shared" si="314"/>
        <v>0</v>
      </c>
      <c r="BJ523" s="3083">
        <f t="shared" si="315"/>
        <v>0</v>
      </c>
      <c r="BK523" s="3083">
        <f t="shared" si="316"/>
        <v>0</v>
      </c>
      <c r="BL523" s="3083">
        <f t="shared" si="317"/>
        <v>0</v>
      </c>
      <c r="BM523" s="3083">
        <f t="shared" si="318"/>
        <v>0</v>
      </c>
      <c r="BN523" s="3083">
        <f t="shared" si="319"/>
        <v>0</v>
      </c>
      <c r="BO523" s="3083">
        <f t="shared" si="320"/>
        <v>0</v>
      </c>
      <c r="BP523" s="3083">
        <f t="shared" si="321"/>
        <v>0</v>
      </c>
      <c r="BQ523" s="3083">
        <f t="shared" si="322"/>
        <v>0</v>
      </c>
      <c r="BR523" s="3083">
        <f t="shared" si="323"/>
        <v>0</v>
      </c>
      <c r="BS523" s="3083">
        <f t="shared" si="324"/>
        <v>0</v>
      </c>
      <c r="BT523" s="3135">
        <f t="shared" si="325"/>
        <v>0</v>
      </c>
    </row>
    <row r="524" spans="1:72">
      <c r="A524" s="3080"/>
      <c r="B524" s="3081"/>
      <c r="C524" s="3081"/>
      <c r="D524" s="3082"/>
      <c r="E524" s="3083">
        <f t="shared" si="297"/>
        <v>0</v>
      </c>
      <c r="F524" s="3084"/>
      <c r="G524" s="3085">
        <f t="shared" si="301"/>
        <v>0</v>
      </c>
      <c r="H524" s="3086">
        <f t="shared" si="302"/>
        <v>0</v>
      </c>
      <c r="I524" s="3093"/>
      <c r="J524" s="3093"/>
      <c r="K524" s="3093"/>
      <c r="L524" s="3093"/>
      <c r="M524" s="3093"/>
      <c r="N524" s="3093"/>
      <c r="O524" s="3093"/>
      <c r="P524" s="3093"/>
      <c r="Q524" s="3093"/>
      <c r="R524" s="3093"/>
      <c r="S524" s="3093"/>
      <c r="T524" s="3093"/>
      <c r="U524" s="3093"/>
      <c r="V524" s="3093"/>
      <c r="W524" s="3093"/>
      <c r="X524" s="3093"/>
      <c r="Y524" s="3093"/>
      <c r="Z524" s="3093"/>
      <c r="AA524" s="3093"/>
      <c r="AB524" s="3093"/>
      <c r="AC524" s="3083">
        <f t="shared" si="303"/>
        <v>0</v>
      </c>
      <c r="AD524" s="3103"/>
      <c r="AE524" s="3103"/>
      <c r="AF524" s="3103"/>
      <c r="AG524" s="3103"/>
      <c r="AH524" s="3103"/>
      <c r="AI524" s="3103"/>
      <c r="AJ524" s="3103"/>
      <c r="AK524" s="3103"/>
      <c r="AL524" s="3103"/>
      <c r="AM524" s="3103"/>
      <c r="AN524" s="3103"/>
      <c r="AO524" s="3103"/>
      <c r="AP524" s="3103"/>
      <c r="AQ524" s="3103"/>
      <c r="AR524" s="3103"/>
      <c r="AS524" s="3103"/>
      <c r="AT524" s="3113"/>
      <c r="AU524" s="3114"/>
      <c r="AV524" s="1580">
        <f t="shared" si="298"/>
        <v>0</v>
      </c>
      <c r="AW524" s="1580">
        <f t="shared" si="299"/>
        <v>0</v>
      </c>
      <c r="AX524" s="1580">
        <f t="shared" si="300"/>
        <v>0</v>
      </c>
      <c r="AY524" s="3128">
        <f t="shared" si="304"/>
        <v>0</v>
      </c>
      <c r="AZ524" s="3083">
        <f t="shared" si="305"/>
        <v>0</v>
      </c>
      <c r="BA524" s="3083">
        <f t="shared" si="306"/>
        <v>0</v>
      </c>
      <c r="BB524" s="3083">
        <f t="shared" si="307"/>
        <v>0</v>
      </c>
      <c r="BC524" s="3083">
        <f t="shared" si="308"/>
        <v>0</v>
      </c>
      <c r="BD524" s="3083">
        <f t="shared" si="309"/>
        <v>0</v>
      </c>
      <c r="BE524" s="3083">
        <f t="shared" si="310"/>
        <v>0</v>
      </c>
      <c r="BF524" s="3083">
        <f t="shared" si="311"/>
        <v>0</v>
      </c>
      <c r="BG524" s="3083">
        <f t="shared" si="312"/>
        <v>0</v>
      </c>
      <c r="BH524" s="3083">
        <f t="shared" si="313"/>
        <v>0</v>
      </c>
      <c r="BI524" s="3083">
        <f t="shared" si="314"/>
        <v>0</v>
      </c>
      <c r="BJ524" s="3083">
        <f t="shared" si="315"/>
        <v>0</v>
      </c>
      <c r="BK524" s="3083">
        <f t="shared" si="316"/>
        <v>0</v>
      </c>
      <c r="BL524" s="3083">
        <f t="shared" si="317"/>
        <v>0</v>
      </c>
      <c r="BM524" s="3083">
        <f t="shared" si="318"/>
        <v>0</v>
      </c>
      <c r="BN524" s="3083">
        <f t="shared" si="319"/>
        <v>0</v>
      </c>
      <c r="BO524" s="3083">
        <f t="shared" si="320"/>
        <v>0</v>
      </c>
      <c r="BP524" s="3083">
        <f t="shared" si="321"/>
        <v>0</v>
      </c>
      <c r="BQ524" s="3083">
        <f t="shared" si="322"/>
        <v>0</v>
      </c>
      <c r="BR524" s="3083">
        <f t="shared" si="323"/>
        <v>0</v>
      </c>
      <c r="BS524" s="3083">
        <f t="shared" si="324"/>
        <v>0</v>
      </c>
      <c r="BT524" s="3135">
        <f t="shared" si="325"/>
        <v>0</v>
      </c>
    </row>
    <row r="525" spans="1:72">
      <c r="A525" s="3080"/>
      <c r="B525" s="3081"/>
      <c r="C525" s="3081"/>
      <c r="D525" s="3082"/>
      <c r="E525" s="3083">
        <f t="shared" si="297"/>
        <v>0</v>
      </c>
      <c r="F525" s="3084"/>
      <c r="G525" s="3085">
        <f t="shared" si="301"/>
        <v>0</v>
      </c>
      <c r="H525" s="3086">
        <f t="shared" si="302"/>
        <v>0</v>
      </c>
      <c r="I525" s="3093"/>
      <c r="J525" s="3093"/>
      <c r="K525" s="3093"/>
      <c r="L525" s="3093"/>
      <c r="M525" s="3093"/>
      <c r="N525" s="3093"/>
      <c r="O525" s="3093"/>
      <c r="P525" s="3093"/>
      <c r="Q525" s="3093"/>
      <c r="R525" s="3093"/>
      <c r="S525" s="3093"/>
      <c r="T525" s="3093"/>
      <c r="U525" s="3093"/>
      <c r="V525" s="3093"/>
      <c r="W525" s="3093"/>
      <c r="X525" s="3093"/>
      <c r="Y525" s="3093"/>
      <c r="Z525" s="3093"/>
      <c r="AA525" s="3093"/>
      <c r="AB525" s="3093"/>
      <c r="AC525" s="3083">
        <f t="shared" si="303"/>
        <v>0</v>
      </c>
      <c r="AD525" s="3103"/>
      <c r="AE525" s="3103"/>
      <c r="AF525" s="3103"/>
      <c r="AG525" s="3103"/>
      <c r="AH525" s="3103"/>
      <c r="AI525" s="3103"/>
      <c r="AJ525" s="3103"/>
      <c r="AK525" s="3103"/>
      <c r="AL525" s="3103"/>
      <c r="AM525" s="3103"/>
      <c r="AN525" s="3103"/>
      <c r="AO525" s="3103"/>
      <c r="AP525" s="3103"/>
      <c r="AQ525" s="3103"/>
      <c r="AR525" s="3103"/>
      <c r="AS525" s="3103"/>
      <c r="AT525" s="3113"/>
      <c r="AU525" s="3114"/>
      <c r="AV525" s="1580">
        <f t="shared" si="298"/>
        <v>0</v>
      </c>
      <c r="AW525" s="1580">
        <f t="shared" si="299"/>
        <v>0</v>
      </c>
      <c r="AX525" s="1580">
        <f t="shared" si="300"/>
        <v>0</v>
      </c>
      <c r="AY525" s="3128">
        <f t="shared" si="304"/>
        <v>0</v>
      </c>
      <c r="AZ525" s="3083">
        <f t="shared" si="305"/>
        <v>0</v>
      </c>
      <c r="BA525" s="3083">
        <f t="shared" si="306"/>
        <v>0</v>
      </c>
      <c r="BB525" s="3083">
        <f t="shared" si="307"/>
        <v>0</v>
      </c>
      <c r="BC525" s="3083">
        <f t="shared" si="308"/>
        <v>0</v>
      </c>
      <c r="BD525" s="3083">
        <f t="shared" si="309"/>
        <v>0</v>
      </c>
      <c r="BE525" s="3083">
        <f t="shared" si="310"/>
        <v>0</v>
      </c>
      <c r="BF525" s="3083">
        <f t="shared" si="311"/>
        <v>0</v>
      </c>
      <c r="BG525" s="3083">
        <f t="shared" si="312"/>
        <v>0</v>
      </c>
      <c r="BH525" s="3083">
        <f t="shared" si="313"/>
        <v>0</v>
      </c>
      <c r="BI525" s="3083">
        <f t="shared" si="314"/>
        <v>0</v>
      </c>
      <c r="BJ525" s="3083">
        <f t="shared" si="315"/>
        <v>0</v>
      </c>
      <c r="BK525" s="3083">
        <f t="shared" si="316"/>
        <v>0</v>
      </c>
      <c r="BL525" s="3083">
        <f t="shared" si="317"/>
        <v>0</v>
      </c>
      <c r="BM525" s="3083">
        <f t="shared" si="318"/>
        <v>0</v>
      </c>
      <c r="BN525" s="3083">
        <f t="shared" si="319"/>
        <v>0</v>
      </c>
      <c r="BO525" s="3083">
        <f t="shared" si="320"/>
        <v>0</v>
      </c>
      <c r="BP525" s="3083">
        <f t="shared" si="321"/>
        <v>0</v>
      </c>
      <c r="BQ525" s="3083">
        <f t="shared" si="322"/>
        <v>0</v>
      </c>
      <c r="BR525" s="3083">
        <f t="shared" si="323"/>
        <v>0</v>
      </c>
      <c r="BS525" s="3083">
        <f t="shared" si="324"/>
        <v>0</v>
      </c>
      <c r="BT525" s="3135">
        <f t="shared" si="325"/>
        <v>0</v>
      </c>
    </row>
    <row r="526" spans="1:72">
      <c r="A526" s="3080"/>
      <c r="B526" s="3081"/>
      <c r="C526" s="3081"/>
      <c r="D526" s="3082"/>
      <c r="E526" s="3083">
        <f t="shared" si="297"/>
        <v>0</v>
      </c>
      <c r="F526" s="3084"/>
      <c r="G526" s="3085">
        <f t="shared" si="301"/>
        <v>0</v>
      </c>
      <c r="H526" s="3086">
        <f t="shared" si="302"/>
        <v>0</v>
      </c>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83">
        <f t="shared" si="303"/>
        <v>0</v>
      </c>
      <c r="AD526" s="3103"/>
      <c r="AE526" s="3103"/>
      <c r="AF526" s="3103"/>
      <c r="AG526" s="3103"/>
      <c r="AH526" s="3103"/>
      <c r="AI526" s="3103"/>
      <c r="AJ526" s="3103"/>
      <c r="AK526" s="3103"/>
      <c r="AL526" s="3103"/>
      <c r="AM526" s="3103"/>
      <c r="AN526" s="3103"/>
      <c r="AO526" s="3103"/>
      <c r="AP526" s="3103"/>
      <c r="AQ526" s="3103"/>
      <c r="AR526" s="3103"/>
      <c r="AS526" s="3103"/>
      <c r="AT526" s="3113"/>
      <c r="AU526" s="3114"/>
      <c r="AV526" s="1580">
        <f t="shared" si="298"/>
        <v>0</v>
      </c>
      <c r="AW526" s="1580">
        <f t="shared" si="299"/>
        <v>0</v>
      </c>
      <c r="AX526" s="1580">
        <f t="shared" si="300"/>
        <v>0</v>
      </c>
      <c r="AY526" s="3128">
        <f t="shared" si="304"/>
        <v>0</v>
      </c>
      <c r="AZ526" s="3083">
        <f t="shared" si="305"/>
        <v>0</v>
      </c>
      <c r="BA526" s="3083">
        <f t="shared" si="306"/>
        <v>0</v>
      </c>
      <c r="BB526" s="3083">
        <f t="shared" si="307"/>
        <v>0</v>
      </c>
      <c r="BC526" s="3083">
        <f t="shared" si="308"/>
        <v>0</v>
      </c>
      <c r="BD526" s="3083">
        <f t="shared" si="309"/>
        <v>0</v>
      </c>
      <c r="BE526" s="3083">
        <f t="shared" si="310"/>
        <v>0</v>
      </c>
      <c r="BF526" s="3083">
        <f t="shared" si="311"/>
        <v>0</v>
      </c>
      <c r="BG526" s="3083">
        <f t="shared" si="312"/>
        <v>0</v>
      </c>
      <c r="BH526" s="3083">
        <f t="shared" si="313"/>
        <v>0</v>
      </c>
      <c r="BI526" s="3083">
        <f t="shared" si="314"/>
        <v>0</v>
      </c>
      <c r="BJ526" s="3083">
        <f t="shared" si="315"/>
        <v>0</v>
      </c>
      <c r="BK526" s="3083">
        <f t="shared" si="316"/>
        <v>0</v>
      </c>
      <c r="BL526" s="3083">
        <f t="shared" si="317"/>
        <v>0</v>
      </c>
      <c r="BM526" s="3083">
        <f t="shared" si="318"/>
        <v>0</v>
      </c>
      <c r="BN526" s="3083">
        <f t="shared" si="319"/>
        <v>0</v>
      </c>
      <c r="BO526" s="3083">
        <f t="shared" si="320"/>
        <v>0</v>
      </c>
      <c r="BP526" s="3083">
        <f t="shared" si="321"/>
        <v>0</v>
      </c>
      <c r="BQ526" s="3083">
        <f t="shared" si="322"/>
        <v>0</v>
      </c>
      <c r="BR526" s="3083">
        <f t="shared" si="323"/>
        <v>0</v>
      </c>
      <c r="BS526" s="3083">
        <f t="shared" si="324"/>
        <v>0</v>
      </c>
      <c r="BT526" s="3135">
        <f t="shared" si="325"/>
        <v>0</v>
      </c>
    </row>
    <row r="527" spans="1:72">
      <c r="A527" s="3080"/>
      <c r="B527" s="3081"/>
      <c r="C527" s="3081"/>
      <c r="D527" s="3082"/>
      <c r="E527" s="3083">
        <f t="shared" si="297"/>
        <v>0</v>
      </c>
      <c r="F527" s="3084"/>
      <c r="G527" s="3085">
        <f t="shared" si="301"/>
        <v>0</v>
      </c>
      <c r="H527" s="3086">
        <f t="shared" si="302"/>
        <v>0</v>
      </c>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83">
        <f t="shared" si="303"/>
        <v>0</v>
      </c>
      <c r="AD527" s="3103"/>
      <c r="AE527" s="3103"/>
      <c r="AF527" s="3103"/>
      <c r="AG527" s="3103"/>
      <c r="AH527" s="3103"/>
      <c r="AI527" s="3103"/>
      <c r="AJ527" s="3103"/>
      <c r="AK527" s="3103"/>
      <c r="AL527" s="3103"/>
      <c r="AM527" s="3103"/>
      <c r="AN527" s="3103"/>
      <c r="AO527" s="3103"/>
      <c r="AP527" s="3103"/>
      <c r="AQ527" s="3103"/>
      <c r="AR527" s="3103"/>
      <c r="AS527" s="3103"/>
      <c r="AT527" s="3113"/>
      <c r="AU527" s="3114"/>
      <c r="AV527" s="1580">
        <f t="shared" si="298"/>
        <v>0</v>
      </c>
      <c r="AW527" s="1580">
        <f t="shared" si="299"/>
        <v>0</v>
      </c>
      <c r="AX527" s="1580">
        <f t="shared" si="300"/>
        <v>0</v>
      </c>
      <c r="AY527" s="3128">
        <f t="shared" si="304"/>
        <v>0</v>
      </c>
      <c r="AZ527" s="3083">
        <f t="shared" si="305"/>
        <v>0</v>
      </c>
      <c r="BA527" s="3083">
        <f t="shared" si="306"/>
        <v>0</v>
      </c>
      <c r="BB527" s="3083">
        <f t="shared" si="307"/>
        <v>0</v>
      </c>
      <c r="BC527" s="3083">
        <f t="shared" si="308"/>
        <v>0</v>
      </c>
      <c r="BD527" s="3083">
        <f t="shared" si="309"/>
        <v>0</v>
      </c>
      <c r="BE527" s="3083">
        <f t="shared" si="310"/>
        <v>0</v>
      </c>
      <c r="BF527" s="3083">
        <f t="shared" si="311"/>
        <v>0</v>
      </c>
      <c r="BG527" s="3083">
        <f t="shared" si="312"/>
        <v>0</v>
      </c>
      <c r="BH527" s="3083">
        <f t="shared" si="313"/>
        <v>0</v>
      </c>
      <c r="BI527" s="3083">
        <f t="shared" si="314"/>
        <v>0</v>
      </c>
      <c r="BJ527" s="3083">
        <f t="shared" si="315"/>
        <v>0</v>
      </c>
      <c r="BK527" s="3083">
        <f t="shared" si="316"/>
        <v>0</v>
      </c>
      <c r="BL527" s="3083">
        <f t="shared" si="317"/>
        <v>0</v>
      </c>
      <c r="BM527" s="3083">
        <f t="shared" si="318"/>
        <v>0</v>
      </c>
      <c r="BN527" s="3083">
        <f t="shared" si="319"/>
        <v>0</v>
      </c>
      <c r="BO527" s="3083">
        <f t="shared" si="320"/>
        <v>0</v>
      </c>
      <c r="BP527" s="3083">
        <f t="shared" si="321"/>
        <v>0</v>
      </c>
      <c r="BQ527" s="3083">
        <f t="shared" si="322"/>
        <v>0</v>
      </c>
      <c r="BR527" s="3083">
        <f t="shared" si="323"/>
        <v>0</v>
      </c>
      <c r="BS527" s="3083">
        <f t="shared" si="324"/>
        <v>0</v>
      </c>
      <c r="BT527" s="3135">
        <f t="shared" si="325"/>
        <v>0</v>
      </c>
    </row>
    <row r="528" spans="1:72">
      <c r="A528" s="3080"/>
      <c r="B528" s="3081"/>
      <c r="C528" s="3081"/>
      <c r="D528" s="3082"/>
      <c r="E528" s="3083">
        <f t="shared" si="297"/>
        <v>0</v>
      </c>
      <c r="F528" s="3084"/>
      <c r="G528" s="3085">
        <f t="shared" si="301"/>
        <v>0</v>
      </c>
      <c r="H528" s="3086">
        <f t="shared" si="302"/>
        <v>0</v>
      </c>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83">
        <f t="shared" si="303"/>
        <v>0</v>
      </c>
      <c r="AD528" s="3103"/>
      <c r="AE528" s="3103"/>
      <c r="AF528" s="3103"/>
      <c r="AG528" s="3103"/>
      <c r="AH528" s="3103"/>
      <c r="AI528" s="3103"/>
      <c r="AJ528" s="3103"/>
      <c r="AK528" s="3103"/>
      <c r="AL528" s="3103"/>
      <c r="AM528" s="3103"/>
      <c r="AN528" s="3103"/>
      <c r="AO528" s="3103"/>
      <c r="AP528" s="3103"/>
      <c r="AQ528" s="3103"/>
      <c r="AR528" s="3103"/>
      <c r="AS528" s="3103"/>
      <c r="AT528" s="3113"/>
      <c r="AU528" s="3114"/>
      <c r="AV528" s="1580">
        <f t="shared" si="298"/>
        <v>0</v>
      </c>
      <c r="AW528" s="1580">
        <f t="shared" si="299"/>
        <v>0</v>
      </c>
      <c r="AX528" s="1580">
        <f t="shared" si="300"/>
        <v>0</v>
      </c>
      <c r="AY528" s="3128">
        <f t="shared" si="304"/>
        <v>0</v>
      </c>
      <c r="AZ528" s="3083">
        <f t="shared" si="305"/>
        <v>0</v>
      </c>
      <c r="BA528" s="3083">
        <f t="shared" si="306"/>
        <v>0</v>
      </c>
      <c r="BB528" s="3083">
        <f t="shared" si="307"/>
        <v>0</v>
      </c>
      <c r="BC528" s="3083">
        <f t="shared" si="308"/>
        <v>0</v>
      </c>
      <c r="BD528" s="3083">
        <f t="shared" si="309"/>
        <v>0</v>
      </c>
      <c r="BE528" s="3083">
        <f t="shared" si="310"/>
        <v>0</v>
      </c>
      <c r="BF528" s="3083">
        <f t="shared" si="311"/>
        <v>0</v>
      </c>
      <c r="BG528" s="3083">
        <f t="shared" si="312"/>
        <v>0</v>
      </c>
      <c r="BH528" s="3083">
        <f t="shared" si="313"/>
        <v>0</v>
      </c>
      <c r="BI528" s="3083">
        <f t="shared" si="314"/>
        <v>0</v>
      </c>
      <c r="BJ528" s="3083">
        <f t="shared" si="315"/>
        <v>0</v>
      </c>
      <c r="BK528" s="3083">
        <f t="shared" si="316"/>
        <v>0</v>
      </c>
      <c r="BL528" s="3083">
        <f t="shared" si="317"/>
        <v>0</v>
      </c>
      <c r="BM528" s="3083">
        <f t="shared" si="318"/>
        <v>0</v>
      </c>
      <c r="BN528" s="3083">
        <f t="shared" si="319"/>
        <v>0</v>
      </c>
      <c r="BO528" s="3083">
        <f t="shared" si="320"/>
        <v>0</v>
      </c>
      <c r="BP528" s="3083">
        <f t="shared" si="321"/>
        <v>0</v>
      </c>
      <c r="BQ528" s="3083">
        <f t="shared" si="322"/>
        <v>0</v>
      </c>
      <c r="BR528" s="3083">
        <f t="shared" si="323"/>
        <v>0</v>
      </c>
      <c r="BS528" s="3083">
        <f t="shared" si="324"/>
        <v>0</v>
      </c>
      <c r="BT528" s="3135">
        <f t="shared" si="325"/>
        <v>0</v>
      </c>
    </row>
    <row r="529" spans="1:72">
      <c r="A529" s="3080"/>
      <c r="B529" s="3081"/>
      <c r="C529" s="3081"/>
      <c r="D529" s="3082"/>
      <c r="E529" s="3083">
        <f t="shared" si="297"/>
        <v>0</v>
      </c>
      <c r="F529" s="3084"/>
      <c r="G529" s="3085">
        <f t="shared" si="301"/>
        <v>0</v>
      </c>
      <c r="H529" s="3086">
        <f t="shared" si="302"/>
        <v>0</v>
      </c>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83">
        <f t="shared" si="303"/>
        <v>0</v>
      </c>
      <c r="AD529" s="3103"/>
      <c r="AE529" s="3103"/>
      <c r="AF529" s="3103"/>
      <c r="AG529" s="3103"/>
      <c r="AH529" s="3103"/>
      <c r="AI529" s="3103"/>
      <c r="AJ529" s="3103"/>
      <c r="AK529" s="3103"/>
      <c r="AL529" s="3103"/>
      <c r="AM529" s="3103"/>
      <c r="AN529" s="3103"/>
      <c r="AO529" s="3103"/>
      <c r="AP529" s="3103"/>
      <c r="AQ529" s="3103"/>
      <c r="AR529" s="3103"/>
      <c r="AS529" s="3103"/>
      <c r="AT529" s="3113"/>
      <c r="AU529" s="3114"/>
      <c r="AV529" s="1580">
        <f t="shared" si="298"/>
        <v>0</v>
      </c>
      <c r="AW529" s="1580">
        <f t="shared" si="299"/>
        <v>0</v>
      </c>
      <c r="AX529" s="1580">
        <f t="shared" si="300"/>
        <v>0</v>
      </c>
      <c r="AY529" s="3128">
        <f t="shared" si="304"/>
        <v>0</v>
      </c>
      <c r="AZ529" s="3083">
        <f t="shared" si="305"/>
        <v>0</v>
      </c>
      <c r="BA529" s="3083">
        <f t="shared" si="306"/>
        <v>0</v>
      </c>
      <c r="BB529" s="3083">
        <f t="shared" si="307"/>
        <v>0</v>
      </c>
      <c r="BC529" s="3083">
        <f t="shared" si="308"/>
        <v>0</v>
      </c>
      <c r="BD529" s="3083">
        <f t="shared" si="309"/>
        <v>0</v>
      </c>
      <c r="BE529" s="3083">
        <f t="shared" si="310"/>
        <v>0</v>
      </c>
      <c r="BF529" s="3083">
        <f t="shared" si="311"/>
        <v>0</v>
      </c>
      <c r="BG529" s="3083">
        <f t="shared" si="312"/>
        <v>0</v>
      </c>
      <c r="BH529" s="3083">
        <f t="shared" si="313"/>
        <v>0</v>
      </c>
      <c r="BI529" s="3083">
        <f t="shared" si="314"/>
        <v>0</v>
      </c>
      <c r="BJ529" s="3083">
        <f t="shared" si="315"/>
        <v>0</v>
      </c>
      <c r="BK529" s="3083">
        <f t="shared" si="316"/>
        <v>0</v>
      </c>
      <c r="BL529" s="3083">
        <f t="shared" si="317"/>
        <v>0</v>
      </c>
      <c r="BM529" s="3083">
        <f t="shared" si="318"/>
        <v>0</v>
      </c>
      <c r="BN529" s="3083">
        <f t="shared" si="319"/>
        <v>0</v>
      </c>
      <c r="BO529" s="3083">
        <f t="shared" si="320"/>
        <v>0</v>
      </c>
      <c r="BP529" s="3083">
        <f t="shared" si="321"/>
        <v>0</v>
      </c>
      <c r="BQ529" s="3083">
        <f t="shared" si="322"/>
        <v>0</v>
      </c>
      <c r="BR529" s="3083">
        <f t="shared" si="323"/>
        <v>0</v>
      </c>
      <c r="BS529" s="3083">
        <f t="shared" si="324"/>
        <v>0</v>
      </c>
      <c r="BT529" s="3135">
        <f t="shared" si="325"/>
        <v>0</v>
      </c>
    </row>
    <row r="530" spans="1:72">
      <c r="A530" s="3080"/>
      <c r="B530" s="3081"/>
      <c r="C530" s="3081"/>
      <c r="D530" s="3082"/>
      <c r="E530" s="3083">
        <f t="shared" si="297"/>
        <v>0</v>
      </c>
      <c r="F530" s="3084"/>
      <c r="G530" s="3085">
        <f t="shared" si="301"/>
        <v>0</v>
      </c>
      <c r="H530" s="3086">
        <f t="shared" si="302"/>
        <v>0</v>
      </c>
      <c r="I530" s="3093"/>
      <c r="J530" s="3093"/>
      <c r="K530" s="3093"/>
      <c r="L530" s="3093"/>
      <c r="M530" s="3093"/>
      <c r="N530" s="3093"/>
      <c r="O530" s="3093"/>
      <c r="P530" s="3093"/>
      <c r="Q530" s="3093"/>
      <c r="R530" s="3093"/>
      <c r="S530" s="3093"/>
      <c r="T530" s="3093"/>
      <c r="U530" s="3093"/>
      <c r="V530" s="3093"/>
      <c r="W530" s="3093"/>
      <c r="X530" s="3093"/>
      <c r="Y530" s="3093"/>
      <c r="Z530" s="3093"/>
      <c r="AA530" s="3093"/>
      <c r="AB530" s="3093"/>
      <c r="AC530" s="3083">
        <f t="shared" si="303"/>
        <v>0</v>
      </c>
      <c r="AD530" s="3103"/>
      <c r="AE530" s="3103"/>
      <c r="AF530" s="3103"/>
      <c r="AG530" s="3103"/>
      <c r="AH530" s="3103"/>
      <c r="AI530" s="3103"/>
      <c r="AJ530" s="3103"/>
      <c r="AK530" s="3103"/>
      <c r="AL530" s="3103"/>
      <c r="AM530" s="3103"/>
      <c r="AN530" s="3103"/>
      <c r="AO530" s="3103"/>
      <c r="AP530" s="3103"/>
      <c r="AQ530" s="3103"/>
      <c r="AR530" s="3103"/>
      <c r="AS530" s="3103"/>
      <c r="AT530" s="3113"/>
      <c r="AU530" s="3114"/>
      <c r="AV530" s="1580">
        <f t="shared" si="298"/>
        <v>0</v>
      </c>
      <c r="AW530" s="1580">
        <f t="shared" si="299"/>
        <v>0</v>
      </c>
      <c r="AX530" s="1580">
        <f t="shared" si="300"/>
        <v>0</v>
      </c>
      <c r="AY530" s="3128">
        <f t="shared" si="304"/>
        <v>0</v>
      </c>
      <c r="AZ530" s="3083">
        <f t="shared" si="305"/>
        <v>0</v>
      </c>
      <c r="BA530" s="3083">
        <f t="shared" si="306"/>
        <v>0</v>
      </c>
      <c r="BB530" s="3083">
        <f t="shared" si="307"/>
        <v>0</v>
      </c>
      <c r="BC530" s="3083">
        <f t="shared" si="308"/>
        <v>0</v>
      </c>
      <c r="BD530" s="3083">
        <f t="shared" si="309"/>
        <v>0</v>
      </c>
      <c r="BE530" s="3083">
        <f t="shared" si="310"/>
        <v>0</v>
      </c>
      <c r="BF530" s="3083">
        <f t="shared" si="311"/>
        <v>0</v>
      </c>
      <c r="BG530" s="3083">
        <f t="shared" si="312"/>
        <v>0</v>
      </c>
      <c r="BH530" s="3083">
        <f t="shared" si="313"/>
        <v>0</v>
      </c>
      <c r="BI530" s="3083">
        <f t="shared" si="314"/>
        <v>0</v>
      </c>
      <c r="BJ530" s="3083">
        <f t="shared" si="315"/>
        <v>0</v>
      </c>
      <c r="BK530" s="3083">
        <f t="shared" si="316"/>
        <v>0</v>
      </c>
      <c r="BL530" s="3083">
        <f t="shared" si="317"/>
        <v>0</v>
      </c>
      <c r="BM530" s="3083">
        <f t="shared" si="318"/>
        <v>0</v>
      </c>
      <c r="BN530" s="3083">
        <f t="shared" si="319"/>
        <v>0</v>
      </c>
      <c r="BO530" s="3083">
        <f t="shared" si="320"/>
        <v>0</v>
      </c>
      <c r="BP530" s="3083">
        <f t="shared" si="321"/>
        <v>0</v>
      </c>
      <c r="BQ530" s="3083">
        <f t="shared" si="322"/>
        <v>0</v>
      </c>
      <c r="BR530" s="3083">
        <f t="shared" si="323"/>
        <v>0</v>
      </c>
      <c r="BS530" s="3083">
        <f t="shared" si="324"/>
        <v>0</v>
      </c>
      <c r="BT530" s="3135">
        <f t="shared" si="325"/>
        <v>0</v>
      </c>
    </row>
    <row r="531" spans="1:72">
      <c r="A531" s="3080"/>
      <c r="B531" s="3081"/>
      <c r="C531" s="3081"/>
      <c r="D531" s="3082"/>
      <c r="E531" s="3083">
        <f t="shared" si="297"/>
        <v>0</v>
      </c>
      <c r="F531" s="3084"/>
      <c r="G531" s="3085">
        <f t="shared" si="301"/>
        <v>0</v>
      </c>
      <c r="H531" s="3086">
        <f t="shared" si="302"/>
        <v>0</v>
      </c>
      <c r="I531" s="3093"/>
      <c r="J531" s="3093"/>
      <c r="K531" s="3093"/>
      <c r="L531" s="3093"/>
      <c r="M531" s="3093"/>
      <c r="N531" s="3093"/>
      <c r="O531" s="3093"/>
      <c r="P531" s="3093"/>
      <c r="Q531" s="3093"/>
      <c r="R531" s="3093"/>
      <c r="S531" s="3093"/>
      <c r="T531" s="3093"/>
      <c r="U531" s="3093"/>
      <c r="V531" s="3093"/>
      <c r="W531" s="3093"/>
      <c r="X531" s="3093"/>
      <c r="Y531" s="3093"/>
      <c r="Z531" s="3093"/>
      <c r="AA531" s="3093"/>
      <c r="AB531" s="3093"/>
      <c r="AC531" s="3083">
        <f t="shared" si="303"/>
        <v>0</v>
      </c>
      <c r="AD531" s="3103"/>
      <c r="AE531" s="3103"/>
      <c r="AF531" s="3103"/>
      <c r="AG531" s="3103"/>
      <c r="AH531" s="3103"/>
      <c r="AI531" s="3103"/>
      <c r="AJ531" s="3103"/>
      <c r="AK531" s="3103"/>
      <c r="AL531" s="3103"/>
      <c r="AM531" s="3103"/>
      <c r="AN531" s="3103"/>
      <c r="AO531" s="3103"/>
      <c r="AP531" s="3103"/>
      <c r="AQ531" s="3103"/>
      <c r="AR531" s="3103"/>
      <c r="AS531" s="3103"/>
      <c r="AT531" s="3113"/>
      <c r="AU531" s="3114"/>
      <c r="AV531" s="1580">
        <f t="shared" si="298"/>
        <v>0</v>
      </c>
      <c r="AW531" s="1580">
        <f t="shared" si="299"/>
        <v>0</v>
      </c>
      <c r="AX531" s="1580">
        <f t="shared" si="300"/>
        <v>0</v>
      </c>
      <c r="AY531" s="3128">
        <f t="shared" si="304"/>
        <v>0</v>
      </c>
      <c r="AZ531" s="3083">
        <f t="shared" si="305"/>
        <v>0</v>
      </c>
      <c r="BA531" s="3083">
        <f t="shared" si="306"/>
        <v>0</v>
      </c>
      <c r="BB531" s="3083">
        <f t="shared" si="307"/>
        <v>0</v>
      </c>
      <c r="BC531" s="3083">
        <f t="shared" si="308"/>
        <v>0</v>
      </c>
      <c r="BD531" s="3083">
        <f t="shared" si="309"/>
        <v>0</v>
      </c>
      <c r="BE531" s="3083">
        <f t="shared" si="310"/>
        <v>0</v>
      </c>
      <c r="BF531" s="3083">
        <f t="shared" si="311"/>
        <v>0</v>
      </c>
      <c r="BG531" s="3083">
        <f t="shared" si="312"/>
        <v>0</v>
      </c>
      <c r="BH531" s="3083">
        <f t="shared" si="313"/>
        <v>0</v>
      </c>
      <c r="BI531" s="3083">
        <f t="shared" si="314"/>
        <v>0</v>
      </c>
      <c r="BJ531" s="3083">
        <f t="shared" si="315"/>
        <v>0</v>
      </c>
      <c r="BK531" s="3083">
        <f t="shared" si="316"/>
        <v>0</v>
      </c>
      <c r="BL531" s="3083">
        <f t="shared" si="317"/>
        <v>0</v>
      </c>
      <c r="BM531" s="3083">
        <f t="shared" si="318"/>
        <v>0</v>
      </c>
      <c r="BN531" s="3083">
        <f t="shared" si="319"/>
        <v>0</v>
      </c>
      <c r="BO531" s="3083">
        <f t="shared" si="320"/>
        <v>0</v>
      </c>
      <c r="BP531" s="3083">
        <f t="shared" si="321"/>
        <v>0</v>
      </c>
      <c r="BQ531" s="3083">
        <f t="shared" si="322"/>
        <v>0</v>
      </c>
      <c r="BR531" s="3083">
        <f t="shared" si="323"/>
        <v>0</v>
      </c>
      <c r="BS531" s="3083">
        <f t="shared" si="324"/>
        <v>0</v>
      </c>
      <c r="BT531" s="3135">
        <f t="shared" si="325"/>
        <v>0</v>
      </c>
    </row>
    <row r="532" spans="1:72">
      <c r="A532" s="3080"/>
      <c r="B532" s="3081"/>
      <c r="C532" s="3081"/>
      <c r="D532" s="3082"/>
      <c r="E532" s="3083">
        <f t="shared" si="297"/>
        <v>0</v>
      </c>
      <c r="F532" s="3084"/>
      <c r="G532" s="3085">
        <f t="shared" si="301"/>
        <v>0</v>
      </c>
      <c r="H532" s="3086">
        <f t="shared" si="302"/>
        <v>0</v>
      </c>
      <c r="I532" s="3093"/>
      <c r="J532" s="3093"/>
      <c r="K532" s="3093"/>
      <c r="L532" s="3093"/>
      <c r="M532" s="3093"/>
      <c r="N532" s="3093"/>
      <c r="O532" s="3093"/>
      <c r="P532" s="3093"/>
      <c r="Q532" s="3093"/>
      <c r="R532" s="3093"/>
      <c r="S532" s="3093"/>
      <c r="T532" s="3093"/>
      <c r="U532" s="3093"/>
      <c r="V532" s="3093"/>
      <c r="W532" s="3093"/>
      <c r="X532" s="3093"/>
      <c r="Y532" s="3093"/>
      <c r="Z532" s="3093"/>
      <c r="AA532" s="3093"/>
      <c r="AB532" s="3093"/>
      <c r="AC532" s="3083">
        <f t="shared" si="303"/>
        <v>0</v>
      </c>
      <c r="AD532" s="3103"/>
      <c r="AE532" s="3103"/>
      <c r="AF532" s="3103"/>
      <c r="AG532" s="3103"/>
      <c r="AH532" s="3103"/>
      <c r="AI532" s="3103"/>
      <c r="AJ532" s="3103"/>
      <c r="AK532" s="3103"/>
      <c r="AL532" s="3103"/>
      <c r="AM532" s="3103"/>
      <c r="AN532" s="3103"/>
      <c r="AO532" s="3103"/>
      <c r="AP532" s="3103"/>
      <c r="AQ532" s="3103"/>
      <c r="AR532" s="3103"/>
      <c r="AS532" s="3103"/>
      <c r="AT532" s="3113"/>
      <c r="AU532" s="3114"/>
      <c r="AV532" s="1580">
        <f t="shared" si="298"/>
        <v>0</v>
      </c>
      <c r="AW532" s="1580">
        <f t="shared" si="299"/>
        <v>0</v>
      </c>
      <c r="AX532" s="1580">
        <f t="shared" si="300"/>
        <v>0</v>
      </c>
      <c r="AY532" s="3128">
        <f t="shared" si="304"/>
        <v>0</v>
      </c>
      <c r="AZ532" s="3083">
        <f t="shared" si="305"/>
        <v>0</v>
      </c>
      <c r="BA532" s="3083">
        <f t="shared" si="306"/>
        <v>0</v>
      </c>
      <c r="BB532" s="3083">
        <f t="shared" si="307"/>
        <v>0</v>
      </c>
      <c r="BC532" s="3083">
        <f t="shared" si="308"/>
        <v>0</v>
      </c>
      <c r="BD532" s="3083">
        <f t="shared" si="309"/>
        <v>0</v>
      </c>
      <c r="BE532" s="3083">
        <f t="shared" si="310"/>
        <v>0</v>
      </c>
      <c r="BF532" s="3083">
        <f t="shared" si="311"/>
        <v>0</v>
      </c>
      <c r="BG532" s="3083">
        <f t="shared" si="312"/>
        <v>0</v>
      </c>
      <c r="BH532" s="3083">
        <f t="shared" si="313"/>
        <v>0</v>
      </c>
      <c r="BI532" s="3083">
        <f t="shared" si="314"/>
        <v>0</v>
      </c>
      <c r="BJ532" s="3083">
        <f t="shared" si="315"/>
        <v>0</v>
      </c>
      <c r="BK532" s="3083">
        <f t="shared" si="316"/>
        <v>0</v>
      </c>
      <c r="BL532" s="3083">
        <f t="shared" si="317"/>
        <v>0</v>
      </c>
      <c r="BM532" s="3083">
        <f t="shared" si="318"/>
        <v>0</v>
      </c>
      <c r="BN532" s="3083">
        <f t="shared" si="319"/>
        <v>0</v>
      </c>
      <c r="BO532" s="3083">
        <f t="shared" si="320"/>
        <v>0</v>
      </c>
      <c r="BP532" s="3083">
        <f t="shared" si="321"/>
        <v>0</v>
      </c>
      <c r="BQ532" s="3083">
        <f t="shared" si="322"/>
        <v>0</v>
      </c>
      <c r="BR532" s="3083">
        <f t="shared" si="323"/>
        <v>0</v>
      </c>
      <c r="BS532" s="3083">
        <f t="shared" si="324"/>
        <v>0</v>
      </c>
      <c r="BT532" s="3135">
        <f t="shared" si="325"/>
        <v>0</v>
      </c>
    </row>
    <row r="533" spans="1:72">
      <c r="A533" s="3080"/>
      <c r="B533" s="3081"/>
      <c r="C533" s="3081"/>
      <c r="D533" s="3082"/>
      <c r="E533" s="3083">
        <f t="shared" si="297"/>
        <v>0</v>
      </c>
      <c r="F533" s="3084"/>
      <c r="G533" s="3085">
        <f t="shared" si="301"/>
        <v>0</v>
      </c>
      <c r="H533" s="3086">
        <f t="shared" si="302"/>
        <v>0</v>
      </c>
      <c r="I533" s="3093"/>
      <c r="J533" s="3093"/>
      <c r="K533" s="3093"/>
      <c r="L533" s="3093"/>
      <c r="M533" s="3093"/>
      <c r="N533" s="3093"/>
      <c r="O533" s="3093"/>
      <c r="P533" s="3093"/>
      <c r="Q533" s="3093"/>
      <c r="R533" s="3093"/>
      <c r="S533" s="3093"/>
      <c r="T533" s="3093"/>
      <c r="U533" s="3093"/>
      <c r="V533" s="3093"/>
      <c r="W533" s="3093"/>
      <c r="X533" s="3093"/>
      <c r="Y533" s="3093"/>
      <c r="Z533" s="3093"/>
      <c r="AA533" s="3093"/>
      <c r="AB533" s="3093"/>
      <c r="AC533" s="3083">
        <f t="shared" si="303"/>
        <v>0</v>
      </c>
      <c r="AD533" s="3103"/>
      <c r="AE533" s="3103"/>
      <c r="AF533" s="3103"/>
      <c r="AG533" s="3103"/>
      <c r="AH533" s="3103"/>
      <c r="AI533" s="3103"/>
      <c r="AJ533" s="3103"/>
      <c r="AK533" s="3103"/>
      <c r="AL533" s="3103"/>
      <c r="AM533" s="3103"/>
      <c r="AN533" s="3103"/>
      <c r="AO533" s="3103"/>
      <c r="AP533" s="3103"/>
      <c r="AQ533" s="3103"/>
      <c r="AR533" s="3103"/>
      <c r="AS533" s="3103"/>
      <c r="AT533" s="3113"/>
      <c r="AU533" s="3114"/>
      <c r="AV533" s="1580">
        <f t="shared" si="298"/>
        <v>0</v>
      </c>
      <c r="AW533" s="1580">
        <f t="shared" si="299"/>
        <v>0</v>
      </c>
      <c r="AX533" s="1580">
        <f t="shared" si="300"/>
        <v>0</v>
      </c>
      <c r="AY533" s="3128">
        <f t="shared" si="304"/>
        <v>0</v>
      </c>
      <c r="AZ533" s="3083">
        <f t="shared" si="305"/>
        <v>0</v>
      </c>
      <c r="BA533" s="3083">
        <f t="shared" si="306"/>
        <v>0</v>
      </c>
      <c r="BB533" s="3083">
        <f t="shared" si="307"/>
        <v>0</v>
      </c>
      <c r="BC533" s="3083">
        <f t="shared" si="308"/>
        <v>0</v>
      </c>
      <c r="BD533" s="3083">
        <f t="shared" si="309"/>
        <v>0</v>
      </c>
      <c r="BE533" s="3083">
        <f t="shared" si="310"/>
        <v>0</v>
      </c>
      <c r="BF533" s="3083">
        <f t="shared" si="311"/>
        <v>0</v>
      </c>
      <c r="BG533" s="3083">
        <f t="shared" si="312"/>
        <v>0</v>
      </c>
      <c r="BH533" s="3083">
        <f t="shared" si="313"/>
        <v>0</v>
      </c>
      <c r="BI533" s="3083">
        <f t="shared" si="314"/>
        <v>0</v>
      </c>
      <c r="BJ533" s="3083">
        <f t="shared" si="315"/>
        <v>0</v>
      </c>
      <c r="BK533" s="3083">
        <f t="shared" si="316"/>
        <v>0</v>
      </c>
      <c r="BL533" s="3083">
        <f t="shared" si="317"/>
        <v>0</v>
      </c>
      <c r="BM533" s="3083">
        <f t="shared" si="318"/>
        <v>0</v>
      </c>
      <c r="BN533" s="3083">
        <f t="shared" si="319"/>
        <v>0</v>
      </c>
      <c r="BO533" s="3083">
        <f t="shared" si="320"/>
        <v>0</v>
      </c>
      <c r="BP533" s="3083">
        <f t="shared" si="321"/>
        <v>0</v>
      </c>
      <c r="BQ533" s="3083">
        <f t="shared" si="322"/>
        <v>0</v>
      </c>
      <c r="BR533" s="3083">
        <f t="shared" si="323"/>
        <v>0</v>
      </c>
      <c r="BS533" s="3083">
        <f t="shared" si="324"/>
        <v>0</v>
      </c>
      <c r="BT533" s="3135">
        <f t="shared" si="325"/>
        <v>0</v>
      </c>
    </row>
    <row r="534" spans="1:72">
      <c r="A534" s="3080"/>
      <c r="B534" s="3081"/>
      <c r="C534" s="3081"/>
      <c r="D534" s="3082"/>
      <c r="E534" s="3083">
        <f t="shared" si="297"/>
        <v>0</v>
      </c>
      <c r="F534" s="3084"/>
      <c r="G534" s="3085">
        <f t="shared" si="301"/>
        <v>0</v>
      </c>
      <c r="H534" s="3086">
        <f t="shared" si="302"/>
        <v>0</v>
      </c>
      <c r="I534" s="3093"/>
      <c r="J534" s="3093"/>
      <c r="K534" s="3093"/>
      <c r="L534" s="3093"/>
      <c r="M534" s="3093"/>
      <c r="N534" s="3093"/>
      <c r="O534" s="3093"/>
      <c r="P534" s="3093"/>
      <c r="Q534" s="3093"/>
      <c r="R534" s="3093"/>
      <c r="S534" s="3093"/>
      <c r="T534" s="3093"/>
      <c r="U534" s="3093"/>
      <c r="V534" s="3093"/>
      <c r="W534" s="3093"/>
      <c r="X534" s="3093"/>
      <c r="Y534" s="3093"/>
      <c r="Z534" s="3093"/>
      <c r="AA534" s="3093"/>
      <c r="AB534" s="3093"/>
      <c r="AC534" s="3083">
        <f t="shared" si="303"/>
        <v>0</v>
      </c>
      <c r="AD534" s="3103"/>
      <c r="AE534" s="3103"/>
      <c r="AF534" s="3103"/>
      <c r="AG534" s="3103"/>
      <c r="AH534" s="3103"/>
      <c r="AI534" s="3103"/>
      <c r="AJ534" s="3103"/>
      <c r="AK534" s="3103"/>
      <c r="AL534" s="3103"/>
      <c r="AM534" s="3103"/>
      <c r="AN534" s="3103"/>
      <c r="AO534" s="3103"/>
      <c r="AP534" s="3103"/>
      <c r="AQ534" s="3103"/>
      <c r="AR534" s="3103"/>
      <c r="AS534" s="3103"/>
      <c r="AT534" s="3113"/>
      <c r="AU534" s="3114"/>
      <c r="AV534" s="1580">
        <f t="shared" si="298"/>
        <v>0</v>
      </c>
      <c r="AW534" s="1580">
        <f t="shared" si="299"/>
        <v>0</v>
      </c>
      <c r="AX534" s="1580">
        <f t="shared" si="300"/>
        <v>0</v>
      </c>
      <c r="AY534" s="3128">
        <f t="shared" si="304"/>
        <v>0</v>
      </c>
      <c r="AZ534" s="3083">
        <f t="shared" si="305"/>
        <v>0</v>
      </c>
      <c r="BA534" s="3083">
        <f t="shared" si="306"/>
        <v>0</v>
      </c>
      <c r="BB534" s="3083">
        <f t="shared" si="307"/>
        <v>0</v>
      </c>
      <c r="BC534" s="3083">
        <f t="shared" si="308"/>
        <v>0</v>
      </c>
      <c r="BD534" s="3083">
        <f t="shared" si="309"/>
        <v>0</v>
      </c>
      <c r="BE534" s="3083">
        <f t="shared" si="310"/>
        <v>0</v>
      </c>
      <c r="BF534" s="3083">
        <f t="shared" si="311"/>
        <v>0</v>
      </c>
      <c r="BG534" s="3083">
        <f t="shared" si="312"/>
        <v>0</v>
      </c>
      <c r="BH534" s="3083">
        <f t="shared" si="313"/>
        <v>0</v>
      </c>
      <c r="BI534" s="3083">
        <f t="shared" si="314"/>
        <v>0</v>
      </c>
      <c r="BJ534" s="3083">
        <f t="shared" si="315"/>
        <v>0</v>
      </c>
      <c r="BK534" s="3083">
        <f t="shared" si="316"/>
        <v>0</v>
      </c>
      <c r="BL534" s="3083">
        <f t="shared" si="317"/>
        <v>0</v>
      </c>
      <c r="BM534" s="3083">
        <f t="shared" si="318"/>
        <v>0</v>
      </c>
      <c r="BN534" s="3083">
        <f t="shared" si="319"/>
        <v>0</v>
      </c>
      <c r="BO534" s="3083">
        <f t="shared" si="320"/>
        <v>0</v>
      </c>
      <c r="BP534" s="3083">
        <f t="shared" si="321"/>
        <v>0</v>
      </c>
      <c r="BQ534" s="3083">
        <f t="shared" si="322"/>
        <v>0</v>
      </c>
      <c r="BR534" s="3083">
        <f t="shared" si="323"/>
        <v>0</v>
      </c>
      <c r="BS534" s="3083">
        <f t="shared" si="324"/>
        <v>0</v>
      </c>
      <c r="BT534" s="3135">
        <f t="shared" si="325"/>
        <v>0</v>
      </c>
    </row>
    <row r="535" spans="1:72">
      <c r="A535" s="3080"/>
      <c r="B535" s="3081"/>
      <c r="C535" s="3081"/>
      <c r="D535" s="3082"/>
      <c r="E535" s="3083">
        <f t="shared" si="297"/>
        <v>0</v>
      </c>
      <c r="F535" s="3084"/>
      <c r="G535" s="3085">
        <f t="shared" si="301"/>
        <v>0</v>
      </c>
      <c r="H535" s="3086">
        <f t="shared" si="302"/>
        <v>0</v>
      </c>
      <c r="I535" s="3093"/>
      <c r="J535" s="3093"/>
      <c r="K535" s="3093"/>
      <c r="L535" s="3093"/>
      <c r="M535" s="3093"/>
      <c r="N535" s="3093"/>
      <c r="O535" s="3093"/>
      <c r="P535" s="3093"/>
      <c r="Q535" s="3093"/>
      <c r="R535" s="3093"/>
      <c r="S535" s="3093"/>
      <c r="T535" s="3093"/>
      <c r="U535" s="3093"/>
      <c r="V535" s="3093"/>
      <c r="W535" s="3093"/>
      <c r="X535" s="3093"/>
      <c r="Y535" s="3093"/>
      <c r="Z535" s="3093"/>
      <c r="AA535" s="3093"/>
      <c r="AB535" s="3093"/>
      <c r="AC535" s="3083">
        <f t="shared" si="303"/>
        <v>0</v>
      </c>
      <c r="AD535" s="3103"/>
      <c r="AE535" s="3103"/>
      <c r="AF535" s="3103"/>
      <c r="AG535" s="3103"/>
      <c r="AH535" s="3103"/>
      <c r="AI535" s="3103"/>
      <c r="AJ535" s="3103"/>
      <c r="AK535" s="3103"/>
      <c r="AL535" s="3103"/>
      <c r="AM535" s="3103"/>
      <c r="AN535" s="3103"/>
      <c r="AO535" s="3103"/>
      <c r="AP535" s="3103"/>
      <c r="AQ535" s="3103"/>
      <c r="AR535" s="3103"/>
      <c r="AS535" s="3103"/>
      <c r="AT535" s="3113"/>
      <c r="AU535" s="3114"/>
      <c r="AV535" s="1580">
        <f t="shared" si="298"/>
        <v>0</v>
      </c>
      <c r="AW535" s="1580">
        <f t="shared" si="299"/>
        <v>0</v>
      </c>
      <c r="AX535" s="1580">
        <f t="shared" si="300"/>
        <v>0</v>
      </c>
      <c r="AY535" s="3128">
        <f t="shared" si="304"/>
        <v>0</v>
      </c>
      <c r="AZ535" s="3083">
        <f t="shared" si="305"/>
        <v>0</v>
      </c>
      <c r="BA535" s="3083">
        <f t="shared" si="306"/>
        <v>0</v>
      </c>
      <c r="BB535" s="3083">
        <f t="shared" si="307"/>
        <v>0</v>
      </c>
      <c r="BC535" s="3083">
        <f t="shared" si="308"/>
        <v>0</v>
      </c>
      <c r="BD535" s="3083">
        <f t="shared" si="309"/>
        <v>0</v>
      </c>
      <c r="BE535" s="3083">
        <f t="shared" si="310"/>
        <v>0</v>
      </c>
      <c r="BF535" s="3083">
        <f t="shared" si="311"/>
        <v>0</v>
      </c>
      <c r="BG535" s="3083">
        <f t="shared" si="312"/>
        <v>0</v>
      </c>
      <c r="BH535" s="3083">
        <f t="shared" si="313"/>
        <v>0</v>
      </c>
      <c r="BI535" s="3083">
        <f t="shared" si="314"/>
        <v>0</v>
      </c>
      <c r="BJ535" s="3083">
        <f t="shared" si="315"/>
        <v>0</v>
      </c>
      <c r="BK535" s="3083">
        <f t="shared" si="316"/>
        <v>0</v>
      </c>
      <c r="BL535" s="3083">
        <f t="shared" si="317"/>
        <v>0</v>
      </c>
      <c r="BM535" s="3083">
        <f t="shared" si="318"/>
        <v>0</v>
      </c>
      <c r="BN535" s="3083">
        <f t="shared" si="319"/>
        <v>0</v>
      </c>
      <c r="BO535" s="3083">
        <f t="shared" si="320"/>
        <v>0</v>
      </c>
      <c r="BP535" s="3083">
        <f t="shared" si="321"/>
        <v>0</v>
      </c>
      <c r="BQ535" s="3083">
        <f t="shared" si="322"/>
        <v>0</v>
      </c>
      <c r="BR535" s="3083">
        <f t="shared" si="323"/>
        <v>0</v>
      </c>
      <c r="BS535" s="3083">
        <f t="shared" si="324"/>
        <v>0</v>
      </c>
      <c r="BT535" s="3135">
        <f t="shared" si="325"/>
        <v>0</v>
      </c>
    </row>
    <row r="536" spans="1:72">
      <c r="A536" s="3080"/>
      <c r="B536" s="3081"/>
      <c r="C536" s="3081"/>
      <c r="D536" s="3082"/>
      <c r="E536" s="3083">
        <f t="shared" si="297"/>
        <v>0</v>
      </c>
      <c r="F536" s="3084"/>
      <c r="G536" s="3085">
        <f t="shared" si="301"/>
        <v>0</v>
      </c>
      <c r="H536" s="3086">
        <f t="shared" si="302"/>
        <v>0</v>
      </c>
      <c r="I536" s="3093"/>
      <c r="J536" s="3093"/>
      <c r="K536" s="3093"/>
      <c r="L536" s="3093"/>
      <c r="M536" s="3093"/>
      <c r="N536" s="3093"/>
      <c r="O536" s="3093"/>
      <c r="P536" s="3093"/>
      <c r="Q536" s="3093"/>
      <c r="R536" s="3093"/>
      <c r="S536" s="3093"/>
      <c r="T536" s="3093"/>
      <c r="U536" s="3093"/>
      <c r="V536" s="3093"/>
      <c r="W536" s="3093"/>
      <c r="X536" s="3093"/>
      <c r="Y536" s="3093"/>
      <c r="Z536" s="3093"/>
      <c r="AA536" s="3093"/>
      <c r="AB536" s="3093"/>
      <c r="AC536" s="3083">
        <f t="shared" si="303"/>
        <v>0</v>
      </c>
      <c r="AD536" s="3103"/>
      <c r="AE536" s="3103"/>
      <c r="AF536" s="3103"/>
      <c r="AG536" s="3103"/>
      <c r="AH536" s="3103"/>
      <c r="AI536" s="3103"/>
      <c r="AJ536" s="3103"/>
      <c r="AK536" s="3103"/>
      <c r="AL536" s="3103"/>
      <c r="AM536" s="3103"/>
      <c r="AN536" s="3103"/>
      <c r="AO536" s="3103"/>
      <c r="AP536" s="3103"/>
      <c r="AQ536" s="3103"/>
      <c r="AR536" s="3103"/>
      <c r="AS536" s="3103"/>
      <c r="AT536" s="3113"/>
      <c r="AU536" s="3114"/>
      <c r="AV536" s="1580">
        <f t="shared" si="298"/>
        <v>0</v>
      </c>
      <c r="AW536" s="1580">
        <f t="shared" si="299"/>
        <v>0</v>
      </c>
      <c r="AX536" s="1580">
        <f t="shared" si="300"/>
        <v>0</v>
      </c>
      <c r="AY536" s="3128">
        <f t="shared" si="304"/>
        <v>0</v>
      </c>
      <c r="AZ536" s="3083">
        <f t="shared" si="305"/>
        <v>0</v>
      </c>
      <c r="BA536" s="3083">
        <f t="shared" si="306"/>
        <v>0</v>
      </c>
      <c r="BB536" s="3083">
        <f t="shared" si="307"/>
        <v>0</v>
      </c>
      <c r="BC536" s="3083">
        <f t="shared" si="308"/>
        <v>0</v>
      </c>
      <c r="BD536" s="3083">
        <f t="shared" si="309"/>
        <v>0</v>
      </c>
      <c r="BE536" s="3083">
        <f t="shared" si="310"/>
        <v>0</v>
      </c>
      <c r="BF536" s="3083">
        <f t="shared" si="311"/>
        <v>0</v>
      </c>
      <c r="BG536" s="3083">
        <f t="shared" si="312"/>
        <v>0</v>
      </c>
      <c r="BH536" s="3083">
        <f t="shared" si="313"/>
        <v>0</v>
      </c>
      <c r="BI536" s="3083">
        <f t="shared" si="314"/>
        <v>0</v>
      </c>
      <c r="BJ536" s="3083">
        <f t="shared" si="315"/>
        <v>0</v>
      </c>
      <c r="BK536" s="3083">
        <f t="shared" si="316"/>
        <v>0</v>
      </c>
      <c r="BL536" s="3083">
        <f t="shared" si="317"/>
        <v>0</v>
      </c>
      <c r="BM536" s="3083">
        <f t="shared" si="318"/>
        <v>0</v>
      </c>
      <c r="BN536" s="3083">
        <f t="shared" si="319"/>
        <v>0</v>
      </c>
      <c r="BO536" s="3083">
        <f t="shared" si="320"/>
        <v>0</v>
      </c>
      <c r="BP536" s="3083">
        <f t="shared" si="321"/>
        <v>0</v>
      </c>
      <c r="BQ536" s="3083">
        <f t="shared" si="322"/>
        <v>0</v>
      </c>
      <c r="BR536" s="3083">
        <f t="shared" si="323"/>
        <v>0</v>
      </c>
      <c r="BS536" s="3083">
        <f t="shared" si="324"/>
        <v>0</v>
      </c>
      <c r="BT536" s="3135">
        <f t="shared" si="325"/>
        <v>0</v>
      </c>
    </row>
    <row r="537" spans="1:72">
      <c r="A537" s="3080"/>
      <c r="B537" s="3081"/>
      <c r="C537" s="3081"/>
      <c r="D537" s="3082"/>
      <c r="E537" s="3083">
        <f t="shared" si="297"/>
        <v>0</v>
      </c>
      <c r="F537" s="3084"/>
      <c r="G537" s="3085">
        <f t="shared" si="301"/>
        <v>0</v>
      </c>
      <c r="H537" s="3086">
        <f t="shared" si="302"/>
        <v>0</v>
      </c>
      <c r="I537" s="3093"/>
      <c r="J537" s="3093"/>
      <c r="K537" s="3093"/>
      <c r="L537" s="3093"/>
      <c r="M537" s="3093"/>
      <c r="N537" s="3093"/>
      <c r="O537" s="3093"/>
      <c r="P537" s="3093"/>
      <c r="Q537" s="3093"/>
      <c r="R537" s="3093"/>
      <c r="S537" s="3093"/>
      <c r="T537" s="3093"/>
      <c r="U537" s="3093"/>
      <c r="V537" s="3093"/>
      <c r="W537" s="3093"/>
      <c r="X537" s="3093"/>
      <c r="Y537" s="3093"/>
      <c r="Z537" s="3093"/>
      <c r="AA537" s="3093"/>
      <c r="AB537" s="3093"/>
      <c r="AC537" s="3083">
        <f t="shared" si="303"/>
        <v>0</v>
      </c>
      <c r="AD537" s="3103"/>
      <c r="AE537" s="3103"/>
      <c r="AF537" s="3103"/>
      <c r="AG537" s="3103"/>
      <c r="AH537" s="3103"/>
      <c r="AI537" s="3103"/>
      <c r="AJ537" s="3103"/>
      <c r="AK537" s="3103"/>
      <c r="AL537" s="3103"/>
      <c r="AM537" s="3103"/>
      <c r="AN537" s="3103"/>
      <c r="AO537" s="3103"/>
      <c r="AP537" s="3103"/>
      <c r="AQ537" s="3103"/>
      <c r="AR537" s="3103"/>
      <c r="AS537" s="3103"/>
      <c r="AT537" s="3113"/>
      <c r="AU537" s="3114"/>
      <c r="AV537" s="1580">
        <f t="shared" si="298"/>
        <v>0</v>
      </c>
      <c r="AW537" s="1580">
        <f t="shared" si="299"/>
        <v>0</v>
      </c>
      <c r="AX537" s="1580">
        <f t="shared" si="300"/>
        <v>0</v>
      </c>
      <c r="AY537" s="3128">
        <f t="shared" si="304"/>
        <v>0</v>
      </c>
      <c r="AZ537" s="3083">
        <f t="shared" si="305"/>
        <v>0</v>
      </c>
      <c r="BA537" s="3083">
        <f t="shared" si="306"/>
        <v>0</v>
      </c>
      <c r="BB537" s="3083">
        <f t="shared" si="307"/>
        <v>0</v>
      </c>
      <c r="BC537" s="3083">
        <f t="shared" si="308"/>
        <v>0</v>
      </c>
      <c r="BD537" s="3083">
        <f t="shared" si="309"/>
        <v>0</v>
      </c>
      <c r="BE537" s="3083">
        <f t="shared" si="310"/>
        <v>0</v>
      </c>
      <c r="BF537" s="3083">
        <f t="shared" si="311"/>
        <v>0</v>
      </c>
      <c r="BG537" s="3083">
        <f t="shared" si="312"/>
        <v>0</v>
      </c>
      <c r="BH537" s="3083">
        <f t="shared" si="313"/>
        <v>0</v>
      </c>
      <c r="BI537" s="3083">
        <f t="shared" si="314"/>
        <v>0</v>
      </c>
      <c r="BJ537" s="3083">
        <f t="shared" si="315"/>
        <v>0</v>
      </c>
      <c r="BK537" s="3083">
        <f t="shared" si="316"/>
        <v>0</v>
      </c>
      <c r="BL537" s="3083">
        <f t="shared" si="317"/>
        <v>0</v>
      </c>
      <c r="BM537" s="3083">
        <f t="shared" si="318"/>
        <v>0</v>
      </c>
      <c r="BN537" s="3083">
        <f t="shared" si="319"/>
        <v>0</v>
      </c>
      <c r="BO537" s="3083">
        <f t="shared" si="320"/>
        <v>0</v>
      </c>
      <c r="BP537" s="3083">
        <f t="shared" si="321"/>
        <v>0</v>
      </c>
      <c r="BQ537" s="3083">
        <f t="shared" si="322"/>
        <v>0</v>
      </c>
      <c r="BR537" s="3083">
        <f t="shared" si="323"/>
        <v>0</v>
      </c>
      <c r="BS537" s="3083">
        <f t="shared" si="324"/>
        <v>0</v>
      </c>
      <c r="BT537" s="3135">
        <f t="shared" si="325"/>
        <v>0</v>
      </c>
    </row>
    <row r="538" spans="1:72">
      <c r="A538" s="3080"/>
      <c r="B538" s="3081"/>
      <c r="C538" s="3081"/>
      <c r="D538" s="3082"/>
      <c r="E538" s="3083">
        <f t="shared" si="297"/>
        <v>0</v>
      </c>
      <c r="F538" s="3084"/>
      <c r="G538" s="3085">
        <f t="shared" si="301"/>
        <v>0</v>
      </c>
      <c r="H538" s="3086">
        <f t="shared" si="302"/>
        <v>0</v>
      </c>
      <c r="I538" s="3093"/>
      <c r="J538" s="3093"/>
      <c r="K538" s="3093"/>
      <c r="L538" s="3093"/>
      <c r="M538" s="3093"/>
      <c r="N538" s="3093"/>
      <c r="O538" s="3093"/>
      <c r="P538" s="3093"/>
      <c r="Q538" s="3093"/>
      <c r="R538" s="3093"/>
      <c r="S538" s="3093"/>
      <c r="T538" s="3093"/>
      <c r="U538" s="3093"/>
      <c r="V538" s="3093"/>
      <c r="W538" s="3093"/>
      <c r="X538" s="3093"/>
      <c r="Y538" s="3093"/>
      <c r="Z538" s="3093"/>
      <c r="AA538" s="3093"/>
      <c r="AB538" s="3093"/>
      <c r="AC538" s="3083">
        <f t="shared" si="303"/>
        <v>0</v>
      </c>
      <c r="AD538" s="3103"/>
      <c r="AE538" s="3103"/>
      <c r="AF538" s="3103"/>
      <c r="AG538" s="3103"/>
      <c r="AH538" s="3103"/>
      <c r="AI538" s="3103"/>
      <c r="AJ538" s="3103"/>
      <c r="AK538" s="3103"/>
      <c r="AL538" s="3103"/>
      <c r="AM538" s="3103"/>
      <c r="AN538" s="3103"/>
      <c r="AO538" s="3103"/>
      <c r="AP538" s="3103"/>
      <c r="AQ538" s="3103"/>
      <c r="AR538" s="3103"/>
      <c r="AS538" s="3103"/>
      <c r="AT538" s="3113"/>
      <c r="AU538" s="3114"/>
      <c r="AV538" s="1580">
        <f t="shared" si="298"/>
        <v>0</v>
      </c>
      <c r="AW538" s="1580">
        <f t="shared" si="299"/>
        <v>0</v>
      </c>
      <c r="AX538" s="1580">
        <f t="shared" si="300"/>
        <v>0</v>
      </c>
      <c r="AY538" s="3128">
        <f t="shared" si="304"/>
        <v>0</v>
      </c>
      <c r="AZ538" s="3083">
        <f t="shared" si="305"/>
        <v>0</v>
      </c>
      <c r="BA538" s="3083">
        <f t="shared" si="306"/>
        <v>0</v>
      </c>
      <c r="BB538" s="3083">
        <f t="shared" si="307"/>
        <v>0</v>
      </c>
      <c r="BC538" s="3083">
        <f t="shared" si="308"/>
        <v>0</v>
      </c>
      <c r="BD538" s="3083">
        <f t="shared" si="309"/>
        <v>0</v>
      </c>
      <c r="BE538" s="3083">
        <f t="shared" si="310"/>
        <v>0</v>
      </c>
      <c r="BF538" s="3083">
        <f t="shared" si="311"/>
        <v>0</v>
      </c>
      <c r="BG538" s="3083">
        <f t="shared" si="312"/>
        <v>0</v>
      </c>
      <c r="BH538" s="3083">
        <f t="shared" si="313"/>
        <v>0</v>
      </c>
      <c r="BI538" s="3083">
        <f t="shared" si="314"/>
        <v>0</v>
      </c>
      <c r="BJ538" s="3083">
        <f t="shared" si="315"/>
        <v>0</v>
      </c>
      <c r="BK538" s="3083">
        <f t="shared" si="316"/>
        <v>0</v>
      </c>
      <c r="BL538" s="3083">
        <f t="shared" si="317"/>
        <v>0</v>
      </c>
      <c r="BM538" s="3083">
        <f t="shared" si="318"/>
        <v>0</v>
      </c>
      <c r="BN538" s="3083">
        <f t="shared" si="319"/>
        <v>0</v>
      </c>
      <c r="BO538" s="3083">
        <f t="shared" si="320"/>
        <v>0</v>
      </c>
      <c r="BP538" s="3083">
        <f t="shared" si="321"/>
        <v>0</v>
      </c>
      <c r="BQ538" s="3083">
        <f t="shared" si="322"/>
        <v>0</v>
      </c>
      <c r="BR538" s="3083">
        <f t="shared" si="323"/>
        <v>0</v>
      </c>
      <c r="BS538" s="3083">
        <f t="shared" si="324"/>
        <v>0</v>
      </c>
      <c r="BT538" s="3135">
        <f t="shared" si="325"/>
        <v>0</v>
      </c>
    </row>
    <row r="539" spans="1:72">
      <c r="A539" s="3080"/>
      <c r="B539" s="3081"/>
      <c r="C539" s="3081"/>
      <c r="D539" s="3082"/>
      <c r="E539" s="3083">
        <f t="shared" si="297"/>
        <v>0</v>
      </c>
      <c r="F539" s="3084"/>
      <c r="G539" s="3085">
        <f t="shared" si="301"/>
        <v>0</v>
      </c>
      <c r="H539" s="3086">
        <f t="shared" si="302"/>
        <v>0</v>
      </c>
      <c r="I539" s="3093"/>
      <c r="J539" s="3093"/>
      <c r="K539" s="3093"/>
      <c r="L539" s="3093"/>
      <c r="M539" s="3093"/>
      <c r="N539" s="3093"/>
      <c r="O539" s="3093"/>
      <c r="P539" s="3093"/>
      <c r="Q539" s="3093"/>
      <c r="R539" s="3093"/>
      <c r="S539" s="3093"/>
      <c r="T539" s="3093"/>
      <c r="U539" s="3093"/>
      <c r="V539" s="3093"/>
      <c r="W539" s="3093"/>
      <c r="X539" s="3093"/>
      <c r="Y539" s="3093"/>
      <c r="Z539" s="3093"/>
      <c r="AA539" s="3093"/>
      <c r="AB539" s="3093"/>
      <c r="AC539" s="3083">
        <f t="shared" si="303"/>
        <v>0</v>
      </c>
      <c r="AD539" s="3103"/>
      <c r="AE539" s="3103"/>
      <c r="AF539" s="3103"/>
      <c r="AG539" s="3103"/>
      <c r="AH539" s="3103"/>
      <c r="AI539" s="3103"/>
      <c r="AJ539" s="3103"/>
      <c r="AK539" s="3103"/>
      <c r="AL539" s="3103"/>
      <c r="AM539" s="3103"/>
      <c r="AN539" s="3103"/>
      <c r="AO539" s="3103"/>
      <c r="AP539" s="3103"/>
      <c r="AQ539" s="3103"/>
      <c r="AR539" s="3103"/>
      <c r="AS539" s="3103"/>
      <c r="AT539" s="3113"/>
      <c r="AU539" s="3114"/>
      <c r="AV539" s="1580">
        <f t="shared" si="298"/>
        <v>0</v>
      </c>
      <c r="AW539" s="1580">
        <f t="shared" si="299"/>
        <v>0</v>
      </c>
      <c r="AX539" s="1580">
        <f t="shared" si="300"/>
        <v>0</v>
      </c>
      <c r="AY539" s="3128">
        <f t="shared" si="304"/>
        <v>0</v>
      </c>
      <c r="AZ539" s="3083">
        <f t="shared" si="305"/>
        <v>0</v>
      </c>
      <c r="BA539" s="3083">
        <f t="shared" si="306"/>
        <v>0</v>
      </c>
      <c r="BB539" s="3083">
        <f t="shared" si="307"/>
        <v>0</v>
      </c>
      <c r="BC539" s="3083">
        <f t="shared" si="308"/>
        <v>0</v>
      </c>
      <c r="BD539" s="3083">
        <f t="shared" si="309"/>
        <v>0</v>
      </c>
      <c r="BE539" s="3083">
        <f t="shared" si="310"/>
        <v>0</v>
      </c>
      <c r="BF539" s="3083">
        <f t="shared" si="311"/>
        <v>0</v>
      </c>
      <c r="BG539" s="3083">
        <f t="shared" si="312"/>
        <v>0</v>
      </c>
      <c r="BH539" s="3083">
        <f t="shared" si="313"/>
        <v>0</v>
      </c>
      <c r="BI539" s="3083">
        <f t="shared" si="314"/>
        <v>0</v>
      </c>
      <c r="BJ539" s="3083">
        <f t="shared" si="315"/>
        <v>0</v>
      </c>
      <c r="BK539" s="3083">
        <f t="shared" si="316"/>
        <v>0</v>
      </c>
      <c r="BL539" s="3083">
        <f t="shared" si="317"/>
        <v>0</v>
      </c>
      <c r="BM539" s="3083">
        <f t="shared" si="318"/>
        <v>0</v>
      </c>
      <c r="BN539" s="3083">
        <f t="shared" si="319"/>
        <v>0</v>
      </c>
      <c r="BO539" s="3083">
        <f t="shared" si="320"/>
        <v>0</v>
      </c>
      <c r="BP539" s="3083">
        <f t="shared" si="321"/>
        <v>0</v>
      </c>
      <c r="BQ539" s="3083">
        <f t="shared" si="322"/>
        <v>0</v>
      </c>
      <c r="BR539" s="3083">
        <f t="shared" si="323"/>
        <v>0</v>
      </c>
      <c r="BS539" s="3083">
        <f t="shared" si="324"/>
        <v>0</v>
      </c>
      <c r="BT539" s="3135">
        <f t="shared" si="325"/>
        <v>0</v>
      </c>
    </row>
    <row r="540" spans="1:72">
      <c r="A540" s="3080"/>
      <c r="B540" s="3081"/>
      <c r="C540" s="3081"/>
      <c r="D540" s="3082"/>
      <c r="E540" s="3083">
        <f t="shared" si="297"/>
        <v>0</v>
      </c>
      <c r="F540" s="3084"/>
      <c r="G540" s="3085">
        <f t="shared" si="301"/>
        <v>0</v>
      </c>
      <c r="H540" s="3086">
        <f t="shared" si="302"/>
        <v>0</v>
      </c>
      <c r="I540" s="3093"/>
      <c r="J540" s="3093"/>
      <c r="K540" s="3093"/>
      <c r="L540" s="3093"/>
      <c r="M540" s="3093"/>
      <c r="N540" s="3093"/>
      <c r="O540" s="3093"/>
      <c r="P540" s="3093"/>
      <c r="Q540" s="3093"/>
      <c r="R540" s="3093"/>
      <c r="S540" s="3093"/>
      <c r="T540" s="3093"/>
      <c r="U540" s="3093"/>
      <c r="V540" s="3093"/>
      <c r="W540" s="3093"/>
      <c r="X540" s="3093"/>
      <c r="Y540" s="3093"/>
      <c r="Z540" s="3093"/>
      <c r="AA540" s="3093"/>
      <c r="AB540" s="3093"/>
      <c r="AC540" s="3083">
        <f t="shared" si="303"/>
        <v>0</v>
      </c>
      <c r="AD540" s="3103"/>
      <c r="AE540" s="3103"/>
      <c r="AF540" s="3103"/>
      <c r="AG540" s="3103"/>
      <c r="AH540" s="3103"/>
      <c r="AI540" s="3103"/>
      <c r="AJ540" s="3103"/>
      <c r="AK540" s="3103"/>
      <c r="AL540" s="3103"/>
      <c r="AM540" s="3103"/>
      <c r="AN540" s="3103"/>
      <c r="AO540" s="3103"/>
      <c r="AP540" s="3103"/>
      <c r="AQ540" s="3103"/>
      <c r="AR540" s="3103"/>
      <c r="AS540" s="3103"/>
      <c r="AT540" s="3113"/>
      <c r="AU540" s="3114"/>
      <c r="AV540" s="1580">
        <f t="shared" si="298"/>
        <v>0</v>
      </c>
      <c r="AW540" s="1580">
        <f t="shared" si="299"/>
        <v>0</v>
      </c>
      <c r="AX540" s="1580">
        <f t="shared" si="300"/>
        <v>0</v>
      </c>
      <c r="AY540" s="3128">
        <f t="shared" si="304"/>
        <v>0</v>
      </c>
      <c r="AZ540" s="3083">
        <f t="shared" si="305"/>
        <v>0</v>
      </c>
      <c r="BA540" s="3083">
        <f t="shared" si="306"/>
        <v>0</v>
      </c>
      <c r="BB540" s="3083">
        <f t="shared" si="307"/>
        <v>0</v>
      </c>
      <c r="BC540" s="3083">
        <f t="shared" si="308"/>
        <v>0</v>
      </c>
      <c r="BD540" s="3083">
        <f t="shared" si="309"/>
        <v>0</v>
      </c>
      <c r="BE540" s="3083">
        <f t="shared" si="310"/>
        <v>0</v>
      </c>
      <c r="BF540" s="3083">
        <f t="shared" si="311"/>
        <v>0</v>
      </c>
      <c r="BG540" s="3083">
        <f t="shared" si="312"/>
        <v>0</v>
      </c>
      <c r="BH540" s="3083">
        <f t="shared" si="313"/>
        <v>0</v>
      </c>
      <c r="BI540" s="3083">
        <f t="shared" si="314"/>
        <v>0</v>
      </c>
      <c r="BJ540" s="3083">
        <f t="shared" si="315"/>
        <v>0</v>
      </c>
      <c r="BK540" s="3083">
        <f t="shared" si="316"/>
        <v>0</v>
      </c>
      <c r="BL540" s="3083">
        <f t="shared" si="317"/>
        <v>0</v>
      </c>
      <c r="BM540" s="3083">
        <f t="shared" si="318"/>
        <v>0</v>
      </c>
      <c r="BN540" s="3083">
        <f t="shared" si="319"/>
        <v>0</v>
      </c>
      <c r="BO540" s="3083">
        <f t="shared" si="320"/>
        <v>0</v>
      </c>
      <c r="BP540" s="3083">
        <f t="shared" si="321"/>
        <v>0</v>
      </c>
      <c r="BQ540" s="3083">
        <f t="shared" si="322"/>
        <v>0</v>
      </c>
      <c r="BR540" s="3083">
        <f t="shared" si="323"/>
        <v>0</v>
      </c>
      <c r="BS540" s="3083">
        <f t="shared" si="324"/>
        <v>0</v>
      </c>
      <c r="BT540" s="3135">
        <f t="shared" si="325"/>
        <v>0</v>
      </c>
    </row>
    <row r="541" spans="1:72">
      <c r="A541" s="3080"/>
      <c r="B541" s="3081"/>
      <c r="C541" s="3081"/>
      <c r="D541" s="3082"/>
      <c r="E541" s="3083">
        <f t="shared" si="297"/>
        <v>0</v>
      </c>
      <c r="F541" s="3084"/>
      <c r="G541" s="3085">
        <f t="shared" si="301"/>
        <v>0</v>
      </c>
      <c r="H541" s="3086">
        <f t="shared" si="302"/>
        <v>0</v>
      </c>
      <c r="I541" s="3093"/>
      <c r="J541" s="3093"/>
      <c r="K541" s="3093"/>
      <c r="L541" s="3093"/>
      <c r="M541" s="3093"/>
      <c r="N541" s="3093"/>
      <c r="O541" s="3093"/>
      <c r="P541" s="3093"/>
      <c r="Q541" s="3093"/>
      <c r="R541" s="3093"/>
      <c r="S541" s="3093"/>
      <c r="T541" s="3093"/>
      <c r="U541" s="3093"/>
      <c r="V541" s="3093"/>
      <c r="W541" s="3093"/>
      <c r="X541" s="3093"/>
      <c r="Y541" s="3093"/>
      <c r="Z541" s="3093"/>
      <c r="AA541" s="3093"/>
      <c r="AB541" s="3093"/>
      <c r="AC541" s="3083">
        <f t="shared" si="303"/>
        <v>0</v>
      </c>
      <c r="AD541" s="3103"/>
      <c r="AE541" s="3103"/>
      <c r="AF541" s="3103"/>
      <c r="AG541" s="3103"/>
      <c r="AH541" s="3103"/>
      <c r="AI541" s="3103"/>
      <c r="AJ541" s="3103"/>
      <c r="AK541" s="3103"/>
      <c r="AL541" s="3103"/>
      <c r="AM541" s="3103"/>
      <c r="AN541" s="3103"/>
      <c r="AO541" s="3103"/>
      <c r="AP541" s="3103"/>
      <c r="AQ541" s="3103"/>
      <c r="AR541" s="3103"/>
      <c r="AS541" s="3103"/>
      <c r="AT541" s="3113"/>
      <c r="AU541" s="3114"/>
      <c r="AV541" s="1580">
        <f t="shared" si="298"/>
        <v>0</v>
      </c>
      <c r="AW541" s="1580">
        <f t="shared" si="299"/>
        <v>0</v>
      </c>
      <c r="AX541" s="1580">
        <f t="shared" si="300"/>
        <v>0</v>
      </c>
      <c r="AY541" s="3128">
        <f t="shared" si="304"/>
        <v>0</v>
      </c>
      <c r="AZ541" s="3083">
        <f t="shared" si="305"/>
        <v>0</v>
      </c>
      <c r="BA541" s="3083">
        <f t="shared" si="306"/>
        <v>0</v>
      </c>
      <c r="BB541" s="3083">
        <f t="shared" si="307"/>
        <v>0</v>
      </c>
      <c r="BC541" s="3083">
        <f t="shared" si="308"/>
        <v>0</v>
      </c>
      <c r="BD541" s="3083">
        <f t="shared" si="309"/>
        <v>0</v>
      </c>
      <c r="BE541" s="3083">
        <f t="shared" si="310"/>
        <v>0</v>
      </c>
      <c r="BF541" s="3083">
        <f t="shared" si="311"/>
        <v>0</v>
      </c>
      <c r="BG541" s="3083">
        <f t="shared" si="312"/>
        <v>0</v>
      </c>
      <c r="BH541" s="3083">
        <f t="shared" si="313"/>
        <v>0</v>
      </c>
      <c r="BI541" s="3083">
        <f t="shared" si="314"/>
        <v>0</v>
      </c>
      <c r="BJ541" s="3083">
        <f t="shared" si="315"/>
        <v>0</v>
      </c>
      <c r="BK541" s="3083">
        <f t="shared" si="316"/>
        <v>0</v>
      </c>
      <c r="BL541" s="3083">
        <f t="shared" si="317"/>
        <v>0</v>
      </c>
      <c r="BM541" s="3083">
        <f t="shared" si="318"/>
        <v>0</v>
      </c>
      <c r="BN541" s="3083">
        <f t="shared" si="319"/>
        <v>0</v>
      </c>
      <c r="BO541" s="3083">
        <f t="shared" si="320"/>
        <v>0</v>
      </c>
      <c r="BP541" s="3083">
        <f t="shared" si="321"/>
        <v>0</v>
      </c>
      <c r="BQ541" s="3083">
        <f t="shared" si="322"/>
        <v>0</v>
      </c>
      <c r="BR541" s="3083">
        <f t="shared" si="323"/>
        <v>0</v>
      </c>
      <c r="BS541" s="3083">
        <f t="shared" si="324"/>
        <v>0</v>
      </c>
      <c r="BT541" s="3135">
        <f t="shared" si="325"/>
        <v>0</v>
      </c>
    </row>
    <row r="542" spans="1:72">
      <c r="A542" s="3080"/>
      <c r="B542" s="3081"/>
      <c r="C542" s="3081"/>
      <c r="D542" s="3082"/>
      <c r="E542" s="3083">
        <f t="shared" si="297"/>
        <v>0</v>
      </c>
      <c r="F542" s="3084"/>
      <c r="G542" s="3085">
        <f t="shared" si="301"/>
        <v>0</v>
      </c>
      <c r="H542" s="3086">
        <f t="shared" si="302"/>
        <v>0</v>
      </c>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83">
        <f t="shared" si="303"/>
        <v>0</v>
      </c>
      <c r="AD542" s="3103"/>
      <c r="AE542" s="3103"/>
      <c r="AF542" s="3103"/>
      <c r="AG542" s="3103"/>
      <c r="AH542" s="3103"/>
      <c r="AI542" s="3103"/>
      <c r="AJ542" s="3103"/>
      <c r="AK542" s="3103"/>
      <c r="AL542" s="3103"/>
      <c r="AM542" s="3103"/>
      <c r="AN542" s="3103"/>
      <c r="AO542" s="3103"/>
      <c r="AP542" s="3103"/>
      <c r="AQ542" s="3103"/>
      <c r="AR542" s="3103"/>
      <c r="AS542" s="3103"/>
      <c r="AT542" s="3113"/>
      <c r="AU542" s="3114"/>
      <c r="AV542" s="1580">
        <f t="shared" si="298"/>
        <v>0</v>
      </c>
      <c r="AW542" s="1580">
        <f t="shared" si="299"/>
        <v>0</v>
      </c>
      <c r="AX542" s="1580">
        <f t="shared" si="300"/>
        <v>0</v>
      </c>
      <c r="AY542" s="3128">
        <f t="shared" si="304"/>
        <v>0</v>
      </c>
      <c r="AZ542" s="3083">
        <f t="shared" si="305"/>
        <v>0</v>
      </c>
      <c r="BA542" s="3083">
        <f t="shared" si="306"/>
        <v>0</v>
      </c>
      <c r="BB542" s="3083">
        <f t="shared" si="307"/>
        <v>0</v>
      </c>
      <c r="BC542" s="3083">
        <f t="shared" si="308"/>
        <v>0</v>
      </c>
      <c r="BD542" s="3083">
        <f t="shared" si="309"/>
        <v>0</v>
      </c>
      <c r="BE542" s="3083">
        <f t="shared" si="310"/>
        <v>0</v>
      </c>
      <c r="BF542" s="3083">
        <f t="shared" si="311"/>
        <v>0</v>
      </c>
      <c r="BG542" s="3083">
        <f t="shared" si="312"/>
        <v>0</v>
      </c>
      <c r="BH542" s="3083">
        <f t="shared" si="313"/>
        <v>0</v>
      </c>
      <c r="BI542" s="3083">
        <f t="shared" si="314"/>
        <v>0</v>
      </c>
      <c r="BJ542" s="3083">
        <f t="shared" si="315"/>
        <v>0</v>
      </c>
      <c r="BK542" s="3083">
        <f t="shared" si="316"/>
        <v>0</v>
      </c>
      <c r="BL542" s="3083">
        <f t="shared" si="317"/>
        <v>0</v>
      </c>
      <c r="BM542" s="3083">
        <f t="shared" si="318"/>
        <v>0</v>
      </c>
      <c r="BN542" s="3083">
        <f t="shared" si="319"/>
        <v>0</v>
      </c>
      <c r="BO542" s="3083">
        <f t="shared" si="320"/>
        <v>0</v>
      </c>
      <c r="BP542" s="3083">
        <f t="shared" si="321"/>
        <v>0</v>
      </c>
      <c r="BQ542" s="3083">
        <f t="shared" si="322"/>
        <v>0</v>
      </c>
      <c r="BR542" s="3083">
        <f t="shared" si="323"/>
        <v>0</v>
      </c>
      <c r="BS542" s="3083">
        <f t="shared" si="324"/>
        <v>0</v>
      </c>
      <c r="BT542" s="3135">
        <f t="shared" si="325"/>
        <v>0</v>
      </c>
    </row>
    <row r="543" spans="1:72">
      <c r="A543" s="3080"/>
      <c r="B543" s="3081"/>
      <c r="C543" s="3081"/>
      <c r="D543" s="3082"/>
      <c r="E543" s="3083">
        <f t="shared" si="297"/>
        <v>0</v>
      </c>
      <c r="F543" s="3084"/>
      <c r="G543" s="3085">
        <f t="shared" si="301"/>
        <v>0</v>
      </c>
      <c r="H543" s="3086">
        <f t="shared" si="302"/>
        <v>0</v>
      </c>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83">
        <f t="shared" si="303"/>
        <v>0</v>
      </c>
      <c r="AD543" s="3103"/>
      <c r="AE543" s="3103"/>
      <c r="AF543" s="3103"/>
      <c r="AG543" s="3103"/>
      <c r="AH543" s="3103"/>
      <c r="AI543" s="3103"/>
      <c r="AJ543" s="3103"/>
      <c r="AK543" s="3103"/>
      <c r="AL543" s="3103"/>
      <c r="AM543" s="3103"/>
      <c r="AN543" s="3103"/>
      <c r="AO543" s="3103"/>
      <c r="AP543" s="3103"/>
      <c r="AQ543" s="3103"/>
      <c r="AR543" s="3103"/>
      <c r="AS543" s="3103"/>
      <c r="AT543" s="3113"/>
      <c r="AU543" s="3114"/>
      <c r="AV543" s="1580">
        <f t="shared" si="298"/>
        <v>0</v>
      </c>
      <c r="AW543" s="1580">
        <f t="shared" si="299"/>
        <v>0</v>
      </c>
      <c r="AX543" s="1580">
        <f t="shared" si="300"/>
        <v>0</v>
      </c>
      <c r="AY543" s="3128">
        <f t="shared" si="304"/>
        <v>0</v>
      </c>
      <c r="AZ543" s="3083">
        <f t="shared" si="305"/>
        <v>0</v>
      </c>
      <c r="BA543" s="3083">
        <f t="shared" si="306"/>
        <v>0</v>
      </c>
      <c r="BB543" s="3083">
        <f t="shared" si="307"/>
        <v>0</v>
      </c>
      <c r="BC543" s="3083">
        <f t="shared" si="308"/>
        <v>0</v>
      </c>
      <c r="BD543" s="3083">
        <f t="shared" si="309"/>
        <v>0</v>
      </c>
      <c r="BE543" s="3083">
        <f t="shared" si="310"/>
        <v>0</v>
      </c>
      <c r="BF543" s="3083">
        <f t="shared" si="311"/>
        <v>0</v>
      </c>
      <c r="BG543" s="3083">
        <f t="shared" si="312"/>
        <v>0</v>
      </c>
      <c r="BH543" s="3083">
        <f t="shared" si="313"/>
        <v>0</v>
      </c>
      <c r="BI543" s="3083">
        <f t="shared" si="314"/>
        <v>0</v>
      </c>
      <c r="BJ543" s="3083">
        <f t="shared" si="315"/>
        <v>0</v>
      </c>
      <c r="BK543" s="3083">
        <f t="shared" si="316"/>
        <v>0</v>
      </c>
      <c r="BL543" s="3083">
        <f t="shared" si="317"/>
        <v>0</v>
      </c>
      <c r="BM543" s="3083">
        <f t="shared" si="318"/>
        <v>0</v>
      </c>
      <c r="BN543" s="3083">
        <f t="shared" si="319"/>
        <v>0</v>
      </c>
      <c r="BO543" s="3083">
        <f t="shared" si="320"/>
        <v>0</v>
      </c>
      <c r="BP543" s="3083">
        <f t="shared" si="321"/>
        <v>0</v>
      </c>
      <c r="BQ543" s="3083">
        <f t="shared" si="322"/>
        <v>0</v>
      </c>
      <c r="BR543" s="3083">
        <f t="shared" si="323"/>
        <v>0</v>
      </c>
      <c r="BS543" s="3083">
        <f t="shared" si="324"/>
        <v>0</v>
      </c>
      <c r="BT543" s="3135">
        <f t="shared" si="325"/>
        <v>0</v>
      </c>
    </row>
    <row r="544" spans="1:72">
      <c r="A544" s="3080"/>
      <c r="B544" s="3081"/>
      <c r="C544" s="3081"/>
      <c r="D544" s="3082"/>
      <c r="E544" s="3083">
        <f t="shared" si="297"/>
        <v>0</v>
      </c>
      <c r="F544" s="3084"/>
      <c r="G544" s="3085">
        <f t="shared" si="301"/>
        <v>0</v>
      </c>
      <c r="H544" s="3086">
        <f t="shared" si="302"/>
        <v>0</v>
      </c>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83">
        <f t="shared" si="303"/>
        <v>0</v>
      </c>
      <c r="AD544" s="3103"/>
      <c r="AE544" s="3103"/>
      <c r="AF544" s="3103"/>
      <c r="AG544" s="3103"/>
      <c r="AH544" s="3103"/>
      <c r="AI544" s="3103"/>
      <c r="AJ544" s="3103"/>
      <c r="AK544" s="3103"/>
      <c r="AL544" s="3103"/>
      <c r="AM544" s="3103"/>
      <c r="AN544" s="3103"/>
      <c r="AO544" s="3103"/>
      <c r="AP544" s="3103"/>
      <c r="AQ544" s="3103"/>
      <c r="AR544" s="3103"/>
      <c r="AS544" s="3103"/>
      <c r="AT544" s="3113"/>
      <c r="AU544" s="3114"/>
      <c r="AV544" s="1580">
        <f t="shared" si="298"/>
        <v>0</v>
      </c>
      <c r="AW544" s="1580">
        <f t="shared" si="299"/>
        <v>0</v>
      </c>
      <c r="AX544" s="1580">
        <f t="shared" si="300"/>
        <v>0</v>
      </c>
      <c r="AY544" s="3128">
        <f t="shared" si="304"/>
        <v>0</v>
      </c>
      <c r="AZ544" s="3083">
        <f t="shared" si="305"/>
        <v>0</v>
      </c>
      <c r="BA544" s="3083">
        <f t="shared" si="306"/>
        <v>0</v>
      </c>
      <c r="BB544" s="3083">
        <f t="shared" si="307"/>
        <v>0</v>
      </c>
      <c r="BC544" s="3083">
        <f t="shared" si="308"/>
        <v>0</v>
      </c>
      <c r="BD544" s="3083">
        <f t="shared" si="309"/>
        <v>0</v>
      </c>
      <c r="BE544" s="3083">
        <f t="shared" si="310"/>
        <v>0</v>
      </c>
      <c r="BF544" s="3083">
        <f t="shared" si="311"/>
        <v>0</v>
      </c>
      <c r="BG544" s="3083">
        <f t="shared" si="312"/>
        <v>0</v>
      </c>
      <c r="BH544" s="3083">
        <f t="shared" si="313"/>
        <v>0</v>
      </c>
      <c r="BI544" s="3083">
        <f t="shared" si="314"/>
        <v>0</v>
      </c>
      <c r="BJ544" s="3083">
        <f t="shared" si="315"/>
        <v>0</v>
      </c>
      <c r="BK544" s="3083">
        <f t="shared" si="316"/>
        <v>0</v>
      </c>
      <c r="BL544" s="3083">
        <f t="shared" si="317"/>
        <v>0</v>
      </c>
      <c r="BM544" s="3083">
        <f t="shared" si="318"/>
        <v>0</v>
      </c>
      <c r="BN544" s="3083">
        <f t="shared" si="319"/>
        <v>0</v>
      </c>
      <c r="BO544" s="3083">
        <f t="shared" si="320"/>
        <v>0</v>
      </c>
      <c r="BP544" s="3083">
        <f t="shared" si="321"/>
        <v>0</v>
      </c>
      <c r="BQ544" s="3083">
        <f t="shared" si="322"/>
        <v>0</v>
      </c>
      <c r="BR544" s="3083">
        <f t="shared" si="323"/>
        <v>0</v>
      </c>
      <c r="BS544" s="3083">
        <f t="shared" si="324"/>
        <v>0</v>
      </c>
      <c r="BT544" s="3135">
        <f t="shared" si="325"/>
        <v>0</v>
      </c>
    </row>
    <row r="545" spans="1:72">
      <c r="A545" s="3080"/>
      <c r="B545" s="3081"/>
      <c r="C545" s="3081"/>
      <c r="D545" s="3082"/>
      <c r="E545" s="3083">
        <f t="shared" si="297"/>
        <v>0</v>
      </c>
      <c r="F545" s="3084"/>
      <c r="G545" s="3085">
        <f t="shared" si="301"/>
        <v>0</v>
      </c>
      <c r="H545" s="3086">
        <f t="shared" si="302"/>
        <v>0</v>
      </c>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83">
        <f t="shared" si="303"/>
        <v>0</v>
      </c>
      <c r="AD545" s="3103"/>
      <c r="AE545" s="3103"/>
      <c r="AF545" s="3103"/>
      <c r="AG545" s="3103"/>
      <c r="AH545" s="3103"/>
      <c r="AI545" s="3103"/>
      <c r="AJ545" s="3103"/>
      <c r="AK545" s="3103"/>
      <c r="AL545" s="3103"/>
      <c r="AM545" s="3103"/>
      <c r="AN545" s="3103"/>
      <c r="AO545" s="3103"/>
      <c r="AP545" s="3103"/>
      <c r="AQ545" s="3103"/>
      <c r="AR545" s="3103"/>
      <c r="AS545" s="3103"/>
      <c r="AT545" s="3113"/>
      <c r="AU545" s="3114"/>
      <c r="AV545" s="1580">
        <f t="shared" si="298"/>
        <v>0</v>
      </c>
      <c r="AW545" s="1580">
        <f t="shared" si="299"/>
        <v>0</v>
      </c>
      <c r="AX545" s="1580">
        <f t="shared" si="300"/>
        <v>0</v>
      </c>
      <c r="AY545" s="3128">
        <f t="shared" si="304"/>
        <v>0</v>
      </c>
      <c r="AZ545" s="3083">
        <f t="shared" si="305"/>
        <v>0</v>
      </c>
      <c r="BA545" s="3083">
        <f t="shared" si="306"/>
        <v>0</v>
      </c>
      <c r="BB545" s="3083">
        <f t="shared" si="307"/>
        <v>0</v>
      </c>
      <c r="BC545" s="3083">
        <f t="shared" si="308"/>
        <v>0</v>
      </c>
      <c r="BD545" s="3083">
        <f t="shared" si="309"/>
        <v>0</v>
      </c>
      <c r="BE545" s="3083">
        <f t="shared" si="310"/>
        <v>0</v>
      </c>
      <c r="BF545" s="3083">
        <f t="shared" si="311"/>
        <v>0</v>
      </c>
      <c r="BG545" s="3083">
        <f t="shared" si="312"/>
        <v>0</v>
      </c>
      <c r="BH545" s="3083">
        <f t="shared" si="313"/>
        <v>0</v>
      </c>
      <c r="BI545" s="3083">
        <f t="shared" si="314"/>
        <v>0</v>
      </c>
      <c r="BJ545" s="3083">
        <f t="shared" si="315"/>
        <v>0</v>
      </c>
      <c r="BK545" s="3083">
        <f t="shared" si="316"/>
        <v>0</v>
      </c>
      <c r="BL545" s="3083">
        <f t="shared" si="317"/>
        <v>0</v>
      </c>
      <c r="BM545" s="3083">
        <f t="shared" si="318"/>
        <v>0</v>
      </c>
      <c r="BN545" s="3083">
        <f t="shared" si="319"/>
        <v>0</v>
      </c>
      <c r="BO545" s="3083">
        <f t="shared" si="320"/>
        <v>0</v>
      </c>
      <c r="BP545" s="3083">
        <f t="shared" si="321"/>
        <v>0</v>
      </c>
      <c r="BQ545" s="3083">
        <f t="shared" si="322"/>
        <v>0</v>
      </c>
      <c r="BR545" s="3083">
        <f t="shared" si="323"/>
        <v>0</v>
      </c>
      <c r="BS545" s="3083">
        <f t="shared" si="324"/>
        <v>0</v>
      </c>
      <c r="BT545" s="3135">
        <f t="shared" si="325"/>
        <v>0</v>
      </c>
    </row>
    <row r="546" spans="1:72">
      <c r="A546" s="3080"/>
      <c r="B546" s="3081"/>
      <c r="C546" s="3081"/>
      <c r="D546" s="3082"/>
      <c r="E546" s="3083">
        <f t="shared" si="297"/>
        <v>0</v>
      </c>
      <c r="F546" s="3084"/>
      <c r="G546" s="3085">
        <f t="shared" si="301"/>
        <v>0</v>
      </c>
      <c r="H546" s="3086">
        <f t="shared" si="302"/>
        <v>0</v>
      </c>
      <c r="I546" s="3093"/>
      <c r="J546" s="3093"/>
      <c r="K546" s="3093"/>
      <c r="L546" s="3093"/>
      <c r="M546" s="3093"/>
      <c r="N546" s="3093"/>
      <c r="O546" s="3093"/>
      <c r="P546" s="3093"/>
      <c r="Q546" s="3093"/>
      <c r="R546" s="3093"/>
      <c r="S546" s="3093"/>
      <c r="T546" s="3093"/>
      <c r="U546" s="3093"/>
      <c r="V546" s="3093"/>
      <c r="W546" s="3093"/>
      <c r="X546" s="3093"/>
      <c r="Y546" s="3093"/>
      <c r="Z546" s="3093"/>
      <c r="AA546" s="3093"/>
      <c r="AB546" s="3093"/>
      <c r="AC546" s="3083">
        <f t="shared" si="303"/>
        <v>0</v>
      </c>
      <c r="AD546" s="3103"/>
      <c r="AE546" s="3103"/>
      <c r="AF546" s="3103"/>
      <c r="AG546" s="3103"/>
      <c r="AH546" s="3103"/>
      <c r="AI546" s="3103"/>
      <c r="AJ546" s="3103"/>
      <c r="AK546" s="3103"/>
      <c r="AL546" s="3103"/>
      <c r="AM546" s="3103"/>
      <c r="AN546" s="3103"/>
      <c r="AO546" s="3103"/>
      <c r="AP546" s="3103"/>
      <c r="AQ546" s="3103"/>
      <c r="AR546" s="3103"/>
      <c r="AS546" s="3103"/>
      <c r="AT546" s="3113"/>
      <c r="AU546" s="3114"/>
      <c r="AV546" s="1580">
        <f t="shared" si="298"/>
        <v>0</v>
      </c>
      <c r="AW546" s="1580">
        <f t="shared" si="299"/>
        <v>0</v>
      </c>
      <c r="AX546" s="1580">
        <f t="shared" si="300"/>
        <v>0</v>
      </c>
      <c r="AY546" s="3128">
        <f t="shared" si="304"/>
        <v>0</v>
      </c>
      <c r="AZ546" s="3083">
        <f t="shared" si="305"/>
        <v>0</v>
      </c>
      <c r="BA546" s="3083">
        <f t="shared" si="306"/>
        <v>0</v>
      </c>
      <c r="BB546" s="3083">
        <f t="shared" si="307"/>
        <v>0</v>
      </c>
      <c r="BC546" s="3083">
        <f t="shared" si="308"/>
        <v>0</v>
      </c>
      <c r="BD546" s="3083">
        <f t="shared" si="309"/>
        <v>0</v>
      </c>
      <c r="BE546" s="3083">
        <f t="shared" si="310"/>
        <v>0</v>
      </c>
      <c r="BF546" s="3083">
        <f t="shared" si="311"/>
        <v>0</v>
      </c>
      <c r="BG546" s="3083">
        <f t="shared" si="312"/>
        <v>0</v>
      </c>
      <c r="BH546" s="3083">
        <f t="shared" si="313"/>
        <v>0</v>
      </c>
      <c r="BI546" s="3083">
        <f t="shared" si="314"/>
        <v>0</v>
      </c>
      <c r="BJ546" s="3083">
        <f t="shared" si="315"/>
        <v>0</v>
      </c>
      <c r="BK546" s="3083">
        <f t="shared" si="316"/>
        <v>0</v>
      </c>
      <c r="BL546" s="3083">
        <f t="shared" si="317"/>
        <v>0</v>
      </c>
      <c r="BM546" s="3083">
        <f t="shared" si="318"/>
        <v>0</v>
      </c>
      <c r="BN546" s="3083">
        <f t="shared" si="319"/>
        <v>0</v>
      </c>
      <c r="BO546" s="3083">
        <f t="shared" si="320"/>
        <v>0</v>
      </c>
      <c r="BP546" s="3083">
        <f t="shared" si="321"/>
        <v>0</v>
      </c>
      <c r="BQ546" s="3083">
        <f t="shared" si="322"/>
        <v>0</v>
      </c>
      <c r="BR546" s="3083">
        <f t="shared" si="323"/>
        <v>0</v>
      </c>
      <c r="BS546" s="3083">
        <f t="shared" si="324"/>
        <v>0</v>
      </c>
      <c r="BT546" s="3135">
        <f t="shared" si="325"/>
        <v>0</v>
      </c>
    </row>
    <row r="547" spans="1:72">
      <c r="A547" s="3080"/>
      <c r="B547" s="3081"/>
      <c r="C547" s="3081"/>
      <c r="D547" s="3082"/>
      <c r="E547" s="3083">
        <f t="shared" si="297"/>
        <v>0</v>
      </c>
      <c r="F547" s="3084"/>
      <c r="G547" s="3085">
        <f t="shared" si="301"/>
        <v>0</v>
      </c>
      <c r="H547" s="3086">
        <f t="shared" si="302"/>
        <v>0</v>
      </c>
      <c r="I547" s="3093"/>
      <c r="J547" s="3093"/>
      <c r="K547" s="3093"/>
      <c r="L547" s="3093"/>
      <c r="M547" s="3093"/>
      <c r="N547" s="3093"/>
      <c r="O547" s="3093"/>
      <c r="P547" s="3093"/>
      <c r="Q547" s="3093"/>
      <c r="R547" s="3093"/>
      <c r="S547" s="3093"/>
      <c r="T547" s="3093"/>
      <c r="U547" s="3093"/>
      <c r="V547" s="3093"/>
      <c r="W547" s="3093"/>
      <c r="X547" s="3093"/>
      <c r="Y547" s="3093"/>
      <c r="Z547" s="3093"/>
      <c r="AA547" s="3093"/>
      <c r="AB547" s="3093"/>
      <c r="AC547" s="3083">
        <f t="shared" si="303"/>
        <v>0</v>
      </c>
      <c r="AD547" s="3103"/>
      <c r="AE547" s="3103"/>
      <c r="AF547" s="3103"/>
      <c r="AG547" s="3103"/>
      <c r="AH547" s="3103"/>
      <c r="AI547" s="3103"/>
      <c r="AJ547" s="3103"/>
      <c r="AK547" s="3103"/>
      <c r="AL547" s="3103"/>
      <c r="AM547" s="3103"/>
      <c r="AN547" s="3103"/>
      <c r="AO547" s="3103"/>
      <c r="AP547" s="3103"/>
      <c r="AQ547" s="3103"/>
      <c r="AR547" s="3103"/>
      <c r="AS547" s="3103"/>
      <c r="AT547" s="3113"/>
      <c r="AU547" s="3114"/>
      <c r="AV547" s="1580">
        <f t="shared" si="298"/>
        <v>0</v>
      </c>
      <c r="AW547" s="1580">
        <f t="shared" si="299"/>
        <v>0</v>
      </c>
      <c r="AX547" s="1580">
        <f t="shared" si="300"/>
        <v>0</v>
      </c>
      <c r="AY547" s="3128">
        <f t="shared" si="304"/>
        <v>0</v>
      </c>
      <c r="AZ547" s="3083">
        <f t="shared" si="305"/>
        <v>0</v>
      </c>
      <c r="BA547" s="3083">
        <f t="shared" si="306"/>
        <v>0</v>
      </c>
      <c r="BB547" s="3083">
        <f t="shared" si="307"/>
        <v>0</v>
      </c>
      <c r="BC547" s="3083">
        <f t="shared" si="308"/>
        <v>0</v>
      </c>
      <c r="BD547" s="3083">
        <f t="shared" si="309"/>
        <v>0</v>
      </c>
      <c r="BE547" s="3083">
        <f t="shared" si="310"/>
        <v>0</v>
      </c>
      <c r="BF547" s="3083">
        <f t="shared" si="311"/>
        <v>0</v>
      </c>
      <c r="BG547" s="3083">
        <f t="shared" si="312"/>
        <v>0</v>
      </c>
      <c r="BH547" s="3083">
        <f t="shared" si="313"/>
        <v>0</v>
      </c>
      <c r="BI547" s="3083">
        <f t="shared" si="314"/>
        <v>0</v>
      </c>
      <c r="BJ547" s="3083">
        <f t="shared" si="315"/>
        <v>0</v>
      </c>
      <c r="BK547" s="3083">
        <f t="shared" si="316"/>
        <v>0</v>
      </c>
      <c r="BL547" s="3083">
        <f t="shared" si="317"/>
        <v>0</v>
      </c>
      <c r="BM547" s="3083">
        <f t="shared" si="318"/>
        <v>0</v>
      </c>
      <c r="BN547" s="3083">
        <f t="shared" si="319"/>
        <v>0</v>
      </c>
      <c r="BO547" s="3083">
        <f t="shared" si="320"/>
        <v>0</v>
      </c>
      <c r="BP547" s="3083">
        <f t="shared" si="321"/>
        <v>0</v>
      </c>
      <c r="BQ547" s="3083">
        <f t="shared" si="322"/>
        <v>0</v>
      </c>
      <c r="BR547" s="3083">
        <f t="shared" si="323"/>
        <v>0</v>
      </c>
      <c r="BS547" s="3083">
        <f t="shared" si="324"/>
        <v>0</v>
      </c>
      <c r="BT547" s="3135">
        <f t="shared" si="325"/>
        <v>0</v>
      </c>
    </row>
    <row r="548" spans="1:72">
      <c r="A548" s="3080"/>
      <c r="B548" s="3081"/>
      <c r="C548" s="3081"/>
      <c r="D548" s="3082"/>
      <c r="E548" s="3083">
        <f t="shared" si="297"/>
        <v>0</v>
      </c>
      <c r="F548" s="3084"/>
      <c r="G548" s="3085">
        <f t="shared" si="301"/>
        <v>0</v>
      </c>
      <c r="H548" s="3086">
        <f t="shared" si="302"/>
        <v>0</v>
      </c>
      <c r="I548" s="3093"/>
      <c r="J548" s="3093"/>
      <c r="K548" s="3093"/>
      <c r="L548" s="3093"/>
      <c r="M548" s="3093"/>
      <c r="N548" s="3093"/>
      <c r="O548" s="3093"/>
      <c r="P548" s="3093"/>
      <c r="Q548" s="3093"/>
      <c r="R548" s="3093"/>
      <c r="S548" s="3093"/>
      <c r="T548" s="3093"/>
      <c r="U548" s="3093"/>
      <c r="V548" s="3093"/>
      <c r="W548" s="3093"/>
      <c r="X548" s="3093"/>
      <c r="Y548" s="3093"/>
      <c r="Z548" s="3093"/>
      <c r="AA548" s="3093"/>
      <c r="AB548" s="3093"/>
      <c r="AC548" s="3083">
        <f t="shared" si="303"/>
        <v>0</v>
      </c>
      <c r="AD548" s="3103"/>
      <c r="AE548" s="3103"/>
      <c r="AF548" s="3103"/>
      <c r="AG548" s="3103"/>
      <c r="AH548" s="3103"/>
      <c r="AI548" s="3103"/>
      <c r="AJ548" s="3103"/>
      <c r="AK548" s="3103"/>
      <c r="AL548" s="3103"/>
      <c r="AM548" s="3103"/>
      <c r="AN548" s="3103"/>
      <c r="AO548" s="3103"/>
      <c r="AP548" s="3103"/>
      <c r="AQ548" s="3103"/>
      <c r="AR548" s="3103"/>
      <c r="AS548" s="3103"/>
      <c r="AT548" s="3113"/>
      <c r="AU548" s="3114"/>
      <c r="AV548" s="1580">
        <f t="shared" si="298"/>
        <v>0</v>
      </c>
      <c r="AW548" s="1580">
        <f t="shared" si="299"/>
        <v>0</v>
      </c>
      <c r="AX548" s="1580">
        <f t="shared" si="300"/>
        <v>0</v>
      </c>
      <c r="AY548" s="3128">
        <f t="shared" si="304"/>
        <v>0</v>
      </c>
      <c r="AZ548" s="3083">
        <f t="shared" si="305"/>
        <v>0</v>
      </c>
      <c r="BA548" s="3083">
        <f t="shared" si="306"/>
        <v>0</v>
      </c>
      <c r="BB548" s="3083">
        <f t="shared" si="307"/>
        <v>0</v>
      </c>
      <c r="BC548" s="3083">
        <f t="shared" si="308"/>
        <v>0</v>
      </c>
      <c r="BD548" s="3083">
        <f t="shared" si="309"/>
        <v>0</v>
      </c>
      <c r="BE548" s="3083">
        <f t="shared" si="310"/>
        <v>0</v>
      </c>
      <c r="BF548" s="3083">
        <f t="shared" si="311"/>
        <v>0</v>
      </c>
      <c r="BG548" s="3083">
        <f t="shared" si="312"/>
        <v>0</v>
      </c>
      <c r="BH548" s="3083">
        <f t="shared" si="313"/>
        <v>0</v>
      </c>
      <c r="BI548" s="3083">
        <f t="shared" si="314"/>
        <v>0</v>
      </c>
      <c r="BJ548" s="3083">
        <f t="shared" si="315"/>
        <v>0</v>
      </c>
      <c r="BK548" s="3083">
        <f t="shared" si="316"/>
        <v>0</v>
      </c>
      <c r="BL548" s="3083">
        <f t="shared" si="317"/>
        <v>0</v>
      </c>
      <c r="BM548" s="3083">
        <f t="shared" si="318"/>
        <v>0</v>
      </c>
      <c r="BN548" s="3083">
        <f t="shared" si="319"/>
        <v>0</v>
      </c>
      <c r="BO548" s="3083">
        <f t="shared" si="320"/>
        <v>0</v>
      </c>
      <c r="BP548" s="3083">
        <f t="shared" si="321"/>
        <v>0</v>
      </c>
      <c r="BQ548" s="3083">
        <f t="shared" si="322"/>
        <v>0</v>
      </c>
      <c r="BR548" s="3083">
        <f t="shared" si="323"/>
        <v>0</v>
      </c>
      <c r="BS548" s="3083">
        <f t="shared" si="324"/>
        <v>0</v>
      </c>
      <c r="BT548" s="3135">
        <f t="shared" si="325"/>
        <v>0</v>
      </c>
    </row>
    <row r="549" spans="1:72">
      <c r="A549" s="3080"/>
      <c r="B549" s="3081"/>
      <c r="C549" s="3081"/>
      <c r="D549" s="3082"/>
      <c r="E549" s="3083">
        <f t="shared" si="297"/>
        <v>0</v>
      </c>
      <c r="F549" s="3084"/>
      <c r="G549" s="3085">
        <f t="shared" si="301"/>
        <v>0</v>
      </c>
      <c r="H549" s="3086">
        <f t="shared" si="302"/>
        <v>0</v>
      </c>
      <c r="I549" s="3093"/>
      <c r="J549" s="3093"/>
      <c r="K549" s="3093"/>
      <c r="L549" s="3093"/>
      <c r="M549" s="3093"/>
      <c r="N549" s="3093"/>
      <c r="O549" s="3093"/>
      <c r="P549" s="3093"/>
      <c r="Q549" s="3093"/>
      <c r="R549" s="3093"/>
      <c r="S549" s="3093"/>
      <c r="T549" s="3093"/>
      <c r="U549" s="3093"/>
      <c r="V549" s="3093"/>
      <c r="W549" s="3093"/>
      <c r="X549" s="3093"/>
      <c r="Y549" s="3093"/>
      <c r="Z549" s="3093"/>
      <c r="AA549" s="3093"/>
      <c r="AB549" s="3093"/>
      <c r="AC549" s="3083">
        <f t="shared" si="303"/>
        <v>0</v>
      </c>
      <c r="AD549" s="3103"/>
      <c r="AE549" s="3103"/>
      <c r="AF549" s="3103"/>
      <c r="AG549" s="3103"/>
      <c r="AH549" s="3103"/>
      <c r="AI549" s="3103"/>
      <c r="AJ549" s="3103"/>
      <c r="AK549" s="3103"/>
      <c r="AL549" s="3103"/>
      <c r="AM549" s="3103"/>
      <c r="AN549" s="3103"/>
      <c r="AO549" s="3103"/>
      <c r="AP549" s="3103"/>
      <c r="AQ549" s="3103"/>
      <c r="AR549" s="3103"/>
      <c r="AS549" s="3103"/>
      <c r="AT549" s="3113"/>
      <c r="AU549" s="3114"/>
      <c r="AV549" s="1580">
        <f t="shared" si="298"/>
        <v>0</v>
      </c>
      <c r="AW549" s="1580">
        <f t="shared" si="299"/>
        <v>0</v>
      </c>
      <c r="AX549" s="1580">
        <f t="shared" si="300"/>
        <v>0</v>
      </c>
      <c r="AY549" s="3128">
        <f t="shared" si="304"/>
        <v>0</v>
      </c>
      <c r="AZ549" s="3083">
        <f t="shared" si="305"/>
        <v>0</v>
      </c>
      <c r="BA549" s="3083">
        <f t="shared" si="306"/>
        <v>0</v>
      </c>
      <c r="BB549" s="3083">
        <f t="shared" si="307"/>
        <v>0</v>
      </c>
      <c r="BC549" s="3083">
        <f t="shared" si="308"/>
        <v>0</v>
      </c>
      <c r="BD549" s="3083">
        <f t="shared" si="309"/>
        <v>0</v>
      </c>
      <c r="BE549" s="3083">
        <f t="shared" si="310"/>
        <v>0</v>
      </c>
      <c r="BF549" s="3083">
        <f t="shared" si="311"/>
        <v>0</v>
      </c>
      <c r="BG549" s="3083">
        <f t="shared" si="312"/>
        <v>0</v>
      </c>
      <c r="BH549" s="3083">
        <f t="shared" si="313"/>
        <v>0</v>
      </c>
      <c r="BI549" s="3083">
        <f t="shared" si="314"/>
        <v>0</v>
      </c>
      <c r="BJ549" s="3083">
        <f t="shared" si="315"/>
        <v>0</v>
      </c>
      <c r="BK549" s="3083">
        <f t="shared" si="316"/>
        <v>0</v>
      </c>
      <c r="BL549" s="3083">
        <f t="shared" si="317"/>
        <v>0</v>
      </c>
      <c r="BM549" s="3083">
        <f t="shared" si="318"/>
        <v>0</v>
      </c>
      <c r="BN549" s="3083">
        <f t="shared" si="319"/>
        <v>0</v>
      </c>
      <c r="BO549" s="3083">
        <f t="shared" si="320"/>
        <v>0</v>
      </c>
      <c r="BP549" s="3083">
        <f t="shared" si="321"/>
        <v>0</v>
      </c>
      <c r="BQ549" s="3083">
        <f t="shared" si="322"/>
        <v>0</v>
      </c>
      <c r="BR549" s="3083">
        <f t="shared" si="323"/>
        <v>0</v>
      </c>
      <c r="BS549" s="3083">
        <f t="shared" si="324"/>
        <v>0</v>
      </c>
      <c r="BT549" s="3135">
        <f t="shared" si="325"/>
        <v>0</v>
      </c>
    </row>
    <row r="550" spans="1:72">
      <c r="A550" s="3080"/>
      <c r="B550" s="3081"/>
      <c r="C550" s="3081"/>
      <c r="D550" s="3082"/>
      <c r="E550" s="3083">
        <f t="shared" si="297"/>
        <v>0</v>
      </c>
      <c r="F550" s="3084"/>
      <c r="G550" s="3085">
        <f t="shared" si="301"/>
        <v>0</v>
      </c>
      <c r="H550" s="3086">
        <f t="shared" si="302"/>
        <v>0</v>
      </c>
      <c r="I550" s="3093"/>
      <c r="J550" s="3093"/>
      <c r="K550" s="3093"/>
      <c r="L550" s="3093"/>
      <c r="M550" s="3093"/>
      <c r="N550" s="3093"/>
      <c r="O550" s="3093"/>
      <c r="P550" s="3093"/>
      <c r="Q550" s="3093"/>
      <c r="R550" s="3093"/>
      <c r="S550" s="3093"/>
      <c r="T550" s="3093"/>
      <c r="U550" s="3093"/>
      <c r="V550" s="3093"/>
      <c r="W550" s="3093"/>
      <c r="X550" s="3093"/>
      <c r="Y550" s="3093"/>
      <c r="Z550" s="3093"/>
      <c r="AA550" s="3093"/>
      <c r="AB550" s="3093"/>
      <c r="AC550" s="3083">
        <f t="shared" si="303"/>
        <v>0</v>
      </c>
      <c r="AD550" s="3103"/>
      <c r="AE550" s="3103"/>
      <c r="AF550" s="3103"/>
      <c r="AG550" s="3103"/>
      <c r="AH550" s="3103"/>
      <c r="AI550" s="3103"/>
      <c r="AJ550" s="3103"/>
      <c r="AK550" s="3103"/>
      <c r="AL550" s="3103"/>
      <c r="AM550" s="3103"/>
      <c r="AN550" s="3103"/>
      <c r="AO550" s="3103"/>
      <c r="AP550" s="3103"/>
      <c r="AQ550" s="3103"/>
      <c r="AR550" s="3103"/>
      <c r="AS550" s="3103"/>
      <c r="AT550" s="3113"/>
      <c r="AU550" s="3114"/>
      <c r="AV550" s="1580">
        <f t="shared" si="298"/>
        <v>0</v>
      </c>
      <c r="AW550" s="1580">
        <f t="shared" si="299"/>
        <v>0</v>
      </c>
      <c r="AX550" s="1580">
        <f t="shared" si="300"/>
        <v>0</v>
      </c>
      <c r="AY550" s="3128">
        <f t="shared" si="304"/>
        <v>0</v>
      </c>
      <c r="AZ550" s="3083">
        <f t="shared" si="305"/>
        <v>0</v>
      </c>
      <c r="BA550" s="3083">
        <f t="shared" si="306"/>
        <v>0</v>
      </c>
      <c r="BB550" s="3083">
        <f t="shared" si="307"/>
        <v>0</v>
      </c>
      <c r="BC550" s="3083">
        <f t="shared" si="308"/>
        <v>0</v>
      </c>
      <c r="BD550" s="3083">
        <f t="shared" si="309"/>
        <v>0</v>
      </c>
      <c r="BE550" s="3083">
        <f t="shared" si="310"/>
        <v>0</v>
      </c>
      <c r="BF550" s="3083">
        <f t="shared" si="311"/>
        <v>0</v>
      </c>
      <c r="BG550" s="3083">
        <f t="shared" si="312"/>
        <v>0</v>
      </c>
      <c r="BH550" s="3083">
        <f t="shared" si="313"/>
        <v>0</v>
      </c>
      <c r="BI550" s="3083">
        <f t="shared" si="314"/>
        <v>0</v>
      </c>
      <c r="BJ550" s="3083">
        <f t="shared" si="315"/>
        <v>0</v>
      </c>
      <c r="BK550" s="3083">
        <f t="shared" si="316"/>
        <v>0</v>
      </c>
      <c r="BL550" s="3083">
        <f t="shared" si="317"/>
        <v>0</v>
      </c>
      <c r="BM550" s="3083">
        <f t="shared" si="318"/>
        <v>0</v>
      </c>
      <c r="BN550" s="3083">
        <f t="shared" si="319"/>
        <v>0</v>
      </c>
      <c r="BO550" s="3083">
        <f t="shared" si="320"/>
        <v>0</v>
      </c>
      <c r="BP550" s="3083">
        <f t="shared" si="321"/>
        <v>0</v>
      </c>
      <c r="BQ550" s="3083">
        <f t="shared" si="322"/>
        <v>0</v>
      </c>
      <c r="BR550" s="3083">
        <f t="shared" si="323"/>
        <v>0</v>
      </c>
      <c r="BS550" s="3083">
        <f t="shared" si="324"/>
        <v>0</v>
      </c>
      <c r="BT550" s="3135">
        <f t="shared" si="325"/>
        <v>0</v>
      </c>
    </row>
    <row r="551" spans="1:72">
      <c r="A551" s="3080"/>
      <c r="B551" s="3081"/>
      <c r="C551" s="3081"/>
      <c r="D551" s="3082"/>
      <c r="E551" s="3083">
        <f t="shared" si="297"/>
        <v>0</v>
      </c>
      <c r="F551" s="3084"/>
      <c r="G551" s="3085">
        <f t="shared" si="301"/>
        <v>0</v>
      </c>
      <c r="H551" s="3086">
        <f t="shared" si="302"/>
        <v>0</v>
      </c>
      <c r="I551" s="3093"/>
      <c r="J551" s="3093"/>
      <c r="K551" s="3093"/>
      <c r="L551" s="3093"/>
      <c r="M551" s="3093"/>
      <c r="N551" s="3093"/>
      <c r="O551" s="3093"/>
      <c r="P551" s="3093"/>
      <c r="Q551" s="3093"/>
      <c r="R551" s="3093"/>
      <c r="S551" s="3093"/>
      <c r="T551" s="3093"/>
      <c r="U551" s="3093"/>
      <c r="V551" s="3093"/>
      <c r="W551" s="3093"/>
      <c r="X551" s="3093"/>
      <c r="Y551" s="3093"/>
      <c r="Z551" s="3093"/>
      <c r="AA551" s="3093"/>
      <c r="AB551" s="3093"/>
      <c r="AC551" s="3083">
        <f t="shared" si="303"/>
        <v>0</v>
      </c>
      <c r="AD551" s="3103"/>
      <c r="AE551" s="3103"/>
      <c r="AF551" s="3103"/>
      <c r="AG551" s="3103"/>
      <c r="AH551" s="3103"/>
      <c r="AI551" s="3103"/>
      <c r="AJ551" s="3103"/>
      <c r="AK551" s="3103"/>
      <c r="AL551" s="3103"/>
      <c r="AM551" s="3103"/>
      <c r="AN551" s="3103"/>
      <c r="AO551" s="3103"/>
      <c r="AP551" s="3103"/>
      <c r="AQ551" s="3103"/>
      <c r="AR551" s="3103"/>
      <c r="AS551" s="3103"/>
      <c r="AT551" s="3113"/>
      <c r="AU551" s="3114"/>
      <c r="AV551" s="1580">
        <f t="shared" si="298"/>
        <v>0</v>
      </c>
      <c r="AW551" s="1580">
        <f t="shared" si="299"/>
        <v>0</v>
      </c>
      <c r="AX551" s="1580">
        <f t="shared" si="300"/>
        <v>0</v>
      </c>
      <c r="AY551" s="3128">
        <f t="shared" si="304"/>
        <v>0</v>
      </c>
      <c r="AZ551" s="3083">
        <f t="shared" si="305"/>
        <v>0</v>
      </c>
      <c r="BA551" s="3083">
        <f t="shared" si="306"/>
        <v>0</v>
      </c>
      <c r="BB551" s="3083">
        <f t="shared" si="307"/>
        <v>0</v>
      </c>
      <c r="BC551" s="3083">
        <f t="shared" si="308"/>
        <v>0</v>
      </c>
      <c r="BD551" s="3083">
        <f t="shared" si="309"/>
        <v>0</v>
      </c>
      <c r="BE551" s="3083">
        <f t="shared" si="310"/>
        <v>0</v>
      </c>
      <c r="BF551" s="3083">
        <f t="shared" si="311"/>
        <v>0</v>
      </c>
      <c r="BG551" s="3083">
        <f t="shared" si="312"/>
        <v>0</v>
      </c>
      <c r="BH551" s="3083">
        <f t="shared" si="313"/>
        <v>0</v>
      </c>
      <c r="BI551" s="3083">
        <f t="shared" si="314"/>
        <v>0</v>
      </c>
      <c r="BJ551" s="3083">
        <f t="shared" si="315"/>
        <v>0</v>
      </c>
      <c r="BK551" s="3083">
        <f t="shared" si="316"/>
        <v>0</v>
      </c>
      <c r="BL551" s="3083">
        <f t="shared" si="317"/>
        <v>0</v>
      </c>
      <c r="BM551" s="3083">
        <f t="shared" si="318"/>
        <v>0</v>
      </c>
      <c r="BN551" s="3083">
        <f t="shared" si="319"/>
        <v>0</v>
      </c>
      <c r="BO551" s="3083">
        <f t="shared" si="320"/>
        <v>0</v>
      </c>
      <c r="BP551" s="3083">
        <f t="shared" si="321"/>
        <v>0</v>
      </c>
      <c r="BQ551" s="3083">
        <f t="shared" si="322"/>
        <v>0</v>
      </c>
      <c r="BR551" s="3083">
        <f t="shared" si="323"/>
        <v>0</v>
      </c>
      <c r="BS551" s="3083">
        <f t="shared" si="324"/>
        <v>0</v>
      </c>
      <c r="BT551" s="3135">
        <f t="shared" si="325"/>
        <v>0</v>
      </c>
    </row>
    <row r="552" spans="1:72">
      <c r="A552" s="3080"/>
      <c r="B552" s="3081"/>
      <c r="C552" s="3081"/>
      <c r="D552" s="3082"/>
      <c r="E552" s="3083">
        <f t="shared" ref="E552:E587" si="326">IF($C$3="是",ROUND($A$3*G552/$B$3,2),ROUND($A$3*(G552-AT552)/$B$3,2))</f>
        <v>0</v>
      </c>
      <c r="F552" s="3084"/>
      <c r="G552" s="3085">
        <f t="shared" si="301"/>
        <v>0</v>
      </c>
      <c r="H552" s="3086">
        <f t="shared" si="302"/>
        <v>0</v>
      </c>
      <c r="I552" s="3093"/>
      <c r="J552" s="3093"/>
      <c r="K552" s="3093"/>
      <c r="L552" s="3093"/>
      <c r="M552" s="3093"/>
      <c r="N552" s="3093"/>
      <c r="O552" s="3093"/>
      <c r="P552" s="3093"/>
      <c r="Q552" s="3093"/>
      <c r="R552" s="3093"/>
      <c r="S552" s="3093"/>
      <c r="T552" s="3093"/>
      <c r="U552" s="3093"/>
      <c r="V552" s="3093"/>
      <c r="W552" s="3093"/>
      <c r="X552" s="3093"/>
      <c r="Y552" s="3093"/>
      <c r="Z552" s="3093"/>
      <c r="AA552" s="3093"/>
      <c r="AB552" s="3093"/>
      <c r="AC552" s="3083">
        <f t="shared" si="303"/>
        <v>0</v>
      </c>
      <c r="AD552" s="3103"/>
      <c r="AE552" s="3103"/>
      <c r="AF552" s="3103"/>
      <c r="AG552" s="3103"/>
      <c r="AH552" s="3103"/>
      <c r="AI552" s="3103"/>
      <c r="AJ552" s="3103"/>
      <c r="AK552" s="3103"/>
      <c r="AL552" s="3103"/>
      <c r="AM552" s="3103"/>
      <c r="AN552" s="3103"/>
      <c r="AO552" s="3103"/>
      <c r="AP552" s="3103"/>
      <c r="AQ552" s="3103"/>
      <c r="AR552" s="3103"/>
      <c r="AS552" s="3103"/>
      <c r="AT552" s="3113"/>
      <c r="AU552" s="3114"/>
      <c r="AV552" s="1580">
        <f t="shared" si="298"/>
        <v>0</v>
      </c>
      <c r="AW552" s="1580">
        <f t="shared" si="299"/>
        <v>0</v>
      </c>
      <c r="AX552" s="1580">
        <f t="shared" si="300"/>
        <v>0</v>
      </c>
      <c r="AY552" s="3128">
        <f t="shared" si="304"/>
        <v>0</v>
      </c>
      <c r="AZ552" s="3083">
        <f t="shared" si="305"/>
        <v>0</v>
      </c>
      <c r="BA552" s="3083">
        <f t="shared" si="306"/>
        <v>0</v>
      </c>
      <c r="BB552" s="3083">
        <f t="shared" si="307"/>
        <v>0</v>
      </c>
      <c r="BC552" s="3083">
        <f t="shared" si="308"/>
        <v>0</v>
      </c>
      <c r="BD552" s="3083">
        <f t="shared" si="309"/>
        <v>0</v>
      </c>
      <c r="BE552" s="3083">
        <f t="shared" si="310"/>
        <v>0</v>
      </c>
      <c r="BF552" s="3083">
        <f t="shared" si="311"/>
        <v>0</v>
      </c>
      <c r="BG552" s="3083">
        <f t="shared" si="312"/>
        <v>0</v>
      </c>
      <c r="BH552" s="3083">
        <f t="shared" si="313"/>
        <v>0</v>
      </c>
      <c r="BI552" s="3083">
        <f t="shared" si="314"/>
        <v>0</v>
      </c>
      <c r="BJ552" s="3083">
        <f t="shared" si="315"/>
        <v>0</v>
      </c>
      <c r="BK552" s="3083">
        <f t="shared" si="316"/>
        <v>0</v>
      </c>
      <c r="BL552" s="3083">
        <f t="shared" si="317"/>
        <v>0</v>
      </c>
      <c r="BM552" s="3083">
        <f t="shared" si="318"/>
        <v>0</v>
      </c>
      <c r="BN552" s="3083">
        <f t="shared" si="319"/>
        <v>0</v>
      </c>
      <c r="BO552" s="3083">
        <f t="shared" si="320"/>
        <v>0</v>
      </c>
      <c r="BP552" s="3083">
        <f t="shared" si="321"/>
        <v>0</v>
      </c>
      <c r="BQ552" s="3083">
        <f t="shared" si="322"/>
        <v>0</v>
      </c>
      <c r="BR552" s="3083">
        <f t="shared" si="323"/>
        <v>0</v>
      </c>
      <c r="BS552" s="3083">
        <f t="shared" si="324"/>
        <v>0</v>
      </c>
      <c r="BT552" s="3135">
        <f t="shared" si="325"/>
        <v>0</v>
      </c>
    </row>
    <row r="553" spans="1:72">
      <c r="A553" s="3080"/>
      <c r="B553" s="3081"/>
      <c r="C553" s="3081"/>
      <c r="D553" s="3082"/>
      <c r="E553" s="3083">
        <f t="shared" si="326"/>
        <v>0</v>
      </c>
      <c r="F553" s="3084"/>
      <c r="G553" s="3085">
        <f t="shared" ref="G553:G587" si="327">H553+AC553+AT553</f>
        <v>0</v>
      </c>
      <c r="H553" s="3086">
        <f t="shared" ref="H553:H587" si="328">SUMIF(I$12:AB$12,"总值",I553:AB553)</f>
        <v>0</v>
      </c>
      <c r="I553" s="3093"/>
      <c r="J553" s="3093"/>
      <c r="K553" s="3093"/>
      <c r="L553" s="3093"/>
      <c r="M553" s="3093"/>
      <c r="N553" s="3093"/>
      <c r="O553" s="3093"/>
      <c r="P553" s="3093"/>
      <c r="Q553" s="3093"/>
      <c r="R553" s="3093"/>
      <c r="S553" s="3093"/>
      <c r="T553" s="3093"/>
      <c r="U553" s="3093"/>
      <c r="V553" s="3093"/>
      <c r="W553" s="3093"/>
      <c r="X553" s="3093"/>
      <c r="Y553" s="3093"/>
      <c r="Z553" s="3093"/>
      <c r="AA553" s="3093"/>
      <c r="AB553" s="3093"/>
      <c r="AC553" s="3083">
        <f t="shared" ref="AC553:AC587" si="329">SUMIF(AD$12:AS$12,"总值",AD553:AS553)</f>
        <v>0</v>
      </c>
      <c r="AD553" s="3103"/>
      <c r="AE553" s="3103"/>
      <c r="AF553" s="3103"/>
      <c r="AG553" s="3103"/>
      <c r="AH553" s="3103"/>
      <c r="AI553" s="3103"/>
      <c r="AJ553" s="3103"/>
      <c r="AK553" s="3103"/>
      <c r="AL553" s="3103"/>
      <c r="AM553" s="3103"/>
      <c r="AN553" s="3103"/>
      <c r="AO553" s="3103"/>
      <c r="AP553" s="3103"/>
      <c r="AQ553" s="3103"/>
      <c r="AR553" s="3103"/>
      <c r="AS553" s="3103"/>
      <c r="AT553" s="3113"/>
      <c r="AU553" s="3114"/>
      <c r="AV553" s="1580">
        <f t="shared" ref="AV553:AV587" si="330">A553</f>
        <v>0</v>
      </c>
      <c r="AW553" s="1580">
        <f t="shared" ref="AW553:AW587" si="331">B553</f>
        <v>0</v>
      </c>
      <c r="AX553" s="1580">
        <f t="shared" ref="AX553:AX587" si="332">C553</f>
        <v>0</v>
      </c>
      <c r="AY553" s="3128">
        <f t="shared" ref="AY553:AY587" si="333">ROUND($AY$6*AZ553/$AZ$5,2)</f>
        <v>0</v>
      </c>
      <c r="AZ553" s="3083">
        <f t="shared" ref="AZ553:AZ587" si="334">BA553+BL553</f>
        <v>0</v>
      </c>
      <c r="BA553" s="3083">
        <f t="shared" ref="BA553:BA587" si="335">SUM(BB553:BK553)</f>
        <v>0</v>
      </c>
      <c r="BB553" s="3083">
        <f t="shared" ref="BB553:BB587" si="336">IF($D553="是",I553-J553,0)</f>
        <v>0</v>
      </c>
      <c r="BC553" s="3083">
        <f t="shared" ref="BC553:BC587" si="337">IF($D553="是",K553-L553,0)</f>
        <v>0</v>
      </c>
      <c r="BD553" s="3083">
        <f t="shared" ref="BD553:BD587" si="338">IF($D553="是",M553-N553,0)</f>
        <v>0</v>
      </c>
      <c r="BE553" s="3083">
        <f t="shared" ref="BE553:BE587" si="339">IF($D553="是",O553-P553,0)</f>
        <v>0</v>
      </c>
      <c r="BF553" s="3083">
        <f t="shared" ref="BF553:BF587" si="340">IF($D553="是",Q553-R553,0)</f>
        <v>0</v>
      </c>
      <c r="BG553" s="3083">
        <f t="shared" ref="BG553:BG587" si="341">IF($D553="是",S553-T553,0)</f>
        <v>0</v>
      </c>
      <c r="BH553" s="3083">
        <f t="shared" ref="BH553:BH587" si="342">IF($D553="是",U553-V553,0)</f>
        <v>0</v>
      </c>
      <c r="BI553" s="3083">
        <f t="shared" ref="BI553:BI587" si="343">IF($D553="是",W553-X553,0)</f>
        <v>0</v>
      </c>
      <c r="BJ553" s="3083">
        <f t="shared" ref="BJ553:BJ587" si="344">IF($D553="是",Y553-Z553,0)</f>
        <v>0</v>
      </c>
      <c r="BK553" s="3083">
        <f t="shared" ref="BK553:BK587" si="345">IF($D553="是",AA553-AB553,0)</f>
        <v>0</v>
      </c>
      <c r="BL553" s="3083">
        <f t="shared" ref="BL553:BL587" si="346">SUM(BM553:BT553)</f>
        <v>0</v>
      </c>
      <c r="BM553" s="3083">
        <f t="shared" ref="BM553:BM587" si="347">IF($D553="是",AD553-AE553,0)</f>
        <v>0</v>
      </c>
      <c r="BN553" s="3083">
        <f t="shared" ref="BN553:BN587" si="348">IF($D553="是",AF553-AG553,0)</f>
        <v>0</v>
      </c>
      <c r="BO553" s="3083">
        <f t="shared" ref="BO553:BO587" si="349">IF($D553="是",AH553-AI553,0)</f>
        <v>0</v>
      </c>
      <c r="BP553" s="3083">
        <f t="shared" ref="BP553:BP587" si="350">IF($D553="是",AJ553-AK553,0)</f>
        <v>0</v>
      </c>
      <c r="BQ553" s="3083">
        <f t="shared" ref="BQ553:BQ587" si="351">IF($D553="是",AL553-AM553,0)</f>
        <v>0</v>
      </c>
      <c r="BR553" s="3083">
        <f t="shared" ref="BR553:BR587" si="352">IF($D553="是",AN553-AO553,0)</f>
        <v>0</v>
      </c>
      <c r="BS553" s="3083">
        <f t="shared" ref="BS553:BS587" si="353">IF($D553="是",AP553-AQ553,0)</f>
        <v>0</v>
      </c>
      <c r="BT553" s="3135">
        <f t="shared" ref="BT553:BT587" si="354">IF($D553="是",AR553-AS553,0)</f>
        <v>0</v>
      </c>
    </row>
    <row r="554" spans="1:72">
      <c r="A554" s="3080"/>
      <c r="B554" s="3081"/>
      <c r="C554" s="3081"/>
      <c r="D554" s="3082"/>
      <c r="E554" s="3083">
        <f t="shared" si="326"/>
        <v>0</v>
      </c>
      <c r="F554" s="3084"/>
      <c r="G554" s="3085">
        <f t="shared" si="327"/>
        <v>0</v>
      </c>
      <c r="H554" s="3086">
        <f t="shared" si="328"/>
        <v>0</v>
      </c>
      <c r="I554" s="3093"/>
      <c r="J554" s="3093"/>
      <c r="K554" s="3093"/>
      <c r="L554" s="3093"/>
      <c r="M554" s="3093"/>
      <c r="N554" s="3093"/>
      <c r="O554" s="3093"/>
      <c r="P554" s="3093"/>
      <c r="Q554" s="3093"/>
      <c r="R554" s="3093"/>
      <c r="S554" s="3093"/>
      <c r="T554" s="3093"/>
      <c r="U554" s="3093"/>
      <c r="V554" s="3093"/>
      <c r="W554" s="3093"/>
      <c r="X554" s="3093"/>
      <c r="Y554" s="3093"/>
      <c r="Z554" s="3093"/>
      <c r="AA554" s="3093"/>
      <c r="AB554" s="3093"/>
      <c r="AC554" s="3083">
        <f t="shared" si="329"/>
        <v>0</v>
      </c>
      <c r="AD554" s="3103"/>
      <c r="AE554" s="3103"/>
      <c r="AF554" s="3103"/>
      <c r="AG554" s="3103"/>
      <c r="AH554" s="3103"/>
      <c r="AI554" s="3103"/>
      <c r="AJ554" s="3103"/>
      <c r="AK554" s="3103"/>
      <c r="AL554" s="3103"/>
      <c r="AM554" s="3103"/>
      <c r="AN554" s="3103"/>
      <c r="AO554" s="3103"/>
      <c r="AP554" s="3103"/>
      <c r="AQ554" s="3103"/>
      <c r="AR554" s="3103"/>
      <c r="AS554" s="3103"/>
      <c r="AT554" s="3113"/>
      <c r="AU554" s="3114"/>
      <c r="AV554" s="1580">
        <f t="shared" si="330"/>
        <v>0</v>
      </c>
      <c r="AW554" s="1580">
        <f t="shared" si="331"/>
        <v>0</v>
      </c>
      <c r="AX554" s="1580">
        <f t="shared" si="332"/>
        <v>0</v>
      </c>
      <c r="AY554" s="3128">
        <f t="shared" si="333"/>
        <v>0</v>
      </c>
      <c r="AZ554" s="3083">
        <f t="shared" si="334"/>
        <v>0</v>
      </c>
      <c r="BA554" s="3083">
        <f t="shared" si="335"/>
        <v>0</v>
      </c>
      <c r="BB554" s="3083">
        <f t="shared" si="336"/>
        <v>0</v>
      </c>
      <c r="BC554" s="3083">
        <f t="shared" si="337"/>
        <v>0</v>
      </c>
      <c r="BD554" s="3083">
        <f t="shared" si="338"/>
        <v>0</v>
      </c>
      <c r="BE554" s="3083">
        <f t="shared" si="339"/>
        <v>0</v>
      </c>
      <c r="BF554" s="3083">
        <f t="shared" si="340"/>
        <v>0</v>
      </c>
      <c r="BG554" s="3083">
        <f t="shared" si="341"/>
        <v>0</v>
      </c>
      <c r="BH554" s="3083">
        <f t="shared" si="342"/>
        <v>0</v>
      </c>
      <c r="BI554" s="3083">
        <f t="shared" si="343"/>
        <v>0</v>
      </c>
      <c r="BJ554" s="3083">
        <f t="shared" si="344"/>
        <v>0</v>
      </c>
      <c r="BK554" s="3083">
        <f t="shared" si="345"/>
        <v>0</v>
      </c>
      <c r="BL554" s="3083">
        <f t="shared" si="346"/>
        <v>0</v>
      </c>
      <c r="BM554" s="3083">
        <f t="shared" si="347"/>
        <v>0</v>
      </c>
      <c r="BN554" s="3083">
        <f t="shared" si="348"/>
        <v>0</v>
      </c>
      <c r="BO554" s="3083">
        <f t="shared" si="349"/>
        <v>0</v>
      </c>
      <c r="BP554" s="3083">
        <f t="shared" si="350"/>
        <v>0</v>
      </c>
      <c r="BQ554" s="3083">
        <f t="shared" si="351"/>
        <v>0</v>
      </c>
      <c r="BR554" s="3083">
        <f t="shared" si="352"/>
        <v>0</v>
      </c>
      <c r="BS554" s="3083">
        <f t="shared" si="353"/>
        <v>0</v>
      </c>
      <c r="BT554" s="3135">
        <f t="shared" si="354"/>
        <v>0</v>
      </c>
    </row>
    <row r="555" spans="1:72">
      <c r="A555" s="3080"/>
      <c r="B555" s="3081"/>
      <c r="C555" s="3081"/>
      <c r="D555" s="3082"/>
      <c r="E555" s="3083">
        <f t="shared" si="326"/>
        <v>0</v>
      </c>
      <c r="F555" s="3084"/>
      <c r="G555" s="3085">
        <f t="shared" si="327"/>
        <v>0</v>
      </c>
      <c r="H555" s="3086">
        <f t="shared" si="328"/>
        <v>0</v>
      </c>
      <c r="I555" s="3093"/>
      <c r="J555" s="3093"/>
      <c r="K555" s="3093"/>
      <c r="L555" s="3093"/>
      <c r="M555" s="3093"/>
      <c r="N555" s="3093"/>
      <c r="O555" s="3093"/>
      <c r="P555" s="3093"/>
      <c r="Q555" s="3093"/>
      <c r="R555" s="3093"/>
      <c r="S555" s="3093"/>
      <c r="T555" s="3093"/>
      <c r="U555" s="3093"/>
      <c r="V555" s="3093"/>
      <c r="W555" s="3093"/>
      <c r="X555" s="3093"/>
      <c r="Y555" s="3093"/>
      <c r="Z555" s="3093"/>
      <c r="AA555" s="3093"/>
      <c r="AB555" s="3093"/>
      <c r="AC555" s="3083">
        <f t="shared" si="329"/>
        <v>0</v>
      </c>
      <c r="AD555" s="3103"/>
      <c r="AE555" s="3103"/>
      <c r="AF555" s="3103"/>
      <c r="AG555" s="3103"/>
      <c r="AH555" s="3103"/>
      <c r="AI555" s="3103"/>
      <c r="AJ555" s="3103"/>
      <c r="AK555" s="3103"/>
      <c r="AL555" s="3103"/>
      <c r="AM555" s="3103"/>
      <c r="AN555" s="3103"/>
      <c r="AO555" s="3103"/>
      <c r="AP555" s="3103"/>
      <c r="AQ555" s="3103"/>
      <c r="AR555" s="3103"/>
      <c r="AS555" s="3103"/>
      <c r="AT555" s="3113"/>
      <c r="AU555" s="3114"/>
      <c r="AV555" s="1580">
        <f t="shared" si="330"/>
        <v>0</v>
      </c>
      <c r="AW555" s="1580">
        <f t="shared" si="331"/>
        <v>0</v>
      </c>
      <c r="AX555" s="1580">
        <f t="shared" si="332"/>
        <v>0</v>
      </c>
      <c r="AY555" s="3128">
        <f t="shared" si="333"/>
        <v>0</v>
      </c>
      <c r="AZ555" s="3083">
        <f t="shared" si="334"/>
        <v>0</v>
      </c>
      <c r="BA555" s="3083">
        <f t="shared" si="335"/>
        <v>0</v>
      </c>
      <c r="BB555" s="3083">
        <f t="shared" si="336"/>
        <v>0</v>
      </c>
      <c r="BC555" s="3083">
        <f t="shared" si="337"/>
        <v>0</v>
      </c>
      <c r="BD555" s="3083">
        <f t="shared" si="338"/>
        <v>0</v>
      </c>
      <c r="BE555" s="3083">
        <f t="shared" si="339"/>
        <v>0</v>
      </c>
      <c r="BF555" s="3083">
        <f t="shared" si="340"/>
        <v>0</v>
      </c>
      <c r="BG555" s="3083">
        <f t="shared" si="341"/>
        <v>0</v>
      </c>
      <c r="BH555" s="3083">
        <f t="shared" si="342"/>
        <v>0</v>
      </c>
      <c r="BI555" s="3083">
        <f t="shared" si="343"/>
        <v>0</v>
      </c>
      <c r="BJ555" s="3083">
        <f t="shared" si="344"/>
        <v>0</v>
      </c>
      <c r="BK555" s="3083">
        <f t="shared" si="345"/>
        <v>0</v>
      </c>
      <c r="BL555" s="3083">
        <f t="shared" si="346"/>
        <v>0</v>
      </c>
      <c r="BM555" s="3083">
        <f t="shared" si="347"/>
        <v>0</v>
      </c>
      <c r="BN555" s="3083">
        <f t="shared" si="348"/>
        <v>0</v>
      </c>
      <c r="BO555" s="3083">
        <f t="shared" si="349"/>
        <v>0</v>
      </c>
      <c r="BP555" s="3083">
        <f t="shared" si="350"/>
        <v>0</v>
      </c>
      <c r="BQ555" s="3083">
        <f t="shared" si="351"/>
        <v>0</v>
      </c>
      <c r="BR555" s="3083">
        <f t="shared" si="352"/>
        <v>0</v>
      </c>
      <c r="BS555" s="3083">
        <f t="shared" si="353"/>
        <v>0</v>
      </c>
      <c r="BT555" s="3135">
        <f t="shared" si="354"/>
        <v>0</v>
      </c>
    </row>
    <row r="556" spans="1:72">
      <c r="A556" s="3080"/>
      <c r="B556" s="3081"/>
      <c r="C556" s="3081"/>
      <c r="D556" s="3082"/>
      <c r="E556" s="3083">
        <f t="shared" si="326"/>
        <v>0</v>
      </c>
      <c r="F556" s="3084"/>
      <c r="G556" s="3085">
        <f t="shared" si="327"/>
        <v>0</v>
      </c>
      <c r="H556" s="3086">
        <f t="shared" si="328"/>
        <v>0</v>
      </c>
      <c r="I556" s="3093"/>
      <c r="J556" s="3093"/>
      <c r="K556" s="3093"/>
      <c r="L556" s="3093"/>
      <c r="M556" s="3093"/>
      <c r="N556" s="3093"/>
      <c r="O556" s="3093"/>
      <c r="P556" s="3093"/>
      <c r="Q556" s="3093"/>
      <c r="R556" s="3093"/>
      <c r="S556" s="3093"/>
      <c r="T556" s="3093"/>
      <c r="U556" s="3093"/>
      <c r="V556" s="3093"/>
      <c r="W556" s="3093"/>
      <c r="X556" s="3093"/>
      <c r="Y556" s="3093"/>
      <c r="Z556" s="3093"/>
      <c r="AA556" s="3093"/>
      <c r="AB556" s="3093"/>
      <c r="AC556" s="3083">
        <f t="shared" si="329"/>
        <v>0</v>
      </c>
      <c r="AD556" s="3103"/>
      <c r="AE556" s="3103"/>
      <c r="AF556" s="3103"/>
      <c r="AG556" s="3103"/>
      <c r="AH556" s="3103"/>
      <c r="AI556" s="3103"/>
      <c r="AJ556" s="3103"/>
      <c r="AK556" s="3103"/>
      <c r="AL556" s="3103"/>
      <c r="AM556" s="3103"/>
      <c r="AN556" s="3103"/>
      <c r="AO556" s="3103"/>
      <c r="AP556" s="3103"/>
      <c r="AQ556" s="3103"/>
      <c r="AR556" s="3103"/>
      <c r="AS556" s="3103"/>
      <c r="AT556" s="3113"/>
      <c r="AU556" s="3114"/>
      <c r="AV556" s="1580">
        <f t="shared" si="330"/>
        <v>0</v>
      </c>
      <c r="AW556" s="1580">
        <f t="shared" si="331"/>
        <v>0</v>
      </c>
      <c r="AX556" s="1580">
        <f t="shared" si="332"/>
        <v>0</v>
      </c>
      <c r="AY556" s="3128">
        <f t="shared" si="333"/>
        <v>0</v>
      </c>
      <c r="AZ556" s="3083">
        <f t="shared" si="334"/>
        <v>0</v>
      </c>
      <c r="BA556" s="3083">
        <f t="shared" si="335"/>
        <v>0</v>
      </c>
      <c r="BB556" s="3083">
        <f t="shared" si="336"/>
        <v>0</v>
      </c>
      <c r="BC556" s="3083">
        <f t="shared" si="337"/>
        <v>0</v>
      </c>
      <c r="BD556" s="3083">
        <f t="shared" si="338"/>
        <v>0</v>
      </c>
      <c r="BE556" s="3083">
        <f t="shared" si="339"/>
        <v>0</v>
      </c>
      <c r="BF556" s="3083">
        <f t="shared" si="340"/>
        <v>0</v>
      </c>
      <c r="BG556" s="3083">
        <f t="shared" si="341"/>
        <v>0</v>
      </c>
      <c r="BH556" s="3083">
        <f t="shared" si="342"/>
        <v>0</v>
      </c>
      <c r="BI556" s="3083">
        <f t="shared" si="343"/>
        <v>0</v>
      </c>
      <c r="BJ556" s="3083">
        <f t="shared" si="344"/>
        <v>0</v>
      </c>
      <c r="BK556" s="3083">
        <f t="shared" si="345"/>
        <v>0</v>
      </c>
      <c r="BL556" s="3083">
        <f t="shared" si="346"/>
        <v>0</v>
      </c>
      <c r="BM556" s="3083">
        <f t="shared" si="347"/>
        <v>0</v>
      </c>
      <c r="BN556" s="3083">
        <f t="shared" si="348"/>
        <v>0</v>
      </c>
      <c r="BO556" s="3083">
        <f t="shared" si="349"/>
        <v>0</v>
      </c>
      <c r="BP556" s="3083">
        <f t="shared" si="350"/>
        <v>0</v>
      </c>
      <c r="BQ556" s="3083">
        <f t="shared" si="351"/>
        <v>0</v>
      </c>
      <c r="BR556" s="3083">
        <f t="shared" si="352"/>
        <v>0</v>
      </c>
      <c r="BS556" s="3083">
        <f t="shared" si="353"/>
        <v>0</v>
      </c>
      <c r="BT556" s="3135">
        <f t="shared" si="354"/>
        <v>0</v>
      </c>
    </row>
    <row r="557" spans="1:72">
      <c r="A557" s="3080"/>
      <c r="B557" s="3081"/>
      <c r="C557" s="3081"/>
      <c r="D557" s="3082"/>
      <c r="E557" s="3083">
        <f t="shared" si="326"/>
        <v>0</v>
      </c>
      <c r="F557" s="3084"/>
      <c r="G557" s="3085">
        <f t="shared" si="327"/>
        <v>0</v>
      </c>
      <c r="H557" s="3086">
        <f t="shared" si="328"/>
        <v>0</v>
      </c>
      <c r="I557" s="3093"/>
      <c r="J557" s="3093"/>
      <c r="K557" s="3093"/>
      <c r="L557" s="3093"/>
      <c r="M557" s="3093"/>
      <c r="N557" s="3093"/>
      <c r="O557" s="3093"/>
      <c r="P557" s="3093"/>
      <c r="Q557" s="3093"/>
      <c r="R557" s="3093"/>
      <c r="S557" s="3093"/>
      <c r="T557" s="3093"/>
      <c r="U557" s="3093"/>
      <c r="V557" s="3093"/>
      <c r="W557" s="3093"/>
      <c r="X557" s="3093"/>
      <c r="Y557" s="3093"/>
      <c r="Z557" s="3093"/>
      <c r="AA557" s="3093"/>
      <c r="AB557" s="3093"/>
      <c r="AC557" s="3083">
        <f t="shared" si="329"/>
        <v>0</v>
      </c>
      <c r="AD557" s="3103"/>
      <c r="AE557" s="3103"/>
      <c r="AF557" s="3103"/>
      <c r="AG557" s="3103"/>
      <c r="AH557" s="3103"/>
      <c r="AI557" s="3103"/>
      <c r="AJ557" s="3103"/>
      <c r="AK557" s="3103"/>
      <c r="AL557" s="3103"/>
      <c r="AM557" s="3103"/>
      <c r="AN557" s="3103"/>
      <c r="AO557" s="3103"/>
      <c r="AP557" s="3103"/>
      <c r="AQ557" s="3103"/>
      <c r="AR557" s="3103"/>
      <c r="AS557" s="3103"/>
      <c r="AT557" s="3113"/>
      <c r="AU557" s="3114"/>
      <c r="AV557" s="1580">
        <f t="shared" si="330"/>
        <v>0</v>
      </c>
      <c r="AW557" s="1580">
        <f t="shared" si="331"/>
        <v>0</v>
      </c>
      <c r="AX557" s="1580">
        <f t="shared" si="332"/>
        <v>0</v>
      </c>
      <c r="AY557" s="3128">
        <f t="shared" si="333"/>
        <v>0</v>
      </c>
      <c r="AZ557" s="3083">
        <f t="shared" si="334"/>
        <v>0</v>
      </c>
      <c r="BA557" s="3083">
        <f t="shared" si="335"/>
        <v>0</v>
      </c>
      <c r="BB557" s="3083">
        <f t="shared" si="336"/>
        <v>0</v>
      </c>
      <c r="BC557" s="3083">
        <f t="shared" si="337"/>
        <v>0</v>
      </c>
      <c r="BD557" s="3083">
        <f t="shared" si="338"/>
        <v>0</v>
      </c>
      <c r="BE557" s="3083">
        <f t="shared" si="339"/>
        <v>0</v>
      </c>
      <c r="BF557" s="3083">
        <f t="shared" si="340"/>
        <v>0</v>
      </c>
      <c r="BG557" s="3083">
        <f t="shared" si="341"/>
        <v>0</v>
      </c>
      <c r="BH557" s="3083">
        <f t="shared" si="342"/>
        <v>0</v>
      </c>
      <c r="BI557" s="3083">
        <f t="shared" si="343"/>
        <v>0</v>
      </c>
      <c r="BJ557" s="3083">
        <f t="shared" si="344"/>
        <v>0</v>
      </c>
      <c r="BK557" s="3083">
        <f t="shared" si="345"/>
        <v>0</v>
      </c>
      <c r="BL557" s="3083">
        <f t="shared" si="346"/>
        <v>0</v>
      </c>
      <c r="BM557" s="3083">
        <f t="shared" si="347"/>
        <v>0</v>
      </c>
      <c r="BN557" s="3083">
        <f t="shared" si="348"/>
        <v>0</v>
      </c>
      <c r="BO557" s="3083">
        <f t="shared" si="349"/>
        <v>0</v>
      </c>
      <c r="BP557" s="3083">
        <f t="shared" si="350"/>
        <v>0</v>
      </c>
      <c r="BQ557" s="3083">
        <f t="shared" si="351"/>
        <v>0</v>
      </c>
      <c r="BR557" s="3083">
        <f t="shared" si="352"/>
        <v>0</v>
      </c>
      <c r="BS557" s="3083">
        <f t="shared" si="353"/>
        <v>0</v>
      </c>
      <c r="BT557" s="3135">
        <f t="shared" si="354"/>
        <v>0</v>
      </c>
    </row>
    <row r="558" spans="1:72">
      <c r="A558" s="3080"/>
      <c r="B558" s="3081"/>
      <c r="C558" s="3081"/>
      <c r="D558" s="3082"/>
      <c r="E558" s="3083">
        <f t="shared" si="326"/>
        <v>0</v>
      </c>
      <c r="F558" s="3084"/>
      <c r="G558" s="3085">
        <f t="shared" si="327"/>
        <v>0</v>
      </c>
      <c r="H558" s="3086">
        <f t="shared" si="328"/>
        <v>0</v>
      </c>
      <c r="I558" s="3093"/>
      <c r="J558" s="3093"/>
      <c r="K558" s="3093"/>
      <c r="L558" s="3093"/>
      <c r="M558" s="3093"/>
      <c r="N558" s="3093"/>
      <c r="O558" s="3093"/>
      <c r="P558" s="3093"/>
      <c r="Q558" s="3093"/>
      <c r="R558" s="3093"/>
      <c r="S558" s="3093"/>
      <c r="T558" s="3093"/>
      <c r="U558" s="3093"/>
      <c r="V558" s="3093"/>
      <c r="W558" s="3093"/>
      <c r="X558" s="3093"/>
      <c r="Y558" s="3093"/>
      <c r="Z558" s="3093"/>
      <c r="AA558" s="3093"/>
      <c r="AB558" s="3093"/>
      <c r="AC558" s="3083">
        <f t="shared" si="329"/>
        <v>0</v>
      </c>
      <c r="AD558" s="3103"/>
      <c r="AE558" s="3103"/>
      <c r="AF558" s="3103"/>
      <c r="AG558" s="3103"/>
      <c r="AH558" s="3103"/>
      <c r="AI558" s="3103"/>
      <c r="AJ558" s="3103"/>
      <c r="AK558" s="3103"/>
      <c r="AL558" s="3103"/>
      <c r="AM558" s="3103"/>
      <c r="AN558" s="3103"/>
      <c r="AO558" s="3103"/>
      <c r="AP558" s="3103"/>
      <c r="AQ558" s="3103"/>
      <c r="AR558" s="3103"/>
      <c r="AS558" s="3103"/>
      <c r="AT558" s="3113"/>
      <c r="AU558" s="3114"/>
      <c r="AV558" s="1580">
        <f t="shared" si="330"/>
        <v>0</v>
      </c>
      <c r="AW558" s="1580">
        <f t="shared" si="331"/>
        <v>0</v>
      </c>
      <c r="AX558" s="1580">
        <f t="shared" si="332"/>
        <v>0</v>
      </c>
      <c r="AY558" s="3128">
        <f t="shared" si="333"/>
        <v>0</v>
      </c>
      <c r="AZ558" s="3083">
        <f t="shared" si="334"/>
        <v>0</v>
      </c>
      <c r="BA558" s="3083">
        <f t="shared" si="335"/>
        <v>0</v>
      </c>
      <c r="BB558" s="3083">
        <f t="shared" si="336"/>
        <v>0</v>
      </c>
      <c r="BC558" s="3083">
        <f t="shared" si="337"/>
        <v>0</v>
      </c>
      <c r="BD558" s="3083">
        <f t="shared" si="338"/>
        <v>0</v>
      </c>
      <c r="BE558" s="3083">
        <f t="shared" si="339"/>
        <v>0</v>
      </c>
      <c r="BF558" s="3083">
        <f t="shared" si="340"/>
        <v>0</v>
      </c>
      <c r="BG558" s="3083">
        <f t="shared" si="341"/>
        <v>0</v>
      </c>
      <c r="BH558" s="3083">
        <f t="shared" si="342"/>
        <v>0</v>
      </c>
      <c r="BI558" s="3083">
        <f t="shared" si="343"/>
        <v>0</v>
      </c>
      <c r="BJ558" s="3083">
        <f t="shared" si="344"/>
        <v>0</v>
      </c>
      <c r="BK558" s="3083">
        <f t="shared" si="345"/>
        <v>0</v>
      </c>
      <c r="BL558" s="3083">
        <f t="shared" si="346"/>
        <v>0</v>
      </c>
      <c r="BM558" s="3083">
        <f t="shared" si="347"/>
        <v>0</v>
      </c>
      <c r="BN558" s="3083">
        <f t="shared" si="348"/>
        <v>0</v>
      </c>
      <c r="BO558" s="3083">
        <f t="shared" si="349"/>
        <v>0</v>
      </c>
      <c r="BP558" s="3083">
        <f t="shared" si="350"/>
        <v>0</v>
      </c>
      <c r="BQ558" s="3083">
        <f t="shared" si="351"/>
        <v>0</v>
      </c>
      <c r="BR558" s="3083">
        <f t="shared" si="352"/>
        <v>0</v>
      </c>
      <c r="BS558" s="3083">
        <f t="shared" si="353"/>
        <v>0</v>
      </c>
      <c r="BT558" s="3135">
        <f t="shared" si="354"/>
        <v>0</v>
      </c>
    </row>
    <row r="559" spans="1:72">
      <c r="A559" s="3080"/>
      <c r="B559" s="3081"/>
      <c r="C559" s="3081"/>
      <c r="D559" s="3082"/>
      <c r="E559" s="3083">
        <f t="shared" si="326"/>
        <v>0</v>
      </c>
      <c r="F559" s="3084"/>
      <c r="G559" s="3085">
        <f t="shared" si="327"/>
        <v>0</v>
      </c>
      <c r="H559" s="3086">
        <f t="shared" si="328"/>
        <v>0</v>
      </c>
      <c r="I559" s="3093"/>
      <c r="J559" s="3093"/>
      <c r="K559" s="3093"/>
      <c r="L559" s="3093"/>
      <c r="M559" s="3093"/>
      <c r="N559" s="3093"/>
      <c r="O559" s="3093"/>
      <c r="P559" s="3093"/>
      <c r="Q559" s="3093"/>
      <c r="R559" s="3093"/>
      <c r="S559" s="3093"/>
      <c r="T559" s="3093"/>
      <c r="U559" s="3093"/>
      <c r="V559" s="3093"/>
      <c r="W559" s="3093"/>
      <c r="X559" s="3093"/>
      <c r="Y559" s="3093"/>
      <c r="Z559" s="3093"/>
      <c r="AA559" s="3093"/>
      <c r="AB559" s="3093"/>
      <c r="AC559" s="3083">
        <f t="shared" si="329"/>
        <v>0</v>
      </c>
      <c r="AD559" s="3103"/>
      <c r="AE559" s="3103"/>
      <c r="AF559" s="3103"/>
      <c r="AG559" s="3103"/>
      <c r="AH559" s="3103"/>
      <c r="AI559" s="3103"/>
      <c r="AJ559" s="3103"/>
      <c r="AK559" s="3103"/>
      <c r="AL559" s="3103"/>
      <c r="AM559" s="3103"/>
      <c r="AN559" s="3103"/>
      <c r="AO559" s="3103"/>
      <c r="AP559" s="3103"/>
      <c r="AQ559" s="3103"/>
      <c r="AR559" s="3103"/>
      <c r="AS559" s="3103"/>
      <c r="AT559" s="3113"/>
      <c r="AU559" s="3114"/>
      <c r="AV559" s="1580">
        <f t="shared" si="330"/>
        <v>0</v>
      </c>
      <c r="AW559" s="1580">
        <f t="shared" si="331"/>
        <v>0</v>
      </c>
      <c r="AX559" s="1580">
        <f t="shared" si="332"/>
        <v>0</v>
      </c>
      <c r="AY559" s="3128">
        <f t="shared" si="333"/>
        <v>0</v>
      </c>
      <c r="AZ559" s="3083">
        <f t="shared" si="334"/>
        <v>0</v>
      </c>
      <c r="BA559" s="3083">
        <f t="shared" si="335"/>
        <v>0</v>
      </c>
      <c r="BB559" s="3083">
        <f t="shared" si="336"/>
        <v>0</v>
      </c>
      <c r="BC559" s="3083">
        <f t="shared" si="337"/>
        <v>0</v>
      </c>
      <c r="BD559" s="3083">
        <f t="shared" si="338"/>
        <v>0</v>
      </c>
      <c r="BE559" s="3083">
        <f t="shared" si="339"/>
        <v>0</v>
      </c>
      <c r="BF559" s="3083">
        <f t="shared" si="340"/>
        <v>0</v>
      </c>
      <c r="BG559" s="3083">
        <f t="shared" si="341"/>
        <v>0</v>
      </c>
      <c r="BH559" s="3083">
        <f t="shared" si="342"/>
        <v>0</v>
      </c>
      <c r="BI559" s="3083">
        <f t="shared" si="343"/>
        <v>0</v>
      </c>
      <c r="BJ559" s="3083">
        <f t="shared" si="344"/>
        <v>0</v>
      </c>
      <c r="BK559" s="3083">
        <f t="shared" si="345"/>
        <v>0</v>
      </c>
      <c r="BL559" s="3083">
        <f t="shared" si="346"/>
        <v>0</v>
      </c>
      <c r="BM559" s="3083">
        <f t="shared" si="347"/>
        <v>0</v>
      </c>
      <c r="BN559" s="3083">
        <f t="shared" si="348"/>
        <v>0</v>
      </c>
      <c r="BO559" s="3083">
        <f t="shared" si="349"/>
        <v>0</v>
      </c>
      <c r="BP559" s="3083">
        <f t="shared" si="350"/>
        <v>0</v>
      </c>
      <c r="BQ559" s="3083">
        <f t="shared" si="351"/>
        <v>0</v>
      </c>
      <c r="BR559" s="3083">
        <f t="shared" si="352"/>
        <v>0</v>
      </c>
      <c r="BS559" s="3083">
        <f t="shared" si="353"/>
        <v>0</v>
      </c>
      <c r="BT559" s="3135">
        <f t="shared" si="354"/>
        <v>0</v>
      </c>
    </row>
    <row r="560" spans="1:72">
      <c r="A560" s="3080"/>
      <c r="B560" s="3081"/>
      <c r="C560" s="3081"/>
      <c r="D560" s="3082"/>
      <c r="E560" s="3083">
        <f t="shared" si="326"/>
        <v>0</v>
      </c>
      <c r="F560" s="3084"/>
      <c r="G560" s="3085">
        <f t="shared" si="327"/>
        <v>0</v>
      </c>
      <c r="H560" s="3086">
        <f t="shared" si="328"/>
        <v>0</v>
      </c>
      <c r="I560" s="3093"/>
      <c r="J560" s="3093"/>
      <c r="K560" s="3093"/>
      <c r="L560" s="3093"/>
      <c r="M560" s="3093"/>
      <c r="N560" s="3093"/>
      <c r="O560" s="3093"/>
      <c r="P560" s="3093"/>
      <c r="Q560" s="3093"/>
      <c r="R560" s="3093"/>
      <c r="S560" s="3093"/>
      <c r="T560" s="3093"/>
      <c r="U560" s="3093"/>
      <c r="V560" s="3093"/>
      <c r="W560" s="3093"/>
      <c r="X560" s="3093"/>
      <c r="Y560" s="3093"/>
      <c r="Z560" s="3093"/>
      <c r="AA560" s="3093"/>
      <c r="AB560" s="3093"/>
      <c r="AC560" s="3083">
        <f t="shared" si="329"/>
        <v>0</v>
      </c>
      <c r="AD560" s="3103"/>
      <c r="AE560" s="3103"/>
      <c r="AF560" s="3103"/>
      <c r="AG560" s="3103"/>
      <c r="AH560" s="3103"/>
      <c r="AI560" s="3103"/>
      <c r="AJ560" s="3103"/>
      <c r="AK560" s="3103"/>
      <c r="AL560" s="3103"/>
      <c r="AM560" s="3103"/>
      <c r="AN560" s="3103"/>
      <c r="AO560" s="3103"/>
      <c r="AP560" s="3103"/>
      <c r="AQ560" s="3103"/>
      <c r="AR560" s="3103"/>
      <c r="AS560" s="3103"/>
      <c r="AT560" s="3113"/>
      <c r="AU560" s="3114"/>
      <c r="AV560" s="1580">
        <f t="shared" si="330"/>
        <v>0</v>
      </c>
      <c r="AW560" s="1580">
        <f t="shared" si="331"/>
        <v>0</v>
      </c>
      <c r="AX560" s="1580">
        <f t="shared" si="332"/>
        <v>0</v>
      </c>
      <c r="AY560" s="3128">
        <f t="shared" si="333"/>
        <v>0</v>
      </c>
      <c r="AZ560" s="3083">
        <f t="shared" si="334"/>
        <v>0</v>
      </c>
      <c r="BA560" s="3083">
        <f t="shared" si="335"/>
        <v>0</v>
      </c>
      <c r="BB560" s="3083">
        <f t="shared" si="336"/>
        <v>0</v>
      </c>
      <c r="BC560" s="3083">
        <f t="shared" si="337"/>
        <v>0</v>
      </c>
      <c r="BD560" s="3083">
        <f t="shared" si="338"/>
        <v>0</v>
      </c>
      <c r="BE560" s="3083">
        <f t="shared" si="339"/>
        <v>0</v>
      </c>
      <c r="BF560" s="3083">
        <f t="shared" si="340"/>
        <v>0</v>
      </c>
      <c r="BG560" s="3083">
        <f t="shared" si="341"/>
        <v>0</v>
      </c>
      <c r="BH560" s="3083">
        <f t="shared" si="342"/>
        <v>0</v>
      </c>
      <c r="BI560" s="3083">
        <f t="shared" si="343"/>
        <v>0</v>
      </c>
      <c r="BJ560" s="3083">
        <f t="shared" si="344"/>
        <v>0</v>
      </c>
      <c r="BK560" s="3083">
        <f t="shared" si="345"/>
        <v>0</v>
      </c>
      <c r="BL560" s="3083">
        <f t="shared" si="346"/>
        <v>0</v>
      </c>
      <c r="BM560" s="3083">
        <f t="shared" si="347"/>
        <v>0</v>
      </c>
      <c r="BN560" s="3083">
        <f t="shared" si="348"/>
        <v>0</v>
      </c>
      <c r="BO560" s="3083">
        <f t="shared" si="349"/>
        <v>0</v>
      </c>
      <c r="BP560" s="3083">
        <f t="shared" si="350"/>
        <v>0</v>
      </c>
      <c r="BQ560" s="3083">
        <f t="shared" si="351"/>
        <v>0</v>
      </c>
      <c r="BR560" s="3083">
        <f t="shared" si="352"/>
        <v>0</v>
      </c>
      <c r="BS560" s="3083">
        <f t="shared" si="353"/>
        <v>0</v>
      </c>
      <c r="BT560" s="3135">
        <f t="shared" si="354"/>
        <v>0</v>
      </c>
    </row>
    <row r="561" spans="1:72">
      <c r="A561" s="3080"/>
      <c r="B561" s="3081"/>
      <c r="C561" s="3081"/>
      <c r="D561" s="3082"/>
      <c r="E561" s="3083">
        <f t="shared" si="326"/>
        <v>0</v>
      </c>
      <c r="F561" s="3084"/>
      <c r="G561" s="3085">
        <f t="shared" si="327"/>
        <v>0</v>
      </c>
      <c r="H561" s="3086">
        <f t="shared" si="328"/>
        <v>0</v>
      </c>
      <c r="I561" s="3093"/>
      <c r="J561" s="3093"/>
      <c r="K561" s="3093"/>
      <c r="L561" s="3093"/>
      <c r="M561" s="3093"/>
      <c r="N561" s="3093"/>
      <c r="O561" s="3093"/>
      <c r="P561" s="3093"/>
      <c r="Q561" s="3093"/>
      <c r="R561" s="3093"/>
      <c r="S561" s="3093"/>
      <c r="T561" s="3093"/>
      <c r="U561" s="3093"/>
      <c r="V561" s="3093"/>
      <c r="W561" s="3093"/>
      <c r="X561" s="3093"/>
      <c r="Y561" s="3093"/>
      <c r="Z561" s="3093"/>
      <c r="AA561" s="3093"/>
      <c r="AB561" s="3093"/>
      <c r="AC561" s="3083">
        <f t="shared" si="329"/>
        <v>0</v>
      </c>
      <c r="AD561" s="3103"/>
      <c r="AE561" s="3103"/>
      <c r="AF561" s="3103"/>
      <c r="AG561" s="3103"/>
      <c r="AH561" s="3103"/>
      <c r="AI561" s="3103"/>
      <c r="AJ561" s="3103"/>
      <c r="AK561" s="3103"/>
      <c r="AL561" s="3103"/>
      <c r="AM561" s="3103"/>
      <c r="AN561" s="3103"/>
      <c r="AO561" s="3103"/>
      <c r="AP561" s="3103"/>
      <c r="AQ561" s="3103"/>
      <c r="AR561" s="3103"/>
      <c r="AS561" s="3103"/>
      <c r="AT561" s="3113"/>
      <c r="AU561" s="3114"/>
      <c r="AV561" s="1580">
        <f t="shared" si="330"/>
        <v>0</v>
      </c>
      <c r="AW561" s="1580">
        <f t="shared" si="331"/>
        <v>0</v>
      </c>
      <c r="AX561" s="1580">
        <f t="shared" si="332"/>
        <v>0</v>
      </c>
      <c r="AY561" s="3128">
        <f t="shared" si="333"/>
        <v>0</v>
      </c>
      <c r="AZ561" s="3083">
        <f t="shared" si="334"/>
        <v>0</v>
      </c>
      <c r="BA561" s="3083">
        <f t="shared" si="335"/>
        <v>0</v>
      </c>
      <c r="BB561" s="3083">
        <f t="shared" si="336"/>
        <v>0</v>
      </c>
      <c r="BC561" s="3083">
        <f t="shared" si="337"/>
        <v>0</v>
      </c>
      <c r="BD561" s="3083">
        <f t="shared" si="338"/>
        <v>0</v>
      </c>
      <c r="BE561" s="3083">
        <f t="shared" si="339"/>
        <v>0</v>
      </c>
      <c r="BF561" s="3083">
        <f t="shared" si="340"/>
        <v>0</v>
      </c>
      <c r="BG561" s="3083">
        <f t="shared" si="341"/>
        <v>0</v>
      </c>
      <c r="BH561" s="3083">
        <f t="shared" si="342"/>
        <v>0</v>
      </c>
      <c r="BI561" s="3083">
        <f t="shared" si="343"/>
        <v>0</v>
      </c>
      <c r="BJ561" s="3083">
        <f t="shared" si="344"/>
        <v>0</v>
      </c>
      <c r="BK561" s="3083">
        <f t="shared" si="345"/>
        <v>0</v>
      </c>
      <c r="BL561" s="3083">
        <f t="shared" si="346"/>
        <v>0</v>
      </c>
      <c r="BM561" s="3083">
        <f t="shared" si="347"/>
        <v>0</v>
      </c>
      <c r="BN561" s="3083">
        <f t="shared" si="348"/>
        <v>0</v>
      </c>
      <c r="BO561" s="3083">
        <f t="shared" si="349"/>
        <v>0</v>
      </c>
      <c r="BP561" s="3083">
        <f t="shared" si="350"/>
        <v>0</v>
      </c>
      <c r="BQ561" s="3083">
        <f t="shared" si="351"/>
        <v>0</v>
      </c>
      <c r="BR561" s="3083">
        <f t="shared" si="352"/>
        <v>0</v>
      </c>
      <c r="BS561" s="3083">
        <f t="shared" si="353"/>
        <v>0</v>
      </c>
      <c r="BT561" s="3135">
        <f t="shared" si="354"/>
        <v>0</v>
      </c>
    </row>
    <row r="562" spans="1:72">
      <c r="A562" s="3080"/>
      <c r="B562" s="3081"/>
      <c r="C562" s="3081"/>
      <c r="D562" s="3082"/>
      <c r="E562" s="3083">
        <f t="shared" si="326"/>
        <v>0</v>
      </c>
      <c r="F562" s="3084"/>
      <c r="G562" s="3085">
        <f t="shared" si="327"/>
        <v>0</v>
      </c>
      <c r="H562" s="3086">
        <f t="shared" si="328"/>
        <v>0</v>
      </c>
      <c r="I562" s="3093"/>
      <c r="J562" s="3093"/>
      <c r="K562" s="3093"/>
      <c r="L562" s="3093"/>
      <c r="M562" s="3093"/>
      <c r="N562" s="3093"/>
      <c r="O562" s="3093"/>
      <c r="P562" s="3093"/>
      <c r="Q562" s="3093"/>
      <c r="R562" s="3093"/>
      <c r="S562" s="3093"/>
      <c r="T562" s="3093"/>
      <c r="U562" s="3093"/>
      <c r="V562" s="3093"/>
      <c r="W562" s="3093"/>
      <c r="X562" s="3093"/>
      <c r="Y562" s="3093"/>
      <c r="Z562" s="3093"/>
      <c r="AA562" s="3093"/>
      <c r="AB562" s="3093"/>
      <c r="AC562" s="3083">
        <f t="shared" si="329"/>
        <v>0</v>
      </c>
      <c r="AD562" s="3103"/>
      <c r="AE562" s="3103"/>
      <c r="AF562" s="3103"/>
      <c r="AG562" s="3103"/>
      <c r="AH562" s="3103"/>
      <c r="AI562" s="3103"/>
      <c r="AJ562" s="3103"/>
      <c r="AK562" s="3103"/>
      <c r="AL562" s="3103"/>
      <c r="AM562" s="3103"/>
      <c r="AN562" s="3103"/>
      <c r="AO562" s="3103"/>
      <c r="AP562" s="3103"/>
      <c r="AQ562" s="3103"/>
      <c r="AR562" s="3103"/>
      <c r="AS562" s="3103"/>
      <c r="AT562" s="3113"/>
      <c r="AU562" s="3114"/>
      <c r="AV562" s="1580">
        <f t="shared" si="330"/>
        <v>0</v>
      </c>
      <c r="AW562" s="1580">
        <f t="shared" si="331"/>
        <v>0</v>
      </c>
      <c r="AX562" s="1580">
        <f t="shared" si="332"/>
        <v>0</v>
      </c>
      <c r="AY562" s="3128">
        <f t="shared" si="333"/>
        <v>0</v>
      </c>
      <c r="AZ562" s="3083">
        <f t="shared" si="334"/>
        <v>0</v>
      </c>
      <c r="BA562" s="3083">
        <f t="shared" si="335"/>
        <v>0</v>
      </c>
      <c r="BB562" s="3083">
        <f t="shared" si="336"/>
        <v>0</v>
      </c>
      <c r="BC562" s="3083">
        <f t="shared" si="337"/>
        <v>0</v>
      </c>
      <c r="BD562" s="3083">
        <f t="shared" si="338"/>
        <v>0</v>
      </c>
      <c r="BE562" s="3083">
        <f t="shared" si="339"/>
        <v>0</v>
      </c>
      <c r="BF562" s="3083">
        <f t="shared" si="340"/>
        <v>0</v>
      </c>
      <c r="BG562" s="3083">
        <f t="shared" si="341"/>
        <v>0</v>
      </c>
      <c r="BH562" s="3083">
        <f t="shared" si="342"/>
        <v>0</v>
      </c>
      <c r="BI562" s="3083">
        <f t="shared" si="343"/>
        <v>0</v>
      </c>
      <c r="BJ562" s="3083">
        <f t="shared" si="344"/>
        <v>0</v>
      </c>
      <c r="BK562" s="3083">
        <f t="shared" si="345"/>
        <v>0</v>
      </c>
      <c r="BL562" s="3083">
        <f t="shared" si="346"/>
        <v>0</v>
      </c>
      <c r="BM562" s="3083">
        <f t="shared" si="347"/>
        <v>0</v>
      </c>
      <c r="BN562" s="3083">
        <f t="shared" si="348"/>
        <v>0</v>
      </c>
      <c r="BO562" s="3083">
        <f t="shared" si="349"/>
        <v>0</v>
      </c>
      <c r="BP562" s="3083">
        <f t="shared" si="350"/>
        <v>0</v>
      </c>
      <c r="BQ562" s="3083">
        <f t="shared" si="351"/>
        <v>0</v>
      </c>
      <c r="BR562" s="3083">
        <f t="shared" si="352"/>
        <v>0</v>
      </c>
      <c r="BS562" s="3083">
        <f t="shared" si="353"/>
        <v>0</v>
      </c>
      <c r="BT562" s="3135">
        <f t="shared" si="354"/>
        <v>0</v>
      </c>
    </row>
    <row r="563" spans="1:72">
      <c r="A563" s="3080"/>
      <c r="B563" s="3081"/>
      <c r="C563" s="3081"/>
      <c r="D563" s="3082"/>
      <c r="E563" s="3083">
        <f t="shared" si="326"/>
        <v>0</v>
      </c>
      <c r="F563" s="3084"/>
      <c r="G563" s="3085">
        <f t="shared" si="327"/>
        <v>0</v>
      </c>
      <c r="H563" s="3086">
        <f t="shared" si="328"/>
        <v>0</v>
      </c>
      <c r="I563" s="3093"/>
      <c r="J563" s="3093"/>
      <c r="K563" s="3093"/>
      <c r="L563" s="3093"/>
      <c r="M563" s="3093"/>
      <c r="N563" s="3093"/>
      <c r="O563" s="3093"/>
      <c r="P563" s="3093"/>
      <c r="Q563" s="3093"/>
      <c r="R563" s="3093"/>
      <c r="S563" s="3093"/>
      <c r="T563" s="3093"/>
      <c r="U563" s="3093"/>
      <c r="V563" s="3093"/>
      <c r="W563" s="3093"/>
      <c r="X563" s="3093"/>
      <c r="Y563" s="3093"/>
      <c r="Z563" s="3093"/>
      <c r="AA563" s="3093"/>
      <c r="AB563" s="3093"/>
      <c r="AC563" s="3083">
        <f t="shared" si="329"/>
        <v>0</v>
      </c>
      <c r="AD563" s="3103"/>
      <c r="AE563" s="3103"/>
      <c r="AF563" s="3103"/>
      <c r="AG563" s="3103"/>
      <c r="AH563" s="3103"/>
      <c r="AI563" s="3103"/>
      <c r="AJ563" s="3103"/>
      <c r="AK563" s="3103"/>
      <c r="AL563" s="3103"/>
      <c r="AM563" s="3103"/>
      <c r="AN563" s="3103"/>
      <c r="AO563" s="3103"/>
      <c r="AP563" s="3103"/>
      <c r="AQ563" s="3103"/>
      <c r="AR563" s="3103"/>
      <c r="AS563" s="3103"/>
      <c r="AT563" s="3113"/>
      <c r="AU563" s="3114"/>
      <c r="AV563" s="1580">
        <f t="shared" si="330"/>
        <v>0</v>
      </c>
      <c r="AW563" s="1580">
        <f t="shared" si="331"/>
        <v>0</v>
      </c>
      <c r="AX563" s="1580">
        <f t="shared" si="332"/>
        <v>0</v>
      </c>
      <c r="AY563" s="3128">
        <f t="shared" si="333"/>
        <v>0</v>
      </c>
      <c r="AZ563" s="3083">
        <f t="shared" si="334"/>
        <v>0</v>
      </c>
      <c r="BA563" s="3083">
        <f t="shared" si="335"/>
        <v>0</v>
      </c>
      <c r="BB563" s="3083">
        <f t="shared" si="336"/>
        <v>0</v>
      </c>
      <c r="BC563" s="3083">
        <f t="shared" si="337"/>
        <v>0</v>
      </c>
      <c r="BD563" s="3083">
        <f t="shared" si="338"/>
        <v>0</v>
      </c>
      <c r="BE563" s="3083">
        <f t="shared" si="339"/>
        <v>0</v>
      </c>
      <c r="BF563" s="3083">
        <f t="shared" si="340"/>
        <v>0</v>
      </c>
      <c r="BG563" s="3083">
        <f t="shared" si="341"/>
        <v>0</v>
      </c>
      <c r="BH563" s="3083">
        <f t="shared" si="342"/>
        <v>0</v>
      </c>
      <c r="BI563" s="3083">
        <f t="shared" si="343"/>
        <v>0</v>
      </c>
      <c r="BJ563" s="3083">
        <f t="shared" si="344"/>
        <v>0</v>
      </c>
      <c r="BK563" s="3083">
        <f t="shared" si="345"/>
        <v>0</v>
      </c>
      <c r="BL563" s="3083">
        <f t="shared" si="346"/>
        <v>0</v>
      </c>
      <c r="BM563" s="3083">
        <f t="shared" si="347"/>
        <v>0</v>
      </c>
      <c r="BN563" s="3083">
        <f t="shared" si="348"/>
        <v>0</v>
      </c>
      <c r="BO563" s="3083">
        <f t="shared" si="349"/>
        <v>0</v>
      </c>
      <c r="BP563" s="3083">
        <f t="shared" si="350"/>
        <v>0</v>
      </c>
      <c r="BQ563" s="3083">
        <f t="shared" si="351"/>
        <v>0</v>
      </c>
      <c r="BR563" s="3083">
        <f t="shared" si="352"/>
        <v>0</v>
      </c>
      <c r="BS563" s="3083">
        <f t="shared" si="353"/>
        <v>0</v>
      </c>
      <c r="BT563" s="3135">
        <f t="shared" si="354"/>
        <v>0</v>
      </c>
    </row>
    <row r="564" spans="1:72">
      <c r="A564" s="3080"/>
      <c r="B564" s="3081"/>
      <c r="C564" s="3081"/>
      <c r="D564" s="3082"/>
      <c r="E564" s="3083">
        <f t="shared" si="326"/>
        <v>0</v>
      </c>
      <c r="F564" s="3084"/>
      <c r="G564" s="3085">
        <f t="shared" si="327"/>
        <v>0</v>
      </c>
      <c r="H564" s="3086">
        <f t="shared" si="328"/>
        <v>0</v>
      </c>
      <c r="I564" s="3093"/>
      <c r="J564" s="3093"/>
      <c r="K564" s="3093"/>
      <c r="L564" s="3093"/>
      <c r="M564" s="3093"/>
      <c r="N564" s="3093"/>
      <c r="O564" s="3093"/>
      <c r="P564" s="3093"/>
      <c r="Q564" s="3093"/>
      <c r="R564" s="3093"/>
      <c r="S564" s="3093"/>
      <c r="T564" s="3093"/>
      <c r="U564" s="3093"/>
      <c r="V564" s="3093"/>
      <c r="W564" s="3093"/>
      <c r="X564" s="3093"/>
      <c r="Y564" s="3093"/>
      <c r="Z564" s="3093"/>
      <c r="AA564" s="3093"/>
      <c r="AB564" s="3093"/>
      <c r="AC564" s="3083">
        <f t="shared" si="329"/>
        <v>0</v>
      </c>
      <c r="AD564" s="3103"/>
      <c r="AE564" s="3103"/>
      <c r="AF564" s="3103"/>
      <c r="AG564" s="3103"/>
      <c r="AH564" s="3103"/>
      <c r="AI564" s="3103"/>
      <c r="AJ564" s="3103"/>
      <c r="AK564" s="3103"/>
      <c r="AL564" s="3103"/>
      <c r="AM564" s="3103"/>
      <c r="AN564" s="3103"/>
      <c r="AO564" s="3103"/>
      <c r="AP564" s="3103"/>
      <c r="AQ564" s="3103"/>
      <c r="AR564" s="3103"/>
      <c r="AS564" s="3103"/>
      <c r="AT564" s="3113"/>
      <c r="AU564" s="3114"/>
      <c r="AV564" s="1580">
        <f t="shared" si="330"/>
        <v>0</v>
      </c>
      <c r="AW564" s="1580">
        <f t="shared" si="331"/>
        <v>0</v>
      </c>
      <c r="AX564" s="1580">
        <f t="shared" si="332"/>
        <v>0</v>
      </c>
      <c r="AY564" s="3128">
        <f t="shared" si="333"/>
        <v>0</v>
      </c>
      <c r="AZ564" s="3083">
        <f t="shared" si="334"/>
        <v>0</v>
      </c>
      <c r="BA564" s="3083">
        <f t="shared" si="335"/>
        <v>0</v>
      </c>
      <c r="BB564" s="3083">
        <f t="shared" si="336"/>
        <v>0</v>
      </c>
      <c r="BC564" s="3083">
        <f t="shared" si="337"/>
        <v>0</v>
      </c>
      <c r="BD564" s="3083">
        <f t="shared" si="338"/>
        <v>0</v>
      </c>
      <c r="BE564" s="3083">
        <f t="shared" si="339"/>
        <v>0</v>
      </c>
      <c r="BF564" s="3083">
        <f t="shared" si="340"/>
        <v>0</v>
      </c>
      <c r="BG564" s="3083">
        <f t="shared" si="341"/>
        <v>0</v>
      </c>
      <c r="BH564" s="3083">
        <f t="shared" si="342"/>
        <v>0</v>
      </c>
      <c r="BI564" s="3083">
        <f t="shared" si="343"/>
        <v>0</v>
      </c>
      <c r="BJ564" s="3083">
        <f t="shared" si="344"/>
        <v>0</v>
      </c>
      <c r="BK564" s="3083">
        <f t="shared" si="345"/>
        <v>0</v>
      </c>
      <c r="BL564" s="3083">
        <f t="shared" si="346"/>
        <v>0</v>
      </c>
      <c r="BM564" s="3083">
        <f t="shared" si="347"/>
        <v>0</v>
      </c>
      <c r="BN564" s="3083">
        <f t="shared" si="348"/>
        <v>0</v>
      </c>
      <c r="BO564" s="3083">
        <f t="shared" si="349"/>
        <v>0</v>
      </c>
      <c r="BP564" s="3083">
        <f t="shared" si="350"/>
        <v>0</v>
      </c>
      <c r="BQ564" s="3083">
        <f t="shared" si="351"/>
        <v>0</v>
      </c>
      <c r="BR564" s="3083">
        <f t="shared" si="352"/>
        <v>0</v>
      </c>
      <c r="BS564" s="3083">
        <f t="shared" si="353"/>
        <v>0</v>
      </c>
      <c r="BT564" s="3135">
        <f t="shared" si="354"/>
        <v>0</v>
      </c>
    </row>
    <row r="565" spans="1:72">
      <c r="A565" s="3080"/>
      <c r="B565" s="3081"/>
      <c r="C565" s="3081"/>
      <c r="D565" s="3082"/>
      <c r="E565" s="3083">
        <f t="shared" si="326"/>
        <v>0</v>
      </c>
      <c r="F565" s="3084"/>
      <c r="G565" s="3085">
        <f t="shared" si="327"/>
        <v>0</v>
      </c>
      <c r="H565" s="3086">
        <f t="shared" si="328"/>
        <v>0</v>
      </c>
      <c r="I565" s="3093"/>
      <c r="J565" s="3093"/>
      <c r="K565" s="3093"/>
      <c r="L565" s="3093"/>
      <c r="M565" s="3093"/>
      <c r="N565" s="3093"/>
      <c r="O565" s="3093"/>
      <c r="P565" s="3093"/>
      <c r="Q565" s="3093"/>
      <c r="R565" s="3093"/>
      <c r="S565" s="3093"/>
      <c r="T565" s="3093"/>
      <c r="U565" s="3093"/>
      <c r="V565" s="3093"/>
      <c r="W565" s="3093"/>
      <c r="X565" s="3093"/>
      <c r="Y565" s="3093"/>
      <c r="Z565" s="3093"/>
      <c r="AA565" s="3093"/>
      <c r="AB565" s="3093"/>
      <c r="AC565" s="3083">
        <f t="shared" si="329"/>
        <v>0</v>
      </c>
      <c r="AD565" s="3103"/>
      <c r="AE565" s="3103"/>
      <c r="AF565" s="3103"/>
      <c r="AG565" s="3103"/>
      <c r="AH565" s="3103"/>
      <c r="AI565" s="3103"/>
      <c r="AJ565" s="3103"/>
      <c r="AK565" s="3103"/>
      <c r="AL565" s="3103"/>
      <c r="AM565" s="3103"/>
      <c r="AN565" s="3103"/>
      <c r="AO565" s="3103"/>
      <c r="AP565" s="3103"/>
      <c r="AQ565" s="3103"/>
      <c r="AR565" s="3103"/>
      <c r="AS565" s="3103"/>
      <c r="AT565" s="3113"/>
      <c r="AU565" s="3114"/>
      <c r="AV565" s="1580">
        <f t="shared" si="330"/>
        <v>0</v>
      </c>
      <c r="AW565" s="1580">
        <f t="shared" si="331"/>
        <v>0</v>
      </c>
      <c r="AX565" s="1580">
        <f t="shared" si="332"/>
        <v>0</v>
      </c>
      <c r="AY565" s="3128">
        <f t="shared" si="333"/>
        <v>0</v>
      </c>
      <c r="AZ565" s="3083">
        <f t="shared" si="334"/>
        <v>0</v>
      </c>
      <c r="BA565" s="3083">
        <f t="shared" si="335"/>
        <v>0</v>
      </c>
      <c r="BB565" s="3083">
        <f t="shared" si="336"/>
        <v>0</v>
      </c>
      <c r="BC565" s="3083">
        <f t="shared" si="337"/>
        <v>0</v>
      </c>
      <c r="BD565" s="3083">
        <f t="shared" si="338"/>
        <v>0</v>
      </c>
      <c r="BE565" s="3083">
        <f t="shared" si="339"/>
        <v>0</v>
      </c>
      <c r="BF565" s="3083">
        <f t="shared" si="340"/>
        <v>0</v>
      </c>
      <c r="BG565" s="3083">
        <f t="shared" si="341"/>
        <v>0</v>
      </c>
      <c r="BH565" s="3083">
        <f t="shared" si="342"/>
        <v>0</v>
      </c>
      <c r="BI565" s="3083">
        <f t="shared" si="343"/>
        <v>0</v>
      </c>
      <c r="BJ565" s="3083">
        <f t="shared" si="344"/>
        <v>0</v>
      </c>
      <c r="BK565" s="3083">
        <f t="shared" si="345"/>
        <v>0</v>
      </c>
      <c r="BL565" s="3083">
        <f t="shared" si="346"/>
        <v>0</v>
      </c>
      <c r="BM565" s="3083">
        <f t="shared" si="347"/>
        <v>0</v>
      </c>
      <c r="BN565" s="3083">
        <f t="shared" si="348"/>
        <v>0</v>
      </c>
      <c r="BO565" s="3083">
        <f t="shared" si="349"/>
        <v>0</v>
      </c>
      <c r="BP565" s="3083">
        <f t="shared" si="350"/>
        <v>0</v>
      </c>
      <c r="BQ565" s="3083">
        <f t="shared" si="351"/>
        <v>0</v>
      </c>
      <c r="BR565" s="3083">
        <f t="shared" si="352"/>
        <v>0</v>
      </c>
      <c r="BS565" s="3083">
        <f t="shared" si="353"/>
        <v>0</v>
      </c>
      <c r="BT565" s="3135">
        <f t="shared" si="354"/>
        <v>0</v>
      </c>
    </row>
    <row r="566" spans="1:72">
      <c r="A566" s="3080"/>
      <c r="B566" s="3081"/>
      <c r="C566" s="3081"/>
      <c r="D566" s="3082"/>
      <c r="E566" s="3083">
        <f t="shared" si="326"/>
        <v>0</v>
      </c>
      <c r="F566" s="3084"/>
      <c r="G566" s="3085">
        <f t="shared" si="327"/>
        <v>0</v>
      </c>
      <c r="H566" s="3086">
        <f t="shared" si="328"/>
        <v>0</v>
      </c>
      <c r="I566" s="3093"/>
      <c r="J566" s="3093"/>
      <c r="K566" s="3093"/>
      <c r="L566" s="3093"/>
      <c r="M566" s="3093"/>
      <c r="N566" s="3093"/>
      <c r="O566" s="3093"/>
      <c r="P566" s="3093"/>
      <c r="Q566" s="3093"/>
      <c r="R566" s="3093"/>
      <c r="S566" s="3093"/>
      <c r="T566" s="3093"/>
      <c r="U566" s="3093"/>
      <c r="V566" s="3093"/>
      <c r="W566" s="3093"/>
      <c r="X566" s="3093"/>
      <c r="Y566" s="3093"/>
      <c r="Z566" s="3093"/>
      <c r="AA566" s="3093"/>
      <c r="AB566" s="3093"/>
      <c r="AC566" s="3083">
        <f t="shared" si="329"/>
        <v>0</v>
      </c>
      <c r="AD566" s="3103"/>
      <c r="AE566" s="3103"/>
      <c r="AF566" s="3103"/>
      <c r="AG566" s="3103"/>
      <c r="AH566" s="3103"/>
      <c r="AI566" s="3103"/>
      <c r="AJ566" s="3103"/>
      <c r="AK566" s="3103"/>
      <c r="AL566" s="3103"/>
      <c r="AM566" s="3103"/>
      <c r="AN566" s="3103"/>
      <c r="AO566" s="3103"/>
      <c r="AP566" s="3103"/>
      <c r="AQ566" s="3103"/>
      <c r="AR566" s="3103"/>
      <c r="AS566" s="3103"/>
      <c r="AT566" s="3113"/>
      <c r="AU566" s="3114"/>
      <c r="AV566" s="1580">
        <f t="shared" si="330"/>
        <v>0</v>
      </c>
      <c r="AW566" s="1580">
        <f t="shared" si="331"/>
        <v>0</v>
      </c>
      <c r="AX566" s="1580">
        <f t="shared" si="332"/>
        <v>0</v>
      </c>
      <c r="AY566" s="3128">
        <f t="shared" si="333"/>
        <v>0</v>
      </c>
      <c r="AZ566" s="3083">
        <f t="shared" si="334"/>
        <v>0</v>
      </c>
      <c r="BA566" s="3083">
        <f t="shared" si="335"/>
        <v>0</v>
      </c>
      <c r="BB566" s="3083">
        <f t="shared" si="336"/>
        <v>0</v>
      </c>
      <c r="BC566" s="3083">
        <f t="shared" si="337"/>
        <v>0</v>
      </c>
      <c r="BD566" s="3083">
        <f t="shared" si="338"/>
        <v>0</v>
      </c>
      <c r="BE566" s="3083">
        <f t="shared" si="339"/>
        <v>0</v>
      </c>
      <c r="BF566" s="3083">
        <f t="shared" si="340"/>
        <v>0</v>
      </c>
      <c r="BG566" s="3083">
        <f t="shared" si="341"/>
        <v>0</v>
      </c>
      <c r="BH566" s="3083">
        <f t="shared" si="342"/>
        <v>0</v>
      </c>
      <c r="BI566" s="3083">
        <f t="shared" si="343"/>
        <v>0</v>
      </c>
      <c r="BJ566" s="3083">
        <f t="shared" si="344"/>
        <v>0</v>
      </c>
      <c r="BK566" s="3083">
        <f t="shared" si="345"/>
        <v>0</v>
      </c>
      <c r="BL566" s="3083">
        <f t="shared" si="346"/>
        <v>0</v>
      </c>
      <c r="BM566" s="3083">
        <f t="shared" si="347"/>
        <v>0</v>
      </c>
      <c r="BN566" s="3083">
        <f t="shared" si="348"/>
        <v>0</v>
      </c>
      <c r="BO566" s="3083">
        <f t="shared" si="349"/>
        <v>0</v>
      </c>
      <c r="BP566" s="3083">
        <f t="shared" si="350"/>
        <v>0</v>
      </c>
      <c r="BQ566" s="3083">
        <f t="shared" si="351"/>
        <v>0</v>
      </c>
      <c r="BR566" s="3083">
        <f t="shared" si="352"/>
        <v>0</v>
      </c>
      <c r="BS566" s="3083">
        <f t="shared" si="353"/>
        <v>0</v>
      </c>
      <c r="BT566" s="3135">
        <f t="shared" si="354"/>
        <v>0</v>
      </c>
    </row>
    <row r="567" spans="1:72">
      <c r="A567" s="3080"/>
      <c r="B567" s="3081"/>
      <c r="C567" s="3081"/>
      <c r="D567" s="3082"/>
      <c r="E567" s="3083">
        <f t="shared" si="326"/>
        <v>0</v>
      </c>
      <c r="F567" s="3084"/>
      <c r="G567" s="3085">
        <f t="shared" si="327"/>
        <v>0</v>
      </c>
      <c r="H567" s="3086">
        <f t="shared" si="328"/>
        <v>0</v>
      </c>
      <c r="I567" s="3093"/>
      <c r="J567" s="3093"/>
      <c r="K567" s="3093"/>
      <c r="L567" s="3093"/>
      <c r="M567" s="3093"/>
      <c r="N567" s="3093"/>
      <c r="O567" s="3093"/>
      <c r="P567" s="3093"/>
      <c r="Q567" s="3093"/>
      <c r="R567" s="3093"/>
      <c r="S567" s="3093"/>
      <c r="T567" s="3093"/>
      <c r="U567" s="3093"/>
      <c r="V567" s="3093"/>
      <c r="W567" s="3093"/>
      <c r="X567" s="3093"/>
      <c r="Y567" s="3093"/>
      <c r="Z567" s="3093"/>
      <c r="AA567" s="3093"/>
      <c r="AB567" s="3093"/>
      <c r="AC567" s="3083">
        <f t="shared" si="329"/>
        <v>0</v>
      </c>
      <c r="AD567" s="3103"/>
      <c r="AE567" s="3103"/>
      <c r="AF567" s="3103"/>
      <c r="AG567" s="3103"/>
      <c r="AH567" s="3103"/>
      <c r="AI567" s="3103"/>
      <c r="AJ567" s="3103"/>
      <c r="AK567" s="3103"/>
      <c r="AL567" s="3103"/>
      <c r="AM567" s="3103"/>
      <c r="AN567" s="3103"/>
      <c r="AO567" s="3103"/>
      <c r="AP567" s="3103"/>
      <c r="AQ567" s="3103"/>
      <c r="AR567" s="3103"/>
      <c r="AS567" s="3103"/>
      <c r="AT567" s="3113"/>
      <c r="AU567" s="3114"/>
      <c r="AV567" s="1580">
        <f t="shared" si="330"/>
        <v>0</v>
      </c>
      <c r="AW567" s="1580">
        <f t="shared" si="331"/>
        <v>0</v>
      </c>
      <c r="AX567" s="1580">
        <f t="shared" si="332"/>
        <v>0</v>
      </c>
      <c r="AY567" s="3128">
        <f t="shared" si="333"/>
        <v>0</v>
      </c>
      <c r="AZ567" s="3083">
        <f t="shared" si="334"/>
        <v>0</v>
      </c>
      <c r="BA567" s="3083">
        <f t="shared" si="335"/>
        <v>0</v>
      </c>
      <c r="BB567" s="3083">
        <f t="shared" si="336"/>
        <v>0</v>
      </c>
      <c r="BC567" s="3083">
        <f t="shared" si="337"/>
        <v>0</v>
      </c>
      <c r="BD567" s="3083">
        <f t="shared" si="338"/>
        <v>0</v>
      </c>
      <c r="BE567" s="3083">
        <f t="shared" si="339"/>
        <v>0</v>
      </c>
      <c r="BF567" s="3083">
        <f t="shared" si="340"/>
        <v>0</v>
      </c>
      <c r="BG567" s="3083">
        <f t="shared" si="341"/>
        <v>0</v>
      </c>
      <c r="BH567" s="3083">
        <f t="shared" si="342"/>
        <v>0</v>
      </c>
      <c r="BI567" s="3083">
        <f t="shared" si="343"/>
        <v>0</v>
      </c>
      <c r="BJ567" s="3083">
        <f t="shared" si="344"/>
        <v>0</v>
      </c>
      <c r="BK567" s="3083">
        <f t="shared" si="345"/>
        <v>0</v>
      </c>
      <c r="BL567" s="3083">
        <f t="shared" si="346"/>
        <v>0</v>
      </c>
      <c r="BM567" s="3083">
        <f t="shared" si="347"/>
        <v>0</v>
      </c>
      <c r="BN567" s="3083">
        <f t="shared" si="348"/>
        <v>0</v>
      </c>
      <c r="BO567" s="3083">
        <f t="shared" si="349"/>
        <v>0</v>
      </c>
      <c r="BP567" s="3083">
        <f t="shared" si="350"/>
        <v>0</v>
      </c>
      <c r="BQ567" s="3083">
        <f t="shared" si="351"/>
        <v>0</v>
      </c>
      <c r="BR567" s="3083">
        <f t="shared" si="352"/>
        <v>0</v>
      </c>
      <c r="BS567" s="3083">
        <f t="shared" si="353"/>
        <v>0</v>
      </c>
      <c r="BT567" s="3135">
        <f t="shared" si="354"/>
        <v>0</v>
      </c>
    </row>
    <row r="568" spans="1:72">
      <c r="A568" s="3080"/>
      <c r="B568" s="3081"/>
      <c r="C568" s="3081"/>
      <c r="D568" s="3082"/>
      <c r="E568" s="3083">
        <f t="shared" si="326"/>
        <v>0</v>
      </c>
      <c r="F568" s="3084"/>
      <c r="G568" s="3085">
        <f t="shared" si="327"/>
        <v>0</v>
      </c>
      <c r="H568" s="3086">
        <f t="shared" si="328"/>
        <v>0</v>
      </c>
      <c r="I568" s="3093"/>
      <c r="J568" s="3093"/>
      <c r="K568" s="3093"/>
      <c r="L568" s="3093"/>
      <c r="M568" s="3093"/>
      <c r="N568" s="3093"/>
      <c r="O568" s="3093"/>
      <c r="P568" s="3093"/>
      <c r="Q568" s="3093"/>
      <c r="R568" s="3093"/>
      <c r="S568" s="3093"/>
      <c r="T568" s="3093"/>
      <c r="U568" s="3093"/>
      <c r="V568" s="3093"/>
      <c r="W568" s="3093"/>
      <c r="X568" s="3093"/>
      <c r="Y568" s="3093"/>
      <c r="Z568" s="3093"/>
      <c r="AA568" s="3093"/>
      <c r="AB568" s="3093"/>
      <c r="AC568" s="3083">
        <f t="shared" si="329"/>
        <v>0</v>
      </c>
      <c r="AD568" s="3103"/>
      <c r="AE568" s="3103"/>
      <c r="AF568" s="3103"/>
      <c r="AG568" s="3103"/>
      <c r="AH568" s="3103"/>
      <c r="AI568" s="3103"/>
      <c r="AJ568" s="3103"/>
      <c r="AK568" s="3103"/>
      <c r="AL568" s="3103"/>
      <c r="AM568" s="3103"/>
      <c r="AN568" s="3103"/>
      <c r="AO568" s="3103"/>
      <c r="AP568" s="3103"/>
      <c r="AQ568" s="3103"/>
      <c r="AR568" s="3103"/>
      <c r="AS568" s="3103"/>
      <c r="AT568" s="3113"/>
      <c r="AU568" s="3114"/>
      <c r="AV568" s="1580">
        <f t="shared" si="330"/>
        <v>0</v>
      </c>
      <c r="AW568" s="1580">
        <f t="shared" si="331"/>
        <v>0</v>
      </c>
      <c r="AX568" s="1580">
        <f t="shared" si="332"/>
        <v>0</v>
      </c>
      <c r="AY568" s="3128">
        <f t="shared" si="333"/>
        <v>0</v>
      </c>
      <c r="AZ568" s="3083">
        <f t="shared" si="334"/>
        <v>0</v>
      </c>
      <c r="BA568" s="3083">
        <f t="shared" si="335"/>
        <v>0</v>
      </c>
      <c r="BB568" s="3083">
        <f t="shared" si="336"/>
        <v>0</v>
      </c>
      <c r="BC568" s="3083">
        <f t="shared" si="337"/>
        <v>0</v>
      </c>
      <c r="BD568" s="3083">
        <f t="shared" si="338"/>
        <v>0</v>
      </c>
      <c r="BE568" s="3083">
        <f t="shared" si="339"/>
        <v>0</v>
      </c>
      <c r="BF568" s="3083">
        <f t="shared" si="340"/>
        <v>0</v>
      </c>
      <c r="BG568" s="3083">
        <f t="shared" si="341"/>
        <v>0</v>
      </c>
      <c r="BH568" s="3083">
        <f t="shared" si="342"/>
        <v>0</v>
      </c>
      <c r="BI568" s="3083">
        <f t="shared" si="343"/>
        <v>0</v>
      </c>
      <c r="BJ568" s="3083">
        <f t="shared" si="344"/>
        <v>0</v>
      </c>
      <c r="BK568" s="3083">
        <f t="shared" si="345"/>
        <v>0</v>
      </c>
      <c r="BL568" s="3083">
        <f t="shared" si="346"/>
        <v>0</v>
      </c>
      <c r="BM568" s="3083">
        <f t="shared" si="347"/>
        <v>0</v>
      </c>
      <c r="BN568" s="3083">
        <f t="shared" si="348"/>
        <v>0</v>
      </c>
      <c r="BO568" s="3083">
        <f t="shared" si="349"/>
        <v>0</v>
      </c>
      <c r="BP568" s="3083">
        <f t="shared" si="350"/>
        <v>0</v>
      </c>
      <c r="BQ568" s="3083">
        <f t="shared" si="351"/>
        <v>0</v>
      </c>
      <c r="BR568" s="3083">
        <f t="shared" si="352"/>
        <v>0</v>
      </c>
      <c r="BS568" s="3083">
        <f t="shared" si="353"/>
        <v>0</v>
      </c>
      <c r="BT568" s="3135">
        <f t="shared" si="354"/>
        <v>0</v>
      </c>
    </row>
    <row r="569" spans="1:72">
      <c r="A569" s="3080"/>
      <c r="B569" s="3081"/>
      <c r="C569" s="3081"/>
      <c r="D569" s="3082"/>
      <c r="E569" s="3083">
        <f t="shared" si="326"/>
        <v>0</v>
      </c>
      <c r="F569" s="3084"/>
      <c r="G569" s="3085">
        <f t="shared" si="327"/>
        <v>0</v>
      </c>
      <c r="H569" s="3086">
        <f t="shared" si="328"/>
        <v>0</v>
      </c>
      <c r="I569" s="3093"/>
      <c r="J569" s="3093"/>
      <c r="K569" s="3093"/>
      <c r="L569" s="3093"/>
      <c r="M569" s="3093"/>
      <c r="N569" s="3093"/>
      <c r="O569" s="3093"/>
      <c r="P569" s="3093"/>
      <c r="Q569" s="3093"/>
      <c r="R569" s="3093"/>
      <c r="S569" s="3093"/>
      <c r="T569" s="3093"/>
      <c r="U569" s="3093"/>
      <c r="V569" s="3093"/>
      <c r="W569" s="3093"/>
      <c r="X569" s="3093"/>
      <c r="Y569" s="3093"/>
      <c r="Z569" s="3093"/>
      <c r="AA569" s="3093"/>
      <c r="AB569" s="3093"/>
      <c r="AC569" s="3083">
        <f t="shared" si="329"/>
        <v>0</v>
      </c>
      <c r="AD569" s="3103"/>
      <c r="AE569" s="3103"/>
      <c r="AF569" s="3103"/>
      <c r="AG569" s="3103"/>
      <c r="AH569" s="3103"/>
      <c r="AI569" s="3103"/>
      <c r="AJ569" s="3103"/>
      <c r="AK569" s="3103"/>
      <c r="AL569" s="3103"/>
      <c r="AM569" s="3103"/>
      <c r="AN569" s="3103"/>
      <c r="AO569" s="3103"/>
      <c r="AP569" s="3103"/>
      <c r="AQ569" s="3103"/>
      <c r="AR569" s="3103"/>
      <c r="AS569" s="3103"/>
      <c r="AT569" s="3113"/>
      <c r="AU569" s="3114"/>
      <c r="AV569" s="1580">
        <f t="shared" si="330"/>
        <v>0</v>
      </c>
      <c r="AW569" s="1580">
        <f t="shared" si="331"/>
        <v>0</v>
      </c>
      <c r="AX569" s="1580">
        <f t="shared" si="332"/>
        <v>0</v>
      </c>
      <c r="AY569" s="3128">
        <f t="shared" si="333"/>
        <v>0</v>
      </c>
      <c r="AZ569" s="3083">
        <f t="shared" si="334"/>
        <v>0</v>
      </c>
      <c r="BA569" s="3083">
        <f t="shared" si="335"/>
        <v>0</v>
      </c>
      <c r="BB569" s="3083">
        <f t="shared" si="336"/>
        <v>0</v>
      </c>
      <c r="BC569" s="3083">
        <f t="shared" si="337"/>
        <v>0</v>
      </c>
      <c r="BD569" s="3083">
        <f t="shared" si="338"/>
        <v>0</v>
      </c>
      <c r="BE569" s="3083">
        <f t="shared" si="339"/>
        <v>0</v>
      </c>
      <c r="BF569" s="3083">
        <f t="shared" si="340"/>
        <v>0</v>
      </c>
      <c r="BG569" s="3083">
        <f t="shared" si="341"/>
        <v>0</v>
      </c>
      <c r="BH569" s="3083">
        <f t="shared" si="342"/>
        <v>0</v>
      </c>
      <c r="BI569" s="3083">
        <f t="shared" si="343"/>
        <v>0</v>
      </c>
      <c r="BJ569" s="3083">
        <f t="shared" si="344"/>
        <v>0</v>
      </c>
      <c r="BK569" s="3083">
        <f t="shared" si="345"/>
        <v>0</v>
      </c>
      <c r="BL569" s="3083">
        <f t="shared" si="346"/>
        <v>0</v>
      </c>
      <c r="BM569" s="3083">
        <f t="shared" si="347"/>
        <v>0</v>
      </c>
      <c r="BN569" s="3083">
        <f t="shared" si="348"/>
        <v>0</v>
      </c>
      <c r="BO569" s="3083">
        <f t="shared" si="349"/>
        <v>0</v>
      </c>
      <c r="BP569" s="3083">
        <f t="shared" si="350"/>
        <v>0</v>
      </c>
      <c r="BQ569" s="3083">
        <f t="shared" si="351"/>
        <v>0</v>
      </c>
      <c r="BR569" s="3083">
        <f t="shared" si="352"/>
        <v>0</v>
      </c>
      <c r="BS569" s="3083">
        <f t="shared" si="353"/>
        <v>0</v>
      </c>
      <c r="BT569" s="3135">
        <f t="shared" si="354"/>
        <v>0</v>
      </c>
    </row>
    <row r="570" spans="1:72">
      <c r="A570" s="3080"/>
      <c r="B570" s="3081"/>
      <c r="C570" s="3081"/>
      <c r="D570" s="3082"/>
      <c r="E570" s="3083">
        <f t="shared" si="326"/>
        <v>0</v>
      </c>
      <c r="F570" s="3084"/>
      <c r="G570" s="3085">
        <f t="shared" si="327"/>
        <v>0</v>
      </c>
      <c r="H570" s="3086">
        <f t="shared" si="328"/>
        <v>0</v>
      </c>
      <c r="I570" s="3093"/>
      <c r="J570" s="3093"/>
      <c r="K570" s="3093"/>
      <c r="L570" s="3093"/>
      <c r="M570" s="3093"/>
      <c r="N570" s="3093"/>
      <c r="O570" s="3093"/>
      <c r="P570" s="3093"/>
      <c r="Q570" s="3093"/>
      <c r="R570" s="3093"/>
      <c r="S570" s="3093"/>
      <c r="T570" s="3093"/>
      <c r="U570" s="3093"/>
      <c r="V570" s="3093"/>
      <c r="W570" s="3093"/>
      <c r="X570" s="3093"/>
      <c r="Y570" s="3093"/>
      <c r="Z570" s="3093"/>
      <c r="AA570" s="3093"/>
      <c r="AB570" s="3093"/>
      <c r="AC570" s="3083">
        <f t="shared" si="329"/>
        <v>0</v>
      </c>
      <c r="AD570" s="3103"/>
      <c r="AE570" s="3103"/>
      <c r="AF570" s="3103"/>
      <c r="AG570" s="3103"/>
      <c r="AH570" s="3103"/>
      <c r="AI570" s="3103"/>
      <c r="AJ570" s="3103"/>
      <c r="AK570" s="3103"/>
      <c r="AL570" s="3103"/>
      <c r="AM570" s="3103"/>
      <c r="AN570" s="3103"/>
      <c r="AO570" s="3103"/>
      <c r="AP570" s="3103"/>
      <c r="AQ570" s="3103"/>
      <c r="AR570" s="3103"/>
      <c r="AS570" s="3103"/>
      <c r="AT570" s="3113"/>
      <c r="AU570" s="3114"/>
      <c r="AV570" s="1580">
        <f t="shared" si="330"/>
        <v>0</v>
      </c>
      <c r="AW570" s="1580">
        <f t="shared" si="331"/>
        <v>0</v>
      </c>
      <c r="AX570" s="1580">
        <f t="shared" si="332"/>
        <v>0</v>
      </c>
      <c r="AY570" s="3128">
        <f t="shared" si="333"/>
        <v>0</v>
      </c>
      <c r="AZ570" s="3083">
        <f t="shared" si="334"/>
        <v>0</v>
      </c>
      <c r="BA570" s="3083">
        <f t="shared" si="335"/>
        <v>0</v>
      </c>
      <c r="BB570" s="3083">
        <f t="shared" si="336"/>
        <v>0</v>
      </c>
      <c r="BC570" s="3083">
        <f t="shared" si="337"/>
        <v>0</v>
      </c>
      <c r="BD570" s="3083">
        <f t="shared" si="338"/>
        <v>0</v>
      </c>
      <c r="BE570" s="3083">
        <f t="shared" si="339"/>
        <v>0</v>
      </c>
      <c r="BF570" s="3083">
        <f t="shared" si="340"/>
        <v>0</v>
      </c>
      <c r="BG570" s="3083">
        <f t="shared" si="341"/>
        <v>0</v>
      </c>
      <c r="BH570" s="3083">
        <f t="shared" si="342"/>
        <v>0</v>
      </c>
      <c r="BI570" s="3083">
        <f t="shared" si="343"/>
        <v>0</v>
      </c>
      <c r="BJ570" s="3083">
        <f t="shared" si="344"/>
        <v>0</v>
      </c>
      <c r="BK570" s="3083">
        <f t="shared" si="345"/>
        <v>0</v>
      </c>
      <c r="BL570" s="3083">
        <f t="shared" si="346"/>
        <v>0</v>
      </c>
      <c r="BM570" s="3083">
        <f t="shared" si="347"/>
        <v>0</v>
      </c>
      <c r="BN570" s="3083">
        <f t="shared" si="348"/>
        <v>0</v>
      </c>
      <c r="BO570" s="3083">
        <f t="shared" si="349"/>
        <v>0</v>
      </c>
      <c r="BP570" s="3083">
        <f t="shared" si="350"/>
        <v>0</v>
      </c>
      <c r="BQ570" s="3083">
        <f t="shared" si="351"/>
        <v>0</v>
      </c>
      <c r="BR570" s="3083">
        <f t="shared" si="352"/>
        <v>0</v>
      </c>
      <c r="BS570" s="3083">
        <f t="shared" si="353"/>
        <v>0</v>
      </c>
      <c r="BT570" s="3135">
        <f t="shared" si="354"/>
        <v>0</v>
      </c>
    </row>
    <row r="571" spans="1:72">
      <c r="A571" s="3080"/>
      <c r="B571" s="3081"/>
      <c r="C571" s="3081"/>
      <c r="D571" s="3082"/>
      <c r="E571" s="3083">
        <f t="shared" si="326"/>
        <v>0</v>
      </c>
      <c r="F571" s="3084"/>
      <c r="G571" s="3085">
        <f t="shared" si="327"/>
        <v>0</v>
      </c>
      <c r="H571" s="3086">
        <f t="shared" si="328"/>
        <v>0</v>
      </c>
      <c r="I571" s="3093"/>
      <c r="J571" s="3093"/>
      <c r="K571" s="3093"/>
      <c r="L571" s="3093"/>
      <c r="M571" s="3093"/>
      <c r="N571" s="3093"/>
      <c r="O571" s="3093"/>
      <c r="P571" s="3093"/>
      <c r="Q571" s="3093"/>
      <c r="R571" s="3093"/>
      <c r="S571" s="3093"/>
      <c r="T571" s="3093"/>
      <c r="U571" s="3093"/>
      <c r="V571" s="3093"/>
      <c r="W571" s="3093"/>
      <c r="X571" s="3093"/>
      <c r="Y571" s="3093"/>
      <c r="Z571" s="3093"/>
      <c r="AA571" s="3093"/>
      <c r="AB571" s="3093"/>
      <c r="AC571" s="3083">
        <f t="shared" si="329"/>
        <v>0</v>
      </c>
      <c r="AD571" s="3103"/>
      <c r="AE571" s="3103"/>
      <c r="AF571" s="3103"/>
      <c r="AG571" s="3103"/>
      <c r="AH571" s="3103"/>
      <c r="AI571" s="3103"/>
      <c r="AJ571" s="3103"/>
      <c r="AK571" s="3103"/>
      <c r="AL571" s="3103"/>
      <c r="AM571" s="3103"/>
      <c r="AN571" s="3103"/>
      <c r="AO571" s="3103"/>
      <c r="AP571" s="3103"/>
      <c r="AQ571" s="3103"/>
      <c r="AR571" s="3103"/>
      <c r="AS571" s="3103"/>
      <c r="AT571" s="3113"/>
      <c r="AU571" s="3114"/>
      <c r="AV571" s="1580">
        <f t="shared" si="330"/>
        <v>0</v>
      </c>
      <c r="AW571" s="1580">
        <f t="shared" si="331"/>
        <v>0</v>
      </c>
      <c r="AX571" s="1580">
        <f t="shared" si="332"/>
        <v>0</v>
      </c>
      <c r="AY571" s="3128">
        <f t="shared" si="333"/>
        <v>0</v>
      </c>
      <c r="AZ571" s="3083">
        <f t="shared" si="334"/>
        <v>0</v>
      </c>
      <c r="BA571" s="3083">
        <f t="shared" si="335"/>
        <v>0</v>
      </c>
      <c r="BB571" s="3083">
        <f t="shared" si="336"/>
        <v>0</v>
      </c>
      <c r="BC571" s="3083">
        <f t="shared" si="337"/>
        <v>0</v>
      </c>
      <c r="BD571" s="3083">
        <f t="shared" si="338"/>
        <v>0</v>
      </c>
      <c r="BE571" s="3083">
        <f t="shared" si="339"/>
        <v>0</v>
      </c>
      <c r="BF571" s="3083">
        <f t="shared" si="340"/>
        <v>0</v>
      </c>
      <c r="BG571" s="3083">
        <f t="shared" si="341"/>
        <v>0</v>
      </c>
      <c r="BH571" s="3083">
        <f t="shared" si="342"/>
        <v>0</v>
      </c>
      <c r="BI571" s="3083">
        <f t="shared" si="343"/>
        <v>0</v>
      </c>
      <c r="BJ571" s="3083">
        <f t="shared" si="344"/>
        <v>0</v>
      </c>
      <c r="BK571" s="3083">
        <f t="shared" si="345"/>
        <v>0</v>
      </c>
      <c r="BL571" s="3083">
        <f t="shared" si="346"/>
        <v>0</v>
      </c>
      <c r="BM571" s="3083">
        <f t="shared" si="347"/>
        <v>0</v>
      </c>
      <c r="BN571" s="3083">
        <f t="shared" si="348"/>
        <v>0</v>
      </c>
      <c r="BO571" s="3083">
        <f t="shared" si="349"/>
        <v>0</v>
      </c>
      <c r="BP571" s="3083">
        <f t="shared" si="350"/>
        <v>0</v>
      </c>
      <c r="BQ571" s="3083">
        <f t="shared" si="351"/>
        <v>0</v>
      </c>
      <c r="BR571" s="3083">
        <f t="shared" si="352"/>
        <v>0</v>
      </c>
      <c r="BS571" s="3083">
        <f t="shared" si="353"/>
        <v>0</v>
      </c>
      <c r="BT571" s="3135">
        <f t="shared" si="354"/>
        <v>0</v>
      </c>
    </row>
    <row r="572" spans="1:72">
      <c r="A572" s="3080"/>
      <c r="B572" s="3081"/>
      <c r="C572" s="3081"/>
      <c r="D572" s="3082"/>
      <c r="E572" s="3083">
        <f t="shared" si="326"/>
        <v>0</v>
      </c>
      <c r="F572" s="3084"/>
      <c r="G572" s="3085">
        <f t="shared" si="327"/>
        <v>0</v>
      </c>
      <c r="H572" s="3086">
        <f t="shared" si="328"/>
        <v>0</v>
      </c>
      <c r="I572" s="3093"/>
      <c r="J572" s="3093"/>
      <c r="K572" s="3093"/>
      <c r="L572" s="3093"/>
      <c r="M572" s="3093"/>
      <c r="N572" s="3093"/>
      <c r="O572" s="3093"/>
      <c r="P572" s="3093"/>
      <c r="Q572" s="3093"/>
      <c r="R572" s="3093"/>
      <c r="S572" s="3093"/>
      <c r="T572" s="3093"/>
      <c r="U572" s="3093"/>
      <c r="V572" s="3093"/>
      <c r="W572" s="3093"/>
      <c r="X572" s="3093"/>
      <c r="Y572" s="3093"/>
      <c r="Z572" s="3093"/>
      <c r="AA572" s="3093"/>
      <c r="AB572" s="3093"/>
      <c r="AC572" s="3083">
        <f t="shared" si="329"/>
        <v>0</v>
      </c>
      <c r="AD572" s="3103"/>
      <c r="AE572" s="3103"/>
      <c r="AF572" s="3103"/>
      <c r="AG572" s="3103"/>
      <c r="AH572" s="3103"/>
      <c r="AI572" s="3103"/>
      <c r="AJ572" s="3103"/>
      <c r="AK572" s="3103"/>
      <c r="AL572" s="3103"/>
      <c r="AM572" s="3103"/>
      <c r="AN572" s="3103"/>
      <c r="AO572" s="3103"/>
      <c r="AP572" s="3103"/>
      <c r="AQ572" s="3103"/>
      <c r="AR572" s="3103"/>
      <c r="AS572" s="3103"/>
      <c r="AT572" s="3113"/>
      <c r="AU572" s="3114"/>
      <c r="AV572" s="1580">
        <f t="shared" si="330"/>
        <v>0</v>
      </c>
      <c r="AW572" s="1580">
        <f t="shared" si="331"/>
        <v>0</v>
      </c>
      <c r="AX572" s="1580">
        <f t="shared" si="332"/>
        <v>0</v>
      </c>
      <c r="AY572" s="3128">
        <f t="shared" si="333"/>
        <v>0</v>
      </c>
      <c r="AZ572" s="3083">
        <f t="shared" si="334"/>
        <v>0</v>
      </c>
      <c r="BA572" s="3083">
        <f t="shared" si="335"/>
        <v>0</v>
      </c>
      <c r="BB572" s="3083">
        <f t="shared" si="336"/>
        <v>0</v>
      </c>
      <c r="BC572" s="3083">
        <f t="shared" si="337"/>
        <v>0</v>
      </c>
      <c r="BD572" s="3083">
        <f t="shared" si="338"/>
        <v>0</v>
      </c>
      <c r="BE572" s="3083">
        <f t="shared" si="339"/>
        <v>0</v>
      </c>
      <c r="BF572" s="3083">
        <f t="shared" si="340"/>
        <v>0</v>
      </c>
      <c r="BG572" s="3083">
        <f t="shared" si="341"/>
        <v>0</v>
      </c>
      <c r="BH572" s="3083">
        <f t="shared" si="342"/>
        <v>0</v>
      </c>
      <c r="BI572" s="3083">
        <f t="shared" si="343"/>
        <v>0</v>
      </c>
      <c r="BJ572" s="3083">
        <f t="shared" si="344"/>
        <v>0</v>
      </c>
      <c r="BK572" s="3083">
        <f t="shared" si="345"/>
        <v>0</v>
      </c>
      <c r="BL572" s="3083">
        <f t="shared" si="346"/>
        <v>0</v>
      </c>
      <c r="BM572" s="3083">
        <f t="shared" si="347"/>
        <v>0</v>
      </c>
      <c r="BN572" s="3083">
        <f t="shared" si="348"/>
        <v>0</v>
      </c>
      <c r="BO572" s="3083">
        <f t="shared" si="349"/>
        <v>0</v>
      </c>
      <c r="BP572" s="3083">
        <f t="shared" si="350"/>
        <v>0</v>
      </c>
      <c r="BQ572" s="3083">
        <f t="shared" si="351"/>
        <v>0</v>
      </c>
      <c r="BR572" s="3083">
        <f t="shared" si="352"/>
        <v>0</v>
      </c>
      <c r="BS572" s="3083">
        <f t="shared" si="353"/>
        <v>0</v>
      </c>
      <c r="BT572" s="3135">
        <f t="shared" si="354"/>
        <v>0</v>
      </c>
    </row>
    <row r="573" spans="1:72">
      <c r="A573" s="3080"/>
      <c r="B573" s="3081"/>
      <c r="C573" s="3081"/>
      <c r="D573" s="3082"/>
      <c r="E573" s="3083">
        <f t="shared" si="326"/>
        <v>0</v>
      </c>
      <c r="F573" s="3084"/>
      <c r="G573" s="3085">
        <f t="shared" si="327"/>
        <v>0</v>
      </c>
      <c r="H573" s="3086">
        <f t="shared" si="328"/>
        <v>0</v>
      </c>
      <c r="I573" s="3093"/>
      <c r="J573" s="3093"/>
      <c r="K573" s="3093"/>
      <c r="L573" s="3093"/>
      <c r="M573" s="3093"/>
      <c r="N573" s="3093"/>
      <c r="O573" s="3093"/>
      <c r="P573" s="3093"/>
      <c r="Q573" s="3093"/>
      <c r="R573" s="3093"/>
      <c r="S573" s="3093"/>
      <c r="T573" s="3093"/>
      <c r="U573" s="3093"/>
      <c r="V573" s="3093"/>
      <c r="W573" s="3093"/>
      <c r="X573" s="3093"/>
      <c r="Y573" s="3093"/>
      <c r="Z573" s="3093"/>
      <c r="AA573" s="3093"/>
      <c r="AB573" s="3093"/>
      <c r="AC573" s="3083">
        <f t="shared" si="329"/>
        <v>0</v>
      </c>
      <c r="AD573" s="3103"/>
      <c r="AE573" s="3103"/>
      <c r="AF573" s="3103"/>
      <c r="AG573" s="3103"/>
      <c r="AH573" s="3103"/>
      <c r="AI573" s="3103"/>
      <c r="AJ573" s="3103"/>
      <c r="AK573" s="3103"/>
      <c r="AL573" s="3103"/>
      <c r="AM573" s="3103"/>
      <c r="AN573" s="3103"/>
      <c r="AO573" s="3103"/>
      <c r="AP573" s="3103"/>
      <c r="AQ573" s="3103"/>
      <c r="AR573" s="3103"/>
      <c r="AS573" s="3103"/>
      <c r="AT573" s="3113"/>
      <c r="AU573" s="3114"/>
      <c r="AV573" s="1580">
        <f t="shared" si="330"/>
        <v>0</v>
      </c>
      <c r="AW573" s="1580">
        <f t="shared" si="331"/>
        <v>0</v>
      </c>
      <c r="AX573" s="1580">
        <f t="shared" si="332"/>
        <v>0</v>
      </c>
      <c r="AY573" s="3128">
        <f t="shared" si="333"/>
        <v>0</v>
      </c>
      <c r="AZ573" s="3083">
        <f t="shared" si="334"/>
        <v>0</v>
      </c>
      <c r="BA573" s="3083">
        <f t="shared" si="335"/>
        <v>0</v>
      </c>
      <c r="BB573" s="3083">
        <f t="shared" si="336"/>
        <v>0</v>
      </c>
      <c r="BC573" s="3083">
        <f t="shared" si="337"/>
        <v>0</v>
      </c>
      <c r="BD573" s="3083">
        <f t="shared" si="338"/>
        <v>0</v>
      </c>
      <c r="BE573" s="3083">
        <f t="shared" si="339"/>
        <v>0</v>
      </c>
      <c r="BF573" s="3083">
        <f t="shared" si="340"/>
        <v>0</v>
      </c>
      <c r="BG573" s="3083">
        <f t="shared" si="341"/>
        <v>0</v>
      </c>
      <c r="BH573" s="3083">
        <f t="shared" si="342"/>
        <v>0</v>
      </c>
      <c r="BI573" s="3083">
        <f t="shared" si="343"/>
        <v>0</v>
      </c>
      <c r="BJ573" s="3083">
        <f t="shared" si="344"/>
        <v>0</v>
      </c>
      <c r="BK573" s="3083">
        <f t="shared" si="345"/>
        <v>0</v>
      </c>
      <c r="BL573" s="3083">
        <f t="shared" si="346"/>
        <v>0</v>
      </c>
      <c r="BM573" s="3083">
        <f t="shared" si="347"/>
        <v>0</v>
      </c>
      <c r="BN573" s="3083">
        <f t="shared" si="348"/>
        <v>0</v>
      </c>
      <c r="BO573" s="3083">
        <f t="shared" si="349"/>
        <v>0</v>
      </c>
      <c r="BP573" s="3083">
        <f t="shared" si="350"/>
        <v>0</v>
      </c>
      <c r="BQ573" s="3083">
        <f t="shared" si="351"/>
        <v>0</v>
      </c>
      <c r="BR573" s="3083">
        <f t="shared" si="352"/>
        <v>0</v>
      </c>
      <c r="BS573" s="3083">
        <f t="shared" si="353"/>
        <v>0</v>
      </c>
      <c r="BT573" s="3135">
        <f t="shared" si="354"/>
        <v>0</v>
      </c>
    </row>
    <row r="574" spans="1:72">
      <c r="A574" s="3080"/>
      <c r="B574" s="3081"/>
      <c r="C574" s="3081"/>
      <c r="D574" s="3082"/>
      <c r="E574" s="3083">
        <f t="shared" si="326"/>
        <v>0</v>
      </c>
      <c r="F574" s="3084"/>
      <c r="G574" s="3085">
        <f t="shared" si="327"/>
        <v>0</v>
      </c>
      <c r="H574" s="3086">
        <f t="shared" si="328"/>
        <v>0</v>
      </c>
      <c r="I574" s="3093"/>
      <c r="J574" s="3093"/>
      <c r="K574" s="3093"/>
      <c r="L574" s="3093"/>
      <c r="M574" s="3093"/>
      <c r="N574" s="3093"/>
      <c r="O574" s="3093"/>
      <c r="P574" s="3093"/>
      <c r="Q574" s="3093"/>
      <c r="R574" s="3093"/>
      <c r="S574" s="3093"/>
      <c r="T574" s="3093"/>
      <c r="U574" s="3093"/>
      <c r="V574" s="3093"/>
      <c r="W574" s="3093"/>
      <c r="X574" s="3093"/>
      <c r="Y574" s="3093"/>
      <c r="Z574" s="3093"/>
      <c r="AA574" s="3093"/>
      <c r="AB574" s="3093"/>
      <c r="AC574" s="3083">
        <f t="shared" si="329"/>
        <v>0</v>
      </c>
      <c r="AD574" s="3103"/>
      <c r="AE574" s="3103"/>
      <c r="AF574" s="3103"/>
      <c r="AG574" s="3103"/>
      <c r="AH574" s="3103"/>
      <c r="AI574" s="3103"/>
      <c r="AJ574" s="3103"/>
      <c r="AK574" s="3103"/>
      <c r="AL574" s="3103"/>
      <c r="AM574" s="3103"/>
      <c r="AN574" s="3103"/>
      <c r="AO574" s="3103"/>
      <c r="AP574" s="3103"/>
      <c r="AQ574" s="3103"/>
      <c r="AR574" s="3103"/>
      <c r="AS574" s="3103"/>
      <c r="AT574" s="3113"/>
      <c r="AU574" s="3114"/>
      <c r="AV574" s="1580">
        <f t="shared" si="330"/>
        <v>0</v>
      </c>
      <c r="AW574" s="1580">
        <f t="shared" si="331"/>
        <v>0</v>
      </c>
      <c r="AX574" s="1580">
        <f t="shared" si="332"/>
        <v>0</v>
      </c>
      <c r="AY574" s="3128">
        <f t="shared" si="333"/>
        <v>0</v>
      </c>
      <c r="AZ574" s="3083">
        <f t="shared" si="334"/>
        <v>0</v>
      </c>
      <c r="BA574" s="3083">
        <f t="shared" si="335"/>
        <v>0</v>
      </c>
      <c r="BB574" s="3083">
        <f t="shared" si="336"/>
        <v>0</v>
      </c>
      <c r="BC574" s="3083">
        <f t="shared" si="337"/>
        <v>0</v>
      </c>
      <c r="BD574" s="3083">
        <f t="shared" si="338"/>
        <v>0</v>
      </c>
      <c r="BE574" s="3083">
        <f t="shared" si="339"/>
        <v>0</v>
      </c>
      <c r="BF574" s="3083">
        <f t="shared" si="340"/>
        <v>0</v>
      </c>
      <c r="BG574" s="3083">
        <f t="shared" si="341"/>
        <v>0</v>
      </c>
      <c r="BH574" s="3083">
        <f t="shared" si="342"/>
        <v>0</v>
      </c>
      <c r="BI574" s="3083">
        <f t="shared" si="343"/>
        <v>0</v>
      </c>
      <c r="BJ574" s="3083">
        <f t="shared" si="344"/>
        <v>0</v>
      </c>
      <c r="BK574" s="3083">
        <f t="shared" si="345"/>
        <v>0</v>
      </c>
      <c r="BL574" s="3083">
        <f t="shared" si="346"/>
        <v>0</v>
      </c>
      <c r="BM574" s="3083">
        <f t="shared" si="347"/>
        <v>0</v>
      </c>
      <c r="BN574" s="3083">
        <f t="shared" si="348"/>
        <v>0</v>
      </c>
      <c r="BO574" s="3083">
        <f t="shared" si="349"/>
        <v>0</v>
      </c>
      <c r="BP574" s="3083">
        <f t="shared" si="350"/>
        <v>0</v>
      </c>
      <c r="BQ574" s="3083">
        <f t="shared" si="351"/>
        <v>0</v>
      </c>
      <c r="BR574" s="3083">
        <f t="shared" si="352"/>
        <v>0</v>
      </c>
      <c r="BS574" s="3083">
        <f t="shared" si="353"/>
        <v>0</v>
      </c>
      <c r="BT574" s="3135">
        <f t="shared" si="354"/>
        <v>0</v>
      </c>
    </row>
    <row r="575" spans="1:72">
      <c r="A575" s="3080"/>
      <c r="B575" s="3081"/>
      <c r="C575" s="3081"/>
      <c r="D575" s="3082"/>
      <c r="E575" s="3083">
        <f t="shared" si="326"/>
        <v>0</v>
      </c>
      <c r="F575" s="3084"/>
      <c r="G575" s="3085">
        <f t="shared" si="327"/>
        <v>0</v>
      </c>
      <c r="H575" s="3086">
        <f t="shared" si="328"/>
        <v>0</v>
      </c>
      <c r="I575" s="3093"/>
      <c r="J575" s="3093"/>
      <c r="K575" s="3093"/>
      <c r="L575" s="3093"/>
      <c r="M575" s="3093"/>
      <c r="N575" s="3093"/>
      <c r="O575" s="3093"/>
      <c r="P575" s="3093"/>
      <c r="Q575" s="3093"/>
      <c r="R575" s="3093"/>
      <c r="S575" s="3093"/>
      <c r="T575" s="3093"/>
      <c r="U575" s="3093"/>
      <c r="V575" s="3093"/>
      <c r="W575" s="3093"/>
      <c r="X575" s="3093"/>
      <c r="Y575" s="3093"/>
      <c r="Z575" s="3093"/>
      <c r="AA575" s="3093"/>
      <c r="AB575" s="3093"/>
      <c r="AC575" s="3083">
        <f t="shared" si="329"/>
        <v>0</v>
      </c>
      <c r="AD575" s="3103"/>
      <c r="AE575" s="3103"/>
      <c r="AF575" s="3103"/>
      <c r="AG575" s="3103"/>
      <c r="AH575" s="3103"/>
      <c r="AI575" s="3103"/>
      <c r="AJ575" s="3103"/>
      <c r="AK575" s="3103"/>
      <c r="AL575" s="3103"/>
      <c r="AM575" s="3103"/>
      <c r="AN575" s="3103"/>
      <c r="AO575" s="3103"/>
      <c r="AP575" s="3103"/>
      <c r="AQ575" s="3103"/>
      <c r="AR575" s="3103"/>
      <c r="AS575" s="3103"/>
      <c r="AT575" s="3113"/>
      <c r="AU575" s="3114"/>
      <c r="AV575" s="1580">
        <f t="shared" si="330"/>
        <v>0</v>
      </c>
      <c r="AW575" s="1580">
        <f t="shared" si="331"/>
        <v>0</v>
      </c>
      <c r="AX575" s="1580">
        <f t="shared" si="332"/>
        <v>0</v>
      </c>
      <c r="AY575" s="3128">
        <f t="shared" si="333"/>
        <v>0</v>
      </c>
      <c r="AZ575" s="3083">
        <f t="shared" si="334"/>
        <v>0</v>
      </c>
      <c r="BA575" s="3083">
        <f t="shared" si="335"/>
        <v>0</v>
      </c>
      <c r="BB575" s="3083">
        <f t="shared" si="336"/>
        <v>0</v>
      </c>
      <c r="BC575" s="3083">
        <f t="shared" si="337"/>
        <v>0</v>
      </c>
      <c r="BD575" s="3083">
        <f t="shared" si="338"/>
        <v>0</v>
      </c>
      <c r="BE575" s="3083">
        <f t="shared" si="339"/>
        <v>0</v>
      </c>
      <c r="BF575" s="3083">
        <f t="shared" si="340"/>
        <v>0</v>
      </c>
      <c r="BG575" s="3083">
        <f t="shared" si="341"/>
        <v>0</v>
      </c>
      <c r="BH575" s="3083">
        <f t="shared" si="342"/>
        <v>0</v>
      </c>
      <c r="BI575" s="3083">
        <f t="shared" si="343"/>
        <v>0</v>
      </c>
      <c r="BJ575" s="3083">
        <f t="shared" si="344"/>
        <v>0</v>
      </c>
      <c r="BK575" s="3083">
        <f t="shared" si="345"/>
        <v>0</v>
      </c>
      <c r="BL575" s="3083">
        <f t="shared" si="346"/>
        <v>0</v>
      </c>
      <c r="BM575" s="3083">
        <f t="shared" si="347"/>
        <v>0</v>
      </c>
      <c r="BN575" s="3083">
        <f t="shared" si="348"/>
        <v>0</v>
      </c>
      <c r="BO575" s="3083">
        <f t="shared" si="349"/>
        <v>0</v>
      </c>
      <c r="BP575" s="3083">
        <f t="shared" si="350"/>
        <v>0</v>
      </c>
      <c r="BQ575" s="3083">
        <f t="shared" si="351"/>
        <v>0</v>
      </c>
      <c r="BR575" s="3083">
        <f t="shared" si="352"/>
        <v>0</v>
      </c>
      <c r="BS575" s="3083">
        <f t="shared" si="353"/>
        <v>0</v>
      </c>
      <c r="BT575" s="3135">
        <f t="shared" si="354"/>
        <v>0</v>
      </c>
    </row>
    <row r="576" spans="1:72">
      <c r="A576" s="3080"/>
      <c r="B576" s="3081"/>
      <c r="C576" s="3081"/>
      <c r="D576" s="3082"/>
      <c r="E576" s="3083">
        <f t="shared" si="326"/>
        <v>0</v>
      </c>
      <c r="F576" s="3084"/>
      <c r="G576" s="3085">
        <f t="shared" si="327"/>
        <v>0</v>
      </c>
      <c r="H576" s="3086">
        <f t="shared" si="328"/>
        <v>0</v>
      </c>
      <c r="I576" s="3093"/>
      <c r="J576" s="3093"/>
      <c r="K576" s="3093"/>
      <c r="L576" s="3093"/>
      <c r="M576" s="3093"/>
      <c r="N576" s="3093"/>
      <c r="O576" s="3093"/>
      <c r="P576" s="3093"/>
      <c r="Q576" s="3093"/>
      <c r="R576" s="3093"/>
      <c r="S576" s="3093"/>
      <c r="T576" s="3093"/>
      <c r="U576" s="3093"/>
      <c r="V576" s="3093"/>
      <c r="W576" s="3093"/>
      <c r="X576" s="3093"/>
      <c r="Y576" s="3093"/>
      <c r="Z576" s="3093"/>
      <c r="AA576" s="3093"/>
      <c r="AB576" s="3093"/>
      <c r="AC576" s="3083">
        <f t="shared" si="329"/>
        <v>0</v>
      </c>
      <c r="AD576" s="3103"/>
      <c r="AE576" s="3103"/>
      <c r="AF576" s="3103"/>
      <c r="AG576" s="3103"/>
      <c r="AH576" s="3103"/>
      <c r="AI576" s="3103"/>
      <c r="AJ576" s="3103"/>
      <c r="AK576" s="3103"/>
      <c r="AL576" s="3103"/>
      <c r="AM576" s="3103"/>
      <c r="AN576" s="3103"/>
      <c r="AO576" s="3103"/>
      <c r="AP576" s="3103"/>
      <c r="AQ576" s="3103"/>
      <c r="AR576" s="3103"/>
      <c r="AS576" s="3103"/>
      <c r="AT576" s="3113"/>
      <c r="AU576" s="3114"/>
      <c r="AV576" s="1580">
        <f t="shared" si="330"/>
        <v>0</v>
      </c>
      <c r="AW576" s="1580">
        <f t="shared" si="331"/>
        <v>0</v>
      </c>
      <c r="AX576" s="1580">
        <f t="shared" si="332"/>
        <v>0</v>
      </c>
      <c r="AY576" s="3128">
        <f t="shared" si="333"/>
        <v>0</v>
      </c>
      <c r="AZ576" s="3083">
        <f t="shared" si="334"/>
        <v>0</v>
      </c>
      <c r="BA576" s="3083">
        <f t="shared" si="335"/>
        <v>0</v>
      </c>
      <c r="BB576" s="3083">
        <f t="shared" si="336"/>
        <v>0</v>
      </c>
      <c r="BC576" s="3083">
        <f t="shared" si="337"/>
        <v>0</v>
      </c>
      <c r="BD576" s="3083">
        <f t="shared" si="338"/>
        <v>0</v>
      </c>
      <c r="BE576" s="3083">
        <f t="shared" si="339"/>
        <v>0</v>
      </c>
      <c r="BF576" s="3083">
        <f t="shared" si="340"/>
        <v>0</v>
      </c>
      <c r="BG576" s="3083">
        <f t="shared" si="341"/>
        <v>0</v>
      </c>
      <c r="BH576" s="3083">
        <f t="shared" si="342"/>
        <v>0</v>
      </c>
      <c r="BI576" s="3083">
        <f t="shared" si="343"/>
        <v>0</v>
      </c>
      <c r="BJ576" s="3083">
        <f t="shared" si="344"/>
        <v>0</v>
      </c>
      <c r="BK576" s="3083">
        <f t="shared" si="345"/>
        <v>0</v>
      </c>
      <c r="BL576" s="3083">
        <f t="shared" si="346"/>
        <v>0</v>
      </c>
      <c r="BM576" s="3083">
        <f t="shared" si="347"/>
        <v>0</v>
      </c>
      <c r="BN576" s="3083">
        <f t="shared" si="348"/>
        <v>0</v>
      </c>
      <c r="BO576" s="3083">
        <f t="shared" si="349"/>
        <v>0</v>
      </c>
      <c r="BP576" s="3083">
        <f t="shared" si="350"/>
        <v>0</v>
      </c>
      <c r="BQ576" s="3083">
        <f t="shared" si="351"/>
        <v>0</v>
      </c>
      <c r="BR576" s="3083">
        <f t="shared" si="352"/>
        <v>0</v>
      </c>
      <c r="BS576" s="3083">
        <f t="shared" si="353"/>
        <v>0</v>
      </c>
      <c r="BT576" s="3135">
        <f t="shared" si="354"/>
        <v>0</v>
      </c>
    </row>
    <row r="577" spans="1:72">
      <c r="A577" s="3080"/>
      <c r="B577" s="3081"/>
      <c r="C577" s="3081"/>
      <c r="D577" s="3082"/>
      <c r="E577" s="3083">
        <f t="shared" si="326"/>
        <v>0</v>
      </c>
      <c r="F577" s="3084"/>
      <c r="G577" s="3085">
        <f t="shared" si="327"/>
        <v>0</v>
      </c>
      <c r="H577" s="3086">
        <f t="shared" si="328"/>
        <v>0</v>
      </c>
      <c r="I577" s="3093"/>
      <c r="J577" s="3093"/>
      <c r="K577" s="3093"/>
      <c r="L577" s="3093"/>
      <c r="M577" s="3093"/>
      <c r="N577" s="3093"/>
      <c r="O577" s="3093"/>
      <c r="P577" s="3093"/>
      <c r="Q577" s="3093"/>
      <c r="R577" s="3093"/>
      <c r="S577" s="3093"/>
      <c r="T577" s="3093"/>
      <c r="U577" s="3093"/>
      <c r="V577" s="3093"/>
      <c r="W577" s="3093"/>
      <c r="X577" s="3093"/>
      <c r="Y577" s="3093"/>
      <c r="Z577" s="3093"/>
      <c r="AA577" s="3093"/>
      <c r="AB577" s="3093"/>
      <c r="AC577" s="3083">
        <f t="shared" si="329"/>
        <v>0</v>
      </c>
      <c r="AD577" s="3103"/>
      <c r="AE577" s="3103"/>
      <c r="AF577" s="3103"/>
      <c r="AG577" s="3103"/>
      <c r="AH577" s="3103"/>
      <c r="AI577" s="3103"/>
      <c r="AJ577" s="3103"/>
      <c r="AK577" s="3103"/>
      <c r="AL577" s="3103"/>
      <c r="AM577" s="3103"/>
      <c r="AN577" s="3103"/>
      <c r="AO577" s="3103"/>
      <c r="AP577" s="3103"/>
      <c r="AQ577" s="3103"/>
      <c r="AR577" s="3103"/>
      <c r="AS577" s="3103"/>
      <c r="AT577" s="3113"/>
      <c r="AU577" s="3114"/>
      <c r="AV577" s="1580">
        <f t="shared" si="330"/>
        <v>0</v>
      </c>
      <c r="AW577" s="1580">
        <f t="shared" si="331"/>
        <v>0</v>
      </c>
      <c r="AX577" s="1580">
        <f t="shared" si="332"/>
        <v>0</v>
      </c>
      <c r="AY577" s="3128">
        <f t="shared" si="333"/>
        <v>0</v>
      </c>
      <c r="AZ577" s="3083">
        <f t="shared" si="334"/>
        <v>0</v>
      </c>
      <c r="BA577" s="3083">
        <f t="shared" si="335"/>
        <v>0</v>
      </c>
      <c r="BB577" s="3083">
        <f t="shared" si="336"/>
        <v>0</v>
      </c>
      <c r="BC577" s="3083">
        <f t="shared" si="337"/>
        <v>0</v>
      </c>
      <c r="BD577" s="3083">
        <f t="shared" si="338"/>
        <v>0</v>
      </c>
      <c r="BE577" s="3083">
        <f t="shared" si="339"/>
        <v>0</v>
      </c>
      <c r="BF577" s="3083">
        <f t="shared" si="340"/>
        <v>0</v>
      </c>
      <c r="BG577" s="3083">
        <f t="shared" si="341"/>
        <v>0</v>
      </c>
      <c r="BH577" s="3083">
        <f t="shared" si="342"/>
        <v>0</v>
      </c>
      <c r="BI577" s="3083">
        <f t="shared" si="343"/>
        <v>0</v>
      </c>
      <c r="BJ577" s="3083">
        <f t="shared" si="344"/>
        <v>0</v>
      </c>
      <c r="BK577" s="3083">
        <f t="shared" si="345"/>
        <v>0</v>
      </c>
      <c r="BL577" s="3083">
        <f t="shared" si="346"/>
        <v>0</v>
      </c>
      <c r="BM577" s="3083">
        <f t="shared" si="347"/>
        <v>0</v>
      </c>
      <c r="BN577" s="3083">
        <f t="shared" si="348"/>
        <v>0</v>
      </c>
      <c r="BO577" s="3083">
        <f t="shared" si="349"/>
        <v>0</v>
      </c>
      <c r="BP577" s="3083">
        <f t="shared" si="350"/>
        <v>0</v>
      </c>
      <c r="BQ577" s="3083">
        <f t="shared" si="351"/>
        <v>0</v>
      </c>
      <c r="BR577" s="3083">
        <f t="shared" si="352"/>
        <v>0</v>
      </c>
      <c r="BS577" s="3083">
        <f t="shared" si="353"/>
        <v>0</v>
      </c>
      <c r="BT577" s="3135">
        <f t="shared" si="354"/>
        <v>0</v>
      </c>
    </row>
    <row r="578" spans="1:72">
      <c r="A578" s="3080"/>
      <c r="B578" s="3081"/>
      <c r="C578" s="3081"/>
      <c r="D578" s="3082"/>
      <c r="E578" s="3083">
        <f t="shared" si="326"/>
        <v>0</v>
      </c>
      <c r="F578" s="3084"/>
      <c r="G578" s="3085">
        <f t="shared" si="327"/>
        <v>0</v>
      </c>
      <c r="H578" s="3086">
        <f t="shared" si="328"/>
        <v>0</v>
      </c>
      <c r="I578" s="3093"/>
      <c r="J578" s="3093"/>
      <c r="K578" s="3093"/>
      <c r="L578" s="3093"/>
      <c r="M578" s="3093"/>
      <c r="N578" s="3093"/>
      <c r="O578" s="3093"/>
      <c r="P578" s="3093"/>
      <c r="Q578" s="3093"/>
      <c r="R578" s="3093"/>
      <c r="S578" s="3093"/>
      <c r="T578" s="3093"/>
      <c r="U578" s="3093"/>
      <c r="V578" s="3093"/>
      <c r="W578" s="3093"/>
      <c r="X578" s="3093"/>
      <c r="Y578" s="3093"/>
      <c r="Z578" s="3093"/>
      <c r="AA578" s="3093"/>
      <c r="AB578" s="3093"/>
      <c r="AC578" s="3083">
        <f t="shared" si="329"/>
        <v>0</v>
      </c>
      <c r="AD578" s="3103"/>
      <c r="AE578" s="3103"/>
      <c r="AF578" s="3103"/>
      <c r="AG578" s="3103"/>
      <c r="AH578" s="3103"/>
      <c r="AI578" s="3103"/>
      <c r="AJ578" s="3103"/>
      <c r="AK578" s="3103"/>
      <c r="AL578" s="3103"/>
      <c r="AM578" s="3103"/>
      <c r="AN578" s="3103"/>
      <c r="AO578" s="3103"/>
      <c r="AP578" s="3103"/>
      <c r="AQ578" s="3103"/>
      <c r="AR578" s="3103"/>
      <c r="AS578" s="3103"/>
      <c r="AT578" s="3113"/>
      <c r="AU578" s="3114"/>
      <c r="AV578" s="1580">
        <f t="shared" si="330"/>
        <v>0</v>
      </c>
      <c r="AW578" s="1580">
        <f t="shared" si="331"/>
        <v>0</v>
      </c>
      <c r="AX578" s="1580">
        <f t="shared" si="332"/>
        <v>0</v>
      </c>
      <c r="AY578" s="3128">
        <f t="shared" si="333"/>
        <v>0</v>
      </c>
      <c r="AZ578" s="3083">
        <f t="shared" si="334"/>
        <v>0</v>
      </c>
      <c r="BA578" s="3083">
        <f t="shared" si="335"/>
        <v>0</v>
      </c>
      <c r="BB578" s="3083">
        <f t="shared" si="336"/>
        <v>0</v>
      </c>
      <c r="BC578" s="3083">
        <f t="shared" si="337"/>
        <v>0</v>
      </c>
      <c r="BD578" s="3083">
        <f t="shared" si="338"/>
        <v>0</v>
      </c>
      <c r="BE578" s="3083">
        <f t="shared" si="339"/>
        <v>0</v>
      </c>
      <c r="BF578" s="3083">
        <f t="shared" si="340"/>
        <v>0</v>
      </c>
      <c r="BG578" s="3083">
        <f t="shared" si="341"/>
        <v>0</v>
      </c>
      <c r="BH578" s="3083">
        <f t="shared" si="342"/>
        <v>0</v>
      </c>
      <c r="BI578" s="3083">
        <f t="shared" si="343"/>
        <v>0</v>
      </c>
      <c r="BJ578" s="3083">
        <f t="shared" si="344"/>
        <v>0</v>
      </c>
      <c r="BK578" s="3083">
        <f t="shared" si="345"/>
        <v>0</v>
      </c>
      <c r="BL578" s="3083">
        <f t="shared" si="346"/>
        <v>0</v>
      </c>
      <c r="BM578" s="3083">
        <f t="shared" si="347"/>
        <v>0</v>
      </c>
      <c r="BN578" s="3083">
        <f t="shared" si="348"/>
        <v>0</v>
      </c>
      <c r="BO578" s="3083">
        <f t="shared" si="349"/>
        <v>0</v>
      </c>
      <c r="BP578" s="3083">
        <f t="shared" si="350"/>
        <v>0</v>
      </c>
      <c r="BQ578" s="3083">
        <f t="shared" si="351"/>
        <v>0</v>
      </c>
      <c r="BR578" s="3083">
        <f t="shared" si="352"/>
        <v>0</v>
      </c>
      <c r="BS578" s="3083">
        <f t="shared" si="353"/>
        <v>0</v>
      </c>
      <c r="BT578" s="3135">
        <f t="shared" si="354"/>
        <v>0</v>
      </c>
    </row>
    <row r="579" spans="1:72">
      <c r="A579" s="3080"/>
      <c r="B579" s="3081"/>
      <c r="C579" s="3081"/>
      <c r="D579" s="3082"/>
      <c r="E579" s="3083">
        <f t="shared" si="326"/>
        <v>0</v>
      </c>
      <c r="F579" s="3084"/>
      <c r="G579" s="3085">
        <f t="shared" si="327"/>
        <v>0</v>
      </c>
      <c r="H579" s="3086">
        <f t="shared" si="328"/>
        <v>0</v>
      </c>
      <c r="I579" s="3093"/>
      <c r="J579" s="3093"/>
      <c r="K579" s="3093"/>
      <c r="L579" s="3093"/>
      <c r="M579" s="3093"/>
      <c r="N579" s="3093"/>
      <c r="O579" s="3093"/>
      <c r="P579" s="3093"/>
      <c r="Q579" s="3093"/>
      <c r="R579" s="3093"/>
      <c r="S579" s="3093"/>
      <c r="T579" s="3093"/>
      <c r="U579" s="3093"/>
      <c r="V579" s="3093"/>
      <c r="W579" s="3093"/>
      <c r="X579" s="3093"/>
      <c r="Y579" s="3093"/>
      <c r="Z579" s="3093"/>
      <c r="AA579" s="3093"/>
      <c r="AB579" s="3093"/>
      <c r="AC579" s="3083">
        <f t="shared" si="329"/>
        <v>0</v>
      </c>
      <c r="AD579" s="3103"/>
      <c r="AE579" s="3103"/>
      <c r="AF579" s="3103"/>
      <c r="AG579" s="3103"/>
      <c r="AH579" s="3103"/>
      <c r="AI579" s="3103"/>
      <c r="AJ579" s="3103"/>
      <c r="AK579" s="3103"/>
      <c r="AL579" s="3103"/>
      <c r="AM579" s="3103"/>
      <c r="AN579" s="3103"/>
      <c r="AO579" s="3103"/>
      <c r="AP579" s="3103"/>
      <c r="AQ579" s="3103"/>
      <c r="AR579" s="3103"/>
      <c r="AS579" s="3103"/>
      <c r="AT579" s="3113"/>
      <c r="AU579" s="3114"/>
      <c r="AV579" s="1580">
        <f t="shared" si="330"/>
        <v>0</v>
      </c>
      <c r="AW579" s="1580">
        <f t="shared" si="331"/>
        <v>0</v>
      </c>
      <c r="AX579" s="1580">
        <f t="shared" si="332"/>
        <v>0</v>
      </c>
      <c r="AY579" s="3128">
        <f t="shared" si="333"/>
        <v>0</v>
      </c>
      <c r="AZ579" s="3083">
        <f t="shared" si="334"/>
        <v>0</v>
      </c>
      <c r="BA579" s="3083">
        <f t="shared" si="335"/>
        <v>0</v>
      </c>
      <c r="BB579" s="3083">
        <f t="shared" si="336"/>
        <v>0</v>
      </c>
      <c r="BC579" s="3083">
        <f t="shared" si="337"/>
        <v>0</v>
      </c>
      <c r="BD579" s="3083">
        <f t="shared" si="338"/>
        <v>0</v>
      </c>
      <c r="BE579" s="3083">
        <f t="shared" si="339"/>
        <v>0</v>
      </c>
      <c r="BF579" s="3083">
        <f t="shared" si="340"/>
        <v>0</v>
      </c>
      <c r="BG579" s="3083">
        <f t="shared" si="341"/>
        <v>0</v>
      </c>
      <c r="BH579" s="3083">
        <f t="shared" si="342"/>
        <v>0</v>
      </c>
      <c r="BI579" s="3083">
        <f t="shared" si="343"/>
        <v>0</v>
      </c>
      <c r="BJ579" s="3083">
        <f t="shared" si="344"/>
        <v>0</v>
      </c>
      <c r="BK579" s="3083">
        <f t="shared" si="345"/>
        <v>0</v>
      </c>
      <c r="BL579" s="3083">
        <f t="shared" si="346"/>
        <v>0</v>
      </c>
      <c r="BM579" s="3083">
        <f t="shared" si="347"/>
        <v>0</v>
      </c>
      <c r="BN579" s="3083">
        <f t="shared" si="348"/>
        <v>0</v>
      </c>
      <c r="BO579" s="3083">
        <f t="shared" si="349"/>
        <v>0</v>
      </c>
      <c r="BP579" s="3083">
        <f t="shared" si="350"/>
        <v>0</v>
      </c>
      <c r="BQ579" s="3083">
        <f t="shared" si="351"/>
        <v>0</v>
      </c>
      <c r="BR579" s="3083">
        <f t="shared" si="352"/>
        <v>0</v>
      </c>
      <c r="BS579" s="3083">
        <f t="shared" si="353"/>
        <v>0</v>
      </c>
      <c r="BT579" s="3135">
        <f t="shared" si="354"/>
        <v>0</v>
      </c>
    </row>
    <row r="580" spans="1:72">
      <c r="A580" s="3080"/>
      <c r="B580" s="3081"/>
      <c r="C580" s="3081"/>
      <c r="D580" s="3082"/>
      <c r="E580" s="3083">
        <f t="shared" si="326"/>
        <v>0</v>
      </c>
      <c r="F580" s="3084"/>
      <c r="G580" s="3085">
        <f t="shared" si="327"/>
        <v>0</v>
      </c>
      <c r="H580" s="3086">
        <f t="shared" si="328"/>
        <v>0</v>
      </c>
      <c r="I580" s="3093"/>
      <c r="J580" s="3093"/>
      <c r="K580" s="3093"/>
      <c r="L580" s="3093"/>
      <c r="M580" s="3093"/>
      <c r="N580" s="3093"/>
      <c r="O580" s="3093"/>
      <c r="P580" s="3093"/>
      <c r="Q580" s="3093"/>
      <c r="R580" s="3093"/>
      <c r="S580" s="3093"/>
      <c r="T580" s="3093"/>
      <c r="U580" s="3093"/>
      <c r="V580" s="3093"/>
      <c r="W580" s="3093"/>
      <c r="X580" s="3093"/>
      <c r="Y580" s="3093"/>
      <c r="Z580" s="3093"/>
      <c r="AA580" s="3093"/>
      <c r="AB580" s="3093"/>
      <c r="AC580" s="3083">
        <f t="shared" si="329"/>
        <v>0</v>
      </c>
      <c r="AD580" s="3103"/>
      <c r="AE580" s="3103"/>
      <c r="AF580" s="3103"/>
      <c r="AG580" s="3103"/>
      <c r="AH580" s="3103"/>
      <c r="AI580" s="3103"/>
      <c r="AJ580" s="3103"/>
      <c r="AK580" s="3103"/>
      <c r="AL580" s="3103"/>
      <c r="AM580" s="3103"/>
      <c r="AN580" s="3103"/>
      <c r="AO580" s="3103"/>
      <c r="AP580" s="3103"/>
      <c r="AQ580" s="3103"/>
      <c r="AR580" s="3103"/>
      <c r="AS580" s="3103"/>
      <c r="AT580" s="3113"/>
      <c r="AU580" s="3114"/>
      <c r="AV580" s="1580">
        <f t="shared" si="330"/>
        <v>0</v>
      </c>
      <c r="AW580" s="1580">
        <f t="shared" si="331"/>
        <v>0</v>
      </c>
      <c r="AX580" s="1580">
        <f t="shared" si="332"/>
        <v>0</v>
      </c>
      <c r="AY580" s="3128">
        <f t="shared" si="333"/>
        <v>0</v>
      </c>
      <c r="AZ580" s="3083">
        <f t="shared" si="334"/>
        <v>0</v>
      </c>
      <c r="BA580" s="3083">
        <f t="shared" si="335"/>
        <v>0</v>
      </c>
      <c r="BB580" s="3083">
        <f t="shared" si="336"/>
        <v>0</v>
      </c>
      <c r="BC580" s="3083">
        <f t="shared" si="337"/>
        <v>0</v>
      </c>
      <c r="BD580" s="3083">
        <f t="shared" si="338"/>
        <v>0</v>
      </c>
      <c r="BE580" s="3083">
        <f t="shared" si="339"/>
        <v>0</v>
      </c>
      <c r="BF580" s="3083">
        <f t="shared" si="340"/>
        <v>0</v>
      </c>
      <c r="BG580" s="3083">
        <f t="shared" si="341"/>
        <v>0</v>
      </c>
      <c r="BH580" s="3083">
        <f t="shared" si="342"/>
        <v>0</v>
      </c>
      <c r="BI580" s="3083">
        <f t="shared" si="343"/>
        <v>0</v>
      </c>
      <c r="BJ580" s="3083">
        <f t="shared" si="344"/>
        <v>0</v>
      </c>
      <c r="BK580" s="3083">
        <f t="shared" si="345"/>
        <v>0</v>
      </c>
      <c r="BL580" s="3083">
        <f t="shared" si="346"/>
        <v>0</v>
      </c>
      <c r="BM580" s="3083">
        <f t="shared" si="347"/>
        <v>0</v>
      </c>
      <c r="BN580" s="3083">
        <f t="shared" si="348"/>
        <v>0</v>
      </c>
      <c r="BO580" s="3083">
        <f t="shared" si="349"/>
        <v>0</v>
      </c>
      <c r="BP580" s="3083">
        <f t="shared" si="350"/>
        <v>0</v>
      </c>
      <c r="BQ580" s="3083">
        <f t="shared" si="351"/>
        <v>0</v>
      </c>
      <c r="BR580" s="3083">
        <f t="shared" si="352"/>
        <v>0</v>
      </c>
      <c r="BS580" s="3083">
        <f t="shared" si="353"/>
        <v>0</v>
      </c>
      <c r="BT580" s="3135">
        <f t="shared" si="354"/>
        <v>0</v>
      </c>
    </row>
    <row r="581" spans="1:72">
      <c r="A581" s="3080"/>
      <c r="B581" s="3081"/>
      <c r="C581" s="3081"/>
      <c r="D581" s="3082"/>
      <c r="E581" s="3083">
        <f t="shared" si="326"/>
        <v>0</v>
      </c>
      <c r="F581" s="3084"/>
      <c r="G581" s="3085">
        <f t="shared" si="327"/>
        <v>0</v>
      </c>
      <c r="H581" s="3086">
        <f t="shared" si="328"/>
        <v>0</v>
      </c>
      <c r="I581" s="3093"/>
      <c r="J581" s="3093"/>
      <c r="K581" s="3093"/>
      <c r="L581" s="3093"/>
      <c r="M581" s="3093"/>
      <c r="N581" s="3093"/>
      <c r="O581" s="3093"/>
      <c r="P581" s="3093"/>
      <c r="Q581" s="3093"/>
      <c r="R581" s="3093"/>
      <c r="S581" s="3093"/>
      <c r="T581" s="3093"/>
      <c r="U581" s="3093"/>
      <c r="V581" s="3093"/>
      <c r="W581" s="3093"/>
      <c r="X581" s="3093"/>
      <c r="Y581" s="3093"/>
      <c r="Z581" s="3093"/>
      <c r="AA581" s="3093"/>
      <c r="AB581" s="3093"/>
      <c r="AC581" s="3083">
        <f t="shared" si="329"/>
        <v>0</v>
      </c>
      <c r="AD581" s="3103"/>
      <c r="AE581" s="3103"/>
      <c r="AF581" s="3103"/>
      <c r="AG581" s="3103"/>
      <c r="AH581" s="3103"/>
      <c r="AI581" s="3103"/>
      <c r="AJ581" s="3103"/>
      <c r="AK581" s="3103"/>
      <c r="AL581" s="3103"/>
      <c r="AM581" s="3103"/>
      <c r="AN581" s="3103"/>
      <c r="AO581" s="3103"/>
      <c r="AP581" s="3103"/>
      <c r="AQ581" s="3103"/>
      <c r="AR581" s="3103"/>
      <c r="AS581" s="3103"/>
      <c r="AT581" s="3113"/>
      <c r="AU581" s="3114"/>
      <c r="AV581" s="1580">
        <f t="shared" si="330"/>
        <v>0</v>
      </c>
      <c r="AW581" s="1580">
        <f t="shared" si="331"/>
        <v>0</v>
      </c>
      <c r="AX581" s="1580">
        <f t="shared" si="332"/>
        <v>0</v>
      </c>
      <c r="AY581" s="3128">
        <f t="shared" si="333"/>
        <v>0</v>
      </c>
      <c r="AZ581" s="3083">
        <f t="shared" si="334"/>
        <v>0</v>
      </c>
      <c r="BA581" s="3083">
        <f t="shared" si="335"/>
        <v>0</v>
      </c>
      <c r="BB581" s="3083">
        <f t="shared" si="336"/>
        <v>0</v>
      </c>
      <c r="BC581" s="3083">
        <f t="shared" si="337"/>
        <v>0</v>
      </c>
      <c r="BD581" s="3083">
        <f t="shared" si="338"/>
        <v>0</v>
      </c>
      <c r="BE581" s="3083">
        <f t="shared" si="339"/>
        <v>0</v>
      </c>
      <c r="BF581" s="3083">
        <f t="shared" si="340"/>
        <v>0</v>
      </c>
      <c r="BG581" s="3083">
        <f t="shared" si="341"/>
        <v>0</v>
      </c>
      <c r="BH581" s="3083">
        <f t="shared" si="342"/>
        <v>0</v>
      </c>
      <c r="BI581" s="3083">
        <f t="shared" si="343"/>
        <v>0</v>
      </c>
      <c r="BJ581" s="3083">
        <f t="shared" si="344"/>
        <v>0</v>
      </c>
      <c r="BK581" s="3083">
        <f t="shared" si="345"/>
        <v>0</v>
      </c>
      <c r="BL581" s="3083">
        <f t="shared" si="346"/>
        <v>0</v>
      </c>
      <c r="BM581" s="3083">
        <f t="shared" si="347"/>
        <v>0</v>
      </c>
      <c r="BN581" s="3083">
        <f t="shared" si="348"/>
        <v>0</v>
      </c>
      <c r="BO581" s="3083">
        <f t="shared" si="349"/>
        <v>0</v>
      </c>
      <c r="BP581" s="3083">
        <f t="shared" si="350"/>
        <v>0</v>
      </c>
      <c r="BQ581" s="3083">
        <f t="shared" si="351"/>
        <v>0</v>
      </c>
      <c r="BR581" s="3083">
        <f t="shared" si="352"/>
        <v>0</v>
      </c>
      <c r="BS581" s="3083">
        <f t="shared" si="353"/>
        <v>0</v>
      </c>
      <c r="BT581" s="3135">
        <f t="shared" si="354"/>
        <v>0</v>
      </c>
    </row>
    <row r="582" spans="1:72">
      <c r="A582" s="3080"/>
      <c r="B582" s="3081"/>
      <c r="C582" s="3081"/>
      <c r="D582" s="3082"/>
      <c r="E582" s="3083">
        <f t="shared" si="326"/>
        <v>0</v>
      </c>
      <c r="F582" s="3084"/>
      <c r="G582" s="3085">
        <f t="shared" si="327"/>
        <v>0</v>
      </c>
      <c r="H582" s="3086">
        <f t="shared" si="328"/>
        <v>0</v>
      </c>
      <c r="I582" s="3093"/>
      <c r="J582" s="3093"/>
      <c r="K582" s="3093"/>
      <c r="L582" s="3093"/>
      <c r="M582" s="3093"/>
      <c r="N582" s="3093"/>
      <c r="O582" s="3093"/>
      <c r="P582" s="3093"/>
      <c r="Q582" s="3093"/>
      <c r="R582" s="3093"/>
      <c r="S582" s="3093"/>
      <c r="T582" s="3093"/>
      <c r="U582" s="3093"/>
      <c r="V582" s="3093"/>
      <c r="W582" s="3093"/>
      <c r="X582" s="3093"/>
      <c r="Y582" s="3093"/>
      <c r="Z582" s="3093"/>
      <c r="AA582" s="3093"/>
      <c r="AB582" s="3093"/>
      <c r="AC582" s="3083">
        <f t="shared" si="329"/>
        <v>0</v>
      </c>
      <c r="AD582" s="3103"/>
      <c r="AE582" s="3103"/>
      <c r="AF582" s="3103"/>
      <c r="AG582" s="3103"/>
      <c r="AH582" s="3103"/>
      <c r="AI582" s="3103"/>
      <c r="AJ582" s="3103"/>
      <c r="AK582" s="3103"/>
      <c r="AL582" s="3103"/>
      <c r="AM582" s="3103"/>
      <c r="AN582" s="3103"/>
      <c r="AO582" s="3103"/>
      <c r="AP582" s="3103"/>
      <c r="AQ582" s="3103"/>
      <c r="AR582" s="3103"/>
      <c r="AS582" s="3103"/>
      <c r="AT582" s="3113"/>
      <c r="AU582" s="3114"/>
      <c r="AV582" s="1580">
        <f t="shared" si="330"/>
        <v>0</v>
      </c>
      <c r="AW582" s="1580">
        <f t="shared" si="331"/>
        <v>0</v>
      </c>
      <c r="AX582" s="1580">
        <f t="shared" si="332"/>
        <v>0</v>
      </c>
      <c r="AY582" s="3128">
        <f t="shared" si="333"/>
        <v>0</v>
      </c>
      <c r="AZ582" s="3083">
        <f t="shared" si="334"/>
        <v>0</v>
      </c>
      <c r="BA582" s="3083">
        <f t="shared" si="335"/>
        <v>0</v>
      </c>
      <c r="BB582" s="3083">
        <f t="shared" si="336"/>
        <v>0</v>
      </c>
      <c r="BC582" s="3083">
        <f t="shared" si="337"/>
        <v>0</v>
      </c>
      <c r="BD582" s="3083">
        <f t="shared" si="338"/>
        <v>0</v>
      </c>
      <c r="BE582" s="3083">
        <f t="shared" si="339"/>
        <v>0</v>
      </c>
      <c r="BF582" s="3083">
        <f t="shared" si="340"/>
        <v>0</v>
      </c>
      <c r="BG582" s="3083">
        <f t="shared" si="341"/>
        <v>0</v>
      </c>
      <c r="BH582" s="3083">
        <f t="shared" si="342"/>
        <v>0</v>
      </c>
      <c r="BI582" s="3083">
        <f t="shared" si="343"/>
        <v>0</v>
      </c>
      <c r="BJ582" s="3083">
        <f t="shared" si="344"/>
        <v>0</v>
      </c>
      <c r="BK582" s="3083">
        <f t="shared" si="345"/>
        <v>0</v>
      </c>
      <c r="BL582" s="3083">
        <f t="shared" si="346"/>
        <v>0</v>
      </c>
      <c r="BM582" s="3083">
        <f t="shared" si="347"/>
        <v>0</v>
      </c>
      <c r="BN582" s="3083">
        <f t="shared" si="348"/>
        <v>0</v>
      </c>
      <c r="BO582" s="3083">
        <f t="shared" si="349"/>
        <v>0</v>
      </c>
      <c r="BP582" s="3083">
        <f t="shared" si="350"/>
        <v>0</v>
      </c>
      <c r="BQ582" s="3083">
        <f t="shared" si="351"/>
        <v>0</v>
      </c>
      <c r="BR582" s="3083">
        <f t="shared" si="352"/>
        <v>0</v>
      </c>
      <c r="BS582" s="3083">
        <f t="shared" si="353"/>
        <v>0</v>
      </c>
      <c r="BT582" s="3135">
        <f t="shared" si="354"/>
        <v>0</v>
      </c>
    </row>
    <row r="583" spans="1:72">
      <c r="A583" s="3080"/>
      <c r="B583" s="3081"/>
      <c r="C583" s="3081"/>
      <c r="D583" s="3082"/>
      <c r="E583" s="3083">
        <f t="shared" si="326"/>
        <v>0</v>
      </c>
      <c r="F583" s="3084"/>
      <c r="G583" s="3085">
        <f t="shared" si="327"/>
        <v>0</v>
      </c>
      <c r="H583" s="3086">
        <f t="shared" si="328"/>
        <v>0</v>
      </c>
      <c r="I583" s="3093"/>
      <c r="J583" s="3093"/>
      <c r="K583" s="3093"/>
      <c r="L583" s="3093"/>
      <c r="M583" s="3093"/>
      <c r="N583" s="3093"/>
      <c r="O583" s="3093"/>
      <c r="P583" s="3093"/>
      <c r="Q583" s="3093"/>
      <c r="R583" s="3093"/>
      <c r="S583" s="3093"/>
      <c r="T583" s="3093"/>
      <c r="U583" s="3093"/>
      <c r="V583" s="3093"/>
      <c r="W583" s="3093"/>
      <c r="X583" s="3093"/>
      <c r="Y583" s="3093"/>
      <c r="Z583" s="3093"/>
      <c r="AA583" s="3093"/>
      <c r="AB583" s="3093"/>
      <c r="AC583" s="3083">
        <f t="shared" si="329"/>
        <v>0</v>
      </c>
      <c r="AD583" s="3103"/>
      <c r="AE583" s="3103"/>
      <c r="AF583" s="3103"/>
      <c r="AG583" s="3103"/>
      <c r="AH583" s="3103"/>
      <c r="AI583" s="3103"/>
      <c r="AJ583" s="3103"/>
      <c r="AK583" s="3103"/>
      <c r="AL583" s="3103"/>
      <c r="AM583" s="3103"/>
      <c r="AN583" s="3103"/>
      <c r="AO583" s="3103"/>
      <c r="AP583" s="3103"/>
      <c r="AQ583" s="3103"/>
      <c r="AR583" s="3103"/>
      <c r="AS583" s="3103"/>
      <c r="AT583" s="3113"/>
      <c r="AU583" s="3114"/>
      <c r="AV583" s="1580">
        <f t="shared" si="330"/>
        <v>0</v>
      </c>
      <c r="AW583" s="1580">
        <f t="shared" si="331"/>
        <v>0</v>
      </c>
      <c r="AX583" s="1580">
        <f t="shared" si="332"/>
        <v>0</v>
      </c>
      <c r="AY583" s="3128">
        <f t="shared" si="333"/>
        <v>0</v>
      </c>
      <c r="AZ583" s="3083">
        <f t="shared" si="334"/>
        <v>0</v>
      </c>
      <c r="BA583" s="3083">
        <f t="shared" si="335"/>
        <v>0</v>
      </c>
      <c r="BB583" s="3083">
        <f t="shared" si="336"/>
        <v>0</v>
      </c>
      <c r="BC583" s="3083">
        <f t="shared" si="337"/>
        <v>0</v>
      </c>
      <c r="BD583" s="3083">
        <f t="shared" si="338"/>
        <v>0</v>
      </c>
      <c r="BE583" s="3083">
        <f t="shared" si="339"/>
        <v>0</v>
      </c>
      <c r="BF583" s="3083">
        <f t="shared" si="340"/>
        <v>0</v>
      </c>
      <c r="BG583" s="3083">
        <f t="shared" si="341"/>
        <v>0</v>
      </c>
      <c r="BH583" s="3083">
        <f t="shared" si="342"/>
        <v>0</v>
      </c>
      <c r="BI583" s="3083">
        <f t="shared" si="343"/>
        <v>0</v>
      </c>
      <c r="BJ583" s="3083">
        <f t="shared" si="344"/>
        <v>0</v>
      </c>
      <c r="BK583" s="3083">
        <f t="shared" si="345"/>
        <v>0</v>
      </c>
      <c r="BL583" s="3083">
        <f t="shared" si="346"/>
        <v>0</v>
      </c>
      <c r="BM583" s="3083">
        <f t="shared" si="347"/>
        <v>0</v>
      </c>
      <c r="BN583" s="3083">
        <f t="shared" si="348"/>
        <v>0</v>
      </c>
      <c r="BO583" s="3083">
        <f t="shared" si="349"/>
        <v>0</v>
      </c>
      <c r="BP583" s="3083">
        <f t="shared" si="350"/>
        <v>0</v>
      </c>
      <c r="BQ583" s="3083">
        <f t="shared" si="351"/>
        <v>0</v>
      </c>
      <c r="BR583" s="3083">
        <f t="shared" si="352"/>
        <v>0</v>
      </c>
      <c r="BS583" s="3083">
        <f t="shared" si="353"/>
        <v>0</v>
      </c>
      <c r="BT583" s="3135">
        <f t="shared" si="354"/>
        <v>0</v>
      </c>
    </row>
    <row r="584" spans="1:72">
      <c r="A584" s="3080"/>
      <c r="B584" s="3081"/>
      <c r="C584" s="3081"/>
      <c r="D584" s="3082"/>
      <c r="E584" s="3083">
        <f t="shared" si="326"/>
        <v>0</v>
      </c>
      <c r="F584" s="3084"/>
      <c r="G584" s="3085">
        <f t="shared" si="327"/>
        <v>0</v>
      </c>
      <c r="H584" s="3086">
        <f t="shared" si="328"/>
        <v>0</v>
      </c>
      <c r="I584" s="3093"/>
      <c r="J584" s="3093"/>
      <c r="K584" s="3093"/>
      <c r="L584" s="3093"/>
      <c r="M584" s="3093"/>
      <c r="N584" s="3093"/>
      <c r="O584" s="3093"/>
      <c r="P584" s="3093"/>
      <c r="Q584" s="3093"/>
      <c r="R584" s="3093"/>
      <c r="S584" s="3093"/>
      <c r="T584" s="3093"/>
      <c r="U584" s="3093"/>
      <c r="V584" s="3093"/>
      <c r="W584" s="3093"/>
      <c r="X584" s="3093"/>
      <c r="Y584" s="3093"/>
      <c r="Z584" s="3093"/>
      <c r="AA584" s="3093"/>
      <c r="AB584" s="3093"/>
      <c r="AC584" s="3083">
        <f t="shared" si="329"/>
        <v>0</v>
      </c>
      <c r="AD584" s="3103"/>
      <c r="AE584" s="3103"/>
      <c r="AF584" s="3103"/>
      <c r="AG584" s="3103"/>
      <c r="AH584" s="3103"/>
      <c r="AI584" s="3103"/>
      <c r="AJ584" s="3103"/>
      <c r="AK584" s="3103"/>
      <c r="AL584" s="3103"/>
      <c r="AM584" s="3103"/>
      <c r="AN584" s="3103"/>
      <c r="AO584" s="3103"/>
      <c r="AP584" s="3103"/>
      <c r="AQ584" s="3103"/>
      <c r="AR584" s="3103"/>
      <c r="AS584" s="3103"/>
      <c r="AT584" s="3113"/>
      <c r="AU584" s="3114"/>
      <c r="AV584" s="1580">
        <f t="shared" si="330"/>
        <v>0</v>
      </c>
      <c r="AW584" s="1580">
        <f t="shared" si="331"/>
        <v>0</v>
      </c>
      <c r="AX584" s="1580">
        <f t="shared" si="332"/>
        <v>0</v>
      </c>
      <c r="AY584" s="3128">
        <f t="shared" si="333"/>
        <v>0</v>
      </c>
      <c r="AZ584" s="3083">
        <f t="shared" si="334"/>
        <v>0</v>
      </c>
      <c r="BA584" s="3083">
        <f t="shared" si="335"/>
        <v>0</v>
      </c>
      <c r="BB584" s="3083">
        <f t="shared" si="336"/>
        <v>0</v>
      </c>
      <c r="BC584" s="3083">
        <f t="shared" si="337"/>
        <v>0</v>
      </c>
      <c r="BD584" s="3083">
        <f t="shared" si="338"/>
        <v>0</v>
      </c>
      <c r="BE584" s="3083">
        <f t="shared" si="339"/>
        <v>0</v>
      </c>
      <c r="BF584" s="3083">
        <f t="shared" si="340"/>
        <v>0</v>
      </c>
      <c r="BG584" s="3083">
        <f t="shared" si="341"/>
        <v>0</v>
      </c>
      <c r="BH584" s="3083">
        <f t="shared" si="342"/>
        <v>0</v>
      </c>
      <c r="BI584" s="3083">
        <f t="shared" si="343"/>
        <v>0</v>
      </c>
      <c r="BJ584" s="3083">
        <f t="shared" si="344"/>
        <v>0</v>
      </c>
      <c r="BK584" s="3083">
        <f t="shared" si="345"/>
        <v>0</v>
      </c>
      <c r="BL584" s="3083">
        <f t="shared" si="346"/>
        <v>0</v>
      </c>
      <c r="BM584" s="3083">
        <f t="shared" si="347"/>
        <v>0</v>
      </c>
      <c r="BN584" s="3083">
        <f t="shared" si="348"/>
        <v>0</v>
      </c>
      <c r="BO584" s="3083">
        <f t="shared" si="349"/>
        <v>0</v>
      </c>
      <c r="BP584" s="3083">
        <f t="shared" si="350"/>
        <v>0</v>
      </c>
      <c r="BQ584" s="3083">
        <f t="shared" si="351"/>
        <v>0</v>
      </c>
      <c r="BR584" s="3083">
        <f t="shared" si="352"/>
        <v>0</v>
      </c>
      <c r="BS584" s="3083">
        <f t="shared" si="353"/>
        <v>0</v>
      </c>
      <c r="BT584" s="3135">
        <f t="shared" si="354"/>
        <v>0</v>
      </c>
    </row>
    <row r="585" spans="1:72">
      <c r="A585" s="3080"/>
      <c r="B585" s="3080"/>
      <c r="C585" s="3080"/>
      <c r="D585" s="3082"/>
      <c r="E585" s="3083">
        <f t="shared" si="326"/>
        <v>0</v>
      </c>
      <c r="F585" s="3136"/>
      <c r="G585" s="3085">
        <f t="shared" si="327"/>
        <v>0</v>
      </c>
      <c r="H585" s="3086">
        <f t="shared" si="328"/>
        <v>0</v>
      </c>
      <c r="I585" s="3137"/>
      <c r="J585" s="3137"/>
      <c r="K585" s="3093"/>
      <c r="L585" s="3093"/>
      <c r="M585" s="3093"/>
      <c r="N585" s="3093"/>
      <c r="O585" s="3093"/>
      <c r="P585" s="3093"/>
      <c r="Q585" s="3093"/>
      <c r="R585" s="3093"/>
      <c r="S585" s="3093"/>
      <c r="T585" s="3093"/>
      <c r="U585" s="3093"/>
      <c r="V585" s="3093"/>
      <c r="W585" s="3093"/>
      <c r="X585" s="3093"/>
      <c r="Y585" s="3093"/>
      <c r="Z585" s="3093"/>
      <c r="AA585" s="3093"/>
      <c r="AB585" s="3093"/>
      <c r="AC585" s="3083">
        <f t="shared" si="329"/>
        <v>0</v>
      </c>
      <c r="AD585" s="3103"/>
      <c r="AE585" s="3103"/>
      <c r="AF585" s="3103"/>
      <c r="AG585" s="3103"/>
      <c r="AH585" s="3103"/>
      <c r="AI585" s="3103"/>
      <c r="AJ585" s="3103"/>
      <c r="AK585" s="3103"/>
      <c r="AL585" s="3103"/>
      <c r="AM585" s="3103"/>
      <c r="AN585" s="3103"/>
      <c r="AO585" s="3103"/>
      <c r="AP585" s="3103"/>
      <c r="AQ585" s="3103"/>
      <c r="AR585" s="3103"/>
      <c r="AS585" s="3103"/>
      <c r="AT585" s="3103"/>
      <c r="AU585" s="3138"/>
      <c r="AV585" s="1580">
        <f t="shared" si="330"/>
        <v>0</v>
      </c>
      <c r="AW585" s="1580">
        <f t="shared" si="331"/>
        <v>0</v>
      </c>
      <c r="AX585" s="1580">
        <f t="shared" si="332"/>
        <v>0</v>
      </c>
      <c r="AY585" s="3128">
        <f t="shared" si="333"/>
        <v>0</v>
      </c>
      <c r="AZ585" s="3083">
        <f t="shared" si="334"/>
        <v>0</v>
      </c>
      <c r="BA585" s="3083">
        <f t="shared" si="335"/>
        <v>0</v>
      </c>
      <c r="BB585" s="3083">
        <f t="shared" si="336"/>
        <v>0</v>
      </c>
      <c r="BC585" s="3083">
        <f t="shared" si="337"/>
        <v>0</v>
      </c>
      <c r="BD585" s="3083">
        <f t="shared" si="338"/>
        <v>0</v>
      </c>
      <c r="BE585" s="3083">
        <f t="shared" si="339"/>
        <v>0</v>
      </c>
      <c r="BF585" s="3083">
        <f t="shared" si="340"/>
        <v>0</v>
      </c>
      <c r="BG585" s="3083">
        <f t="shared" si="341"/>
        <v>0</v>
      </c>
      <c r="BH585" s="3083">
        <f t="shared" si="342"/>
        <v>0</v>
      </c>
      <c r="BI585" s="3083">
        <f t="shared" si="343"/>
        <v>0</v>
      </c>
      <c r="BJ585" s="3083">
        <f t="shared" si="344"/>
        <v>0</v>
      </c>
      <c r="BK585" s="3083">
        <f t="shared" si="345"/>
        <v>0</v>
      </c>
      <c r="BL585" s="3083">
        <f t="shared" si="346"/>
        <v>0</v>
      </c>
      <c r="BM585" s="3083">
        <f t="shared" si="347"/>
        <v>0</v>
      </c>
      <c r="BN585" s="3083">
        <f t="shared" si="348"/>
        <v>0</v>
      </c>
      <c r="BO585" s="3083">
        <f t="shared" si="349"/>
        <v>0</v>
      </c>
      <c r="BP585" s="3083">
        <f t="shared" si="350"/>
        <v>0</v>
      </c>
      <c r="BQ585" s="3083">
        <f t="shared" si="351"/>
        <v>0</v>
      </c>
      <c r="BR585" s="3083">
        <f t="shared" si="352"/>
        <v>0</v>
      </c>
      <c r="BS585" s="3083">
        <f t="shared" si="353"/>
        <v>0</v>
      </c>
      <c r="BT585" s="3135">
        <f t="shared" si="354"/>
        <v>0</v>
      </c>
    </row>
    <row r="586" spans="1:72">
      <c r="A586" s="3080"/>
      <c r="B586" s="3080"/>
      <c r="C586" s="3080"/>
      <c r="D586" s="3082"/>
      <c r="E586" s="3083">
        <f t="shared" si="326"/>
        <v>0</v>
      </c>
      <c r="F586" s="3136"/>
      <c r="G586" s="3085">
        <f t="shared" si="327"/>
        <v>0</v>
      </c>
      <c r="H586" s="3086">
        <f t="shared" si="328"/>
        <v>0</v>
      </c>
      <c r="I586" s="3093"/>
      <c r="J586" s="3093"/>
      <c r="K586" s="3093"/>
      <c r="L586" s="3093"/>
      <c r="M586" s="3093"/>
      <c r="N586" s="3093"/>
      <c r="O586" s="3093"/>
      <c r="P586" s="3093"/>
      <c r="Q586" s="3093"/>
      <c r="R586" s="3093"/>
      <c r="S586" s="3093"/>
      <c r="T586" s="3093"/>
      <c r="U586" s="3093"/>
      <c r="V586" s="3093"/>
      <c r="W586" s="3093"/>
      <c r="X586" s="3093"/>
      <c r="Y586" s="3093"/>
      <c r="Z586" s="3093"/>
      <c r="AA586" s="3093"/>
      <c r="AB586" s="3093"/>
      <c r="AC586" s="3083">
        <f t="shared" si="329"/>
        <v>0</v>
      </c>
      <c r="AD586" s="3103"/>
      <c r="AE586" s="3103"/>
      <c r="AF586" s="3103"/>
      <c r="AG586" s="3103"/>
      <c r="AH586" s="3103"/>
      <c r="AI586" s="3103"/>
      <c r="AJ586" s="3103"/>
      <c r="AK586" s="3103"/>
      <c r="AL586" s="3103"/>
      <c r="AM586" s="3103"/>
      <c r="AN586" s="3103"/>
      <c r="AO586" s="3103"/>
      <c r="AP586" s="3103"/>
      <c r="AQ586" s="3103"/>
      <c r="AR586" s="3103"/>
      <c r="AS586" s="3103"/>
      <c r="AT586" s="3103"/>
      <c r="AU586" s="3138"/>
      <c r="AV586" s="1580">
        <f t="shared" si="330"/>
        <v>0</v>
      </c>
      <c r="AW586" s="1580">
        <f t="shared" si="331"/>
        <v>0</v>
      </c>
      <c r="AX586" s="1580">
        <f t="shared" si="332"/>
        <v>0</v>
      </c>
      <c r="AY586" s="3128">
        <f t="shared" si="333"/>
        <v>0</v>
      </c>
      <c r="AZ586" s="3083">
        <f t="shared" si="334"/>
        <v>0</v>
      </c>
      <c r="BA586" s="3083">
        <f t="shared" si="335"/>
        <v>0</v>
      </c>
      <c r="BB586" s="3083">
        <f t="shared" si="336"/>
        <v>0</v>
      </c>
      <c r="BC586" s="3083">
        <f t="shared" si="337"/>
        <v>0</v>
      </c>
      <c r="BD586" s="3083">
        <f t="shared" si="338"/>
        <v>0</v>
      </c>
      <c r="BE586" s="3083">
        <f t="shared" si="339"/>
        <v>0</v>
      </c>
      <c r="BF586" s="3083">
        <f t="shared" si="340"/>
        <v>0</v>
      </c>
      <c r="BG586" s="3083">
        <f t="shared" si="341"/>
        <v>0</v>
      </c>
      <c r="BH586" s="3083">
        <f t="shared" si="342"/>
        <v>0</v>
      </c>
      <c r="BI586" s="3083">
        <f t="shared" si="343"/>
        <v>0</v>
      </c>
      <c r="BJ586" s="3083">
        <f t="shared" si="344"/>
        <v>0</v>
      </c>
      <c r="BK586" s="3083">
        <f t="shared" si="345"/>
        <v>0</v>
      </c>
      <c r="BL586" s="3083">
        <f t="shared" si="346"/>
        <v>0</v>
      </c>
      <c r="BM586" s="3083">
        <f t="shared" si="347"/>
        <v>0</v>
      </c>
      <c r="BN586" s="3083">
        <f t="shared" si="348"/>
        <v>0</v>
      </c>
      <c r="BO586" s="3083">
        <f t="shared" si="349"/>
        <v>0</v>
      </c>
      <c r="BP586" s="3083">
        <f t="shared" si="350"/>
        <v>0</v>
      </c>
      <c r="BQ586" s="3083">
        <f t="shared" si="351"/>
        <v>0</v>
      </c>
      <c r="BR586" s="3083">
        <f t="shared" si="352"/>
        <v>0</v>
      </c>
      <c r="BS586" s="3083">
        <f t="shared" si="353"/>
        <v>0</v>
      </c>
      <c r="BT586" s="3135">
        <f t="shared" si="354"/>
        <v>0</v>
      </c>
    </row>
    <row r="587" spans="1:72">
      <c r="A587" s="3080"/>
      <c r="B587" s="3080"/>
      <c r="C587" s="3080"/>
      <c r="D587" s="3082"/>
      <c r="E587" s="3083">
        <f t="shared" si="326"/>
        <v>0</v>
      </c>
      <c r="F587" s="3136"/>
      <c r="G587" s="3085">
        <f t="shared" si="327"/>
        <v>0</v>
      </c>
      <c r="H587" s="3086">
        <f t="shared" si="328"/>
        <v>0</v>
      </c>
      <c r="I587" s="3093"/>
      <c r="J587" s="3093"/>
      <c r="K587" s="3093"/>
      <c r="L587" s="3093"/>
      <c r="M587" s="3093"/>
      <c r="N587" s="3093"/>
      <c r="O587" s="3093"/>
      <c r="P587" s="3093"/>
      <c r="Q587" s="3093"/>
      <c r="R587" s="3093"/>
      <c r="S587" s="3093"/>
      <c r="T587" s="3093"/>
      <c r="U587" s="3093"/>
      <c r="V587" s="3093"/>
      <c r="W587" s="3093"/>
      <c r="X587" s="3093"/>
      <c r="Y587" s="3093"/>
      <c r="Z587" s="3093"/>
      <c r="AA587" s="3093"/>
      <c r="AB587" s="3093"/>
      <c r="AC587" s="3083">
        <f t="shared" si="329"/>
        <v>0</v>
      </c>
      <c r="AD587" s="3103"/>
      <c r="AE587" s="3103"/>
      <c r="AF587" s="3103"/>
      <c r="AG587" s="3103"/>
      <c r="AH587" s="3103"/>
      <c r="AI587" s="3103"/>
      <c r="AJ587" s="3103"/>
      <c r="AK587" s="3103"/>
      <c r="AL587" s="3103"/>
      <c r="AM587" s="3103"/>
      <c r="AN587" s="3103"/>
      <c r="AO587" s="3103"/>
      <c r="AP587" s="3103"/>
      <c r="AQ587" s="3103"/>
      <c r="AR587" s="3103"/>
      <c r="AS587" s="3103"/>
      <c r="AT587" s="3103"/>
      <c r="AU587" s="3138"/>
      <c r="AV587" s="1580">
        <f t="shared" si="330"/>
        <v>0</v>
      </c>
      <c r="AW587" s="1580">
        <f t="shared" si="331"/>
        <v>0</v>
      </c>
      <c r="AX587" s="1580">
        <f t="shared" si="332"/>
        <v>0</v>
      </c>
      <c r="AY587" s="3128">
        <f t="shared" si="333"/>
        <v>0</v>
      </c>
      <c r="AZ587" s="3083">
        <f t="shared" si="334"/>
        <v>0</v>
      </c>
      <c r="BA587" s="3083">
        <f t="shared" si="335"/>
        <v>0</v>
      </c>
      <c r="BB587" s="3083">
        <f t="shared" si="336"/>
        <v>0</v>
      </c>
      <c r="BC587" s="3083">
        <f t="shared" si="337"/>
        <v>0</v>
      </c>
      <c r="BD587" s="3083">
        <f t="shared" si="338"/>
        <v>0</v>
      </c>
      <c r="BE587" s="3083">
        <f t="shared" si="339"/>
        <v>0</v>
      </c>
      <c r="BF587" s="3083">
        <f t="shared" si="340"/>
        <v>0</v>
      </c>
      <c r="BG587" s="3083">
        <f t="shared" si="341"/>
        <v>0</v>
      </c>
      <c r="BH587" s="3083">
        <f t="shared" si="342"/>
        <v>0</v>
      </c>
      <c r="BI587" s="3083">
        <f t="shared" si="343"/>
        <v>0</v>
      </c>
      <c r="BJ587" s="3083">
        <f t="shared" si="344"/>
        <v>0</v>
      </c>
      <c r="BK587" s="3083">
        <f t="shared" si="345"/>
        <v>0</v>
      </c>
      <c r="BL587" s="3083">
        <f t="shared" si="346"/>
        <v>0</v>
      </c>
      <c r="BM587" s="3083">
        <f t="shared" si="347"/>
        <v>0</v>
      </c>
      <c r="BN587" s="3083">
        <f t="shared" si="348"/>
        <v>0</v>
      </c>
      <c r="BO587" s="3083">
        <f t="shared" si="349"/>
        <v>0</v>
      </c>
      <c r="BP587" s="3083">
        <f t="shared" si="350"/>
        <v>0</v>
      </c>
      <c r="BQ587" s="3083">
        <f t="shared" si="351"/>
        <v>0</v>
      </c>
      <c r="BR587" s="3083">
        <f t="shared" si="352"/>
        <v>0</v>
      </c>
      <c r="BS587" s="3083">
        <f t="shared" si="353"/>
        <v>0</v>
      </c>
      <c r="BT587" s="3135">
        <f t="shared" si="354"/>
        <v>0</v>
      </c>
    </row>
    <row r="588" spans="1:72" s="3049" customFormat="1">
      <c r="A588" s="3139"/>
      <c r="B588" s="3139"/>
      <c r="C588" s="3139"/>
      <c r="D588" s="3139"/>
      <c r="E588" s="3140"/>
      <c r="F588" s="3140"/>
      <c r="G588" s="3139"/>
      <c r="H588" s="3140"/>
      <c r="I588" s="3140"/>
      <c r="J588" s="3140"/>
      <c r="K588" s="3140"/>
      <c r="L588" s="3140"/>
      <c r="M588" s="3140"/>
      <c r="N588" s="3140"/>
      <c r="O588" s="3140"/>
      <c r="P588" s="3140"/>
      <c r="Q588" s="3140"/>
      <c r="R588" s="3140"/>
      <c r="S588" s="3140"/>
      <c r="T588" s="3140"/>
      <c r="U588" s="3140"/>
      <c r="V588" s="3140"/>
      <c r="W588" s="3140"/>
      <c r="X588" s="3140"/>
      <c r="Y588" s="3140"/>
      <c r="Z588" s="3140"/>
      <c r="AA588" s="3140"/>
      <c r="AB588" s="3140"/>
      <c r="AC588" s="3140"/>
      <c r="AD588" s="3140"/>
      <c r="AE588" s="3140"/>
      <c r="AF588" s="3140"/>
      <c r="AG588" s="3140"/>
      <c r="AH588" s="3140"/>
      <c r="AI588" s="3140"/>
      <c r="AJ588" s="3140"/>
      <c r="AK588" s="3140"/>
      <c r="AL588" s="3140"/>
      <c r="AM588" s="3140"/>
      <c r="AN588" s="3140"/>
      <c r="AO588" s="3140"/>
      <c r="AP588" s="3140"/>
      <c r="AQ588" s="3140"/>
      <c r="AR588" s="3140"/>
      <c r="AS588" s="3140"/>
      <c r="AT588" s="3140"/>
      <c r="AU588" s="3139"/>
      <c r="AV588" s="3139"/>
      <c r="AW588" s="3139"/>
      <c r="AX588" s="3139"/>
    </row>
    <row r="589" spans="1:72" s="3050" customFormat="1">
      <c r="C589" s="3141"/>
      <c r="D589" s="3141"/>
    </row>
    <row r="590" spans="1:72" s="3050" customFormat="1">
      <c r="C590" s="3141"/>
      <c r="D590" s="3141"/>
    </row>
    <row r="593" spans="2:2">
      <c r="B593" s="3141"/>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22" sqref="G22"/>
    </sheetView>
  </sheetViews>
  <sheetFormatPr defaultColWidth="9.21875" defaultRowHeight="13.8"/>
  <cols>
    <col min="1" max="1" width="12.109375" style="2961" customWidth="1"/>
    <col min="2" max="2" width="10.21875" style="2961" customWidth="1"/>
    <col min="3" max="3" width="18.44140625" style="2961" customWidth="1"/>
    <col min="4" max="4" width="11.6640625" style="2961" customWidth="1"/>
    <col min="5" max="5" width="13.33203125" style="2961" customWidth="1"/>
    <col min="6" max="8" width="11.44140625" style="2961" customWidth="1"/>
    <col min="9" max="9" width="11.109375" style="2961" customWidth="1"/>
    <col min="10" max="10" width="3.109375" style="2962" customWidth="1"/>
    <col min="11" max="16" width="10" style="2961" customWidth="1"/>
    <col min="17" max="17" width="2.6640625" style="2961" customWidth="1"/>
    <col min="18" max="18" width="9.33203125" style="2961" customWidth="1"/>
    <col min="19" max="19" width="10.44140625" style="2961" customWidth="1"/>
    <col min="20" max="16384" width="9.21875" style="2961"/>
  </cols>
  <sheetData>
    <row r="1" spans="1:16" ht="17.399999999999999">
      <c r="A1" s="1679" t="s">
        <v>562</v>
      </c>
      <c r="B1" s="1758"/>
      <c r="C1" s="1758"/>
      <c r="D1" s="1758"/>
      <c r="E1" s="1758"/>
      <c r="F1" s="1758"/>
      <c r="G1" s="1758"/>
      <c r="H1" s="1758"/>
      <c r="I1" s="1758"/>
      <c r="J1" s="1758"/>
      <c r="K1" s="1758"/>
      <c r="L1" s="1758"/>
      <c r="M1" s="1758"/>
      <c r="N1" s="1758"/>
      <c r="O1" s="1758"/>
      <c r="P1" s="1758"/>
    </row>
    <row r="2" spans="1:16" ht="14.4">
      <c r="A2" s="3547" t="s">
        <v>563</v>
      </c>
      <c r="B2" s="3547"/>
      <c r="C2" s="3547"/>
      <c r="D2" s="2535" t="s">
        <v>564</v>
      </c>
      <c r="E2" s="2963" t="s">
        <v>565</v>
      </c>
      <c r="F2" s="2964"/>
      <c r="G2" s="2965"/>
      <c r="H2" s="2966"/>
      <c r="I2" s="1909" t="s">
        <v>566</v>
      </c>
      <c r="J2" s="2964"/>
      <c r="K2" s="2964"/>
      <c r="L2" s="2964"/>
      <c r="M2" s="2964"/>
      <c r="N2" s="1590"/>
      <c r="O2" s="2964"/>
      <c r="P2" s="2964"/>
    </row>
    <row r="3" spans="1:16" ht="14.4">
      <c r="A3" s="3548" t="s">
        <v>567</v>
      </c>
      <c r="B3" s="3548"/>
      <c r="C3" s="3548"/>
      <c r="D3" s="2967">
        <f>'数据-基础表'!AY6</f>
        <v>0</v>
      </c>
      <c r="E3" s="2967">
        <f>'数据-基础表'!AZ5</f>
        <v>8450.66</v>
      </c>
      <c r="F3" s="2964"/>
      <c r="G3" s="2968"/>
      <c r="H3" s="1706" t="s">
        <v>568</v>
      </c>
      <c r="I3" s="3027" t="e">
        <f>ROUND('数据-基础表'!B3/'数据-基础表'!A3,2)</f>
        <v>#DIV/0!</v>
      </c>
      <c r="J3" s="2964"/>
      <c r="K3" s="2964"/>
      <c r="L3" s="2964"/>
      <c r="M3" s="2964"/>
      <c r="N3" s="1590"/>
      <c r="O3" s="2964"/>
      <c r="P3" s="2964"/>
    </row>
    <row r="4" spans="1:16" ht="14.4">
      <c r="A4" s="3549"/>
      <c r="B4" s="3550"/>
      <c r="C4" s="3551"/>
      <c r="D4" s="2969" t="s">
        <v>564</v>
      </c>
      <c r="E4" s="2970" t="s">
        <v>565</v>
      </c>
      <c r="F4" s="2964"/>
      <c r="G4" s="2971" t="s">
        <v>569</v>
      </c>
      <c r="H4" s="1706" t="s">
        <v>570</v>
      </c>
      <c r="I4" s="3027" t="e">
        <f>ROUND(SUMIF('数据-基础表'!I9:AS9,"地上",'数据-基础表'!I5:AS5)/'数据-基础表'!A3,2)</f>
        <v>#DIV/0!</v>
      </c>
      <c r="J4" s="2964"/>
      <c r="K4" s="2964"/>
      <c r="L4" s="2964"/>
      <c r="M4" s="2964"/>
      <c r="N4" s="1590"/>
      <c r="O4" s="2964"/>
      <c r="P4" s="2964"/>
    </row>
    <row r="5" spans="1:16" ht="14.4">
      <c r="A5" s="2972" t="s">
        <v>571</v>
      </c>
      <c r="B5" s="3552" t="s">
        <v>572</v>
      </c>
      <c r="C5" s="3552"/>
      <c r="D5" s="2973">
        <f>ROUND($D$3*E5/$E$3,2)</f>
        <v>0</v>
      </c>
      <c r="E5" s="2974">
        <f>SUMIF('数据-基础表'!$11:$11,"住宅",'数据-基础表'!$5:$5)</f>
        <v>0</v>
      </c>
      <c r="F5" s="2964"/>
      <c r="G5" s="2968"/>
      <c r="H5" s="1706" t="s">
        <v>568</v>
      </c>
      <c r="I5" s="3027" t="e">
        <f>ROUND(E31/D31,2)</f>
        <v>#DIV/0!</v>
      </c>
      <c r="J5" s="2964"/>
      <c r="K5" s="2964"/>
      <c r="L5" s="2964"/>
      <c r="M5" s="2964"/>
      <c r="N5" s="2964"/>
      <c r="O5" s="2964"/>
      <c r="P5" s="2964"/>
    </row>
    <row r="6" spans="1:16" ht="14.4">
      <c r="A6" s="2975"/>
      <c r="B6" s="3552" t="s">
        <v>573</v>
      </c>
      <c r="C6" s="3552"/>
      <c r="D6" s="2973">
        <f>ROUND($D$3*E6/$E$3,2)</f>
        <v>0</v>
      </c>
      <c r="E6" s="2974">
        <f>E3-E5</f>
        <v>8450.66</v>
      </c>
      <c r="F6" s="2964"/>
      <c r="G6" s="2976" t="s">
        <v>574</v>
      </c>
      <c r="H6" s="2977" t="s">
        <v>570</v>
      </c>
      <c r="I6" s="3028" t="e">
        <f>ROUND(F31/D31,2)</f>
        <v>#DIV/0!</v>
      </c>
      <c r="J6" s="2964"/>
      <c r="K6" s="2964"/>
      <c r="L6" s="2964"/>
      <c r="M6" s="2964"/>
      <c r="N6" s="2964"/>
      <c r="O6" s="2964"/>
      <c r="P6" s="2964"/>
    </row>
    <row r="7" spans="1:16" ht="14.4">
      <c r="A7" s="3538"/>
      <c r="B7" s="3539"/>
      <c r="C7" s="3540"/>
      <c r="D7" s="2969" t="s">
        <v>564</v>
      </c>
      <c r="E7" s="2978" t="s">
        <v>575</v>
      </c>
      <c r="F7" s="2964"/>
      <c r="G7" s="2979" t="s">
        <v>576</v>
      </c>
      <c r="H7" s="2980"/>
      <c r="I7" s="3029">
        <v>2.8</v>
      </c>
      <c r="J7" s="2964"/>
      <c r="K7" s="2964"/>
      <c r="L7" s="2964"/>
      <c r="M7" s="2964"/>
      <c r="N7" s="2964"/>
      <c r="O7" s="2964"/>
      <c r="P7" s="2964"/>
    </row>
    <row r="8" spans="1:16" ht="14.4">
      <c r="A8" s="2972" t="s">
        <v>577</v>
      </c>
      <c r="B8" s="2981" t="s">
        <v>578</v>
      </c>
      <c r="C8" s="2973" t="s">
        <v>579</v>
      </c>
      <c r="D8" s="2973">
        <f t="shared" ref="D8:D15" si="0">ROUND($D$3*E8/$E$3,2)</f>
        <v>0</v>
      </c>
      <c r="E8" s="2982">
        <f>SUMIF('数据-基础表'!BB10:BK10,"地上",'数据-基础表'!BB5:BK5)</f>
        <v>0</v>
      </c>
      <c r="F8" s="2964"/>
      <c r="G8" s="2983"/>
      <c r="H8" s="2983"/>
      <c r="I8" s="2964"/>
      <c r="J8" s="2964"/>
      <c r="K8" s="2964"/>
      <c r="L8" s="2964"/>
      <c r="M8" s="2964"/>
      <c r="N8" s="2964"/>
      <c r="O8" s="2964"/>
      <c r="P8" s="2964"/>
    </row>
    <row r="9" spans="1:16" ht="14.4">
      <c r="A9" s="2984"/>
      <c r="B9" s="2985"/>
      <c r="C9" s="2973" t="s">
        <v>580</v>
      </c>
      <c r="D9" s="2973">
        <f t="shared" si="0"/>
        <v>0</v>
      </c>
      <c r="E9" s="2986">
        <v>0</v>
      </c>
      <c r="F9" s="2964"/>
      <c r="G9" s="2983"/>
      <c r="H9" s="2983"/>
      <c r="I9" s="2964"/>
      <c r="J9" s="2964"/>
      <c r="K9" s="2964"/>
      <c r="L9" s="2964"/>
      <c r="M9" s="2964"/>
      <c r="N9" s="2964"/>
      <c r="O9" s="2964"/>
      <c r="P9" s="2964"/>
    </row>
    <row r="10" spans="1:16" ht="14.4">
      <c r="A10" s="2984"/>
      <c r="B10" s="2985"/>
      <c r="C10" s="2973" t="s">
        <v>581</v>
      </c>
      <c r="D10" s="2973">
        <f t="shared" si="0"/>
        <v>0</v>
      </c>
      <c r="E10" s="2982">
        <f>SUMPRODUCT(('数据-基础表'!BB10:BK10="地下")*('数据-基础表'!BB11:BK11="商业")*('数据-基础表'!BB5:BK5))</f>
        <v>1008.26</v>
      </c>
      <c r="F10" s="2964"/>
      <c r="G10" s="2983"/>
      <c r="H10" s="2983"/>
      <c r="I10" s="2964"/>
      <c r="J10" s="2964"/>
      <c r="K10" s="2964"/>
      <c r="L10" s="2964"/>
      <c r="M10" s="2964"/>
      <c r="N10" s="2964"/>
      <c r="O10" s="2964"/>
      <c r="P10" s="2964"/>
    </row>
    <row r="11" spans="1:16" ht="14.4">
      <c r="A11" s="2984"/>
      <c r="B11" s="2985"/>
      <c r="C11" s="2973" t="s">
        <v>582</v>
      </c>
      <c r="D11" s="2973">
        <f t="shared" si="0"/>
        <v>0</v>
      </c>
      <c r="E11" s="2982">
        <f>SUMPRODUCT(('数据-基础表'!BB10:BK10="地下")*('数据-基础表'!BB11:BK11="办公")*('数据-基础表'!BB5:BK5))+'数据-基础表'!BP5</f>
        <v>0</v>
      </c>
      <c r="F11" s="2964"/>
      <c r="G11" s="2983"/>
      <c r="H11" s="2983"/>
      <c r="I11" s="2964"/>
      <c r="J11" s="2964"/>
      <c r="K11" s="2964"/>
      <c r="L11" s="2964"/>
      <c r="M11" s="2964"/>
      <c r="N11" s="2964"/>
      <c r="O11" s="2964"/>
      <c r="P11" s="2964"/>
    </row>
    <row r="12" spans="1:16" ht="14.4">
      <c r="A12" s="2984"/>
      <c r="B12" s="2985"/>
      <c r="C12" s="2973" t="s">
        <v>583</v>
      </c>
      <c r="D12" s="2973">
        <f t="shared" si="0"/>
        <v>0</v>
      </c>
      <c r="E12" s="2982">
        <f>SUMPRODUCT(('数据-基础表'!BB10:BK10="地下")*('数据-基础表'!BB11:BK11="仓储")*('数据-基础表'!BB5:BK5))</f>
        <v>6410.4</v>
      </c>
      <c r="F12" s="2964"/>
      <c r="G12" s="2983"/>
      <c r="H12" s="2983"/>
      <c r="I12" s="2964"/>
      <c r="J12" s="2964"/>
      <c r="K12" s="2964"/>
      <c r="L12" s="2964"/>
      <c r="M12" s="2964"/>
      <c r="N12" s="2964"/>
      <c r="O12" s="2964"/>
      <c r="P12" s="2964"/>
    </row>
    <row r="13" spans="1:16" ht="14.4">
      <c r="A13" s="2984"/>
      <c r="B13" s="2985"/>
      <c r="C13" s="2973" t="s">
        <v>584</v>
      </c>
      <c r="D13" s="2973">
        <f t="shared" si="0"/>
        <v>0</v>
      </c>
      <c r="E13" s="2982">
        <f>SUMPRODUCT(('数据-基础表'!BB10:BK10="地下")*('数据-基础表'!BB11:BK11="车库")*('数据-基础表'!BB5:BK5))</f>
        <v>1032</v>
      </c>
      <c r="F13" s="2964"/>
      <c r="G13" s="2983"/>
      <c r="H13" s="2983"/>
      <c r="I13" s="2964"/>
      <c r="J13" s="2964"/>
      <c r="K13" s="2964"/>
      <c r="L13" s="2964"/>
      <c r="M13" s="2964"/>
      <c r="N13" s="2964"/>
      <c r="O13" s="2964"/>
      <c r="P13" s="2964"/>
    </row>
    <row r="14" spans="1:16" ht="14.4">
      <c r="A14" s="2984"/>
      <c r="B14" s="2985"/>
      <c r="C14" s="2973" t="s">
        <v>585</v>
      </c>
      <c r="D14" s="2973">
        <f t="shared" si="0"/>
        <v>0</v>
      </c>
      <c r="E14" s="2982">
        <f>SUMPRODUCT(('数据-基础表'!BB10:BK10="地下")*('数据-基础表'!BB11:BK11="车库—商业")*('数据-基础表'!BB5:BK5))</f>
        <v>0</v>
      </c>
      <c r="F14" s="2964"/>
      <c r="G14" s="2983"/>
      <c r="H14" s="2983"/>
      <c r="I14" s="2964"/>
      <c r="J14" s="2964"/>
      <c r="K14" s="2964"/>
      <c r="L14" s="2964"/>
      <c r="M14" s="2964"/>
      <c r="N14" s="2964"/>
      <c r="O14" s="2964"/>
      <c r="P14" s="2964"/>
    </row>
    <row r="15" spans="1:16" ht="14.4">
      <c r="A15" s="2984"/>
      <c r="B15" s="2985"/>
      <c r="C15" s="2973" t="s">
        <v>586</v>
      </c>
      <c r="D15" s="2973">
        <f t="shared" si="0"/>
        <v>0</v>
      </c>
      <c r="E15" s="2982">
        <f>SUMPRODUCT(('数据-基础表'!BB10:BK10="地下")*('数据-基础表'!BB11:BK11="车库—办公")*('数据-基础表'!BB5:BK5))</f>
        <v>0</v>
      </c>
      <c r="F15" s="2964"/>
      <c r="G15" s="2983"/>
      <c r="H15" s="2983"/>
      <c r="I15" s="2964"/>
      <c r="J15" s="2964"/>
      <c r="K15" s="2964"/>
      <c r="L15" s="2964"/>
      <c r="M15" s="2964"/>
      <c r="N15" s="2964"/>
      <c r="O15" s="2964"/>
      <c r="P15" s="2964"/>
    </row>
    <row r="16" spans="1:16" ht="14.4">
      <c r="A16" s="2975"/>
      <c r="B16" s="2985"/>
      <c r="C16" s="2981" t="s">
        <v>587</v>
      </c>
      <c r="D16" s="2981">
        <f>SUM(D8:D15)</f>
        <v>0</v>
      </c>
      <c r="E16" s="2987">
        <f>SUM(E8:E15)</f>
        <v>8450.66</v>
      </c>
      <c r="F16" s="2964"/>
      <c r="G16" s="2983"/>
      <c r="H16" s="2988" t="s">
        <v>588</v>
      </c>
      <c r="I16" s="3030"/>
      <c r="J16" s="1758"/>
      <c r="K16" s="3541" t="s">
        <v>588</v>
      </c>
      <c r="L16" s="3542"/>
      <c r="M16" s="3542"/>
      <c r="N16" s="3542"/>
      <c r="O16" s="3542"/>
      <c r="P16" s="3543"/>
    </row>
    <row r="17" spans="1:19" ht="14.4">
      <c r="A17" s="2901" t="s">
        <v>589</v>
      </c>
      <c r="B17" s="2989" t="s">
        <v>590</v>
      </c>
      <c r="C17" s="2900" t="s">
        <v>591</v>
      </c>
      <c r="D17" s="2990" t="s">
        <v>564</v>
      </c>
      <c r="E17" s="2991" t="s">
        <v>565</v>
      </c>
      <c r="F17" s="2992"/>
      <c r="G17" s="2993"/>
      <c r="H17" s="2994" t="s">
        <v>592</v>
      </c>
      <c r="I17" s="3031" t="s">
        <v>593</v>
      </c>
      <c r="J17" s="1758"/>
      <c r="K17" s="3544" t="s">
        <v>594</v>
      </c>
      <c r="L17" s="3545"/>
      <c r="M17" s="3546"/>
      <c r="N17" s="3544" t="s">
        <v>595</v>
      </c>
      <c r="O17" s="3545"/>
      <c r="P17" s="3546"/>
      <c r="R17" s="3044" t="s">
        <v>596</v>
      </c>
      <c r="S17" s="1694"/>
    </row>
    <row r="18" spans="1:19" ht="14.4">
      <c r="A18" s="2984"/>
      <c r="B18" s="2995"/>
      <c r="C18" s="2996"/>
      <c r="D18" s="2997"/>
      <c r="E18" s="2998" t="s">
        <v>597</v>
      </c>
      <c r="F18" s="2999" t="s">
        <v>570</v>
      </c>
      <c r="G18" s="3000" t="s">
        <v>598</v>
      </c>
      <c r="H18" s="2906" t="s">
        <v>599</v>
      </c>
      <c r="I18" s="3032" t="s">
        <v>600</v>
      </c>
      <c r="J18" s="1758"/>
      <c r="K18" s="2906" t="s">
        <v>601</v>
      </c>
      <c r="L18" s="1922" t="s">
        <v>602</v>
      </c>
      <c r="M18" s="3027" t="s">
        <v>603</v>
      </c>
      <c r="N18" s="2906" t="s">
        <v>601</v>
      </c>
      <c r="O18" s="1922" t="s">
        <v>602</v>
      </c>
      <c r="P18" s="3027" t="s">
        <v>603</v>
      </c>
      <c r="R18" s="1706" t="s">
        <v>599</v>
      </c>
      <c r="S18" s="1706" t="s">
        <v>600</v>
      </c>
    </row>
    <row r="19" spans="1:19" ht="14.4">
      <c r="A19" s="3001"/>
      <c r="B19" s="2981" t="s">
        <v>604</v>
      </c>
      <c r="C19" s="3002" t="s">
        <v>605</v>
      </c>
      <c r="D19" s="2973">
        <f>ROUND($D$3*E19/$E$3,2)</f>
        <v>0</v>
      </c>
      <c r="E19" s="3003">
        <f t="shared" ref="E19:E26" si="1">SUM(F19:G19)</f>
        <v>1032</v>
      </c>
      <c r="F19" s="3004"/>
      <c r="G19" s="3005">
        <f>'数据-基础表'!I13</f>
        <v>1032</v>
      </c>
      <c r="H19" s="2890">
        <f>ROUND($D$3*I19/$E$3,2)</f>
        <v>0</v>
      </c>
      <c r="I19" s="2982">
        <f t="shared" ref="I19:I26" si="2">IF($I$17="自定义",P19,M19)</f>
        <v>0</v>
      </c>
      <c r="J19" s="1758"/>
      <c r="K19" s="3033">
        <f t="shared" ref="K19:K26" si="3">ROUND(E$28*E19/E$27,2)</f>
        <v>0</v>
      </c>
      <c r="L19" s="1706">
        <f t="shared" ref="L19:L26" si="4">ROUND(IF(COUNTIF(C19,"*住宅*")&gt;0,E$29*E19/E$32,0),2)</f>
        <v>0</v>
      </c>
      <c r="M19" s="3034">
        <f>K19+L19</f>
        <v>0</v>
      </c>
      <c r="N19" s="3035"/>
      <c r="O19" s="3036"/>
      <c r="P19" s="3034">
        <f>N19+O19</f>
        <v>0</v>
      </c>
      <c r="R19" s="1706">
        <f t="shared" ref="R19:S26" si="5">D19+H19</f>
        <v>0</v>
      </c>
      <c r="S19" s="3045">
        <f t="shared" si="5"/>
        <v>1032</v>
      </c>
    </row>
    <row r="20" spans="1:19" ht="14.4">
      <c r="A20" s="3006"/>
      <c r="B20" s="2981" t="s">
        <v>604</v>
      </c>
      <c r="C20" s="3002" t="s">
        <v>551</v>
      </c>
      <c r="D20" s="2973">
        <f t="shared" ref="D20:D26" si="6">ROUND($D$3*E20/$E$3,2)</f>
        <v>0</v>
      </c>
      <c r="E20" s="3003">
        <f t="shared" si="1"/>
        <v>6410.4</v>
      </c>
      <c r="F20" s="3004"/>
      <c r="G20" s="3005">
        <f>'数据-基础表'!K13</f>
        <v>6410.4</v>
      </c>
      <c r="H20" s="2890">
        <f t="shared" ref="H20:H26" si="7">ROUND($D$3*I20/$E$3,2)</f>
        <v>0</v>
      </c>
      <c r="I20" s="2982">
        <f t="shared" si="2"/>
        <v>0</v>
      </c>
      <c r="J20" s="1758"/>
      <c r="K20" s="3033">
        <f t="shared" si="3"/>
        <v>0</v>
      </c>
      <c r="L20" s="1706">
        <f t="shared" si="4"/>
        <v>0</v>
      </c>
      <c r="M20" s="3034">
        <f t="shared" ref="M20:M26" si="8">K20+L20</f>
        <v>0</v>
      </c>
      <c r="N20" s="3035"/>
      <c r="O20" s="3036"/>
      <c r="P20" s="3034">
        <f t="shared" ref="P20:P26" si="9">N20+O20</f>
        <v>0</v>
      </c>
      <c r="R20" s="1706">
        <f t="shared" si="5"/>
        <v>0</v>
      </c>
      <c r="S20" s="3045">
        <f t="shared" si="5"/>
        <v>6410.4</v>
      </c>
    </row>
    <row r="21" spans="1:19" ht="14.4">
      <c r="A21" s="3006"/>
      <c r="B21" s="2981" t="s">
        <v>604</v>
      </c>
      <c r="C21" s="3002" t="s">
        <v>606</v>
      </c>
      <c r="D21" s="2973">
        <f t="shared" si="6"/>
        <v>0</v>
      </c>
      <c r="E21" s="3003">
        <f t="shared" si="1"/>
        <v>1008.26</v>
      </c>
      <c r="F21" s="3004"/>
      <c r="G21" s="3005">
        <f>'数据-基础表'!M13</f>
        <v>1008.26</v>
      </c>
      <c r="H21" s="2890">
        <f t="shared" si="7"/>
        <v>0</v>
      </c>
      <c r="I21" s="2982">
        <f t="shared" si="2"/>
        <v>0</v>
      </c>
      <c r="J21" s="1758"/>
      <c r="K21" s="3033">
        <f t="shared" si="3"/>
        <v>0</v>
      </c>
      <c r="L21" s="1706">
        <f t="shared" si="4"/>
        <v>0</v>
      </c>
      <c r="M21" s="3034">
        <f t="shared" si="8"/>
        <v>0</v>
      </c>
      <c r="N21" s="3035"/>
      <c r="O21" s="3036"/>
      <c r="P21" s="3034">
        <f t="shared" si="9"/>
        <v>0</v>
      </c>
      <c r="R21" s="1706">
        <f t="shared" si="5"/>
        <v>0</v>
      </c>
      <c r="S21" s="3045">
        <f t="shared" si="5"/>
        <v>1008.26</v>
      </c>
    </row>
    <row r="22" spans="1:19" ht="14.4">
      <c r="A22" s="3006"/>
      <c r="B22" s="2981" t="s">
        <v>604</v>
      </c>
      <c r="C22" s="3007"/>
      <c r="D22" s="2973">
        <f t="shared" si="6"/>
        <v>0</v>
      </c>
      <c r="E22" s="3003">
        <f t="shared" si="1"/>
        <v>0</v>
      </c>
      <c r="F22" s="3008"/>
      <c r="G22" s="3009"/>
      <c r="H22" s="2890">
        <f t="shared" si="7"/>
        <v>0</v>
      </c>
      <c r="I22" s="2982">
        <f t="shared" si="2"/>
        <v>0</v>
      </c>
      <c r="J22" s="1758"/>
      <c r="K22" s="3033">
        <f t="shared" si="3"/>
        <v>0</v>
      </c>
      <c r="L22" s="1706">
        <f t="shared" si="4"/>
        <v>0</v>
      </c>
      <c r="M22" s="3034">
        <f t="shared" si="8"/>
        <v>0</v>
      </c>
      <c r="N22" s="3035"/>
      <c r="O22" s="3036"/>
      <c r="P22" s="3034">
        <f t="shared" si="9"/>
        <v>0</v>
      </c>
      <c r="R22" s="1706">
        <f t="shared" si="5"/>
        <v>0</v>
      </c>
      <c r="S22" s="3045">
        <f t="shared" si="5"/>
        <v>0</v>
      </c>
    </row>
    <row r="23" spans="1:19" ht="14.4">
      <c r="A23" s="3006"/>
      <c r="B23" s="2981" t="s">
        <v>604</v>
      </c>
      <c r="C23" s="3007"/>
      <c r="D23" s="2973">
        <f t="shared" si="6"/>
        <v>0</v>
      </c>
      <c r="E23" s="3003">
        <f t="shared" si="1"/>
        <v>0</v>
      </c>
      <c r="F23" s="3008"/>
      <c r="G23" s="3009"/>
      <c r="H23" s="2890">
        <f t="shared" si="7"/>
        <v>0</v>
      </c>
      <c r="I23" s="2982">
        <f t="shared" si="2"/>
        <v>0</v>
      </c>
      <c r="J23" s="1758"/>
      <c r="K23" s="3033">
        <f t="shared" si="3"/>
        <v>0</v>
      </c>
      <c r="L23" s="1706">
        <f t="shared" si="4"/>
        <v>0</v>
      </c>
      <c r="M23" s="3034">
        <f t="shared" si="8"/>
        <v>0</v>
      </c>
      <c r="N23" s="3035"/>
      <c r="O23" s="3036"/>
      <c r="P23" s="3034">
        <f t="shared" si="9"/>
        <v>0</v>
      </c>
      <c r="R23" s="1706">
        <f t="shared" si="5"/>
        <v>0</v>
      </c>
      <c r="S23" s="3045">
        <f t="shared" si="5"/>
        <v>0</v>
      </c>
    </row>
    <row r="24" spans="1:19" ht="14.4">
      <c r="A24" s="3006"/>
      <c r="B24" s="2981" t="s">
        <v>604</v>
      </c>
      <c r="C24" s="3007"/>
      <c r="D24" s="2973">
        <f t="shared" si="6"/>
        <v>0</v>
      </c>
      <c r="E24" s="3003">
        <f t="shared" si="1"/>
        <v>0</v>
      </c>
      <c r="F24" s="3008"/>
      <c r="G24" s="3009"/>
      <c r="H24" s="2890">
        <f t="shared" si="7"/>
        <v>0</v>
      </c>
      <c r="I24" s="2982">
        <f t="shared" si="2"/>
        <v>0</v>
      </c>
      <c r="J24" s="1758"/>
      <c r="K24" s="3033">
        <f t="shared" si="3"/>
        <v>0</v>
      </c>
      <c r="L24" s="1706">
        <f t="shared" si="4"/>
        <v>0</v>
      </c>
      <c r="M24" s="3034">
        <f t="shared" si="8"/>
        <v>0</v>
      </c>
      <c r="N24" s="3035"/>
      <c r="O24" s="3036"/>
      <c r="P24" s="3034">
        <f t="shared" si="9"/>
        <v>0</v>
      </c>
      <c r="R24" s="1706">
        <f t="shared" si="5"/>
        <v>0</v>
      </c>
      <c r="S24" s="3045">
        <f t="shared" si="5"/>
        <v>0</v>
      </c>
    </row>
    <row r="25" spans="1:19" ht="14.4">
      <c r="A25" s="3006"/>
      <c r="B25" s="2981" t="s">
        <v>604</v>
      </c>
      <c r="C25" s="3007"/>
      <c r="D25" s="2973">
        <f t="shared" si="6"/>
        <v>0</v>
      </c>
      <c r="E25" s="3003">
        <f t="shared" si="1"/>
        <v>0</v>
      </c>
      <c r="F25" s="3008"/>
      <c r="G25" s="3009"/>
      <c r="H25" s="2972">
        <f t="shared" si="7"/>
        <v>0</v>
      </c>
      <c r="I25" s="2982">
        <f t="shared" si="2"/>
        <v>0</v>
      </c>
      <c r="J25" s="1758"/>
      <c r="K25" s="3033">
        <f t="shared" si="3"/>
        <v>0</v>
      </c>
      <c r="L25" s="1706">
        <f t="shared" si="4"/>
        <v>0</v>
      </c>
      <c r="M25" s="3034">
        <f t="shared" si="8"/>
        <v>0</v>
      </c>
      <c r="N25" s="3035"/>
      <c r="O25" s="3036"/>
      <c r="P25" s="3034">
        <f t="shared" si="9"/>
        <v>0</v>
      </c>
      <c r="R25" s="1706">
        <f t="shared" si="5"/>
        <v>0</v>
      </c>
      <c r="S25" s="3045">
        <f t="shared" si="5"/>
        <v>0</v>
      </c>
    </row>
    <row r="26" spans="1:19" ht="14.4">
      <c r="A26" s="3006"/>
      <c r="B26" s="2981" t="s">
        <v>604</v>
      </c>
      <c r="C26" s="3010"/>
      <c r="D26" s="2973">
        <f t="shared" si="6"/>
        <v>0</v>
      </c>
      <c r="E26" s="3003">
        <f t="shared" si="1"/>
        <v>0</v>
      </c>
      <c r="F26" s="3008"/>
      <c r="G26" s="3009"/>
      <c r="H26" s="2972">
        <f t="shared" si="7"/>
        <v>0</v>
      </c>
      <c r="I26" s="2982">
        <f t="shared" si="2"/>
        <v>0</v>
      </c>
      <c r="J26" s="1758"/>
      <c r="K26" s="2968">
        <f t="shared" si="3"/>
        <v>0</v>
      </c>
      <c r="L26" s="2977">
        <f t="shared" si="4"/>
        <v>0</v>
      </c>
      <c r="M26" s="3017">
        <f t="shared" si="8"/>
        <v>0</v>
      </c>
      <c r="N26" s="3037"/>
      <c r="O26" s="3038"/>
      <c r="P26" s="3017">
        <f t="shared" si="9"/>
        <v>0</v>
      </c>
      <c r="R26" s="1706">
        <f t="shared" si="5"/>
        <v>0</v>
      </c>
      <c r="S26" s="3045">
        <f t="shared" si="5"/>
        <v>0</v>
      </c>
    </row>
    <row r="27" spans="1:19" ht="14.4">
      <c r="A27" s="3006"/>
      <c r="B27" s="2973"/>
      <c r="C27" s="1912" t="s">
        <v>607</v>
      </c>
      <c r="D27" s="3011">
        <f>SUM(D19:D26)</f>
        <v>0</v>
      </c>
      <c r="E27" s="3012">
        <f>IF(SUM(E19:E26)='数据-基础表'!BA5,SUM(E19:E26),IF(F27="地上面积有误","面积有误","地下面积有误"))</f>
        <v>8450.66</v>
      </c>
      <c r="F27" s="3011">
        <f>IF(SUM(F19:F26)=E8,SUM(F19:F26),"地上面积有误")</f>
        <v>0</v>
      </c>
      <c r="G27" s="3013">
        <f>SUM(G19:G26)</f>
        <v>8450.66</v>
      </c>
      <c r="H27" s="3014">
        <f>SUM(H19:H26)</f>
        <v>0</v>
      </c>
      <c r="I27" s="3039">
        <f>SUM(I19:I26)</f>
        <v>0</v>
      </c>
      <c r="J27" s="1758"/>
      <c r="K27" s="3040">
        <f>SUM(K19:K26)</f>
        <v>0</v>
      </c>
      <c r="L27" s="3041">
        <f>SUM(L19:L26)</f>
        <v>0</v>
      </c>
      <c r="M27" s="3042">
        <f>SUM(M19:M26)</f>
        <v>0</v>
      </c>
      <c r="N27" s="3040">
        <f t="shared" ref="N27:P27" si="10">SUM(N19:N26)</f>
        <v>0</v>
      </c>
      <c r="O27" s="3041">
        <f t="shared" si="10"/>
        <v>0</v>
      </c>
      <c r="P27" s="3043">
        <f t="shared" si="10"/>
        <v>0</v>
      </c>
      <c r="R27" s="2933">
        <f>IF(SUM(R19:R26)=$D$3,SUM(R19:R26),SUM(R19:R26)&amp;"误差"&amp;ROUND(SUM(R19:R26)-$D$3,2))</f>
        <v>0</v>
      </c>
      <c r="S27" s="1706">
        <f>IF(SUM(S19:S26)=$E$3,SUM(S19:S26),SUM(S19:S26)&amp;"误差"&amp;ROUND(SUM(S19:S26)-E3,2))</f>
        <v>8450.66</v>
      </c>
    </row>
    <row r="28" spans="1:19" ht="14.4">
      <c r="A28" s="3006"/>
      <c r="B28" s="2981" t="s">
        <v>608</v>
      </c>
      <c r="C28" s="2909" t="s">
        <v>609</v>
      </c>
      <c r="D28" s="2973">
        <f>ROUND($D$3*E28/$E$3,2)</f>
        <v>0</v>
      </c>
      <c r="E28" s="3003">
        <f>SUM(F28:G28)</f>
        <v>0</v>
      </c>
      <c r="F28" s="1694">
        <f>'数据-基础表'!BQ5+'数据-基础表'!BS5</f>
        <v>0</v>
      </c>
      <c r="G28" s="3015">
        <f>'数据-基础表'!BR5+'数据-基础表'!BT5</f>
        <v>0</v>
      </c>
      <c r="H28" s="2964"/>
      <c r="I28" s="2964"/>
      <c r="J28" s="2964"/>
      <c r="K28" s="2964"/>
      <c r="L28" s="2964"/>
      <c r="M28" s="2964"/>
      <c r="N28" s="2964"/>
      <c r="O28" s="2964"/>
      <c r="P28" s="2964"/>
    </row>
    <row r="29" spans="1:19" ht="14.4">
      <c r="A29" s="3006"/>
      <c r="B29" s="2981" t="s">
        <v>608</v>
      </c>
      <c r="C29" s="1756" t="s">
        <v>610</v>
      </c>
      <c r="D29" s="2973">
        <f>ROUND($D$3*E29/$E$3,2)</f>
        <v>0</v>
      </c>
      <c r="E29" s="3003">
        <f>SUM(F29:G29)</f>
        <v>0</v>
      </c>
      <c r="F29" s="3016">
        <f>'数据-基础表'!BM5+'数据-基础表'!BO5</f>
        <v>0</v>
      </c>
      <c r="G29" s="3017">
        <f>'数据-基础表'!BN5+'数据-基础表'!BP5</f>
        <v>0</v>
      </c>
      <c r="H29" s="2964"/>
      <c r="I29" s="2964"/>
      <c r="J29" s="2964"/>
      <c r="K29" s="2964"/>
      <c r="L29" s="2964"/>
      <c r="M29" s="2964"/>
      <c r="N29" s="2964"/>
      <c r="O29" s="2964"/>
      <c r="P29" s="2964"/>
    </row>
    <row r="30" spans="1:19" ht="14.4">
      <c r="A30" s="3006"/>
      <c r="B30" s="2981"/>
      <c r="C30" s="3018" t="s">
        <v>607</v>
      </c>
      <c r="D30" s="3011">
        <f>SUM(D28:D29)</f>
        <v>0</v>
      </c>
      <c r="E30" s="3011">
        <f>SUM(E28:E29)</f>
        <v>0</v>
      </c>
      <c r="F30" s="3011">
        <f>SUM(F28:F29)</f>
        <v>0</v>
      </c>
      <c r="G30" s="3013">
        <f>SUM(G28:G29)</f>
        <v>0</v>
      </c>
      <c r="H30" s="2964"/>
      <c r="I30" s="2964"/>
      <c r="J30" s="2964"/>
      <c r="K30" s="2964"/>
      <c r="L30" s="2964"/>
      <c r="M30" s="2964"/>
      <c r="N30" s="2964"/>
      <c r="O30" s="2964"/>
      <c r="P30" s="2964"/>
    </row>
    <row r="31" spans="1:19" ht="14.4">
      <c r="A31" s="3019"/>
      <c r="B31" s="3020"/>
      <c r="C31" s="2576" t="s">
        <v>611</v>
      </c>
      <c r="D31" s="3021">
        <f>D27+D30</f>
        <v>0</v>
      </c>
      <c r="E31" s="3021">
        <f>E27+E30</f>
        <v>8450.66</v>
      </c>
      <c r="F31" s="3022">
        <f>F27+F30</f>
        <v>0</v>
      </c>
      <c r="G31" s="3023">
        <f>G27+G30</f>
        <v>8450.66</v>
      </c>
      <c r="H31" s="2964"/>
      <c r="I31" s="2964"/>
      <c r="J31" s="2964"/>
      <c r="K31" s="2964"/>
      <c r="L31" s="2964"/>
      <c r="M31" s="2964"/>
      <c r="N31" s="2964"/>
      <c r="O31" s="2964"/>
      <c r="P31" s="2964"/>
    </row>
    <row r="32" spans="1:19" ht="14.4">
      <c r="A32" s="3024"/>
      <c r="B32" s="3024" t="s">
        <v>612</v>
      </c>
      <c r="C32" s="3024"/>
      <c r="D32" s="3024"/>
      <c r="E32" s="3025">
        <f>SUMIF(C19:C26,"*住宅*",E19:E26)</f>
        <v>0</v>
      </c>
      <c r="F32" s="3024"/>
      <c r="G32" s="3024"/>
      <c r="H32" s="2964"/>
      <c r="I32" s="2964"/>
      <c r="J32" s="2964"/>
      <c r="K32" s="2964"/>
      <c r="L32" s="2964"/>
      <c r="M32" s="2964"/>
      <c r="N32" s="2964"/>
      <c r="O32" s="2964"/>
      <c r="P32" s="2964"/>
    </row>
    <row r="33" spans="4:4">
      <c r="D33" s="302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206" priority="1" stopIfTrue="1" operator="containsText" text="面积有误">
      <formula>NOT(ISERROR(SEARCH("面积有误",E27)))</formula>
    </cfRule>
    <cfRule type="cellIs" dxfId="205" priority="3" stopIfTrue="1" operator="equal">
      <formula>"地下面积有误"</formula>
    </cfRule>
  </conditionalFormatting>
  <conditionalFormatting sqref="F27">
    <cfRule type="cellIs" dxfId="20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03"/>
  <sheetViews>
    <sheetView topLeftCell="I49" zoomScale="80" zoomScaleNormal="80" workbookViewId="0">
      <selection activeCell="AR38" sqref="AR38"/>
    </sheetView>
  </sheetViews>
  <sheetFormatPr defaultColWidth="9" defaultRowHeight="14.4"/>
  <sheetData>
    <row r="103" spans="11:11">
      <c r="K103">
        <v>3.1520000000000001</v>
      </c>
    </row>
  </sheetData>
  <phoneticPr fontId="229" type="noConversion"/>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2044"/>
  <sheetViews>
    <sheetView showGridLines="0" zoomScale="80" zoomScaleNormal="80" workbookViewId="0">
      <pane ySplit="1" topLeftCell="A2021" activePane="bottomLeft" state="frozen"/>
      <selection pane="bottomLeft" activeCell="K312" sqref="K312:K2039"/>
    </sheetView>
  </sheetViews>
  <sheetFormatPr defaultColWidth="9" defaultRowHeight="14.4"/>
  <cols>
    <col min="1" max="1" width="5.44140625" style="2945" customWidth="1"/>
    <col min="2" max="2" width="14.109375" style="2945" customWidth="1"/>
    <col min="3" max="3" width="16.21875" style="2945" customWidth="1"/>
    <col min="4" max="4" width="9.88671875" style="2945" customWidth="1"/>
    <col min="5" max="6" width="7.44140625" style="2945" customWidth="1"/>
    <col min="7" max="7" width="9.6640625" style="2945" customWidth="1"/>
    <col min="8" max="8" width="10.21875" style="2945" customWidth="1"/>
    <col min="9" max="9" width="10.33203125" style="2945" customWidth="1"/>
    <col min="10" max="10" width="8.88671875" style="2945" customWidth="1"/>
    <col min="11" max="11" width="12.88671875" style="2945" customWidth="1"/>
    <col min="12" max="12" width="12.109375" style="2945" customWidth="1"/>
    <col min="13" max="13" width="12.88671875" style="2945" customWidth="1"/>
    <col min="14" max="14" width="12.6640625" style="2945" customWidth="1"/>
    <col min="15" max="15" width="12.6640625" style="2946" customWidth="1"/>
    <col min="16" max="17" width="13" style="2945" customWidth="1"/>
    <col min="18" max="20" width="10.44140625" style="2945" customWidth="1"/>
    <col min="21" max="21" width="9.88671875" style="2945" customWidth="1"/>
    <col min="22" max="22" width="13.44140625" style="2945" customWidth="1"/>
    <col min="23" max="23" width="11.109375" style="2945"/>
    <col min="24" max="16384" width="9" style="2945"/>
  </cols>
  <sheetData>
    <row r="1" spans="1:22" s="2944" customFormat="1" ht="31.2">
      <c r="A1" s="2947" t="s">
        <v>613</v>
      </c>
      <c r="B1" s="2947" t="s">
        <v>614</v>
      </c>
      <c r="C1" s="2947" t="s">
        <v>615</v>
      </c>
      <c r="D1" s="2947" t="s">
        <v>616</v>
      </c>
      <c r="E1" s="2947" t="s">
        <v>617</v>
      </c>
      <c r="F1" s="2947" t="s">
        <v>618</v>
      </c>
      <c r="G1" s="2947" t="s">
        <v>619</v>
      </c>
      <c r="H1" s="2947" t="s">
        <v>620</v>
      </c>
      <c r="I1" s="2947" t="s">
        <v>621</v>
      </c>
      <c r="J1" s="2947" t="s">
        <v>622</v>
      </c>
      <c r="K1" s="2947" t="s">
        <v>623</v>
      </c>
      <c r="L1" s="2947" t="s">
        <v>624</v>
      </c>
      <c r="M1" s="2947" t="s">
        <v>625</v>
      </c>
      <c r="N1" s="2947" t="s">
        <v>626</v>
      </c>
      <c r="O1" s="2949" t="s">
        <v>627</v>
      </c>
      <c r="P1" s="2947" t="s">
        <v>628</v>
      </c>
      <c r="Q1" s="2947" t="s">
        <v>629</v>
      </c>
      <c r="R1" s="2947" t="s">
        <v>630</v>
      </c>
      <c r="S1" s="2947" t="s">
        <v>631</v>
      </c>
      <c r="T1" s="2947" t="s">
        <v>632</v>
      </c>
      <c r="U1" s="2947" t="s">
        <v>633</v>
      </c>
      <c r="V1" s="2947" t="s">
        <v>634</v>
      </c>
    </row>
    <row r="2" spans="1:22" s="2944" customFormat="1" ht="46.8" hidden="1">
      <c r="A2" s="2948">
        <v>1</v>
      </c>
      <c r="B2" s="2948" t="s">
        <v>635</v>
      </c>
      <c r="C2" s="2948" t="s">
        <v>636</v>
      </c>
      <c r="D2" s="2948" t="s">
        <v>637</v>
      </c>
      <c r="E2" s="2948" t="s">
        <v>638</v>
      </c>
      <c r="F2" s="2948" t="s">
        <v>639</v>
      </c>
      <c r="G2" s="2948" t="s">
        <v>640</v>
      </c>
      <c r="H2" s="2948" t="s">
        <v>641</v>
      </c>
      <c r="I2" s="2948" t="s">
        <v>642</v>
      </c>
      <c r="J2" s="2948" t="s">
        <v>643</v>
      </c>
      <c r="K2" s="2950">
        <v>129.71</v>
      </c>
      <c r="L2" s="2950">
        <v>97.62</v>
      </c>
      <c r="M2" s="2951">
        <v>13022625</v>
      </c>
      <c r="N2" s="2951">
        <v>13421353</v>
      </c>
      <c r="O2" s="2952">
        <v>13421353</v>
      </c>
      <c r="P2" s="2953">
        <v>13421353</v>
      </c>
      <c r="Q2" s="2951">
        <v>13421353</v>
      </c>
      <c r="R2" s="2954">
        <v>45085</v>
      </c>
      <c r="S2" s="2954">
        <v>45086</v>
      </c>
      <c r="T2" s="2954">
        <v>45086</v>
      </c>
      <c r="U2" s="2954">
        <v>45086</v>
      </c>
      <c r="V2" s="2948" t="s">
        <v>644</v>
      </c>
    </row>
    <row r="3" spans="1:22" s="2944" customFormat="1" ht="46.8" hidden="1">
      <c r="A3" s="2948">
        <v>2</v>
      </c>
      <c r="B3" s="2948" t="s">
        <v>635</v>
      </c>
      <c r="C3" s="2948" t="s">
        <v>636</v>
      </c>
      <c r="D3" s="2948" t="s">
        <v>637</v>
      </c>
      <c r="E3" s="2948" t="s">
        <v>638</v>
      </c>
      <c r="F3" s="2948" t="s">
        <v>645</v>
      </c>
      <c r="G3" s="2948" t="s">
        <v>640</v>
      </c>
      <c r="H3" s="2948" t="s">
        <v>646</v>
      </c>
      <c r="I3" s="2948" t="s">
        <v>642</v>
      </c>
      <c r="J3" s="2948" t="s">
        <v>643</v>
      </c>
      <c r="K3" s="2950">
        <v>127.11</v>
      </c>
      <c r="L3" s="2950">
        <v>95.66</v>
      </c>
      <c r="M3" s="2951">
        <v>12909546</v>
      </c>
      <c r="N3" s="2951">
        <v>13304858</v>
      </c>
      <c r="O3" s="2952">
        <v>13304857</v>
      </c>
      <c r="P3" s="2953">
        <v>13304857</v>
      </c>
      <c r="Q3" s="2951">
        <v>13304857</v>
      </c>
      <c r="R3" s="2954">
        <v>44267</v>
      </c>
      <c r="S3" s="2954">
        <v>44280</v>
      </c>
      <c r="T3" s="2954">
        <v>44425</v>
      </c>
      <c r="U3" s="2954">
        <v>44425</v>
      </c>
      <c r="V3" s="2948" t="s">
        <v>647</v>
      </c>
    </row>
    <row r="4" spans="1:22" s="2944" customFormat="1" ht="46.8" hidden="1">
      <c r="A4" s="2948">
        <v>3</v>
      </c>
      <c r="B4" s="2948" t="s">
        <v>635</v>
      </c>
      <c r="C4" s="2948" t="s">
        <v>636</v>
      </c>
      <c r="D4" s="2948" t="s">
        <v>637</v>
      </c>
      <c r="E4" s="2948" t="s">
        <v>638</v>
      </c>
      <c r="F4" s="2948" t="s">
        <v>648</v>
      </c>
      <c r="G4" s="2948" t="s">
        <v>640</v>
      </c>
      <c r="H4" s="2948" t="s">
        <v>649</v>
      </c>
      <c r="I4" s="2948" t="s">
        <v>642</v>
      </c>
      <c r="J4" s="2948" t="s">
        <v>643</v>
      </c>
      <c r="K4" s="2950">
        <v>147.57</v>
      </c>
      <c r="L4" s="2950">
        <v>111.06</v>
      </c>
      <c r="M4" s="2951">
        <v>14958876</v>
      </c>
      <c r="N4" s="2951">
        <v>15416933</v>
      </c>
      <c r="O4" s="2952">
        <v>15416933</v>
      </c>
      <c r="P4" s="2953">
        <v>15416933</v>
      </c>
      <c r="Q4" s="2951">
        <v>15416933</v>
      </c>
      <c r="R4" s="2954">
        <v>44711</v>
      </c>
      <c r="S4" s="2954">
        <v>44711</v>
      </c>
      <c r="T4" s="2954">
        <v>44767</v>
      </c>
      <c r="U4" s="2954">
        <v>44767</v>
      </c>
      <c r="V4" s="2948" t="s">
        <v>650</v>
      </c>
    </row>
    <row r="5" spans="1:22" s="2944" customFormat="1" ht="46.8" hidden="1">
      <c r="A5" s="2948">
        <v>4</v>
      </c>
      <c r="B5" s="2948" t="s">
        <v>635</v>
      </c>
      <c r="C5" s="2948" t="s">
        <v>636</v>
      </c>
      <c r="D5" s="2948" t="s">
        <v>637</v>
      </c>
      <c r="E5" s="2948" t="s">
        <v>638</v>
      </c>
      <c r="F5" s="2948" t="s">
        <v>651</v>
      </c>
      <c r="G5" s="2948" t="s">
        <v>640</v>
      </c>
      <c r="H5" s="2948" t="s">
        <v>646</v>
      </c>
      <c r="I5" s="2948" t="s">
        <v>642</v>
      </c>
      <c r="J5" s="2948" t="s">
        <v>643</v>
      </c>
      <c r="K5" s="2950">
        <v>127.11</v>
      </c>
      <c r="L5" s="2950">
        <v>95.66</v>
      </c>
      <c r="M5" s="2951">
        <v>13032843</v>
      </c>
      <c r="N5" s="2951">
        <v>13431968</v>
      </c>
      <c r="O5" s="2952">
        <v>13431967</v>
      </c>
      <c r="P5" s="2953">
        <v>13431967</v>
      </c>
      <c r="Q5" s="2951">
        <v>13431967</v>
      </c>
      <c r="R5" s="2954">
        <v>44411</v>
      </c>
      <c r="S5" s="2954">
        <v>44411</v>
      </c>
      <c r="T5" s="2954">
        <v>44422</v>
      </c>
      <c r="U5" s="2954">
        <v>44422</v>
      </c>
      <c r="V5" s="2948" t="s">
        <v>652</v>
      </c>
    </row>
    <row r="6" spans="1:22" s="2944" customFormat="1" ht="46.8" hidden="1">
      <c r="A6" s="2948">
        <v>5</v>
      </c>
      <c r="B6" s="2948" t="s">
        <v>635</v>
      </c>
      <c r="C6" s="2948" t="s">
        <v>636</v>
      </c>
      <c r="D6" s="2948" t="s">
        <v>637</v>
      </c>
      <c r="E6" s="2948" t="s">
        <v>638</v>
      </c>
      <c r="F6" s="2948" t="s">
        <v>653</v>
      </c>
      <c r="G6" s="2948" t="s">
        <v>640</v>
      </c>
      <c r="H6" s="2948" t="s">
        <v>649</v>
      </c>
      <c r="I6" s="2948" t="s">
        <v>642</v>
      </c>
      <c r="J6" s="2948" t="s">
        <v>643</v>
      </c>
      <c r="K6" s="2950">
        <v>147.57</v>
      </c>
      <c r="L6" s="2950">
        <v>111.06</v>
      </c>
      <c r="M6" s="2951">
        <v>15102019</v>
      </c>
      <c r="N6" s="2951">
        <v>15564503</v>
      </c>
      <c r="O6" s="2952">
        <v>15564503</v>
      </c>
      <c r="P6" s="2953">
        <v>15564503</v>
      </c>
      <c r="Q6" s="2951">
        <v>15564503</v>
      </c>
      <c r="R6" s="2954">
        <v>44234</v>
      </c>
      <c r="S6" s="2954">
        <v>44253</v>
      </c>
      <c r="T6" s="2954">
        <v>44351</v>
      </c>
      <c r="U6" s="2954">
        <v>44351</v>
      </c>
      <c r="V6" s="2948" t="s">
        <v>654</v>
      </c>
    </row>
    <row r="7" spans="1:22" s="2944" customFormat="1" ht="46.8" hidden="1">
      <c r="A7" s="2948">
        <v>6</v>
      </c>
      <c r="B7" s="2948" t="s">
        <v>635</v>
      </c>
      <c r="C7" s="2948" t="s">
        <v>636</v>
      </c>
      <c r="D7" s="2948" t="s">
        <v>637</v>
      </c>
      <c r="E7" s="2948" t="s">
        <v>638</v>
      </c>
      <c r="F7" s="2948" t="s">
        <v>655</v>
      </c>
      <c r="G7" s="2948" t="s">
        <v>640</v>
      </c>
      <c r="H7" s="2948" t="s">
        <v>646</v>
      </c>
      <c r="I7" s="2948" t="s">
        <v>642</v>
      </c>
      <c r="J7" s="2948" t="s">
        <v>643</v>
      </c>
      <c r="K7" s="2950">
        <v>127.11</v>
      </c>
      <c r="L7" s="2950">
        <v>95.66</v>
      </c>
      <c r="M7" s="2951">
        <v>13156266</v>
      </c>
      <c r="N7" s="2951">
        <v>13559078</v>
      </c>
      <c r="O7" s="2952">
        <v>13559078</v>
      </c>
      <c r="P7" s="2953">
        <v>13559078</v>
      </c>
      <c r="Q7" s="2951">
        <v>13559077</v>
      </c>
      <c r="R7" s="2954">
        <v>44957</v>
      </c>
      <c r="S7" s="2954">
        <v>44957</v>
      </c>
      <c r="T7" s="2954">
        <v>45132</v>
      </c>
      <c r="U7" s="2954">
        <v>45132</v>
      </c>
      <c r="V7" s="2948" t="s">
        <v>656</v>
      </c>
    </row>
    <row r="8" spans="1:22" s="2944" customFormat="1" ht="46.8" hidden="1">
      <c r="A8" s="2948">
        <v>7</v>
      </c>
      <c r="B8" s="2948" t="s">
        <v>635</v>
      </c>
      <c r="C8" s="2948" t="s">
        <v>636</v>
      </c>
      <c r="D8" s="2948" t="s">
        <v>637</v>
      </c>
      <c r="E8" s="2948" t="s">
        <v>638</v>
      </c>
      <c r="F8" s="2948" t="s">
        <v>657</v>
      </c>
      <c r="G8" s="2948" t="s">
        <v>640</v>
      </c>
      <c r="H8" s="2948" t="s">
        <v>649</v>
      </c>
      <c r="I8" s="2948" t="s">
        <v>642</v>
      </c>
      <c r="J8" s="2948" t="s">
        <v>643</v>
      </c>
      <c r="K8" s="2950">
        <v>147.57</v>
      </c>
      <c r="L8" s="2950">
        <v>111.06</v>
      </c>
      <c r="M8" s="2951">
        <v>15245309</v>
      </c>
      <c r="N8" s="2951">
        <v>15712073</v>
      </c>
      <c r="O8" s="2952">
        <v>14926469</v>
      </c>
      <c r="P8" s="2953">
        <v>14926469</v>
      </c>
      <c r="Q8" s="2951">
        <v>14926469</v>
      </c>
      <c r="R8" s="2954">
        <v>44809</v>
      </c>
      <c r="S8" s="2954">
        <v>44830</v>
      </c>
      <c r="T8" s="2954">
        <v>44832</v>
      </c>
      <c r="U8" s="2954">
        <v>44832</v>
      </c>
      <c r="V8" s="2948" t="s">
        <v>658</v>
      </c>
    </row>
    <row r="9" spans="1:22" s="2944" customFormat="1" ht="46.8" hidden="1">
      <c r="A9" s="2948">
        <v>8</v>
      </c>
      <c r="B9" s="2948" t="s">
        <v>635</v>
      </c>
      <c r="C9" s="2948" t="s">
        <v>636</v>
      </c>
      <c r="D9" s="2948" t="s">
        <v>637</v>
      </c>
      <c r="E9" s="2948" t="s">
        <v>638</v>
      </c>
      <c r="F9" s="2948" t="s">
        <v>659</v>
      </c>
      <c r="G9" s="2948" t="s">
        <v>640</v>
      </c>
      <c r="H9" s="2948" t="s">
        <v>646</v>
      </c>
      <c r="I9" s="2948" t="s">
        <v>642</v>
      </c>
      <c r="J9" s="2948" t="s">
        <v>643</v>
      </c>
      <c r="K9" s="2950">
        <v>127.11</v>
      </c>
      <c r="L9" s="2950">
        <v>95.66</v>
      </c>
      <c r="M9" s="2951">
        <v>13279563</v>
      </c>
      <c r="N9" s="2951">
        <v>13686188</v>
      </c>
      <c r="O9" s="2952">
        <v>13413833</v>
      </c>
      <c r="P9" s="2953">
        <v>13413833</v>
      </c>
      <c r="Q9" s="2951">
        <v>13413833</v>
      </c>
      <c r="R9" s="2954">
        <v>44203</v>
      </c>
      <c r="S9" s="2954">
        <v>44252</v>
      </c>
      <c r="T9" s="2954">
        <v>44357</v>
      </c>
      <c r="U9" s="2954">
        <v>44357</v>
      </c>
      <c r="V9" s="2948" t="s">
        <v>660</v>
      </c>
    </row>
    <row r="10" spans="1:22" s="2944" customFormat="1" ht="46.8" hidden="1">
      <c r="A10" s="2948">
        <v>9</v>
      </c>
      <c r="B10" s="2948" t="s">
        <v>635</v>
      </c>
      <c r="C10" s="2948" t="s">
        <v>636</v>
      </c>
      <c r="D10" s="2948" t="s">
        <v>637</v>
      </c>
      <c r="E10" s="2948" t="s">
        <v>638</v>
      </c>
      <c r="F10" s="2948" t="s">
        <v>661</v>
      </c>
      <c r="G10" s="2948" t="s">
        <v>640</v>
      </c>
      <c r="H10" s="2948" t="s">
        <v>649</v>
      </c>
      <c r="I10" s="2948" t="s">
        <v>642</v>
      </c>
      <c r="J10" s="2948" t="s">
        <v>643</v>
      </c>
      <c r="K10" s="2950">
        <v>147.57</v>
      </c>
      <c r="L10" s="2950">
        <v>111.06</v>
      </c>
      <c r="M10" s="2951">
        <v>15460023</v>
      </c>
      <c r="N10" s="2951">
        <v>15933428</v>
      </c>
      <c r="O10" s="2952">
        <v>15933428</v>
      </c>
      <c r="P10" s="2953">
        <v>15933428</v>
      </c>
      <c r="Q10" s="2951">
        <v>15933428</v>
      </c>
      <c r="R10" s="2954">
        <v>44219</v>
      </c>
      <c r="S10" s="2954">
        <v>44253</v>
      </c>
      <c r="T10" s="2954">
        <v>44328</v>
      </c>
      <c r="U10" s="2954">
        <v>44328</v>
      </c>
      <c r="V10" s="2948" t="s">
        <v>662</v>
      </c>
    </row>
    <row r="11" spans="1:22" s="2944" customFormat="1" ht="46.8" hidden="1">
      <c r="A11" s="2948">
        <v>10</v>
      </c>
      <c r="B11" s="2948" t="s">
        <v>635</v>
      </c>
      <c r="C11" s="2948" t="s">
        <v>636</v>
      </c>
      <c r="D11" s="2948" t="s">
        <v>637</v>
      </c>
      <c r="E11" s="2948" t="s">
        <v>638</v>
      </c>
      <c r="F11" s="2948" t="s">
        <v>663</v>
      </c>
      <c r="G11" s="2948" t="s">
        <v>640</v>
      </c>
      <c r="H11" s="2948" t="s">
        <v>646</v>
      </c>
      <c r="I11" s="2948" t="s">
        <v>642</v>
      </c>
      <c r="J11" s="2948" t="s">
        <v>643</v>
      </c>
      <c r="K11" s="2950">
        <v>127.11</v>
      </c>
      <c r="L11" s="2950">
        <v>95.66</v>
      </c>
      <c r="M11" s="2951">
        <v>13464508</v>
      </c>
      <c r="N11" s="2951">
        <v>13876853</v>
      </c>
      <c r="O11" s="2952">
        <v>13600704</v>
      </c>
      <c r="P11" s="2953">
        <v>13600704</v>
      </c>
      <c r="Q11" s="2951">
        <v>13600704</v>
      </c>
      <c r="R11" s="2954">
        <v>44203</v>
      </c>
      <c r="S11" s="2954">
        <v>44211</v>
      </c>
      <c r="T11" s="2954">
        <v>44273</v>
      </c>
      <c r="U11" s="2954">
        <v>44273</v>
      </c>
      <c r="V11" s="2948" t="s">
        <v>664</v>
      </c>
    </row>
    <row r="12" spans="1:22" s="2944" customFormat="1" ht="46.8" hidden="1">
      <c r="A12" s="2948">
        <v>11</v>
      </c>
      <c r="B12" s="2948" t="s">
        <v>635</v>
      </c>
      <c r="C12" s="2948" t="s">
        <v>636</v>
      </c>
      <c r="D12" s="2948" t="s">
        <v>637</v>
      </c>
      <c r="E12" s="2948" t="s">
        <v>638</v>
      </c>
      <c r="F12" s="2948" t="s">
        <v>665</v>
      </c>
      <c r="G12" s="2948" t="s">
        <v>640</v>
      </c>
      <c r="H12" s="2948" t="s">
        <v>649</v>
      </c>
      <c r="I12" s="2948" t="s">
        <v>642</v>
      </c>
      <c r="J12" s="2948" t="s">
        <v>643</v>
      </c>
      <c r="K12" s="2950">
        <v>147.57</v>
      </c>
      <c r="L12" s="2950">
        <v>111.06</v>
      </c>
      <c r="M12" s="2951">
        <v>15474338</v>
      </c>
      <c r="N12" s="2951">
        <v>15948185</v>
      </c>
      <c r="O12" s="2952">
        <v>15630816</v>
      </c>
      <c r="P12" s="2953">
        <v>15630816</v>
      </c>
      <c r="Q12" s="2951">
        <v>15630816</v>
      </c>
      <c r="R12" s="2954">
        <v>44204</v>
      </c>
      <c r="S12" s="2954">
        <v>44224</v>
      </c>
      <c r="T12" s="2954">
        <v>44266</v>
      </c>
      <c r="U12" s="2954">
        <v>44266</v>
      </c>
      <c r="V12" s="2948" t="s">
        <v>666</v>
      </c>
    </row>
    <row r="13" spans="1:22" s="2944" customFormat="1" ht="46.8" hidden="1">
      <c r="A13" s="2948">
        <v>12</v>
      </c>
      <c r="B13" s="2948" t="s">
        <v>635</v>
      </c>
      <c r="C13" s="2948" t="s">
        <v>636</v>
      </c>
      <c r="D13" s="2948" t="s">
        <v>637</v>
      </c>
      <c r="E13" s="2948" t="s">
        <v>638</v>
      </c>
      <c r="F13" s="2948" t="s">
        <v>667</v>
      </c>
      <c r="G13" s="2948" t="s">
        <v>640</v>
      </c>
      <c r="H13" s="2948" t="s">
        <v>646</v>
      </c>
      <c r="I13" s="2948" t="s">
        <v>642</v>
      </c>
      <c r="J13" s="2948" t="s">
        <v>643</v>
      </c>
      <c r="K13" s="2950">
        <v>127.11</v>
      </c>
      <c r="L13" s="2950">
        <v>95.66</v>
      </c>
      <c r="M13" s="2951">
        <v>13476965</v>
      </c>
      <c r="N13" s="2951">
        <v>13889564</v>
      </c>
      <c r="O13" s="2952">
        <v>13613162</v>
      </c>
      <c r="P13" s="2953">
        <v>13613162</v>
      </c>
      <c r="Q13" s="2951">
        <v>13613162</v>
      </c>
      <c r="R13" s="2954">
        <v>44206</v>
      </c>
      <c r="S13" s="2954">
        <v>44211</v>
      </c>
      <c r="T13" s="2954">
        <v>44236</v>
      </c>
      <c r="U13" s="2954">
        <v>44236</v>
      </c>
      <c r="V13" s="2948" t="s">
        <v>668</v>
      </c>
    </row>
    <row r="14" spans="1:22" s="2944" customFormat="1" ht="46.8" hidden="1">
      <c r="A14" s="2948">
        <v>13</v>
      </c>
      <c r="B14" s="2948" t="s">
        <v>635</v>
      </c>
      <c r="C14" s="2948" t="s">
        <v>636</v>
      </c>
      <c r="D14" s="2948" t="s">
        <v>637</v>
      </c>
      <c r="E14" s="2948" t="s">
        <v>638</v>
      </c>
      <c r="F14" s="2948" t="s">
        <v>669</v>
      </c>
      <c r="G14" s="2948" t="s">
        <v>640</v>
      </c>
      <c r="H14" s="2948" t="s">
        <v>649</v>
      </c>
      <c r="I14" s="2948" t="s">
        <v>642</v>
      </c>
      <c r="J14" s="2948" t="s">
        <v>643</v>
      </c>
      <c r="K14" s="2950">
        <v>147.57</v>
      </c>
      <c r="L14" s="2950">
        <v>111.06</v>
      </c>
      <c r="M14" s="2951">
        <v>15488652</v>
      </c>
      <c r="N14" s="2951">
        <v>15962942</v>
      </c>
      <c r="O14" s="2952">
        <v>15962942</v>
      </c>
      <c r="P14" s="2953">
        <v>15962942</v>
      </c>
      <c r="Q14" s="2951">
        <v>15962942</v>
      </c>
      <c r="R14" s="2954">
        <v>44543</v>
      </c>
      <c r="S14" s="2954">
        <v>44552</v>
      </c>
      <c r="T14" s="2954">
        <v>44552</v>
      </c>
      <c r="U14" s="2954">
        <v>44552</v>
      </c>
      <c r="V14" s="2948" t="s">
        <v>670</v>
      </c>
    </row>
    <row r="15" spans="1:22" s="2944" customFormat="1" ht="46.8" hidden="1">
      <c r="A15" s="2948">
        <v>14</v>
      </c>
      <c r="B15" s="2948" t="s">
        <v>635</v>
      </c>
      <c r="C15" s="2948" t="s">
        <v>636</v>
      </c>
      <c r="D15" s="2948" t="s">
        <v>637</v>
      </c>
      <c r="E15" s="2948" t="s">
        <v>638</v>
      </c>
      <c r="F15" s="2948" t="s">
        <v>671</v>
      </c>
      <c r="G15" s="2948" t="s">
        <v>640</v>
      </c>
      <c r="H15" s="2948" t="s">
        <v>646</v>
      </c>
      <c r="I15" s="2948" t="s">
        <v>642</v>
      </c>
      <c r="J15" s="2948" t="s">
        <v>643</v>
      </c>
      <c r="K15" s="2950">
        <v>127.11</v>
      </c>
      <c r="L15" s="2950">
        <v>95.66</v>
      </c>
      <c r="M15" s="2951">
        <v>13489295</v>
      </c>
      <c r="N15" s="2951">
        <v>13902275</v>
      </c>
      <c r="O15" s="2952">
        <v>13625620</v>
      </c>
      <c r="P15" s="2953">
        <v>13625620</v>
      </c>
      <c r="Q15" s="2951">
        <v>13625620</v>
      </c>
      <c r="R15" s="2954">
        <v>44407</v>
      </c>
      <c r="S15" s="2954">
        <v>44407</v>
      </c>
      <c r="T15" s="2954">
        <v>44422</v>
      </c>
      <c r="U15" s="2954">
        <v>44422</v>
      </c>
      <c r="V15" s="2948" t="s">
        <v>672</v>
      </c>
    </row>
    <row r="16" spans="1:22" s="2944" customFormat="1" ht="46.8" hidden="1">
      <c r="A16" s="2948">
        <v>15</v>
      </c>
      <c r="B16" s="2948" t="s">
        <v>635</v>
      </c>
      <c r="C16" s="2948" t="s">
        <v>636</v>
      </c>
      <c r="D16" s="2948" t="s">
        <v>637</v>
      </c>
      <c r="E16" s="2948" t="s">
        <v>638</v>
      </c>
      <c r="F16" s="2948" t="s">
        <v>673</v>
      </c>
      <c r="G16" s="2948" t="s">
        <v>640</v>
      </c>
      <c r="H16" s="2948" t="s">
        <v>649</v>
      </c>
      <c r="I16" s="2948" t="s">
        <v>642</v>
      </c>
      <c r="J16" s="2948" t="s">
        <v>643</v>
      </c>
      <c r="K16" s="2950">
        <v>147.57</v>
      </c>
      <c r="L16" s="2950">
        <v>111.06</v>
      </c>
      <c r="M16" s="2951">
        <v>15502966</v>
      </c>
      <c r="N16" s="2951">
        <v>15977699</v>
      </c>
      <c r="O16" s="2952">
        <v>15659743</v>
      </c>
      <c r="P16" s="2953">
        <v>15659743</v>
      </c>
      <c r="Q16" s="2951">
        <v>15659743</v>
      </c>
      <c r="R16" s="2954">
        <v>44204</v>
      </c>
      <c r="S16" s="2954">
        <v>44211</v>
      </c>
      <c r="T16" s="2954">
        <v>44270</v>
      </c>
      <c r="U16" s="2954">
        <v>44270</v>
      </c>
      <c r="V16" s="2948" t="s">
        <v>674</v>
      </c>
    </row>
    <row r="17" spans="1:22" s="2944" customFormat="1" ht="46.8" hidden="1">
      <c r="A17" s="2948">
        <v>16</v>
      </c>
      <c r="B17" s="2948" t="s">
        <v>635</v>
      </c>
      <c r="C17" s="2948" t="s">
        <v>636</v>
      </c>
      <c r="D17" s="2948" t="s">
        <v>637</v>
      </c>
      <c r="E17" s="2948" t="s">
        <v>638</v>
      </c>
      <c r="F17" s="2948" t="s">
        <v>675</v>
      </c>
      <c r="G17" s="2948" t="s">
        <v>640</v>
      </c>
      <c r="H17" s="2948" t="s">
        <v>646</v>
      </c>
      <c r="I17" s="2948" t="s">
        <v>642</v>
      </c>
      <c r="J17" s="2948" t="s">
        <v>643</v>
      </c>
      <c r="K17" s="2950">
        <v>127.11</v>
      </c>
      <c r="L17" s="2950">
        <v>95.66</v>
      </c>
      <c r="M17" s="2951">
        <v>13501624</v>
      </c>
      <c r="N17" s="2951">
        <v>13914986</v>
      </c>
      <c r="O17" s="2952">
        <v>13638078</v>
      </c>
      <c r="P17" s="2953">
        <v>13638078</v>
      </c>
      <c r="Q17" s="2951">
        <v>13638078</v>
      </c>
      <c r="R17" s="2954">
        <v>44207</v>
      </c>
      <c r="S17" s="2954">
        <v>44211</v>
      </c>
      <c r="T17" s="2954">
        <v>44252</v>
      </c>
      <c r="U17" s="2954">
        <v>44252</v>
      </c>
      <c r="V17" s="2948" t="s">
        <v>676</v>
      </c>
    </row>
    <row r="18" spans="1:22" s="2944" customFormat="1" ht="46.8" hidden="1">
      <c r="A18" s="2948">
        <v>17</v>
      </c>
      <c r="B18" s="2948" t="s">
        <v>635</v>
      </c>
      <c r="C18" s="2948" t="s">
        <v>636</v>
      </c>
      <c r="D18" s="2948" t="s">
        <v>637</v>
      </c>
      <c r="E18" s="2948" t="s">
        <v>638</v>
      </c>
      <c r="F18" s="2948" t="s">
        <v>677</v>
      </c>
      <c r="G18" s="2948" t="s">
        <v>640</v>
      </c>
      <c r="H18" s="2948" t="s">
        <v>649</v>
      </c>
      <c r="I18" s="2948" t="s">
        <v>642</v>
      </c>
      <c r="J18" s="2948" t="s">
        <v>643</v>
      </c>
      <c r="K18" s="2950">
        <v>147.57</v>
      </c>
      <c r="L18" s="2950">
        <v>111.06</v>
      </c>
      <c r="M18" s="2951">
        <v>15517281</v>
      </c>
      <c r="N18" s="2951">
        <v>15992456</v>
      </c>
      <c r="O18" s="2952">
        <v>15992456</v>
      </c>
      <c r="P18" s="2953">
        <v>15992456</v>
      </c>
      <c r="Q18" s="2951">
        <v>15992456</v>
      </c>
      <c r="R18" s="2954">
        <v>44224</v>
      </c>
      <c r="S18" s="2954">
        <v>44227</v>
      </c>
      <c r="T18" s="2954">
        <v>44280</v>
      </c>
      <c r="U18" s="2954">
        <v>44280</v>
      </c>
      <c r="V18" s="2948" t="s">
        <v>678</v>
      </c>
    </row>
    <row r="19" spans="1:22" s="2944" customFormat="1" ht="46.8" hidden="1">
      <c r="A19" s="2948">
        <v>18</v>
      </c>
      <c r="B19" s="2948" t="s">
        <v>635</v>
      </c>
      <c r="C19" s="2948" t="s">
        <v>636</v>
      </c>
      <c r="D19" s="2948" t="s">
        <v>637</v>
      </c>
      <c r="E19" s="2948" t="s">
        <v>638</v>
      </c>
      <c r="F19" s="2948" t="s">
        <v>679</v>
      </c>
      <c r="G19" s="2948" t="s">
        <v>640</v>
      </c>
      <c r="H19" s="2948" t="s">
        <v>646</v>
      </c>
      <c r="I19" s="2948" t="s">
        <v>642</v>
      </c>
      <c r="J19" s="2948" t="s">
        <v>643</v>
      </c>
      <c r="K19" s="2950">
        <v>127.11</v>
      </c>
      <c r="L19" s="2950">
        <v>95.66</v>
      </c>
      <c r="M19" s="2951">
        <v>13513954</v>
      </c>
      <c r="N19" s="2951">
        <v>13927697</v>
      </c>
      <c r="O19" s="2952">
        <v>13650536</v>
      </c>
      <c r="P19" s="2953">
        <v>13650536</v>
      </c>
      <c r="Q19" s="2951">
        <v>13650536</v>
      </c>
      <c r="R19" s="2954">
        <v>44203</v>
      </c>
      <c r="S19" s="2954">
        <v>44211</v>
      </c>
      <c r="T19" s="2954">
        <v>44315</v>
      </c>
      <c r="U19" s="2954">
        <v>44315</v>
      </c>
      <c r="V19" s="2948" t="s">
        <v>680</v>
      </c>
    </row>
    <row r="20" spans="1:22" s="2944" customFormat="1" ht="46.8" hidden="1">
      <c r="A20" s="2948">
        <v>19</v>
      </c>
      <c r="B20" s="2948" t="s">
        <v>635</v>
      </c>
      <c r="C20" s="2948" t="s">
        <v>636</v>
      </c>
      <c r="D20" s="2948" t="s">
        <v>637</v>
      </c>
      <c r="E20" s="2948" t="s">
        <v>638</v>
      </c>
      <c r="F20" s="2948" t="s">
        <v>681</v>
      </c>
      <c r="G20" s="2948" t="s">
        <v>640</v>
      </c>
      <c r="H20" s="2948" t="s">
        <v>649</v>
      </c>
      <c r="I20" s="2948" t="s">
        <v>642</v>
      </c>
      <c r="J20" s="2948" t="s">
        <v>643</v>
      </c>
      <c r="K20" s="2950">
        <v>147.57</v>
      </c>
      <c r="L20" s="2950">
        <v>111.06</v>
      </c>
      <c r="M20" s="2951">
        <v>15531595</v>
      </c>
      <c r="N20" s="2951">
        <v>16007213</v>
      </c>
      <c r="O20" s="2952">
        <v>15688669</v>
      </c>
      <c r="P20" s="2953">
        <v>15688669</v>
      </c>
      <c r="Q20" s="2951">
        <v>15688669</v>
      </c>
      <c r="R20" s="2954">
        <v>44202</v>
      </c>
      <c r="S20" s="2954">
        <v>44211</v>
      </c>
      <c r="T20" s="2954">
        <v>44236</v>
      </c>
      <c r="U20" s="2954">
        <v>44236</v>
      </c>
      <c r="V20" s="2948" t="s">
        <v>682</v>
      </c>
    </row>
    <row r="21" spans="1:22" s="2944" customFormat="1" ht="46.8" hidden="1">
      <c r="A21" s="2948">
        <v>20</v>
      </c>
      <c r="B21" s="2948" t="s">
        <v>635</v>
      </c>
      <c r="C21" s="2948" t="s">
        <v>636</v>
      </c>
      <c r="D21" s="2948" t="s">
        <v>637</v>
      </c>
      <c r="E21" s="2948" t="s">
        <v>638</v>
      </c>
      <c r="F21" s="2948" t="s">
        <v>683</v>
      </c>
      <c r="G21" s="2948" t="s">
        <v>640</v>
      </c>
      <c r="H21" s="2948" t="s">
        <v>646</v>
      </c>
      <c r="I21" s="2948" t="s">
        <v>642</v>
      </c>
      <c r="J21" s="2948" t="s">
        <v>643</v>
      </c>
      <c r="K21" s="2950">
        <v>127.11</v>
      </c>
      <c r="L21" s="2950">
        <v>95.66</v>
      </c>
      <c r="M21" s="2951">
        <v>13526284</v>
      </c>
      <c r="N21" s="2951">
        <v>13940408</v>
      </c>
      <c r="O21" s="2952">
        <v>12979844</v>
      </c>
      <c r="P21" s="2953">
        <v>12979844</v>
      </c>
      <c r="Q21" s="2951">
        <v>12979844</v>
      </c>
      <c r="R21" s="2954">
        <v>44204</v>
      </c>
      <c r="S21" s="2954">
        <v>44211</v>
      </c>
      <c r="T21" s="2954">
        <v>44252</v>
      </c>
      <c r="U21" s="2954">
        <v>44252</v>
      </c>
      <c r="V21" s="2948" t="s">
        <v>684</v>
      </c>
    </row>
    <row r="22" spans="1:22" s="2944" customFormat="1" ht="46.8" hidden="1">
      <c r="A22" s="2948">
        <v>21</v>
      </c>
      <c r="B22" s="2948" t="s">
        <v>635</v>
      </c>
      <c r="C22" s="2948" t="s">
        <v>636</v>
      </c>
      <c r="D22" s="2948" t="s">
        <v>637</v>
      </c>
      <c r="E22" s="2948" t="s">
        <v>638</v>
      </c>
      <c r="F22" s="2948" t="s">
        <v>685</v>
      </c>
      <c r="G22" s="2948" t="s">
        <v>640</v>
      </c>
      <c r="H22" s="2948" t="s">
        <v>649</v>
      </c>
      <c r="I22" s="2948" t="s">
        <v>642</v>
      </c>
      <c r="J22" s="2948" t="s">
        <v>643</v>
      </c>
      <c r="K22" s="2950">
        <v>147.57</v>
      </c>
      <c r="L22" s="2950">
        <v>111.06</v>
      </c>
      <c r="M22" s="2951">
        <v>15545909</v>
      </c>
      <c r="N22" s="2951">
        <v>16021970</v>
      </c>
      <c r="O22" s="2952">
        <v>15703133</v>
      </c>
      <c r="P22" s="2953">
        <v>15703133</v>
      </c>
      <c r="Q22" s="2951">
        <v>15703133</v>
      </c>
      <c r="R22" s="2954">
        <v>44204</v>
      </c>
      <c r="S22" s="2954">
        <v>44211</v>
      </c>
      <c r="T22" s="2954">
        <v>44333</v>
      </c>
      <c r="U22" s="2954">
        <v>44333</v>
      </c>
      <c r="V22" s="2948" t="s">
        <v>686</v>
      </c>
    </row>
    <row r="23" spans="1:22" s="2944" customFormat="1" ht="46.8" hidden="1">
      <c r="A23" s="2948">
        <v>22</v>
      </c>
      <c r="B23" s="2948" t="s">
        <v>635</v>
      </c>
      <c r="C23" s="2948" t="s">
        <v>636</v>
      </c>
      <c r="D23" s="2948" t="s">
        <v>637</v>
      </c>
      <c r="E23" s="2948" t="s">
        <v>638</v>
      </c>
      <c r="F23" s="2948" t="s">
        <v>687</v>
      </c>
      <c r="G23" s="2948" t="s">
        <v>640</v>
      </c>
      <c r="H23" s="2948" t="s">
        <v>646</v>
      </c>
      <c r="I23" s="2948" t="s">
        <v>642</v>
      </c>
      <c r="J23" s="2948" t="s">
        <v>643</v>
      </c>
      <c r="K23" s="2950">
        <v>127.11</v>
      </c>
      <c r="L23" s="2950">
        <v>95.66</v>
      </c>
      <c r="M23" s="2951">
        <v>13538613</v>
      </c>
      <c r="N23" s="2951">
        <v>13953119</v>
      </c>
      <c r="O23" s="2952">
        <v>13538697</v>
      </c>
      <c r="P23" s="2953">
        <v>13538697</v>
      </c>
      <c r="Q23" s="2951">
        <v>13538697</v>
      </c>
      <c r="R23" s="2954">
        <v>44206</v>
      </c>
      <c r="S23" s="2954">
        <v>44225</v>
      </c>
      <c r="T23" s="2954">
        <v>44404</v>
      </c>
      <c r="U23" s="2954">
        <v>44404</v>
      </c>
      <c r="V23" s="2948" t="s">
        <v>688</v>
      </c>
    </row>
    <row r="24" spans="1:22" s="2944" customFormat="1" ht="46.8" hidden="1">
      <c r="A24" s="2948">
        <v>23</v>
      </c>
      <c r="B24" s="2948" t="s">
        <v>635</v>
      </c>
      <c r="C24" s="2948" t="s">
        <v>636</v>
      </c>
      <c r="D24" s="2948" t="s">
        <v>637</v>
      </c>
      <c r="E24" s="2948" t="s">
        <v>638</v>
      </c>
      <c r="F24" s="2948" t="s">
        <v>689</v>
      </c>
      <c r="G24" s="2948" t="s">
        <v>640</v>
      </c>
      <c r="H24" s="2948" t="s">
        <v>649</v>
      </c>
      <c r="I24" s="2948" t="s">
        <v>642</v>
      </c>
      <c r="J24" s="2948" t="s">
        <v>643</v>
      </c>
      <c r="K24" s="2950">
        <v>147.57</v>
      </c>
      <c r="L24" s="2950">
        <v>111.06</v>
      </c>
      <c r="M24" s="2951">
        <v>15560224</v>
      </c>
      <c r="N24" s="2951">
        <v>16036727</v>
      </c>
      <c r="O24" s="2952">
        <v>15717596</v>
      </c>
      <c r="P24" s="2953">
        <v>15717596</v>
      </c>
      <c r="Q24" s="2951">
        <v>15717596</v>
      </c>
      <c r="R24" s="2954">
        <v>44203</v>
      </c>
      <c r="S24" s="2954">
        <v>44211</v>
      </c>
      <c r="T24" s="2954">
        <v>44251</v>
      </c>
      <c r="U24" s="2954">
        <v>44251</v>
      </c>
      <c r="V24" s="2948" t="s">
        <v>690</v>
      </c>
    </row>
    <row r="25" spans="1:22" s="2944" customFormat="1" ht="46.8" hidden="1">
      <c r="A25" s="2948">
        <v>24</v>
      </c>
      <c r="B25" s="2948" t="s">
        <v>635</v>
      </c>
      <c r="C25" s="2948" t="s">
        <v>636</v>
      </c>
      <c r="D25" s="2948" t="s">
        <v>637</v>
      </c>
      <c r="E25" s="2948" t="s">
        <v>638</v>
      </c>
      <c r="F25" s="2948" t="s">
        <v>691</v>
      </c>
      <c r="G25" s="2948" t="s">
        <v>640</v>
      </c>
      <c r="H25" s="2948" t="s">
        <v>646</v>
      </c>
      <c r="I25" s="2948" t="s">
        <v>642</v>
      </c>
      <c r="J25" s="2948" t="s">
        <v>643</v>
      </c>
      <c r="K25" s="2950">
        <v>127.11</v>
      </c>
      <c r="L25" s="2950">
        <v>95.66</v>
      </c>
      <c r="M25" s="2951">
        <v>13550943</v>
      </c>
      <c r="N25" s="2951">
        <v>13965830</v>
      </c>
      <c r="O25" s="2952">
        <v>13267539</v>
      </c>
      <c r="P25" s="2953">
        <v>13267539</v>
      </c>
      <c r="Q25" s="2951">
        <v>13267539</v>
      </c>
      <c r="R25" s="2954">
        <v>44748</v>
      </c>
      <c r="S25" s="2954">
        <v>44801</v>
      </c>
      <c r="T25" s="2954">
        <v>44818</v>
      </c>
      <c r="U25" s="2954">
        <v>44813</v>
      </c>
      <c r="V25" s="2948" t="s">
        <v>692</v>
      </c>
    </row>
    <row r="26" spans="1:22" s="2944" customFormat="1" ht="46.8" hidden="1">
      <c r="A26" s="2948">
        <v>25</v>
      </c>
      <c r="B26" s="2948" t="s">
        <v>635</v>
      </c>
      <c r="C26" s="2948" t="s">
        <v>636</v>
      </c>
      <c r="D26" s="2948" t="s">
        <v>637</v>
      </c>
      <c r="E26" s="2948" t="s">
        <v>638</v>
      </c>
      <c r="F26" s="2948" t="s">
        <v>693</v>
      </c>
      <c r="G26" s="2948" t="s">
        <v>640</v>
      </c>
      <c r="H26" s="2948" t="s">
        <v>649</v>
      </c>
      <c r="I26" s="2948" t="s">
        <v>642</v>
      </c>
      <c r="J26" s="2948" t="s">
        <v>643</v>
      </c>
      <c r="K26" s="2950">
        <v>147.57</v>
      </c>
      <c r="L26" s="2950">
        <v>111.06</v>
      </c>
      <c r="M26" s="2951">
        <v>15574538</v>
      </c>
      <c r="N26" s="2951">
        <v>16051484</v>
      </c>
      <c r="O26" s="2952">
        <v>16051484</v>
      </c>
      <c r="P26" s="2953">
        <v>16051484</v>
      </c>
      <c r="Q26" s="2951">
        <v>16051484</v>
      </c>
      <c r="R26" s="2954">
        <v>44219</v>
      </c>
      <c r="S26" s="2954">
        <v>44224</v>
      </c>
      <c r="T26" s="2954">
        <v>44258</v>
      </c>
      <c r="U26" s="2954">
        <v>44258</v>
      </c>
      <c r="V26" s="2948" t="s">
        <v>662</v>
      </c>
    </row>
    <row r="27" spans="1:22" s="2944" customFormat="1" ht="46.8" hidden="1">
      <c r="A27" s="2948">
        <v>26</v>
      </c>
      <c r="B27" s="2948" t="s">
        <v>635</v>
      </c>
      <c r="C27" s="2948" t="s">
        <v>636</v>
      </c>
      <c r="D27" s="2948" t="s">
        <v>637</v>
      </c>
      <c r="E27" s="2948" t="s">
        <v>638</v>
      </c>
      <c r="F27" s="2948" t="s">
        <v>694</v>
      </c>
      <c r="G27" s="2948" t="s">
        <v>640</v>
      </c>
      <c r="H27" s="2948" t="s">
        <v>646</v>
      </c>
      <c r="I27" s="2948" t="s">
        <v>642</v>
      </c>
      <c r="J27" s="2948" t="s">
        <v>643</v>
      </c>
      <c r="K27" s="2950">
        <v>127.11</v>
      </c>
      <c r="L27" s="2950">
        <v>95.66</v>
      </c>
      <c r="M27" s="2951">
        <v>13563273</v>
      </c>
      <c r="N27" s="2951">
        <v>13978541</v>
      </c>
      <c r="O27" s="2952">
        <v>13563364</v>
      </c>
      <c r="P27" s="2953">
        <v>13563364</v>
      </c>
      <c r="Q27" s="2951">
        <v>13563364</v>
      </c>
      <c r="R27" s="2954">
        <v>44207</v>
      </c>
      <c r="S27" s="2954">
        <v>44224</v>
      </c>
      <c r="T27" s="2954">
        <v>44245</v>
      </c>
      <c r="U27" s="2954">
        <v>44245</v>
      </c>
      <c r="V27" s="2948" t="s">
        <v>695</v>
      </c>
    </row>
    <row r="28" spans="1:22" s="2944" customFormat="1" ht="46.8" hidden="1">
      <c r="A28" s="2948">
        <v>27</v>
      </c>
      <c r="B28" s="2948" t="s">
        <v>635</v>
      </c>
      <c r="C28" s="2948" t="s">
        <v>636</v>
      </c>
      <c r="D28" s="2948" t="s">
        <v>637</v>
      </c>
      <c r="E28" s="2948" t="s">
        <v>638</v>
      </c>
      <c r="F28" s="2948" t="s">
        <v>696</v>
      </c>
      <c r="G28" s="2948" t="s">
        <v>640</v>
      </c>
      <c r="H28" s="2948" t="s">
        <v>649</v>
      </c>
      <c r="I28" s="2948" t="s">
        <v>642</v>
      </c>
      <c r="J28" s="2948" t="s">
        <v>643</v>
      </c>
      <c r="K28" s="2950">
        <v>147.57</v>
      </c>
      <c r="L28" s="2950">
        <v>111.06</v>
      </c>
      <c r="M28" s="2951">
        <v>15502966</v>
      </c>
      <c r="N28" s="2951">
        <v>15977699</v>
      </c>
      <c r="O28" s="2952">
        <v>15977699</v>
      </c>
      <c r="P28" s="2953">
        <v>15977699</v>
      </c>
      <c r="Q28" s="2951">
        <v>15977699</v>
      </c>
      <c r="R28" s="2954">
        <v>44224</v>
      </c>
      <c r="S28" s="2954">
        <v>44306</v>
      </c>
      <c r="T28" s="2954">
        <v>44327</v>
      </c>
      <c r="U28" s="2954">
        <v>44327</v>
      </c>
      <c r="V28" s="2948" t="s">
        <v>697</v>
      </c>
    </row>
    <row r="29" spans="1:22" s="2944" customFormat="1" ht="46.8" hidden="1">
      <c r="A29" s="2948">
        <v>28</v>
      </c>
      <c r="B29" s="2948" t="s">
        <v>635</v>
      </c>
      <c r="C29" s="2948" t="s">
        <v>636</v>
      </c>
      <c r="D29" s="2948" t="s">
        <v>637</v>
      </c>
      <c r="E29" s="2948" t="s">
        <v>638</v>
      </c>
      <c r="F29" s="2948" t="s">
        <v>698</v>
      </c>
      <c r="G29" s="2948" t="s">
        <v>640</v>
      </c>
      <c r="H29" s="2948" t="s">
        <v>646</v>
      </c>
      <c r="I29" s="2948" t="s">
        <v>642</v>
      </c>
      <c r="J29" s="2948" t="s">
        <v>643</v>
      </c>
      <c r="K29" s="2950">
        <v>127.11</v>
      </c>
      <c r="L29" s="2950">
        <v>95.66</v>
      </c>
      <c r="M29" s="2951">
        <v>13501624</v>
      </c>
      <c r="N29" s="2951">
        <v>13914986</v>
      </c>
      <c r="O29" s="2952">
        <v>13914985</v>
      </c>
      <c r="P29" s="2953">
        <v>13914985</v>
      </c>
      <c r="Q29" s="2951">
        <v>13914985</v>
      </c>
      <c r="R29" s="2954">
        <v>44224</v>
      </c>
      <c r="S29" s="2954">
        <v>44248</v>
      </c>
      <c r="T29" s="2954">
        <v>44351</v>
      </c>
      <c r="U29" s="2954">
        <v>44351</v>
      </c>
      <c r="V29" s="2948" t="s">
        <v>699</v>
      </c>
    </row>
    <row r="30" spans="1:22" s="2944" customFormat="1" ht="46.8" hidden="1">
      <c r="A30" s="2948">
        <v>29</v>
      </c>
      <c r="B30" s="2948" t="s">
        <v>635</v>
      </c>
      <c r="C30" s="2948" t="s">
        <v>636</v>
      </c>
      <c r="D30" s="2948" t="s">
        <v>637</v>
      </c>
      <c r="E30" s="2948" t="s">
        <v>700</v>
      </c>
      <c r="F30" s="2948" t="s">
        <v>639</v>
      </c>
      <c r="G30" s="2948" t="s">
        <v>640</v>
      </c>
      <c r="H30" s="2948" t="s">
        <v>646</v>
      </c>
      <c r="I30" s="2948" t="s">
        <v>642</v>
      </c>
      <c r="J30" s="2948" t="s">
        <v>643</v>
      </c>
      <c r="K30" s="2950">
        <v>127.11</v>
      </c>
      <c r="L30" s="2950">
        <v>95.66</v>
      </c>
      <c r="M30" s="2951">
        <v>12909546</v>
      </c>
      <c r="N30" s="2951">
        <v>13304858</v>
      </c>
      <c r="O30" s="2952">
        <v>13304857</v>
      </c>
      <c r="P30" s="2953">
        <v>13304857</v>
      </c>
      <c r="Q30" s="2951">
        <v>13304857</v>
      </c>
      <c r="R30" s="2954">
        <v>44651</v>
      </c>
      <c r="S30" s="2954">
        <v>44730</v>
      </c>
      <c r="T30" s="2954">
        <v>44789</v>
      </c>
      <c r="U30" s="2954">
        <v>44789</v>
      </c>
      <c r="V30" s="2948" t="s">
        <v>701</v>
      </c>
    </row>
    <row r="31" spans="1:22" s="2944" customFormat="1" ht="46.8" hidden="1">
      <c r="A31" s="2948">
        <v>30</v>
      </c>
      <c r="B31" s="2948" t="s">
        <v>635</v>
      </c>
      <c r="C31" s="2948" t="s">
        <v>636</v>
      </c>
      <c r="D31" s="2948" t="s">
        <v>637</v>
      </c>
      <c r="E31" s="2948" t="s">
        <v>700</v>
      </c>
      <c r="F31" s="2948" t="s">
        <v>645</v>
      </c>
      <c r="G31" s="2948" t="s">
        <v>640</v>
      </c>
      <c r="H31" s="2948" t="s">
        <v>641</v>
      </c>
      <c r="I31" s="2948" t="s">
        <v>642</v>
      </c>
      <c r="J31" s="2948" t="s">
        <v>643</v>
      </c>
      <c r="K31" s="2950">
        <v>129.71</v>
      </c>
      <c r="L31" s="2950">
        <v>97.62</v>
      </c>
      <c r="M31" s="2951">
        <v>13123280</v>
      </c>
      <c r="N31" s="2951">
        <v>13525121</v>
      </c>
      <c r="O31" s="2952">
        <v>13525121</v>
      </c>
      <c r="P31" s="2953">
        <v>13525121</v>
      </c>
      <c r="Q31" s="2951">
        <v>13525121</v>
      </c>
      <c r="R31" s="2954">
        <v>44274</v>
      </c>
      <c r="S31" s="2954">
        <v>44341</v>
      </c>
      <c r="T31" s="2954">
        <v>44349</v>
      </c>
      <c r="U31" s="2954">
        <v>44349</v>
      </c>
      <c r="V31" s="2948" t="s">
        <v>702</v>
      </c>
    </row>
    <row r="32" spans="1:22" s="2944" customFormat="1" ht="46.8" hidden="1">
      <c r="A32" s="2948">
        <v>31</v>
      </c>
      <c r="B32" s="2948" t="s">
        <v>635</v>
      </c>
      <c r="C32" s="2948" t="s">
        <v>636</v>
      </c>
      <c r="D32" s="2948" t="s">
        <v>637</v>
      </c>
      <c r="E32" s="2948" t="s">
        <v>700</v>
      </c>
      <c r="F32" s="2948" t="s">
        <v>648</v>
      </c>
      <c r="G32" s="2948" t="s">
        <v>640</v>
      </c>
      <c r="H32" s="2948" t="s">
        <v>646</v>
      </c>
      <c r="I32" s="2948" t="s">
        <v>642</v>
      </c>
      <c r="J32" s="2948" t="s">
        <v>643</v>
      </c>
      <c r="K32" s="2950">
        <v>127.11</v>
      </c>
      <c r="L32" s="2950">
        <v>95.66</v>
      </c>
      <c r="M32" s="2951">
        <v>13032843</v>
      </c>
      <c r="N32" s="2951">
        <v>13431968</v>
      </c>
      <c r="O32" s="2952">
        <v>13431967</v>
      </c>
      <c r="P32" s="2953">
        <v>13431967</v>
      </c>
      <c r="Q32" s="2951">
        <v>13431967</v>
      </c>
      <c r="R32" s="2954">
        <v>44253</v>
      </c>
      <c r="S32" s="2954">
        <v>44286</v>
      </c>
      <c r="T32" s="2954">
        <v>44375</v>
      </c>
      <c r="U32" s="2954">
        <v>44375</v>
      </c>
      <c r="V32" s="2948" t="s">
        <v>703</v>
      </c>
    </row>
    <row r="33" spans="1:22" s="2944" customFormat="1" ht="46.8" hidden="1">
      <c r="A33" s="2948">
        <v>32</v>
      </c>
      <c r="B33" s="2948" t="s">
        <v>635</v>
      </c>
      <c r="C33" s="2948" t="s">
        <v>636</v>
      </c>
      <c r="D33" s="2948" t="s">
        <v>637</v>
      </c>
      <c r="E33" s="2948" t="s">
        <v>700</v>
      </c>
      <c r="F33" s="2948" t="s">
        <v>651</v>
      </c>
      <c r="G33" s="2948" t="s">
        <v>640</v>
      </c>
      <c r="H33" s="2948" t="s">
        <v>649</v>
      </c>
      <c r="I33" s="2948" t="s">
        <v>642</v>
      </c>
      <c r="J33" s="2948" t="s">
        <v>643</v>
      </c>
      <c r="K33" s="2950">
        <v>147.57</v>
      </c>
      <c r="L33" s="2950">
        <v>111.06</v>
      </c>
      <c r="M33" s="2951">
        <v>15073390</v>
      </c>
      <c r="N33" s="2951">
        <v>15534989</v>
      </c>
      <c r="O33" s="2952">
        <v>15534989</v>
      </c>
      <c r="P33" s="2953">
        <v>15534989</v>
      </c>
      <c r="Q33" s="2951">
        <v>15534989</v>
      </c>
      <c r="R33" s="2954">
        <v>44327</v>
      </c>
      <c r="S33" s="2954">
        <v>44339</v>
      </c>
      <c r="T33" s="2954">
        <v>44406</v>
      </c>
      <c r="U33" s="2954">
        <v>44406</v>
      </c>
      <c r="V33" s="2948" t="s">
        <v>704</v>
      </c>
    </row>
    <row r="34" spans="1:22" s="2944" customFormat="1" ht="46.8" hidden="1">
      <c r="A34" s="2948">
        <v>33</v>
      </c>
      <c r="B34" s="2948" t="s">
        <v>635</v>
      </c>
      <c r="C34" s="2948" t="s">
        <v>636</v>
      </c>
      <c r="D34" s="2948" t="s">
        <v>637</v>
      </c>
      <c r="E34" s="2948" t="s">
        <v>700</v>
      </c>
      <c r="F34" s="2948" t="s">
        <v>653</v>
      </c>
      <c r="G34" s="2948" t="s">
        <v>640</v>
      </c>
      <c r="H34" s="2948" t="s">
        <v>646</v>
      </c>
      <c r="I34" s="2948" t="s">
        <v>642</v>
      </c>
      <c r="J34" s="2948" t="s">
        <v>643</v>
      </c>
      <c r="K34" s="2950">
        <v>127.11</v>
      </c>
      <c r="L34" s="2950">
        <v>95.66</v>
      </c>
      <c r="M34" s="2951">
        <v>13156266</v>
      </c>
      <c r="N34" s="2951">
        <v>13559078</v>
      </c>
      <c r="O34" s="2952">
        <v>12881123</v>
      </c>
      <c r="P34" s="2953">
        <v>12881123</v>
      </c>
      <c r="Q34" s="2951">
        <v>12881123</v>
      </c>
      <c r="R34" s="2954">
        <v>44311</v>
      </c>
      <c r="S34" s="2954">
        <v>44316</v>
      </c>
      <c r="T34" s="2954">
        <v>44429</v>
      </c>
      <c r="U34" s="2954">
        <v>44429</v>
      </c>
      <c r="V34" s="2948" t="s">
        <v>705</v>
      </c>
    </row>
    <row r="35" spans="1:22" s="2944" customFormat="1" ht="46.8" hidden="1">
      <c r="A35" s="2948">
        <v>34</v>
      </c>
      <c r="B35" s="2948" t="s">
        <v>635</v>
      </c>
      <c r="C35" s="2948" t="s">
        <v>636</v>
      </c>
      <c r="D35" s="2948" t="s">
        <v>637</v>
      </c>
      <c r="E35" s="2948" t="s">
        <v>700</v>
      </c>
      <c r="F35" s="2948" t="s">
        <v>655</v>
      </c>
      <c r="G35" s="2948" t="s">
        <v>640</v>
      </c>
      <c r="H35" s="2948" t="s">
        <v>649</v>
      </c>
      <c r="I35" s="2948" t="s">
        <v>642</v>
      </c>
      <c r="J35" s="2948" t="s">
        <v>643</v>
      </c>
      <c r="K35" s="2950">
        <v>147.57</v>
      </c>
      <c r="L35" s="2950">
        <v>111.06</v>
      </c>
      <c r="M35" s="2951">
        <v>15216681</v>
      </c>
      <c r="N35" s="2951">
        <v>15682559</v>
      </c>
      <c r="O35" s="2952">
        <v>15682559</v>
      </c>
      <c r="P35" s="2953">
        <v>15682559</v>
      </c>
      <c r="Q35" s="2951">
        <v>15682559</v>
      </c>
      <c r="R35" s="2954">
        <v>44222</v>
      </c>
      <c r="S35" s="2954">
        <v>44275</v>
      </c>
      <c r="T35" s="2954">
        <v>44281</v>
      </c>
      <c r="U35" s="2954">
        <v>44281</v>
      </c>
      <c r="V35" s="2948" t="s">
        <v>706</v>
      </c>
    </row>
    <row r="36" spans="1:22" s="2944" customFormat="1" ht="46.8" hidden="1">
      <c r="A36" s="2948">
        <v>35</v>
      </c>
      <c r="B36" s="2948" t="s">
        <v>635</v>
      </c>
      <c r="C36" s="2948" t="s">
        <v>636</v>
      </c>
      <c r="D36" s="2948" t="s">
        <v>637</v>
      </c>
      <c r="E36" s="2948" t="s">
        <v>700</v>
      </c>
      <c r="F36" s="2948" t="s">
        <v>657</v>
      </c>
      <c r="G36" s="2948" t="s">
        <v>640</v>
      </c>
      <c r="H36" s="2948" t="s">
        <v>646</v>
      </c>
      <c r="I36" s="2948" t="s">
        <v>642</v>
      </c>
      <c r="J36" s="2948" t="s">
        <v>643</v>
      </c>
      <c r="K36" s="2950">
        <v>127.11</v>
      </c>
      <c r="L36" s="2950">
        <v>95.66</v>
      </c>
      <c r="M36" s="2951">
        <v>13279563</v>
      </c>
      <c r="N36" s="2951">
        <v>13686188</v>
      </c>
      <c r="O36" s="2952">
        <v>13413833</v>
      </c>
      <c r="P36" s="2953">
        <v>13413833</v>
      </c>
      <c r="Q36" s="2951">
        <v>13413833</v>
      </c>
      <c r="R36" s="2954">
        <v>44203</v>
      </c>
      <c r="S36" s="2954">
        <v>44216</v>
      </c>
      <c r="T36" s="2954">
        <v>44326</v>
      </c>
      <c r="U36" s="2954">
        <v>44326</v>
      </c>
      <c r="V36" s="2948" t="s">
        <v>707</v>
      </c>
    </row>
    <row r="37" spans="1:22" s="2944" customFormat="1" ht="46.8" hidden="1">
      <c r="A37" s="2948">
        <v>36</v>
      </c>
      <c r="B37" s="2948" t="s">
        <v>635</v>
      </c>
      <c r="C37" s="2948" t="s">
        <v>636</v>
      </c>
      <c r="D37" s="2948" t="s">
        <v>637</v>
      </c>
      <c r="E37" s="2948" t="s">
        <v>700</v>
      </c>
      <c r="F37" s="2948" t="s">
        <v>659</v>
      </c>
      <c r="G37" s="2948" t="s">
        <v>640</v>
      </c>
      <c r="H37" s="2948" t="s">
        <v>649</v>
      </c>
      <c r="I37" s="2948" t="s">
        <v>642</v>
      </c>
      <c r="J37" s="2948" t="s">
        <v>643</v>
      </c>
      <c r="K37" s="2950">
        <v>147.57</v>
      </c>
      <c r="L37" s="2950">
        <v>111.06</v>
      </c>
      <c r="M37" s="2951">
        <v>15359823</v>
      </c>
      <c r="N37" s="2951">
        <v>15830129</v>
      </c>
      <c r="O37" s="2952">
        <v>15830129</v>
      </c>
      <c r="P37" s="2953">
        <v>15830129</v>
      </c>
      <c r="Q37" s="2951">
        <v>15830129</v>
      </c>
      <c r="R37" s="2954">
        <v>44279.566990740699</v>
      </c>
      <c r="S37" s="2954">
        <v>44285</v>
      </c>
      <c r="T37" s="2954">
        <v>44351</v>
      </c>
      <c r="U37" s="2954">
        <v>44351</v>
      </c>
      <c r="V37" s="2948" t="s">
        <v>708</v>
      </c>
    </row>
    <row r="38" spans="1:22" s="2944" customFormat="1" ht="46.8" hidden="1">
      <c r="A38" s="2948">
        <v>37</v>
      </c>
      <c r="B38" s="2948" t="s">
        <v>635</v>
      </c>
      <c r="C38" s="2948" t="s">
        <v>636</v>
      </c>
      <c r="D38" s="2948" t="s">
        <v>637</v>
      </c>
      <c r="E38" s="2948" t="s">
        <v>700</v>
      </c>
      <c r="F38" s="2948" t="s">
        <v>661</v>
      </c>
      <c r="G38" s="2948" t="s">
        <v>640</v>
      </c>
      <c r="H38" s="2948" t="s">
        <v>646</v>
      </c>
      <c r="I38" s="2948" t="s">
        <v>642</v>
      </c>
      <c r="J38" s="2948" t="s">
        <v>643</v>
      </c>
      <c r="K38" s="2950">
        <v>127.11</v>
      </c>
      <c r="L38" s="2950">
        <v>95.66</v>
      </c>
      <c r="M38" s="2951">
        <v>13464508</v>
      </c>
      <c r="N38" s="2951">
        <v>13876853</v>
      </c>
      <c r="O38" s="2952">
        <v>13600704</v>
      </c>
      <c r="P38" s="2953">
        <v>13600704</v>
      </c>
      <c r="Q38" s="2951">
        <v>13600704</v>
      </c>
      <c r="R38" s="2954">
        <v>44203</v>
      </c>
      <c r="S38" s="2954">
        <v>44211</v>
      </c>
      <c r="T38" s="2954">
        <v>44330</v>
      </c>
      <c r="U38" s="2954">
        <v>44330</v>
      </c>
      <c r="V38" s="2948" t="s">
        <v>709</v>
      </c>
    </row>
    <row r="39" spans="1:22" s="2944" customFormat="1" ht="46.8" hidden="1">
      <c r="A39" s="2948">
        <v>38</v>
      </c>
      <c r="B39" s="2948" t="s">
        <v>635</v>
      </c>
      <c r="C39" s="2948" t="s">
        <v>636</v>
      </c>
      <c r="D39" s="2948" t="s">
        <v>637</v>
      </c>
      <c r="E39" s="2948" t="s">
        <v>700</v>
      </c>
      <c r="F39" s="2948" t="s">
        <v>663</v>
      </c>
      <c r="G39" s="2948" t="s">
        <v>640</v>
      </c>
      <c r="H39" s="2948" t="s">
        <v>649</v>
      </c>
      <c r="I39" s="2948" t="s">
        <v>642</v>
      </c>
      <c r="J39" s="2948" t="s">
        <v>643</v>
      </c>
      <c r="K39" s="2950">
        <v>147.57</v>
      </c>
      <c r="L39" s="2950">
        <v>111.06</v>
      </c>
      <c r="M39" s="2951">
        <v>15574538</v>
      </c>
      <c r="N39" s="2951">
        <v>16051484</v>
      </c>
      <c r="O39" s="2952">
        <v>15732059</v>
      </c>
      <c r="P39" s="2953">
        <v>15732059</v>
      </c>
      <c r="Q39" s="2951">
        <v>15732059</v>
      </c>
      <c r="R39" s="2954">
        <v>44203</v>
      </c>
      <c r="S39" s="2954">
        <v>44211</v>
      </c>
      <c r="T39" s="2954">
        <v>44253</v>
      </c>
      <c r="U39" s="2954">
        <v>44253</v>
      </c>
      <c r="V39" s="2948" t="s">
        <v>710</v>
      </c>
    </row>
    <row r="40" spans="1:22" s="2944" customFormat="1" ht="46.8" hidden="1">
      <c r="A40" s="2948">
        <v>39</v>
      </c>
      <c r="B40" s="2948" t="s">
        <v>635</v>
      </c>
      <c r="C40" s="2948" t="s">
        <v>636</v>
      </c>
      <c r="D40" s="2948" t="s">
        <v>637</v>
      </c>
      <c r="E40" s="2948" t="s">
        <v>700</v>
      </c>
      <c r="F40" s="2948" t="s">
        <v>665</v>
      </c>
      <c r="G40" s="2948" t="s">
        <v>640</v>
      </c>
      <c r="H40" s="2948" t="s">
        <v>646</v>
      </c>
      <c r="I40" s="2948" t="s">
        <v>642</v>
      </c>
      <c r="J40" s="2948" t="s">
        <v>643</v>
      </c>
      <c r="K40" s="2950">
        <v>127.11</v>
      </c>
      <c r="L40" s="2950">
        <v>95.66</v>
      </c>
      <c r="M40" s="2951">
        <v>13476965</v>
      </c>
      <c r="N40" s="2951">
        <v>13889564</v>
      </c>
      <c r="O40" s="2952">
        <v>13477030</v>
      </c>
      <c r="P40" s="2953">
        <v>13477030</v>
      </c>
      <c r="Q40" s="2951">
        <v>13477030</v>
      </c>
      <c r="R40" s="2954">
        <v>44203</v>
      </c>
      <c r="S40" s="2954">
        <v>44211</v>
      </c>
      <c r="T40" s="2954">
        <v>44234</v>
      </c>
      <c r="U40" s="2954">
        <v>44234</v>
      </c>
      <c r="V40" s="2948" t="s">
        <v>711</v>
      </c>
    </row>
    <row r="41" spans="1:22" s="2944" customFormat="1" ht="46.8" hidden="1">
      <c r="A41" s="2948">
        <v>40</v>
      </c>
      <c r="B41" s="2948" t="s">
        <v>635</v>
      </c>
      <c r="C41" s="2948" t="s">
        <v>636</v>
      </c>
      <c r="D41" s="2948" t="s">
        <v>637</v>
      </c>
      <c r="E41" s="2948" t="s">
        <v>700</v>
      </c>
      <c r="F41" s="2948" t="s">
        <v>667</v>
      </c>
      <c r="G41" s="2948" t="s">
        <v>640</v>
      </c>
      <c r="H41" s="2948" t="s">
        <v>649</v>
      </c>
      <c r="I41" s="2948" t="s">
        <v>642</v>
      </c>
      <c r="J41" s="2948" t="s">
        <v>643</v>
      </c>
      <c r="K41" s="2950">
        <v>147.57</v>
      </c>
      <c r="L41" s="2950">
        <v>111.06</v>
      </c>
      <c r="M41" s="2951">
        <v>15588852</v>
      </c>
      <c r="N41" s="2951">
        <v>16066241</v>
      </c>
      <c r="O41" s="2952">
        <v>15746523</v>
      </c>
      <c r="P41" s="2953">
        <v>15746523</v>
      </c>
      <c r="Q41" s="2951">
        <v>15746523</v>
      </c>
      <c r="R41" s="2954">
        <v>44201</v>
      </c>
      <c r="S41" s="2954">
        <v>44213</v>
      </c>
      <c r="T41" s="2954">
        <v>44251</v>
      </c>
      <c r="U41" s="2954">
        <v>44251</v>
      </c>
      <c r="V41" s="2948" t="s">
        <v>712</v>
      </c>
    </row>
    <row r="42" spans="1:22" s="2944" customFormat="1" ht="46.8" hidden="1">
      <c r="A42" s="2948">
        <v>41</v>
      </c>
      <c r="B42" s="2948" t="s">
        <v>635</v>
      </c>
      <c r="C42" s="2948" t="s">
        <v>636</v>
      </c>
      <c r="D42" s="2948" t="s">
        <v>637</v>
      </c>
      <c r="E42" s="2948" t="s">
        <v>700</v>
      </c>
      <c r="F42" s="2948" t="s">
        <v>669</v>
      </c>
      <c r="G42" s="2948" t="s">
        <v>640</v>
      </c>
      <c r="H42" s="2948" t="s">
        <v>646</v>
      </c>
      <c r="I42" s="2948" t="s">
        <v>642</v>
      </c>
      <c r="J42" s="2948" t="s">
        <v>643</v>
      </c>
      <c r="K42" s="2950">
        <v>127.11</v>
      </c>
      <c r="L42" s="2950">
        <v>95.66</v>
      </c>
      <c r="M42" s="2951">
        <v>13489295</v>
      </c>
      <c r="N42" s="2951">
        <v>13902275</v>
      </c>
      <c r="O42" s="2952">
        <v>13625620</v>
      </c>
      <c r="P42" s="2953">
        <v>13625620</v>
      </c>
      <c r="Q42" s="2951">
        <v>13625620</v>
      </c>
      <c r="R42" s="2954">
        <v>44207</v>
      </c>
      <c r="S42" s="2954">
        <v>44211</v>
      </c>
      <c r="T42" s="2954">
        <v>44246</v>
      </c>
      <c r="U42" s="2954">
        <v>44246</v>
      </c>
      <c r="V42" s="2948" t="s">
        <v>713</v>
      </c>
    </row>
    <row r="43" spans="1:22" s="2944" customFormat="1" ht="46.8" hidden="1">
      <c r="A43" s="2948">
        <v>42</v>
      </c>
      <c r="B43" s="2948" t="s">
        <v>635</v>
      </c>
      <c r="C43" s="2948" t="s">
        <v>636</v>
      </c>
      <c r="D43" s="2948" t="s">
        <v>637</v>
      </c>
      <c r="E43" s="2948" t="s">
        <v>700</v>
      </c>
      <c r="F43" s="2948" t="s">
        <v>671</v>
      </c>
      <c r="G43" s="2948" t="s">
        <v>640</v>
      </c>
      <c r="H43" s="2948" t="s">
        <v>649</v>
      </c>
      <c r="I43" s="2948" t="s">
        <v>642</v>
      </c>
      <c r="J43" s="2948" t="s">
        <v>643</v>
      </c>
      <c r="K43" s="2950">
        <v>147.57</v>
      </c>
      <c r="L43" s="2950">
        <v>111.06</v>
      </c>
      <c r="M43" s="2951">
        <v>15603166</v>
      </c>
      <c r="N43" s="2951">
        <v>16080998</v>
      </c>
      <c r="O43" s="2952">
        <v>16080998</v>
      </c>
      <c r="P43" s="2953">
        <v>16080998</v>
      </c>
      <c r="Q43" s="2951">
        <v>16080998</v>
      </c>
      <c r="R43" s="2954">
        <v>44481</v>
      </c>
      <c r="S43" s="2954">
        <v>44487</v>
      </c>
      <c r="T43" s="2954">
        <v>44487</v>
      </c>
      <c r="U43" s="2954">
        <v>44487</v>
      </c>
      <c r="V43" s="2948" t="s">
        <v>714</v>
      </c>
    </row>
    <row r="44" spans="1:22" s="2944" customFormat="1" ht="46.8" hidden="1">
      <c r="A44" s="2948">
        <v>43</v>
      </c>
      <c r="B44" s="2948" t="s">
        <v>635</v>
      </c>
      <c r="C44" s="2948" t="s">
        <v>636</v>
      </c>
      <c r="D44" s="2948" t="s">
        <v>637</v>
      </c>
      <c r="E44" s="2948" t="s">
        <v>700</v>
      </c>
      <c r="F44" s="2948" t="s">
        <v>673</v>
      </c>
      <c r="G44" s="2948" t="s">
        <v>640</v>
      </c>
      <c r="H44" s="2948" t="s">
        <v>646</v>
      </c>
      <c r="I44" s="2948" t="s">
        <v>642</v>
      </c>
      <c r="J44" s="2948" t="s">
        <v>643</v>
      </c>
      <c r="K44" s="2950">
        <v>127.11</v>
      </c>
      <c r="L44" s="2950">
        <v>95.66</v>
      </c>
      <c r="M44" s="2951">
        <v>13501624</v>
      </c>
      <c r="N44" s="2951">
        <v>13914986</v>
      </c>
      <c r="O44" s="2952">
        <v>13638078</v>
      </c>
      <c r="P44" s="2953">
        <v>13638078</v>
      </c>
      <c r="Q44" s="2951">
        <v>13638078</v>
      </c>
      <c r="R44" s="2954">
        <v>44207</v>
      </c>
      <c r="S44" s="2954">
        <v>44213</v>
      </c>
      <c r="T44" s="2954">
        <v>44245</v>
      </c>
      <c r="U44" s="2954">
        <v>44245</v>
      </c>
      <c r="V44" s="2948" t="s">
        <v>715</v>
      </c>
    </row>
    <row r="45" spans="1:22" s="2944" customFormat="1" ht="46.8" hidden="1">
      <c r="A45" s="2948">
        <v>44</v>
      </c>
      <c r="B45" s="2948" t="s">
        <v>635</v>
      </c>
      <c r="C45" s="2948" t="s">
        <v>636</v>
      </c>
      <c r="D45" s="2948" t="s">
        <v>637</v>
      </c>
      <c r="E45" s="2948" t="s">
        <v>700</v>
      </c>
      <c r="F45" s="2948" t="s">
        <v>675</v>
      </c>
      <c r="G45" s="2948" t="s">
        <v>640</v>
      </c>
      <c r="H45" s="2948" t="s">
        <v>649</v>
      </c>
      <c r="I45" s="2948" t="s">
        <v>642</v>
      </c>
      <c r="J45" s="2948" t="s">
        <v>643</v>
      </c>
      <c r="K45" s="2950">
        <v>147.57</v>
      </c>
      <c r="L45" s="2950">
        <v>111.06</v>
      </c>
      <c r="M45" s="2951">
        <v>15617481</v>
      </c>
      <c r="N45" s="2951">
        <v>16095755</v>
      </c>
      <c r="O45" s="2952">
        <v>15775449</v>
      </c>
      <c r="P45" s="2953">
        <v>15775449</v>
      </c>
      <c r="Q45" s="2951">
        <v>15775449</v>
      </c>
      <c r="R45" s="2954">
        <v>44206</v>
      </c>
      <c r="S45" s="2954">
        <v>44211</v>
      </c>
      <c r="T45" s="2954">
        <v>44327</v>
      </c>
      <c r="U45" s="2954">
        <v>44327</v>
      </c>
      <c r="V45" s="2948" t="s">
        <v>716</v>
      </c>
    </row>
    <row r="46" spans="1:22" s="2944" customFormat="1" ht="46.8" hidden="1">
      <c r="A46" s="2948">
        <v>45</v>
      </c>
      <c r="B46" s="2948" t="s">
        <v>635</v>
      </c>
      <c r="C46" s="2948" t="s">
        <v>636</v>
      </c>
      <c r="D46" s="2948" t="s">
        <v>637</v>
      </c>
      <c r="E46" s="2948" t="s">
        <v>700</v>
      </c>
      <c r="F46" s="2948" t="s">
        <v>677</v>
      </c>
      <c r="G46" s="2948" t="s">
        <v>640</v>
      </c>
      <c r="H46" s="2948" t="s">
        <v>646</v>
      </c>
      <c r="I46" s="2948" t="s">
        <v>642</v>
      </c>
      <c r="J46" s="2948" t="s">
        <v>643</v>
      </c>
      <c r="K46" s="2950">
        <v>127.11</v>
      </c>
      <c r="L46" s="2950">
        <v>95.66</v>
      </c>
      <c r="M46" s="2951">
        <v>13513954</v>
      </c>
      <c r="N46" s="2951">
        <v>13927697</v>
      </c>
      <c r="O46" s="2952">
        <v>13650536</v>
      </c>
      <c r="P46" s="2953">
        <v>13650536</v>
      </c>
      <c r="Q46" s="2951">
        <v>13650536</v>
      </c>
      <c r="R46" s="2954">
        <v>44204</v>
      </c>
      <c r="S46" s="2954">
        <v>44211</v>
      </c>
      <c r="T46" s="2954">
        <v>44246</v>
      </c>
      <c r="U46" s="2954">
        <v>44246</v>
      </c>
      <c r="V46" s="2948" t="s">
        <v>717</v>
      </c>
    </row>
    <row r="47" spans="1:22" s="2944" customFormat="1" ht="46.8" hidden="1">
      <c r="A47" s="2948">
        <v>46</v>
      </c>
      <c r="B47" s="2948" t="s">
        <v>635</v>
      </c>
      <c r="C47" s="2948" t="s">
        <v>636</v>
      </c>
      <c r="D47" s="2948" t="s">
        <v>637</v>
      </c>
      <c r="E47" s="2948" t="s">
        <v>700</v>
      </c>
      <c r="F47" s="2948" t="s">
        <v>679</v>
      </c>
      <c r="G47" s="2948" t="s">
        <v>640</v>
      </c>
      <c r="H47" s="2948" t="s">
        <v>649</v>
      </c>
      <c r="I47" s="2948" t="s">
        <v>642</v>
      </c>
      <c r="J47" s="2948" t="s">
        <v>643</v>
      </c>
      <c r="K47" s="2950">
        <v>147.57</v>
      </c>
      <c r="L47" s="2950">
        <v>111.06</v>
      </c>
      <c r="M47" s="2951">
        <v>15631795</v>
      </c>
      <c r="N47" s="2951">
        <v>16110512</v>
      </c>
      <c r="O47" s="2952">
        <v>15789913</v>
      </c>
      <c r="P47" s="2953">
        <v>15789913</v>
      </c>
      <c r="Q47" s="2951">
        <v>15789913</v>
      </c>
      <c r="R47" s="2954">
        <v>44201</v>
      </c>
      <c r="S47" s="2954">
        <v>44211</v>
      </c>
      <c r="T47" s="2954">
        <v>44333</v>
      </c>
      <c r="U47" s="2954">
        <v>44333</v>
      </c>
      <c r="V47" s="2948" t="s">
        <v>718</v>
      </c>
    </row>
    <row r="48" spans="1:22" s="2944" customFormat="1" ht="46.8" hidden="1">
      <c r="A48" s="2948">
        <v>47</v>
      </c>
      <c r="B48" s="2948" t="s">
        <v>635</v>
      </c>
      <c r="C48" s="2948" t="s">
        <v>636</v>
      </c>
      <c r="D48" s="2948" t="s">
        <v>637</v>
      </c>
      <c r="E48" s="2948" t="s">
        <v>700</v>
      </c>
      <c r="F48" s="2948" t="s">
        <v>681</v>
      </c>
      <c r="G48" s="2948" t="s">
        <v>640</v>
      </c>
      <c r="H48" s="2948" t="s">
        <v>646</v>
      </c>
      <c r="I48" s="2948" t="s">
        <v>642</v>
      </c>
      <c r="J48" s="2948" t="s">
        <v>643</v>
      </c>
      <c r="K48" s="2950">
        <v>127.11</v>
      </c>
      <c r="L48" s="2950">
        <v>95.66</v>
      </c>
      <c r="M48" s="2951">
        <v>13526284</v>
      </c>
      <c r="N48" s="2951">
        <v>13940408</v>
      </c>
      <c r="O48" s="2952">
        <v>12979844</v>
      </c>
      <c r="P48" s="2953">
        <v>12979844</v>
      </c>
      <c r="Q48" s="2951">
        <v>12979844</v>
      </c>
      <c r="R48" s="2954">
        <v>44204</v>
      </c>
      <c r="S48" s="2954">
        <v>44211</v>
      </c>
      <c r="T48" s="2954">
        <v>44245</v>
      </c>
      <c r="U48" s="2954">
        <v>44245</v>
      </c>
      <c r="V48" s="2948" t="s">
        <v>719</v>
      </c>
    </row>
    <row r="49" spans="1:22" s="2944" customFormat="1" ht="46.8" hidden="1">
      <c r="A49" s="2948">
        <v>48</v>
      </c>
      <c r="B49" s="2948" t="s">
        <v>635</v>
      </c>
      <c r="C49" s="2948" t="s">
        <v>636</v>
      </c>
      <c r="D49" s="2948" t="s">
        <v>637</v>
      </c>
      <c r="E49" s="2948" t="s">
        <v>700</v>
      </c>
      <c r="F49" s="2948" t="s">
        <v>683</v>
      </c>
      <c r="G49" s="2948" t="s">
        <v>640</v>
      </c>
      <c r="H49" s="2948" t="s">
        <v>649</v>
      </c>
      <c r="I49" s="2948" t="s">
        <v>642</v>
      </c>
      <c r="J49" s="2948" t="s">
        <v>643</v>
      </c>
      <c r="K49" s="2950">
        <v>147.57</v>
      </c>
      <c r="L49" s="2950">
        <v>111.06</v>
      </c>
      <c r="M49" s="2951">
        <v>15646257</v>
      </c>
      <c r="N49" s="2951">
        <v>16125269</v>
      </c>
      <c r="O49" s="2952">
        <v>15014157</v>
      </c>
      <c r="P49" s="2953">
        <v>15014157</v>
      </c>
      <c r="Q49" s="2951">
        <v>15014157</v>
      </c>
      <c r="R49" s="2954">
        <v>44316</v>
      </c>
      <c r="S49" s="2954">
        <v>44343</v>
      </c>
      <c r="T49" s="2954">
        <v>44351</v>
      </c>
      <c r="U49" s="2954">
        <v>44351</v>
      </c>
      <c r="V49" s="2948" t="s">
        <v>720</v>
      </c>
    </row>
    <row r="50" spans="1:22" s="2944" customFormat="1" ht="46.8" hidden="1">
      <c r="A50" s="2948">
        <v>49</v>
      </c>
      <c r="B50" s="2948" t="s">
        <v>635</v>
      </c>
      <c r="C50" s="2948" t="s">
        <v>636</v>
      </c>
      <c r="D50" s="2948" t="s">
        <v>637</v>
      </c>
      <c r="E50" s="2948" t="s">
        <v>700</v>
      </c>
      <c r="F50" s="2948" t="s">
        <v>685</v>
      </c>
      <c r="G50" s="2948" t="s">
        <v>640</v>
      </c>
      <c r="H50" s="2948" t="s">
        <v>646</v>
      </c>
      <c r="I50" s="2948" t="s">
        <v>642</v>
      </c>
      <c r="J50" s="2948" t="s">
        <v>643</v>
      </c>
      <c r="K50" s="2950">
        <v>127.11</v>
      </c>
      <c r="L50" s="2950">
        <v>95.66</v>
      </c>
      <c r="M50" s="2951">
        <v>13538613</v>
      </c>
      <c r="N50" s="2951">
        <v>13953119</v>
      </c>
      <c r="O50" s="2952">
        <v>13675452</v>
      </c>
      <c r="P50" s="2953">
        <v>13675452</v>
      </c>
      <c r="Q50" s="2951">
        <v>13675452</v>
      </c>
      <c r="R50" s="2954">
        <v>44204</v>
      </c>
      <c r="S50" s="2954">
        <v>44211</v>
      </c>
      <c r="T50" s="2954">
        <v>44246</v>
      </c>
      <c r="U50" s="2954">
        <v>44246</v>
      </c>
      <c r="V50" s="2948" t="s">
        <v>717</v>
      </c>
    </row>
    <row r="51" spans="1:22" s="2944" customFormat="1" ht="46.8" hidden="1">
      <c r="A51" s="2948">
        <v>50</v>
      </c>
      <c r="B51" s="2948" t="s">
        <v>635</v>
      </c>
      <c r="C51" s="2948" t="s">
        <v>636</v>
      </c>
      <c r="D51" s="2948" t="s">
        <v>637</v>
      </c>
      <c r="E51" s="2948" t="s">
        <v>700</v>
      </c>
      <c r="F51" s="2948" t="s">
        <v>687</v>
      </c>
      <c r="G51" s="2948" t="s">
        <v>640</v>
      </c>
      <c r="H51" s="2948" t="s">
        <v>649</v>
      </c>
      <c r="I51" s="2948" t="s">
        <v>642</v>
      </c>
      <c r="J51" s="2948" t="s">
        <v>643</v>
      </c>
      <c r="K51" s="2950">
        <v>147.57</v>
      </c>
      <c r="L51" s="2950">
        <v>111.06</v>
      </c>
      <c r="M51" s="2951">
        <v>15660571</v>
      </c>
      <c r="N51" s="2951">
        <v>16140026</v>
      </c>
      <c r="O51" s="2952">
        <v>15818839</v>
      </c>
      <c r="P51" s="2953">
        <v>15818839</v>
      </c>
      <c r="Q51" s="2951">
        <v>15818839</v>
      </c>
      <c r="R51" s="2954">
        <v>44203</v>
      </c>
      <c r="S51" s="2954">
        <v>44211</v>
      </c>
      <c r="T51" s="2954">
        <v>44396</v>
      </c>
      <c r="U51" s="2954">
        <v>44396</v>
      </c>
      <c r="V51" s="2948" t="s">
        <v>721</v>
      </c>
    </row>
    <row r="52" spans="1:22" s="2944" customFormat="1" ht="46.8" hidden="1">
      <c r="A52" s="2948">
        <v>51</v>
      </c>
      <c r="B52" s="2948" t="s">
        <v>635</v>
      </c>
      <c r="C52" s="2948" t="s">
        <v>636</v>
      </c>
      <c r="D52" s="2948" t="s">
        <v>637</v>
      </c>
      <c r="E52" s="2948" t="s">
        <v>700</v>
      </c>
      <c r="F52" s="2948" t="s">
        <v>689</v>
      </c>
      <c r="G52" s="2948" t="s">
        <v>640</v>
      </c>
      <c r="H52" s="2948" t="s">
        <v>646</v>
      </c>
      <c r="I52" s="2948" t="s">
        <v>642</v>
      </c>
      <c r="J52" s="2948" t="s">
        <v>643</v>
      </c>
      <c r="K52" s="2950">
        <v>127.11</v>
      </c>
      <c r="L52" s="2950">
        <v>95.66</v>
      </c>
      <c r="M52" s="2951">
        <v>13550943</v>
      </c>
      <c r="N52" s="2951">
        <v>13965830</v>
      </c>
      <c r="O52" s="2952">
        <v>13687910</v>
      </c>
      <c r="P52" s="2953">
        <v>13687910</v>
      </c>
      <c r="Q52" s="2951">
        <v>13687910</v>
      </c>
      <c r="R52" s="2954">
        <v>44204</v>
      </c>
      <c r="S52" s="2954">
        <v>44211</v>
      </c>
      <c r="T52" s="2954">
        <v>44247</v>
      </c>
      <c r="U52" s="2954">
        <v>44247</v>
      </c>
      <c r="V52" s="2948" t="s">
        <v>722</v>
      </c>
    </row>
    <row r="53" spans="1:22" s="2944" customFormat="1" ht="46.8" hidden="1">
      <c r="A53" s="2948">
        <v>52</v>
      </c>
      <c r="B53" s="2948" t="s">
        <v>635</v>
      </c>
      <c r="C53" s="2948" t="s">
        <v>636</v>
      </c>
      <c r="D53" s="2948" t="s">
        <v>637</v>
      </c>
      <c r="E53" s="2948" t="s">
        <v>700</v>
      </c>
      <c r="F53" s="2948" t="s">
        <v>691</v>
      </c>
      <c r="G53" s="2948" t="s">
        <v>640</v>
      </c>
      <c r="H53" s="2948" t="s">
        <v>649</v>
      </c>
      <c r="I53" s="2948" t="s">
        <v>642</v>
      </c>
      <c r="J53" s="2948" t="s">
        <v>643</v>
      </c>
      <c r="K53" s="2950">
        <v>147.57</v>
      </c>
      <c r="L53" s="2950">
        <v>111.06</v>
      </c>
      <c r="M53" s="2951">
        <v>15674885</v>
      </c>
      <c r="N53" s="2951">
        <v>16154783</v>
      </c>
      <c r="O53" s="2952">
        <v>15833303</v>
      </c>
      <c r="P53" s="2953">
        <v>15833303</v>
      </c>
      <c r="Q53" s="2951">
        <v>15833303</v>
      </c>
      <c r="R53" s="2954">
        <v>44203</v>
      </c>
      <c r="S53" s="2954">
        <v>44211</v>
      </c>
      <c r="T53" s="2954">
        <v>44252</v>
      </c>
      <c r="U53" s="2954">
        <v>44252</v>
      </c>
      <c r="V53" s="2948" t="s">
        <v>723</v>
      </c>
    </row>
    <row r="54" spans="1:22" s="2944" customFormat="1" ht="46.8" hidden="1">
      <c r="A54" s="2948">
        <v>53</v>
      </c>
      <c r="B54" s="2948" t="s">
        <v>635</v>
      </c>
      <c r="C54" s="2948" t="s">
        <v>636</v>
      </c>
      <c r="D54" s="2948" t="s">
        <v>637</v>
      </c>
      <c r="E54" s="2948" t="s">
        <v>700</v>
      </c>
      <c r="F54" s="2948" t="s">
        <v>693</v>
      </c>
      <c r="G54" s="2948" t="s">
        <v>640</v>
      </c>
      <c r="H54" s="2948" t="s">
        <v>646</v>
      </c>
      <c r="I54" s="2948" t="s">
        <v>642</v>
      </c>
      <c r="J54" s="2948" t="s">
        <v>643</v>
      </c>
      <c r="K54" s="2950">
        <v>127.11</v>
      </c>
      <c r="L54" s="2950">
        <v>95.66</v>
      </c>
      <c r="M54" s="2951">
        <v>13563273</v>
      </c>
      <c r="N54" s="2951">
        <v>13978541</v>
      </c>
      <c r="O54" s="2952">
        <v>13700368</v>
      </c>
      <c r="P54" s="2953">
        <v>13700368</v>
      </c>
      <c r="Q54" s="2951">
        <v>13700368</v>
      </c>
      <c r="R54" s="2954">
        <v>44206</v>
      </c>
      <c r="S54" s="2954">
        <v>44211</v>
      </c>
      <c r="T54" s="2954">
        <v>44252</v>
      </c>
      <c r="U54" s="2954">
        <v>44252</v>
      </c>
      <c r="V54" s="2948" t="s">
        <v>724</v>
      </c>
    </row>
    <row r="55" spans="1:22" s="2944" customFormat="1" ht="46.8" hidden="1">
      <c r="A55" s="2948">
        <v>54</v>
      </c>
      <c r="B55" s="2948" t="s">
        <v>635</v>
      </c>
      <c r="C55" s="2948" t="s">
        <v>636</v>
      </c>
      <c r="D55" s="2948" t="s">
        <v>637</v>
      </c>
      <c r="E55" s="2948" t="s">
        <v>700</v>
      </c>
      <c r="F55" s="2948" t="s">
        <v>694</v>
      </c>
      <c r="G55" s="2948" t="s">
        <v>640</v>
      </c>
      <c r="H55" s="2948" t="s">
        <v>649</v>
      </c>
      <c r="I55" s="2948" t="s">
        <v>642</v>
      </c>
      <c r="J55" s="2948" t="s">
        <v>643</v>
      </c>
      <c r="K55" s="2950">
        <v>147.57</v>
      </c>
      <c r="L55" s="2950">
        <v>111.06</v>
      </c>
      <c r="M55" s="2951">
        <v>15689200</v>
      </c>
      <c r="N55" s="2951">
        <v>16169540</v>
      </c>
      <c r="O55" s="2952">
        <v>15847766</v>
      </c>
      <c r="P55" s="2953">
        <v>15847766</v>
      </c>
      <c r="Q55" s="2951">
        <v>15847766</v>
      </c>
      <c r="R55" s="2954">
        <v>44203</v>
      </c>
      <c r="S55" s="2954">
        <v>44211</v>
      </c>
      <c r="T55" s="2954">
        <v>44351</v>
      </c>
      <c r="U55" s="2954">
        <v>44351</v>
      </c>
      <c r="V55" s="2948" t="s">
        <v>725</v>
      </c>
    </row>
    <row r="56" spans="1:22" s="2944" customFormat="1" ht="46.8" hidden="1">
      <c r="A56" s="2948">
        <v>55</v>
      </c>
      <c r="B56" s="2948" t="s">
        <v>635</v>
      </c>
      <c r="C56" s="2948" t="s">
        <v>636</v>
      </c>
      <c r="D56" s="2948" t="s">
        <v>637</v>
      </c>
      <c r="E56" s="2948" t="s">
        <v>700</v>
      </c>
      <c r="F56" s="2948" t="s">
        <v>696</v>
      </c>
      <c r="G56" s="2948" t="s">
        <v>640</v>
      </c>
      <c r="H56" s="2948" t="s">
        <v>646</v>
      </c>
      <c r="I56" s="2948" t="s">
        <v>642</v>
      </c>
      <c r="J56" s="2948" t="s">
        <v>643</v>
      </c>
      <c r="K56" s="2950">
        <v>127.11</v>
      </c>
      <c r="L56" s="2950">
        <v>95.66</v>
      </c>
      <c r="M56" s="2951">
        <v>13501624</v>
      </c>
      <c r="N56" s="2951">
        <v>13914986</v>
      </c>
      <c r="O56" s="2952">
        <v>13914985</v>
      </c>
      <c r="P56" s="2953">
        <v>13914985</v>
      </c>
      <c r="Q56" s="2951">
        <v>13914985</v>
      </c>
      <c r="R56" s="2954">
        <v>44572</v>
      </c>
      <c r="S56" s="2954">
        <v>44578</v>
      </c>
      <c r="T56" s="2954">
        <v>44586</v>
      </c>
      <c r="U56" s="2954">
        <v>44586</v>
      </c>
      <c r="V56" s="2948" t="s">
        <v>726</v>
      </c>
    </row>
    <row r="57" spans="1:22" s="2944" customFormat="1" ht="46.8" hidden="1">
      <c r="A57" s="2948">
        <v>56</v>
      </c>
      <c r="B57" s="2948" t="s">
        <v>635</v>
      </c>
      <c r="C57" s="2948" t="s">
        <v>636</v>
      </c>
      <c r="D57" s="2948" t="s">
        <v>637</v>
      </c>
      <c r="E57" s="2948" t="s">
        <v>700</v>
      </c>
      <c r="F57" s="2948" t="s">
        <v>698</v>
      </c>
      <c r="G57" s="2948" t="s">
        <v>640</v>
      </c>
      <c r="H57" s="2948" t="s">
        <v>649</v>
      </c>
      <c r="I57" s="2948" t="s">
        <v>642</v>
      </c>
      <c r="J57" s="2948" t="s">
        <v>643</v>
      </c>
      <c r="K57" s="2950">
        <v>147.57</v>
      </c>
      <c r="L57" s="2950">
        <v>111.06</v>
      </c>
      <c r="M57" s="2951">
        <v>15617481</v>
      </c>
      <c r="N57" s="2951">
        <v>16095755</v>
      </c>
      <c r="O57" s="2952">
        <v>16095755</v>
      </c>
      <c r="P57" s="2953">
        <v>16095755</v>
      </c>
      <c r="Q57" s="2951">
        <v>16095755</v>
      </c>
      <c r="R57" s="2954">
        <v>44347</v>
      </c>
      <c r="S57" s="2954">
        <v>44347</v>
      </c>
      <c r="T57" s="2954">
        <v>44360</v>
      </c>
      <c r="U57" s="2954">
        <v>44360</v>
      </c>
      <c r="V57" s="2948" t="s">
        <v>727</v>
      </c>
    </row>
    <row r="58" spans="1:22" s="2944" customFormat="1" ht="46.8" hidden="1">
      <c r="A58" s="2948">
        <v>57</v>
      </c>
      <c r="B58" s="2948" t="s">
        <v>635</v>
      </c>
      <c r="C58" s="2948" t="s">
        <v>636</v>
      </c>
      <c r="D58" s="2948" t="s">
        <v>728</v>
      </c>
      <c r="E58" s="2948" t="s">
        <v>729</v>
      </c>
      <c r="F58" s="2948" t="s">
        <v>639</v>
      </c>
      <c r="G58" s="2948" t="s">
        <v>640</v>
      </c>
      <c r="H58" s="2948" t="s">
        <v>730</v>
      </c>
      <c r="I58" s="2948" t="s">
        <v>642</v>
      </c>
      <c r="J58" s="2948" t="s">
        <v>643</v>
      </c>
      <c r="K58" s="2950">
        <v>126.48</v>
      </c>
      <c r="L58" s="2950">
        <v>96.23</v>
      </c>
      <c r="M58" s="2951">
        <v>12947252</v>
      </c>
      <c r="N58" s="2951">
        <v>13343640</v>
      </c>
      <c r="O58" s="2952">
        <v>13343640</v>
      </c>
      <c r="P58" s="2953">
        <v>13343640</v>
      </c>
      <c r="Q58" s="2951">
        <v>13343640</v>
      </c>
      <c r="R58" s="2954">
        <v>44339</v>
      </c>
      <c r="S58" s="2954">
        <v>44340</v>
      </c>
      <c r="T58" s="2954">
        <v>44349</v>
      </c>
      <c r="U58" s="2954">
        <v>44349</v>
      </c>
      <c r="V58" s="2948" t="s">
        <v>731</v>
      </c>
    </row>
    <row r="59" spans="1:22" s="2944" customFormat="1" ht="46.8" hidden="1">
      <c r="A59" s="2948">
        <v>58</v>
      </c>
      <c r="B59" s="2948" t="s">
        <v>635</v>
      </c>
      <c r="C59" s="2948" t="s">
        <v>636</v>
      </c>
      <c r="D59" s="2948" t="s">
        <v>728</v>
      </c>
      <c r="E59" s="2948" t="s">
        <v>729</v>
      </c>
      <c r="F59" s="2948" t="s">
        <v>645</v>
      </c>
      <c r="G59" s="2948" t="s">
        <v>640</v>
      </c>
      <c r="H59" s="2948" t="s">
        <v>732</v>
      </c>
      <c r="I59" s="2948" t="s">
        <v>642</v>
      </c>
      <c r="J59" s="2948" t="s">
        <v>643</v>
      </c>
      <c r="K59" s="2950">
        <v>127.99</v>
      </c>
      <c r="L59" s="2950">
        <v>97.38</v>
      </c>
      <c r="M59" s="2951">
        <v>13101824</v>
      </c>
      <c r="N59" s="2951">
        <v>13502945</v>
      </c>
      <c r="O59" s="2952">
        <v>13502945</v>
      </c>
      <c r="P59" s="2953">
        <v>13502945</v>
      </c>
      <c r="Q59" s="2951">
        <v>13502945</v>
      </c>
      <c r="R59" s="2954">
        <v>45007</v>
      </c>
      <c r="S59" s="2954">
        <v>45007</v>
      </c>
      <c r="T59" s="2954">
        <v>45037</v>
      </c>
      <c r="U59" s="2954">
        <v>45037</v>
      </c>
      <c r="V59" s="2948" t="s">
        <v>733</v>
      </c>
    </row>
    <row r="60" spans="1:22" s="2944" customFormat="1" ht="46.8" hidden="1">
      <c r="A60" s="2948">
        <v>59</v>
      </c>
      <c r="B60" s="2948" t="s">
        <v>635</v>
      </c>
      <c r="C60" s="2948" t="s">
        <v>636</v>
      </c>
      <c r="D60" s="2948" t="s">
        <v>728</v>
      </c>
      <c r="E60" s="2948" t="s">
        <v>729</v>
      </c>
      <c r="F60" s="2948" t="s">
        <v>648</v>
      </c>
      <c r="G60" s="2948" t="s">
        <v>640</v>
      </c>
      <c r="H60" s="2948" t="s">
        <v>730</v>
      </c>
      <c r="I60" s="2948" t="s">
        <v>642</v>
      </c>
      <c r="J60" s="2948" t="s">
        <v>643</v>
      </c>
      <c r="K60" s="2950">
        <v>126.48</v>
      </c>
      <c r="L60" s="2950">
        <v>96.23</v>
      </c>
      <c r="M60" s="2951">
        <v>13069937</v>
      </c>
      <c r="N60" s="2951">
        <v>13470120</v>
      </c>
      <c r="O60" s="2952">
        <v>12796614</v>
      </c>
      <c r="P60" s="2953">
        <v>12796614</v>
      </c>
      <c r="Q60" s="2951">
        <v>12796614</v>
      </c>
      <c r="R60" s="2954">
        <v>44337</v>
      </c>
      <c r="S60" s="2954">
        <v>44376</v>
      </c>
      <c r="T60" s="2954">
        <v>44445</v>
      </c>
      <c r="U60" s="2954">
        <v>44445</v>
      </c>
      <c r="V60" s="2948" t="s">
        <v>734</v>
      </c>
    </row>
    <row r="61" spans="1:22" s="2944" customFormat="1" ht="46.8" hidden="1">
      <c r="A61" s="2948">
        <v>60</v>
      </c>
      <c r="B61" s="2948" t="s">
        <v>635</v>
      </c>
      <c r="C61" s="2948" t="s">
        <v>636</v>
      </c>
      <c r="D61" s="2948" t="s">
        <v>728</v>
      </c>
      <c r="E61" s="2948" t="s">
        <v>729</v>
      </c>
      <c r="F61" s="2948" t="s">
        <v>651</v>
      </c>
      <c r="G61" s="2948" t="s">
        <v>640</v>
      </c>
      <c r="H61" s="2948" t="s">
        <v>732</v>
      </c>
      <c r="I61" s="2948" t="s">
        <v>642</v>
      </c>
      <c r="J61" s="2948" t="s">
        <v>643</v>
      </c>
      <c r="K61" s="2950">
        <v>127.98</v>
      </c>
      <c r="L61" s="2950">
        <v>97.37</v>
      </c>
      <c r="M61" s="2951">
        <v>13224941</v>
      </c>
      <c r="N61" s="2951">
        <v>13628470</v>
      </c>
      <c r="O61" s="2952">
        <v>13629870</v>
      </c>
      <c r="P61" s="2953">
        <v>13629870</v>
      </c>
      <c r="Q61" s="2951">
        <v>13629870</v>
      </c>
      <c r="R61" s="2954">
        <v>44305</v>
      </c>
      <c r="S61" s="2954">
        <v>44311</v>
      </c>
      <c r="T61" s="2954">
        <v>44479</v>
      </c>
      <c r="U61" s="2954">
        <v>44478</v>
      </c>
      <c r="V61" s="2948" t="s">
        <v>735</v>
      </c>
    </row>
    <row r="62" spans="1:22" s="2944" customFormat="1" ht="46.8" hidden="1">
      <c r="A62" s="2948">
        <v>61</v>
      </c>
      <c r="B62" s="2948" t="s">
        <v>635</v>
      </c>
      <c r="C62" s="2948" t="s">
        <v>636</v>
      </c>
      <c r="D62" s="2948" t="s">
        <v>728</v>
      </c>
      <c r="E62" s="2948" t="s">
        <v>729</v>
      </c>
      <c r="F62" s="2948" t="s">
        <v>653</v>
      </c>
      <c r="G62" s="2948" t="s">
        <v>640</v>
      </c>
      <c r="H62" s="2948" t="s">
        <v>730</v>
      </c>
      <c r="I62" s="2948" t="s">
        <v>642</v>
      </c>
      <c r="J62" s="2948" t="s">
        <v>643</v>
      </c>
      <c r="K62" s="2950">
        <v>126.48</v>
      </c>
      <c r="L62" s="2950">
        <v>96.23</v>
      </c>
      <c r="M62" s="2951">
        <v>13192623</v>
      </c>
      <c r="N62" s="2951">
        <v>13596600</v>
      </c>
      <c r="O62" s="2952">
        <v>13596600</v>
      </c>
      <c r="P62" s="2953">
        <v>13596600</v>
      </c>
      <c r="Q62" s="2951">
        <v>13596600</v>
      </c>
      <c r="R62" s="2954">
        <v>44252</v>
      </c>
      <c r="S62" s="2954">
        <v>44253</v>
      </c>
      <c r="T62" s="2954">
        <v>44277</v>
      </c>
      <c r="U62" s="2954">
        <v>44277</v>
      </c>
      <c r="V62" s="2948" t="s">
        <v>736</v>
      </c>
    </row>
    <row r="63" spans="1:22" s="2944" customFormat="1" ht="46.8" hidden="1">
      <c r="A63" s="2948">
        <v>62</v>
      </c>
      <c r="B63" s="2948" t="s">
        <v>635</v>
      </c>
      <c r="C63" s="2948" t="s">
        <v>636</v>
      </c>
      <c r="D63" s="2948" t="s">
        <v>728</v>
      </c>
      <c r="E63" s="2948" t="s">
        <v>729</v>
      </c>
      <c r="F63" s="2948" t="s">
        <v>655</v>
      </c>
      <c r="G63" s="2948" t="s">
        <v>640</v>
      </c>
      <c r="H63" s="2948" t="s">
        <v>732</v>
      </c>
      <c r="I63" s="2948" t="s">
        <v>642</v>
      </c>
      <c r="J63" s="2948" t="s">
        <v>643</v>
      </c>
      <c r="K63" s="2950">
        <v>128.09</v>
      </c>
      <c r="L63" s="2950">
        <v>97.46</v>
      </c>
      <c r="M63" s="2951">
        <v>13360556</v>
      </c>
      <c r="N63" s="2951">
        <v>13769675</v>
      </c>
      <c r="O63" s="2952">
        <v>13769675</v>
      </c>
      <c r="P63" s="2953">
        <v>13769675</v>
      </c>
      <c r="Q63" s="2951">
        <v>13769675</v>
      </c>
      <c r="R63" s="2954">
        <v>44619</v>
      </c>
      <c r="S63" s="2954">
        <v>44651</v>
      </c>
      <c r="T63" s="2954">
        <v>44769</v>
      </c>
      <c r="U63" s="2954">
        <v>44769</v>
      </c>
      <c r="V63" s="2948" t="s">
        <v>737</v>
      </c>
    </row>
    <row r="64" spans="1:22" s="2944" customFormat="1" ht="46.8" hidden="1">
      <c r="A64" s="2948">
        <v>63</v>
      </c>
      <c r="B64" s="2948" t="s">
        <v>635</v>
      </c>
      <c r="C64" s="2948" t="s">
        <v>636</v>
      </c>
      <c r="D64" s="2948" t="s">
        <v>728</v>
      </c>
      <c r="E64" s="2948" t="s">
        <v>729</v>
      </c>
      <c r="F64" s="2948" t="s">
        <v>657</v>
      </c>
      <c r="G64" s="2948" t="s">
        <v>640</v>
      </c>
      <c r="H64" s="2948" t="s">
        <v>730</v>
      </c>
      <c r="I64" s="2948" t="s">
        <v>642</v>
      </c>
      <c r="J64" s="2948" t="s">
        <v>643</v>
      </c>
      <c r="K64" s="2950">
        <v>126.48</v>
      </c>
      <c r="L64" s="2950">
        <v>96.23</v>
      </c>
      <c r="M64" s="2951">
        <v>13315308</v>
      </c>
      <c r="N64" s="2951">
        <v>13723080</v>
      </c>
      <c r="O64" s="2952">
        <v>13723080</v>
      </c>
      <c r="P64" s="2953">
        <v>13723080</v>
      </c>
      <c r="Q64" s="2951">
        <v>13723080</v>
      </c>
      <c r="R64" s="2954">
        <v>44438</v>
      </c>
      <c r="S64" s="2954">
        <v>44438</v>
      </c>
      <c r="T64" s="2954">
        <v>44439</v>
      </c>
      <c r="U64" s="2954">
        <v>44439</v>
      </c>
      <c r="V64" s="2948" t="s">
        <v>738</v>
      </c>
    </row>
    <row r="65" spans="1:22" s="2944" customFormat="1" ht="46.8" hidden="1">
      <c r="A65" s="2948">
        <v>64</v>
      </c>
      <c r="B65" s="2948" t="s">
        <v>635</v>
      </c>
      <c r="C65" s="2948" t="s">
        <v>636</v>
      </c>
      <c r="D65" s="2948" t="s">
        <v>728</v>
      </c>
      <c r="E65" s="2948" t="s">
        <v>729</v>
      </c>
      <c r="F65" s="2948" t="s">
        <v>659</v>
      </c>
      <c r="G65" s="2948" t="s">
        <v>640</v>
      </c>
      <c r="H65" s="2948" t="s">
        <v>732</v>
      </c>
      <c r="I65" s="2948" t="s">
        <v>642</v>
      </c>
      <c r="J65" s="2948" t="s">
        <v>643</v>
      </c>
      <c r="K65" s="2950">
        <v>128.09</v>
      </c>
      <c r="L65" s="2950">
        <v>97.46</v>
      </c>
      <c r="M65" s="2951">
        <v>13484803</v>
      </c>
      <c r="N65" s="2951">
        <v>13897765</v>
      </c>
      <c r="O65" s="2952">
        <v>13897765</v>
      </c>
      <c r="P65" s="2953">
        <v>13897765</v>
      </c>
      <c r="Q65" s="2951">
        <v>13897765</v>
      </c>
      <c r="R65" s="2954">
        <v>44216</v>
      </c>
      <c r="S65" s="2954">
        <v>44311</v>
      </c>
      <c r="T65" s="2954">
        <v>44330</v>
      </c>
      <c r="U65" s="2954">
        <v>44330</v>
      </c>
      <c r="V65" s="2948" t="s">
        <v>739</v>
      </c>
    </row>
    <row r="66" spans="1:22" s="2944" customFormat="1" ht="46.8" hidden="1">
      <c r="A66" s="2948">
        <v>65</v>
      </c>
      <c r="B66" s="2948" t="s">
        <v>635</v>
      </c>
      <c r="C66" s="2948" t="s">
        <v>636</v>
      </c>
      <c r="D66" s="2948" t="s">
        <v>728</v>
      </c>
      <c r="E66" s="2948" t="s">
        <v>729</v>
      </c>
      <c r="F66" s="2948" t="s">
        <v>661</v>
      </c>
      <c r="G66" s="2948" t="s">
        <v>640</v>
      </c>
      <c r="H66" s="2948" t="s">
        <v>730</v>
      </c>
      <c r="I66" s="2948" t="s">
        <v>642</v>
      </c>
      <c r="J66" s="2948" t="s">
        <v>643</v>
      </c>
      <c r="K66" s="2950">
        <v>126.48</v>
      </c>
      <c r="L66" s="2950">
        <v>96.23</v>
      </c>
      <c r="M66" s="2951">
        <v>13499463</v>
      </c>
      <c r="N66" s="2951">
        <v>13912800</v>
      </c>
      <c r="O66" s="2952">
        <v>13912800</v>
      </c>
      <c r="P66" s="2953">
        <v>13912800</v>
      </c>
      <c r="Q66" s="2951">
        <v>13912800</v>
      </c>
      <c r="R66" s="2954">
        <v>44249</v>
      </c>
      <c r="S66" s="2954">
        <v>44251</v>
      </c>
      <c r="T66" s="2954">
        <v>44272</v>
      </c>
      <c r="U66" s="2954">
        <v>44272</v>
      </c>
      <c r="V66" s="2948" t="s">
        <v>740</v>
      </c>
    </row>
    <row r="67" spans="1:22" s="2944" customFormat="1" ht="46.8" hidden="1">
      <c r="A67" s="2948">
        <v>66</v>
      </c>
      <c r="B67" s="2948" t="s">
        <v>635</v>
      </c>
      <c r="C67" s="2948" t="s">
        <v>636</v>
      </c>
      <c r="D67" s="2948" t="s">
        <v>728</v>
      </c>
      <c r="E67" s="2948" t="s">
        <v>729</v>
      </c>
      <c r="F67" s="2948" t="s">
        <v>663</v>
      </c>
      <c r="G67" s="2948" t="s">
        <v>640</v>
      </c>
      <c r="H67" s="2948" t="s">
        <v>732</v>
      </c>
      <c r="I67" s="2948" t="s">
        <v>642</v>
      </c>
      <c r="J67" s="2948" t="s">
        <v>643</v>
      </c>
      <c r="K67" s="2950">
        <v>128.09</v>
      </c>
      <c r="L67" s="2950">
        <v>97.46</v>
      </c>
      <c r="M67" s="2951">
        <v>13671302</v>
      </c>
      <c r="N67" s="2951">
        <v>14089900</v>
      </c>
      <c r="O67" s="2952">
        <v>13809511</v>
      </c>
      <c r="P67" s="2953">
        <v>13809511</v>
      </c>
      <c r="Q67" s="2951">
        <v>13809511</v>
      </c>
      <c r="R67" s="2954">
        <v>44204</v>
      </c>
      <c r="S67" s="2954">
        <v>44211</v>
      </c>
      <c r="T67" s="2954">
        <v>44236</v>
      </c>
      <c r="U67" s="2954">
        <v>44236</v>
      </c>
      <c r="V67" s="2948" t="s">
        <v>741</v>
      </c>
    </row>
    <row r="68" spans="1:22" s="2944" customFormat="1" ht="46.8" hidden="1">
      <c r="A68" s="2948">
        <v>67</v>
      </c>
      <c r="B68" s="2948" t="s">
        <v>635</v>
      </c>
      <c r="C68" s="2948" t="s">
        <v>636</v>
      </c>
      <c r="D68" s="2948" t="s">
        <v>728</v>
      </c>
      <c r="E68" s="2948" t="s">
        <v>729</v>
      </c>
      <c r="F68" s="2948" t="s">
        <v>665</v>
      </c>
      <c r="G68" s="2948" t="s">
        <v>640</v>
      </c>
      <c r="H68" s="2948" t="s">
        <v>730</v>
      </c>
      <c r="I68" s="2948" t="s">
        <v>642</v>
      </c>
      <c r="J68" s="2948" t="s">
        <v>643</v>
      </c>
      <c r="K68" s="2950">
        <v>126.48</v>
      </c>
      <c r="L68" s="2950">
        <v>96.23</v>
      </c>
      <c r="M68" s="2951">
        <v>13499463</v>
      </c>
      <c r="N68" s="2951">
        <v>13912800</v>
      </c>
      <c r="O68" s="2952">
        <v>13217160</v>
      </c>
      <c r="P68" s="2953">
        <v>13217160</v>
      </c>
      <c r="Q68" s="2951">
        <v>13217160</v>
      </c>
      <c r="R68" s="2954">
        <v>44407</v>
      </c>
      <c r="S68" s="2954">
        <v>44407</v>
      </c>
      <c r="T68" s="2954">
        <v>44434</v>
      </c>
      <c r="U68" s="2954">
        <v>44434</v>
      </c>
      <c r="V68" s="2948" t="s">
        <v>742</v>
      </c>
    </row>
    <row r="69" spans="1:22" s="2944" customFormat="1" ht="46.8" hidden="1">
      <c r="A69" s="2948">
        <v>68</v>
      </c>
      <c r="B69" s="2948" t="s">
        <v>635</v>
      </c>
      <c r="C69" s="2948" t="s">
        <v>636</v>
      </c>
      <c r="D69" s="2948" t="s">
        <v>728</v>
      </c>
      <c r="E69" s="2948" t="s">
        <v>729</v>
      </c>
      <c r="F69" s="2948" t="s">
        <v>667</v>
      </c>
      <c r="G69" s="2948" t="s">
        <v>640</v>
      </c>
      <c r="H69" s="2948" t="s">
        <v>732</v>
      </c>
      <c r="I69" s="2948" t="s">
        <v>642</v>
      </c>
      <c r="J69" s="2948" t="s">
        <v>643</v>
      </c>
      <c r="K69" s="2950">
        <v>128.09</v>
      </c>
      <c r="L69" s="2950">
        <v>97.46</v>
      </c>
      <c r="M69" s="2951">
        <v>13671302</v>
      </c>
      <c r="N69" s="2951">
        <v>14089900</v>
      </c>
      <c r="O69" s="2952">
        <v>13119035</v>
      </c>
      <c r="P69" s="2953">
        <v>13119035</v>
      </c>
      <c r="Q69" s="2951">
        <v>13119035</v>
      </c>
      <c r="R69" s="2954">
        <v>44204</v>
      </c>
      <c r="S69" s="2954">
        <v>44211</v>
      </c>
      <c r="T69" s="2954">
        <v>44252</v>
      </c>
      <c r="U69" s="2954">
        <v>44252</v>
      </c>
      <c r="V69" s="2948" t="s">
        <v>743</v>
      </c>
    </row>
    <row r="70" spans="1:22" s="2944" customFormat="1" ht="46.8" hidden="1">
      <c r="A70" s="2948">
        <v>69</v>
      </c>
      <c r="B70" s="2948" t="s">
        <v>635</v>
      </c>
      <c r="C70" s="2948" t="s">
        <v>636</v>
      </c>
      <c r="D70" s="2948" t="s">
        <v>728</v>
      </c>
      <c r="E70" s="2948" t="s">
        <v>729</v>
      </c>
      <c r="F70" s="2948" t="s">
        <v>669</v>
      </c>
      <c r="G70" s="2948" t="s">
        <v>640</v>
      </c>
      <c r="H70" s="2948" t="s">
        <v>730</v>
      </c>
      <c r="I70" s="2948" t="s">
        <v>642</v>
      </c>
      <c r="J70" s="2948" t="s">
        <v>643</v>
      </c>
      <c r="K70" s="2950">
        <v>126.48</v>
      </c>
      <c r="L70" s="2950">
        <v>96.23</v>
      </c>
      <c r="M70" s="2951">
        <v>13499463</v>
      </c>
      <c r="N70" s="2951">
        <v>13912800</v>
      </c>
      <c r="O70" s="2952">
        <v>13635935</v>
      </c>
      <c r="P70" s="2953">
        <v>13635935</v>
      </c>
      <c r="Q70" s="2951">
        <v>13635935</v>
      </c>
      <c r="R70" s="2954">
        <v>44202</v>
      </c>
      <c r="S70" s="2954">
        <v>44211</v>
      </c>
      <c r="T70" s="2954">
        <v>44234</v>
      </c>
      <c r="U70" s="2954">
        <v>44234</v>
      </c>
      <c r="V70" s="2948" t="s">
        <v>744</v>
      </c>
    </row>
    <row r="71" spans="1:22" s="2944" customFormat="1" ht="46.8" hidden="1">
      <c r="A71" s="2948">
        <v>70</v>
      </c>
      <c r="B71" s="2948" t="s">
        <v>635</v>
      </c>
      <c r="C71" s="2948" t="s">
        <v>636</v>
      </c>
      <c r="D71" s="2948" t="s">
        <v>728</v>
      </c>
      <c r="E71" s="2948" t="s">
        <v>729</v>
      </c>
      <c r="F71" s="2948" t="s">
        <v>671</v>
      </c>
      <c r="G71" s="2948" t="s">
        <v>640</v>
      </c>
      <c r="H71" s="2948" t="s">
        <v>732</v>
      </c>
      <c r="I71" s="2948" t="s">
        <v>642</v>
      </c>
      <c r="J71" s="2948" t="s">
        <v>643</v>
      </c>
      <c r="K71" s="2950">
        <v>128.09</v>
      </c>
      <c r="L71" s="2950">
        <v>97.46</v>
      </c>
      <c r="M71" s="2951">
        <v>13671302</v>
      </c>
      <c r="N71" s="2951">
        <v>14089900</v>
      </c>
      <c r="O71" s="2952">
        <v>13809511</v>
      </c>
      <c r="P71" s="2953">
        <v>13809511</v>
      </c>
      <c r="Q71" s="2951">
        <v>13809511</v>
      </c>
      <c r="R71" s="2954">
        <v>44204</v>
      </c>
      <c r="S71" s="2954">
        <v>44211</v>
      </c>
      <c r="T71" s="2954">
        <v>44236</v>
      </c>
      <c r="U71" s="2954">
        <v>44236</v>
      </c>
      <c r="V71" s="2948" t="s">
        <v>745</v>
      </c>
    </row>
    <row r="72" spans="1:22" s="2944" customFormat="1" ht="46.8" hidden="1">
      <c r="A72" s="2948">
        <v>71</v>
      </c>
      <c r="B72" s="2948" t="s">
        <v>635</v>
      </c>
      <c r="C72" s="2948" t="s">
        <v>636</v>
      </c>
      <c r="D72" s="2948" t="s">
        <v>728</v>
      </c>
      <c r="E72" s="2948" t="s">
        <v>729</v>
      </c>
      <c r="F72" s="2948" t="s">
        <v>673</v>
      </c>
      <c r="G72" s="2948" t="s">
        <v>640</v>
      </c>
      <c r="H72" s="2948" t="s">
        <v>730</v>
      </c>
      <c r="I72" s="2948" t="s">
        <v>642</v>
      </c>
      <c r="J72" s="2948" t="s">
        <v>643</v>
      </c>
      <c r="K72" s="2950">
        <v>126.48</v>
      </c>
      <c r="L72" s="2950">
        <v>96.23</v>
      </c>
      <c r="M72" s="2951">
        <v>13499463</v>
      </c>
      <c r="N72" s="2951">
        <v>13912800</v>
      </c>
      <c r="O72" s="2952">
        <v>13912800</v>
      </c>
      <c r="P72" s="2953">
        <v>13912800</v>
      </c>
      <c r="Q72" s="2951">
        <v>13912800</v>
      </c>
      <c r="R72" s="2954">
        <v>44206</v>
      </c>
      <c r="S72" s="2954">
        <v>44211</v>
      </c>
      <c r="T72" s="2954">
        <v>44315</v>
      </c>
      <c r="U72" s="2954">
        <v>44315</v>
      </c>
      <c r="V72" s="2948" t="s">
        <v>746</v>
      </c>
    </row>
    <row r="73" spans="1:22" s="2944" customFormat="1" ht="46.8" hidden="1">
      <c r="A73" s="2948">
        <v>72</v>
      </c>
      <c r="B73" s="2948" t="s">
        <v>635</v>
      </c>
      <c r="C73" s="2948" t="s">
        <v>636</v>
      </c>
      <c r="D73" s="2948" t="s">
        <v>728</v>
      </c>
      <c r="E73" s="2948" t="s">
        <v>729</v>
      </c>
      <c r="F73" s="2948" t="s">
        <v>675</v>
      </c>
      <c r="G73" s="2948" t="s">
        <v>640</v>
      </c>
      <c r="H73" s="2948" t="s">
        <v>732</v>
      </c>
      <c r="I73" s="2948" t="s">
        <v>642</v>
      </c>
      <c r="J73" s="2948" t="s">
        <v>643</v>
      </c>
      <c r="K73" s="2950">
        <v>128.09</v>
      </c>
      <c r="L73" s="2950">
        <v>97.46</v>
      </c>
      <c r="M73" s="2951">
        <v>13671302</v>
      </c>
      <c r="N73" s="2951">
        <v>14089900</v>
      </c>
      <c r="O73" s="2952">
        <v>13809511</v>
      </c>
      <c r="P73" s="2953">
        <v>13809511</v>
      </c>
      <c r="Q73" s="2951">
        <v>13809511</v>
      </c>
      <c r="R73" s="2954">
        <v>44203</v>
      </c>
      <c r="S73" s="2954">
        <v>44211</v>
      </c>
      <c r="T73" s="2954">
        <v>44235</v>
      </c>
      <c r="U73" s="2954">
        <v>44235</v>
      </c>
      <c r="V73" s="2948" t="s">
        <v>747</v>
      </c>
    </row>
    <row r="74" spans="1:22" s="2944" customFormat="1" ht="46.8" hidden="1">
      <c r="A74" s="2948">
        <v>73</v>
      </c>
      <c r="B74" s="2948" t="s">
        <v>635</v>
      </c>
      <c r="C74" s="2948" t="s">
        <v>636</v>
      </c>
      <c r="D74" s="2948" t="s">
        <v>728</v>
      </c>
      <c r="E74" s="2948" t="s">
        <v>729</v>
      </c>
      <c r="F74" s="2948" t="s">
        <v>677</v>
      </c>
      <c r="G74" s="2948" t="s">
        <v>640</v>
      </c>
      <c r="H74" s="2948" t="s">
        <v>730</v>
      </c>
      <c r="I74" s="2948" t="s">
        <v>642</v>
      </c>
      <c r="J74" s="2948" t="s">
        <v>643</v>
      </c>
      <c r="K74" s="2950">
        <v>126.48</v>
      </c>
      <c r="L74" s="2950">
        <v>96.23</v>
      </c>
      <c r="M74" s="2951">
        <v>13499463</v>
      </c>
      <c r="N74" s="2951">
        <v>13912800</v>
      </c>
      <c r="O74" s="2952">
        <v>13635935</v>
      </c>
      <c r="P74" s="2953">
        <v>13635935</v>
      </c>
      <c r="Q74" s="2951">
        <v>13635935</v>
      </c>
      <c r="R74" s="2954">
        <v>44203</v>
      </c>
      <c r="S74" s="2954">
        <v>44211</v>
      </c>
      <c r="T74" s="2954">
        <v>44326</v>
      </c>
      <c r="U74" s="2954">
        <v>44326</v>
      </c>
      <c r="V74" s="2948" t="s">
        <v>748</v>
      </c>
    </row>
    <row r="75" spans="1:22" s="2944" customFormat="1" ht="46.8" hidden="1">
      <c r="A75" s="2948">
        <v>74</v>
      </c>
      <c r="B75" s="2948" t="s">
        <v>635</v>
      </c>
      <c r="C75" s="2948" t="s">
        <v>636</v>
      </c>
      <c r="D75" s="2948" t="s">
        <v>728</v>
      </c>
      <c r="E75" s="2948" t="s">
        <v>729</v>
      </c>
      <c r="F75" s="2948" t="s">
        <v>679</v>
      </c>
      <c r="G75" s="2948" t="s">
        <v>640</v>
      </c>
      <c r="H75" s="2948" t="s">
        <v>732</v>
      </c>
      <c r="I75" s="2948" t="s">
        <v>642</v>
      </c>
      <c r="J75" s="2948" t="s">
        <v>643</v>
      </c>
      <c r="K75" s="2950">
        <v>128.09</v>
      </c>
      <c r="L75" s="2950">
        <v>97.46</v>
      </c>
      <c r="M75" s="2951">
        <v>13671302</v>
      </c>
      <c r="N75" s="2951">
        <v>14089900</v>
      </c>
      <c r="O75" s="2952">
        <v>13809511</v>
      </c>
      <c r="P75" s="2953">
        <v>13809511</v>
      </c>
      <c r="Q75" s="2951">
        <v>13809511</v>
      </c>
      <c r="R75" s="2954">
        <v>44203</v>
      </c>
      <c r="S75" s="2954">
        <v>44211</v>
      </c>
      <c r="T75" s="2954">
        <v>44246</v>
      </c>
      <c r="U75" s="2954">
        <v>44246</v>
      </c>
      <c r="V75" s="2948" t="s">
        <v>749</v>
      </c>
    </row>
    <row r="76" spans="1:22" s="2944" customFormat="1" ht="46.8" hidden="1">
      <c r="A76" s="2948">
        <v>75</v>
      </c>
      <c r="B76" s="2948" t="s">
        <v>635</v>
      </c>
      <c r="C76" s="2948" t="s">
        <v>636</v>
      </c>
      <c r="D76" s="2948" t="s">
        <v>728</v>
      </c>
      <c r="E76" s="2948" t="s">
        <v>729</v>
      </c>
      <c r="F76" s="2948" t="s">
        <v>681</v>
      </c>
      <c r="G76" s="2948" t="s">
        <v>640</v>
      </c>
      <c r="H76" s="2948" t="s">
        <v>730</v>
      </c>
      <c r="I76" s="2948" t="s">
        <v>642</v>
      </c>
      <c r="J76" s="2948" t="s">
        <v>643</v>
      </c>
      <c r="K76" s="2950">
        <v>126.48</v>
      </c>
      <c r="L76" s="2950">
        <v>96.23</v>
      </c>
      <c r="M76" s="2951">
        <v>13499463</v>
      </c>
      <c r="N76" s="2951">
        <v>13912800</v>
      </c>
      <c r="O76" s="2952">
        <v>13912800</v>
      </c>
      <c r="P76" s="2953">
        <v>13912800</v>
      </c>
      <c r="Q76" s="2951">
        <v>13912800</v>
      </c>
      <c r="R76" s="2954">
        <v>44206</v>
      </c>
      <c r="S76" s="2954">
        <v>44211</v>
      </c>
      <c r="T76" s="2954">
        <v>44326</v>
      </c>
      <c r="U76" s="2954">
        <v>44326</v>
      </c>
      <c r="V76" s="2948" t="s">
        <v>750</v>
      </c>
    </row>
    <row r="77" spans="1:22" s="2944" customFormat="1" ht="46.8" hidden="1">
      <c r="A77" s="2948">
        <v>76</v>
      </c>
      <c r="B77" s="2948" t="s">
        <v>635</v>
      </c>
      <c r="C77" s="2948" t="s">
        <v>636</v>
      </c>
      <c r="D77" s="2948" t="s">
        <v>728</v>
      </c>
      <c r="E77" s="2948" t="s">
        <v>729</v>
      </c>
      <c r="F77" s="2948" t="s">
        <v>683</v>
      </c>
      <c r="G77" s="2948" t="s">
        <v>640</v>
      </c>
      <c r="H77" s="2948" t="s">
        <v>732</v>
      </c>
      <c r="I77" s="2948" t="s">
        <v>642</v>
      </c>
      <c r="J77" s="2948" t="s">
        <v>643</v>
      </c>
      <c r="K77" s="2950">
        <v>128.09</v>
      </c>
      <c r="L77" s="2950">
        <v>97.46</v>
      </c>
      <c r="M77" s="2951">
        <v>13671302</v>
      </c>
      <c r="N77" s="2951">
        <v>14089900</v>
      </c>
      <c r="O77" s="2952">
        <v>14089900</v>
      </c>
      <c r="P77" s="2953">
        <v>14089900</v>
      </c>
      <c r="Q77" s="2951">
        <v>14089900</v>
      </c>
      <c r="R77" s="2954">
        <v>44590</v>
      </c>
      <c r="S77" s="2954">
        <v>44590</v>
      </c>
      <c r="T77" s="2954">
        <v>44644</v>
      </c>
      <c r="U77" s="2954">
        <v>44644</v>
      </c>
      <c r="V77" s="2948" t="s">
        <v>751</v>
      </c>
    </row>
    <row r="78" spans="1:22" s="2944" customFormat="1" ht="46.8" hidden="1">
      <c r="A78" s="2948">
        <v>77</v>
      </c>
      <c r="B78" s="2948" t="s">
        <v>635</v>
      </c>
      <c r="C78" s="2948" t="s">
        <v>636</v>
      </c>
      <c r="D78" s="2948" t="s">
        <v>728</v>
      </c>
      <c r="E78" s="2948" t="s">
        <v>729</v>
      </c>
      <c r="F78" s="2948" t="s">
        <v>685</v>
      </c>
      <c r="G78" s="2948" t="s">
        <v>640</v>
      </c>
      <c r="H78" s="2948" t="s">
        <v>730</v>
      </c>
      <c r="I78" s="2948" t="s">
        <v>642</v>
      </c>
      <c r="J78" s="2948" t="s">
        <v>643</v>
      </c>
      <c r="K78" s="2950">
        <v>126.48</v>
      </c>
      <c r="L78" s="2950">
        <v>96.23</v>
      </c>
      <c r="M78" s="2951">
        <v>13499463</v>
      </c>
      <c r="N78" s="2951">
        <v>13912800</v>
      </c>
      <c r="O78" s="2952">
        <v>13912800</v>
      </c>
      <c r="P78" s="2953">
        <v>13912800</v>
      </c>
      <c r="Q78" s="2951">
        <v>13912800</v>
      </c>
      <c r="R78" s="2954">
        <v>44212</v>
      </c>
      <c r="S78" s="2954">
        <v>44215</v>
      </c>
      <c r="T78" s="2954">
        <v>44289</v>
      </c>
      <c r="U78" s="2954">
        <v>44277</v>
      </c>
      <c r="V78" s="2948" t="s">
        <v>752</v>
      </c>
    </row>
    <row r="79" spans="1:22" s="2944" customFormat="1" ht="46.8" hidden="1">
      <c r="A79" s="2948">
        <v>78</v>
      </c>
      <c r="B79" s="2948" t="s">
        <v>635</v>
      </c>
      <c r="C79" s="2948" t="s">
        <v>636</v>
      </c>
      <c r="D79" s="2948" t="s">
        <v>728</v>
      </c>
      <c r="E79" s="2948" t="s">
        <v>729</v>
      </c>
      <c r="F79" s="2948" t="s">
        <v>687</v>
      </c>
      <c r="G79" s="2948" t="s">
        <v>640</v>
      </c>
      <c r="H79" s="2948" t="s">
        <v>732</v>
      </c>
      <c r="I79" s="2948" t="s">
        <v>642</v>
      </c>
      <c r="J79" s="2948" t="s">
        <v>643</v>
      </c>
      <c r="K79" s="2950">
        <v>128.09</v>
      </c>
      <c r="L79" s="2950">
        <v>97.46</v>
      </c>
      <c r="M79" s="2951">
        <v>13671302</v>
      </c>
      <c r="N79" s="2951">
        <v>14089900</v>
      </c>
      <c r="O79" s="2952">
        <v>13809511</v>
      </c>
      <c r="P79" s="2953">
        <v>13809511</v>
      </c>
      <c r="Q79" s="2951">
        <v>13809511</v>
      </c>
      <c r="R79" s="2954">
        <v>44203</v>
      </c>
      <c r="S79" s="2954">
        <v>44211</v>
      </c>
      <c r="T79" s="2954">
        <v>44272</v>
      </c>
      <c r="U79" s="2954">
        <v>44272</v>
      </c>
      <c r="V79" s="2948" t="s">
        <v>753</v>
      </c>
    </row>
    <row r="80" spans="1:22" s="2944" customFormat="1" ht="46.8" hidden="1">
      <c r="A80" s="2948">
        <v>79</v>
      </c>
      <c r="B80" s="2948" t="s">
        <v>635</v>
      </c>
      <c r="C80" s="2948" t="s">
        <v>636</v>
      </c>
      <c r="D80" s="2948" t="s">
        <v>728</v>
      </c>
      <c r="E80" s="2948" t="s">
        <v>729</v>
      </c>
      <c r="F80" s="2948" t="s">
        <v>689</v>
      </c>
      <c r="G80" s="2948" t="s">
        <v>640</v>
      </c>
      <c r="H80" s="2948" t="s">
        <v>730</v>
      </c>
      <c r="I80" s="2948" t="s">
        <v>642</v>
      </c>
      <c r="J80" s="2948" t="s">
        <v>643</v>
      </c>
      <c r="K80" s="2950">
        <v>126.48</v>
      </c>
      <c r="L80" s="2950">
        <v>96.23</v>
      </c>
      <c r="M80" s="2951">
        <v>13499463</v>
      </c>
      <c r="N80" s="2951">
        <v>13912800</v>
      </c>
      <c r="O80" s="2952">
        <v>13635935</v>
      </c>
      <c r="P80" s="2953">
        <v>13635935</v>
      </c>
      <c r="Q80" s="2951">
        <v>13635935</v>
      </c>
      <c r="R80" s="2954">
        <v>44207</v>
      </c>
      <c r="S80" s="2954">
        <v>44211</v>
      </c>
      <c r="T80" s="2954">
        <v>44330</v>
      </c>
      <c r="U80" s="2954">
        <v>44330</v>
      </c>
      <c r="V80" s="2948" t="s">
        <v>754</v>
      </c>
    </row>
    <row r="81" spans="1:22" s="2944" customFormat="1" ht="46.8" hidden="1">
      <c r="A81" s="2948">
        <v>80</v>
      </c>
      <c r="B81" s="2948" t="s">
        <v>635</v>
      </c>
      <c r="C81" s="2948" t="s">
        <v>636</v>
      </c>
      <c r="D81" s="2948" t="s">
        <v>728</v>
      </c>
      <c r="E81" s="2948" t="s">
        <v>729</v>
      </c>
      <c r="F81" s="2948" t="s">
        <v>691</v>
      </c>
      <c r="G81" s="2948" t="s">
        <v>640</v>
      </c>
      <c r="H81" s="2948" t="s">
        <v>732</v>
      </c>
      <c r="I81" s="2948" t="s">
        <v>642</v>
      </c>
      <c r="J81" s="2948" t="s">
        <v>643</v>
      </c>
      <c r="K81" s="2950">
        <v>128.09</v>
      </c>
      <c r="L81" s="2950">
        <v>97.46</v>
      </c>
      <c r="M81" s="2951">
        <v>13671302</v>
      </c>
      <c r="N81" s="2951">
        <v>14089900</v>
      </c>
      <c r="O81" s="2952">
        <v>13809511</v>
      </c>
      <c r="P81" s="2953">
        <v>13809511</v>
      </c>
      <c r="Q81" s="2951">
        <v>13809511</v>
      </c>
      <c r="R81" s="2954">
        <v>44203</v>
      </c>
      <c r="S81" s="2954">
        <v>44211</v>
      </c>
      <c r="T81" s="2954">
        <v>44235</v>
      </c>
      <c r="U81" s="2954">
        <v>44235</v>
      </c>
      <c r="V81" s="2948" t="s">
        <v>755</v>
      </c>
    </row>
    <row r="82" spans="1:22" s="2944" customFormat="1" ht="46.8" hidden="1">
      <c r="A82" s="2948">
        <v>81</v>
      </c>
      <c r="B82" s="2948" t="s">
        <v>635</v>
      </c>
      <c r="C82" s="2948" t="s">
        <v>636</v>
      </c>
      <c r="D82" s="2948" t="s">
        <v>728</v>
      </c>
      <c r="E82" s="2948" t="s">
        <v>729</v>
      </c>
      <c r="F82" s="2948" t="s">
        <v>693</v>
      </c>
      <c r="G82" s="2948" t="s">
        <v>640</v>
      </c>
      <c r="H82" s="2948" t="s">
        <v>730</v>
      </c>
      <c r="I82" s="2948" t="s">
        <v>642</v>
      </c>
      <c r="J82" s="2948" t="s">
        <v>643</v>
      </c>
      <c r="K82" s="2950">
        <v>126.48</v>
      </c>
      <c r="L82" s="2950">
        <v>96.23</v>
      </c>
      <c r="M82" s="2951">
        <v>13499463</v>
      </c>
      <c r="N82" s="2951">
        <v>13912800</v>
      </c>
      <c r="O82" s="2952">
        <v>13635935</v>
      </c>
      <c r="P82" s="2953">
        <v>13635935</v>
      </c>
      <c r="Q82" s="2951">
        <v>13635935</v>
      </c>
      <c r="R82" s="2954">
        <v>44206</v>
      </c>
      <c r="S82" s="2954">
        <v>44211</v>
      </c>
      <c r="T82" s="2954">
        <v>44251</v>
      </c>
      <c r="U82" s="2954">
        <v>44251</v>
      </c>
      <c r="V82" s="2948" t="s">
        <v>756</v>
      </c>
    </row>
    <row r="83" spans="1:22" s="2944" customFormat="1" ht="46.8" hidden="1">
      <c r="A83" s="2948">
        <v>82</v>
      </c>
      <c r="B83" s="2948" t="s">
        <v>635</v>
      </c>
      <c r="C83" s="2948" t="s">
        <v>636</v>
      </c>
      <c r="D83" s="2948" t="s">
        <v>728</v>
      </c>
      <c r="E83" s="2948" t="s">
        <v>729</v>
      </c>
      <c r="F83" s="2948" t="s">
        <v>694</v>
      </c>
      <c r="G83" s="2948" t="s">
        <v>640</v>
      </c>
      <c r="H83" s="2948" t="s">
        <v>732</v>
      </c>
      <c r="I83" s="2948" t="s">
        <v>642</v>
      </c>
      <c r="J83" s="2948" t="s">
        <v>643</v>
      </c>
      <c r="K83" s="2950">
        <v>128.09</v>
      </c>
      <c r="L83" s="2950">
        <v>97.46</v>
      </c>
      <c r="M83" s="2951">
        <v>13671302</v>
      </c>
      <c r="N83" s="2951">
        <v>14089900</v>
      </c>
      <c r="O83" s="2952">
        <v>13809511</v>
      </c>
      <c r="P83" s="2953">
        <v>13809511</v>
      </c>
      <c r="Q83" s="2951">
        <v>13809511</v>
      </c>
      <c r="R83" s="2954">
        <v>44204</v>
      </c>
      <c r="S83" s="2954">
        <v>44211</v>
      </c>
      <c r="T83" s="2954">
        <v>44327</v>
      </c>
      <c r="U83" s="2954">
        <v>44327</v>
      </c>
      <c r="V83" s="2948" t="s">
        <v>757</v>
      </c>
    </row>
    <row r="84" spans="1:22" s="2944" customFormat="1" ht="46.8" hidden="1">
      <c r="A84" s="2948">
        <v>83</v>
      </c>
      <c r="B84" s="2948" t="s">
        <v>635</v>
      </c>
      <c r="C84" s="2948" t="s">
        <v>636</v>
      </c>
      <c r="D84" s="2948" t="s">
        <v>728</v>
      </c>
      <c r="E84" s="2948" t="s">
        <v>729</v>
      </c>
      <c r="F84" s="2948" t="s">
        <v>696</v>
      </c>
      <c r="G84" s="2948" t="s">
        <v>640</v>
      </c>
      <c r="H84" s="2948" t="s">
        <v>730</v>
      </c>
      <c r="I84" s="2948" t="s">
        <v>642</v>
      </c>
      <c r="J84" s="2948" t="s">
        <v>643</v>
      </c>
      <c r="K84" s="2950">
        <v>126.48</v>
      </c>
      <c r="L84" s="2950">
        <v>96.23</v>
      </c>
      <c r="M84" s="2951">
        <v>13499463</v>
      </c>
      <c r="N84" s="2951">
        <v>13912800</v>
      </c>
      <c r="O84" s="2952">
        <v>13773672</v>
      </c>
      <c r="P84" s="2953">
        <v>13773672</v>
      </c>
      <c r="Q84" s="2951">
        <v>13773672</v>
      </c>
      <c r="R84" s="2954">
        <v>44206</v>
      </c>
      <c r="S84" s="2954">
        <v>44224</v>
      </c>
      <c r="T84" s="2954">
        <v>44330</v>
      </c>
      <c r="U84" s="2954">
        <v>44330</v>
      </c>
      <c r="V84" s="2948" t="s">
        <v>758</v>
      </c>
    </row>
    <row r="85" spans="1:22" s="2944" customFormat="1" ht="46.8" hidden="1">
      <c r="A85" s="2948">
        <v>84</v>
      </c>
      <c r="B85" s="2948" t="s">
        <v>635</v>
      </c>
      <c r="C85" s="2948" t="s">
        <v>636</v>
      </c>
      <c r="D85" s="2948" t="s">
        <v>728</v>
      </c>
      <c r="E85" s="2948" t="s">
        <v>729</v>
      </c>
      <c r="F85" s="2948" t="s">
        <v>698</v>
      </c>
      <c r="G85" s="2948" t="s">
        <v>640</v>
      </c>
      <c r="H85" s="2948" t="s">
        <v>732</v>
      </c>
      <c r="I85" s="2948" t="s">
        <v>642</v>
      </c>
      <c r="J85" s="2948" t="s">
        <v>643</v>
      </c>
      <c r="K85" s="2950">
        <v>128.09</v>
      </c>
      <c r="L85" s="2950">
        <v>97.46</v>
      </c>
      <c r="M85" s="2951">
        <v>13671302</v>
      </c>
      <c r="N85" s="2951">
        <v>14089900</v>
      </c>
      <c r="O85" s="2952">
        <v>13809511</v>
      </c>
      <c r="P85" s="2953">
        <v>13809511</v>
      </c>
      <c r="Q85" s="2951">
        <v>13809511</v>
      </c>
      <c r="R85" s="2954">
        <v>44206</v>
      </c>
      <c r="S85" s="2954">
        <v>44211</v>
      </c>
      <c r="T85" s="2954">
        <v>44252</v>
      </c>
      <c r="U85" s="2954">
        <v>44252</v>
      </c>
      <c r="V85" s="2948" t="s">
        <v>759</v>
      </c>
    </row>
    <row r="86" spans="1:22" s="2944" customFormat="1" ht="46.8" hidden="1">
      <c r="A86" s="2948">
        <v>85</v>
      </c>
      <c r="B86" s="2948" t="s">
        <v>635</v>
      </c>
      <c r="C86" s="2948" t="s">
        <v>636</v>
      </c>
      <c r="D86" s="2948" t="s">
        <v>728</v>
      </c>
      <c r="E86" s="2948" t="s">
        <v>729</v>
      </c>
      <c r="F86" s="2948" t="s">
        <v>760</v>
      </c>
      <c r="G86" s="2948" t="s">
        <v>640</v>
      </c>
      <c r="H86" s="2948" t="s">
        <v>730</v>
      </c>
      <c r="I86" s="2948" t="s">
        <v>642</v>
      </c>
      <c r="J86" s="2948" t="s">
        <v>643</v>
      </c>
      <c r="K86" s="2950">
        <v>126.48</v>
      </c>
      <c r="L86" s="2950">
        <v>96.23</v>
      </c>
      <c r="M86" s="2951">
        <v>13499463</v>
      </c>
      <c r="N86" s="2951">
        <v>13912800</v>
      </c>
      <c r="O86" s="2952">
        <v>13635935</v>
      </c>
      <c r="P86" s="2953">
        <v>13635935</v>
      </c>
      <c r="Q86" s="2951">
        <v>13635935</v>
      </c>
      <c r="R86" s="2954">
        <v>44204</v>
      </c>
      <c r="S86" s="2954">
        <v>44216</v>
      </c>
      <c r="T86" s="2954">
        <v>44330</v>
      </c>
      <c r="U86" s="2954">
        <v>44330</v>
      </c>
      <c r="V86" s="2948" t="s">
        <v>761</v>
      </c>
    </row>
    <row r="87" spans="1:22" s="2944" customFormat="1" ht="46.8" hidden="1">
      <c r="A87" s="2948">
        <v>86</v>
      </c>
      <c r="B87" s="2948" t="s">
        <v>635</v>
      </c>
      <c r="C87" s="2948" t="s">
        <v>636</v>
      </c>
      <c r="D87" s="2948" t="s">
        <v>728</v>
      </c>
      <c r="E87" s="2948" t="s">
        <v>729</v>
      </c>
      <c r="F87" s="2948" t="s">
        <v>762</v>
      </c>
      <c r="G87" s="2948" t="s">
        <v>640</v>
      </c>
      <c r="H87" s="2948" t="s">
        <v>732</v>
      </c>
      <c r="I87" s="2948" t="s">
        <v>642</v>
      </c>
      <c r="J87" s="2948" t="s">
        <v>643</v>
      </c>
      <c r="K87" s="2950">
        <v>128.09</v>
      </c>
      <c r="L87" s="2950">
        <v>97.46</v>
      </c>
      <c r="M87" s="2951">
        <v>13671302</v>
      </c>
      <c r="N87" s="2951">
        <v>14089900</v>
      </c>
      <c r="O87" s="2952">
        <v>13119035</v>
      </c>
      <c r="P87" s="2953">
        <v>13119035</v>
      </c>
      <c r="Q87" s="2951">
        <v>13119035</v>
      </c>
      <c r="R87" s="2954">
        <v>44204</v>
      </c>
      <c r="S87" s="2954">
        <v>44211</v>
      </c>
      <c r="T87" s="2954">
        <v>44252</v>
      </c>
      <c r="U87" s="2954">
        <v>44252</v>
      </c>
      <c r="V87" s="2948" t="s">
        <v>763</v>
      </c>
    </row>
    <row r="88" spans="1:22" s="2944" customFormat="1" ht="46.8" hidden="1">
      <c r="A88" s="2948">
        <v>87</v>
      </c>
      <c r="B88" s="2948" t="s">
        <v>635</v>
      </c>
      <c r="C88" s="2948" t="s">
        <v>636</v>
      </c>
      <c r="D88" s="2948" t="s">
        <v>728</v>
      </c>
      <c r="E88" s="2948" t="s">
        <v>729</v>
      </c>
      <c r="F88" s="2948" t="s">
        <v>764</v>
      </c>
      <c r="G88" s="2948" t="s">
        <v>640</v>
      </c>
      <c r="H88" s="2948" t="s">
        <v>730</v>
      </c>
      <c r="I88" s="2948" t="s">
        <v>642</v>
      </c>
      <c r="J88" s="2948" t="s">
        <v>643</v>
      </c>
      <c r="K88" s="2950">
        <v>126.48</v>
      </c>
      <c r="L88" s="2950">
        <v>96.23</v>
      </c>
      <c r="M88" s="2951">
        <v>13499463</v>
      </c>
      <c r="N88" s="2951">
        <v>13912800</v>
      </c>
      <c r="O88" s="2952">
        <v>13912800</v>
      </c>
      <c r="P88" s="2953">
        <v>13912800</v>
      </c>
      <c r="Q88" s="2951">
        <v>13912800</v>
      </c>
      <c r="R88" s="2954">
        <v>44274</v>
      </c>
      <c r="S88" s="2954">
        <v>44274</v>
      </c>
      <c r="T88" s="2954">
        <v>44284</v>
      </c>
      <c r="U88" s="2954">
        <v>44284</v>
      </c>
      <c r="V88" s="2948" t="s">
        <v>765</v>
      </c>
    </row>
    <row r="89" spans="1:22" s="2944" customFormat="1" ht="46.8" hidden="1">
      <c r="A89" s="2948">
        <v>88</v>
      </c>
      <c r="B89" s="2948" t="s">
        <v>635</v>
      </c>
      <c r="C89" s="2948" t="s">
        <v>636</v>
      </c>
      <c r="D89" s="2948" t="s">
        <v>728</v>
      </c>
      <c r="E89" s="2948" t="s">
        <v>729</v>
      </c>
      <c r="F89" s="2948" t="s">
        <v>766</v>
      </c>
      <c r="G89" s="2948" t="s">
        <v>640</v>
      </c>
      <c r="H89" s="2948" t="s">
        <v>732</v>
      </c>
      <c r="I89" s="2948" t="s">
        <v>642</v>
      </c>
      <c r="J89" s="2948" t="s">
        <v>643</v>
      </c>
      <c r="K89" s="2950">
        <v>128.09</v>
      </c>
      <c r="L89" s="2950">
        <v>97.46</v>
      </c>
      <c r="M89" s="2951">
        <v>13671302</v>
      </c>
      <c r="N89" s="2951">
        <v>14089900</v>
      </c>
      <c r="O89" s="2952">
        <v>13809511</v>
      </c>
      <c r="P89" s="2953">
        <v>13809511</v>
      </c>
      <c r="Q89" s="2951">
        <v>13809511</v>
      </c>
      <c r="R89" s="2954">
        <v>44206</v>
      </c>
      <c r="S89" s="2954">
        <v>44211</v>
      </c>
      <c r="T89" s="2954">
        <v>44236</v>
      </c>
      <c r="U89" s="2954">
        <v>44236</v>
      </c>
      <c r="V89" s="2948" t="s">
        <v>767</v>
      </c>
    </row>
    <row r="90" spans="1:22" s="2944" customFormat="1" ht="46.8" hidden="1">
      <c r="A90" s="2948">
        <v>89</v>
      </c>
      <c r="B90" s="2948" t="s">
        <v>635</v>
      </c>
      <c r="C90" s="2948" t="s">
        <v>636</v>
      </c>
      <c r="D90" s="2948" t="s">
        <v>728</v>
      </c>
      <c r="E90" s="2948" t="s">
        <v>729</v>
      </c>
      <c r="F90" s="2948" t="s">
        <v>768</v>
      </c>
      <c r="G90" s="2948" t="s">
        <v>640</v>
      </c>
      <c r="H90" s="2948" t="s">
        <v>730</v>
      </c>
      <c r="I90" s="2948" t="s">
        <v>642</v>
      </c>
      <c r="J90" s="2948" t="s">
        <v>643</v>
      </c>
      <c r="K90" s="2950">
        <v>126.48</v>
      </c>
      <c r="L90" s="2950">
        <v>96.23</v>
      </c>
      <c r="M90" s="2951">
        <v>13499463</v>
      </c>
      <c r="N90" s="2951">
        <v>13912800</v>
      </c>
      <c r="O90" s="2952">
        <v>13912800</v>
      </c>
      <c r="P90" s="2953">
        <v>13912800</v>
      </c>
      <c r="Q90" s="2951">
        <v>13912800</v>
      </c>
      <c r="R90" s="2954">
        <v>44249</v>
      </c>
      <c r="S90" s="2954">
        <v>44253</v>
      </c>
      <c r="T90" s="2954">
        <v>44370</v>
      </c>
      <c r="U90" s="2954">
        <v>44370</v>
      </c>
      <c r="V90" s="2948" t="s">
        <v>769</v>
      </c>
    </row>
    <row r="91" spans="1:22" s="2944" customFormat="1" ht="46.8" hidden="1">
      <c r="A91" s="2948">
        <v>90</v>
      </c>
      <c r="B91" s="2948" t="s">
        <v>635</v>
      </c>
      <c r="C91" s="2948" t="s">
        <v>636</v>
      </c>
      <c r="D91" s="2948" t="s">
        <v>728</v>
      </c>
      <c r="E91" s="2948" t="s">
        <v>729</v>
      </c>
      <c r="F91" s="2948" t="s">
        <v>770</v>
      </c>
      <c r="G91" s="2948" t="s">
        <v>640</v>
      </c>
      <c r="H91" s="2948" t="s">
        <v>732</v>
      </c>
      <c r="I91" s="2948" t="s">
        <v>642</v>
      </c>
      <c r="J91" s="2948" t="s">
        <v>643</v>
      </c>
      <c r="K91" s="2950">
        <v>128.09</v>
      </c>
      <c r="L91" s="2950">
        <v>97.46</v>
      </c>
      <c r="M91" s="2951">
        <v>13671302</v>
      </c>
      <c r="N91" s="2951">
        <v>14089900</v>
      </c>
      <c r="O91" s="2952">
        <v>13809511</v>
      </c>
      <c r="P91" s="2953">
        <v>13809511</v>
      </c>
      <c r="Q91" s="2951">
        <v>13809511</v>
      </c>
      <c r="R91" s="2954">
        <v>44203</v>
      </c>
      <c r="S91" s="2954">
        <v>44211</v>
      </c>
      <c r="T91" s="2954">
        <v>44278</v>
      </c>
      <c r="U91" s="2954">
        <v>44274</v>
      </c>
      <c r="V91" s="2948" t="s">
        <v>771</v>
      </c>
    </row>
    <row r="92" spans="1:22" s="2944" customFormat="1" ht="46.8" hidden="1">
      <c r="A92" s="2948">
        <v>91</v>
      </c>
      <c r="B92" s="2948" t="s">
        <v>635</v>
      </c>
      <c r="C92" s="2948" t="s">
        <v>636</v>
      </c>
      <c r="D92" s="2948" t="s">
        <v>772</v>
      </c>
      <c r="E92" s="2948" t="s">
        <v>638</v>
      </c>
      <c r="F92" s="2948" t="s">
        <v>639</v>
      </c>
      <c r="G92" s="2948" t="s">
        <v>640</v>
      </c>
      <c r="H92" s="2948" t="s">
        <v>773</v>
      </c>
      <c r="I92" s="2948" t="s">
        <v>642</v>
      </c>
      <c r="J92" s="2948" t="s">
        <v>643</v>
      </c>
      <c r="K92" s="2950">
        <v>148.13999999999999</v>
      </c>
      <c r="L92" s="2950">
        <v>111.06</v>
      </c>
      <c r="M92" s="2951">
        <v>14585420</v>
      </c>
      <c r="N92" s="2951">
        <v>15032062</v>
      </c>
      <c r="O92" s="2952">
        <v>15032062</v>
      </c>
      <c r="P92" s="2953">
        <v>15032062</v>
      </c>
      <c r="Q92" s="2951">
        <v>15032062</v>
      </c>
      <c r="R92" s="2954">
        <v>44421</v>
      </c>
      <c r="S92" s="2954">
        <v>44425</v>
      </c>
      <c r="T92" s="2954">
        <v>44433</v>
      </c>
      <c r="U92" s="2954">
        <v>44433</v>
      </c>
      <c r="V92" s="2948" t="s">
        <v>774</v>
      </c>
    </row>
    <row r="93" spans="1:22" s="2944" customFormat="1" ht="46.8" hidden="1">
      <c r="A93" s="2948">
        <v>92</v>
      </c>
      <c r="B93" s="2948" t="s">
        <v>635</v>
      </c>
      <c r="C93" s="2948" t="s">
        <v>636</v>
      </c>
      <c r="D93" s="2948" t="s">
        <v>772</v>
      </c>
      <c r="E93" s="2948" t="s">
        <v>638</v>
      </c>
      <c r="F93" s="2948" t="s">
        <v>645</v>
      </c>
      <c r="G93" s="2948" t="s">
        <v>640</v>
      </c>
      <c r="H93" s="2948" t="s">
        <v>775</v>
      </c>
      <c r="I93" s="2948" t="s">
        <v>642</v>
      </c>
      <c r="J93" s="2948" t="s">
        <v>643</v>
      </c>
      <c r="K93" s="2950">
        <v>127.49</v>
      </c>
      <c r="L93" s="2950">
        <v>95.58</v>
      </c>
      <c r="M93" s="2951">
        <v>12812108</v>
      </c>
      <c r="N93" s="2951">
        <v>13204394</v>
      </c>
      <c r="O93" s="2952">
        <v>13204394</v>
      </c>
      <c r="P93" s="2953">
        <v>13204394</v>
      </c>
      <c r="Q93" s="2951">
        <v>13204394</v>
      </c>
      <c r="R93" s="2954">
        <v>44371</v>
      </c>
      <c r="S93" s="2954">
        <v>44371</v>
      </c>
      <c r="T93" s="2954">
        <v>44405</v>
      </c>
      <c r="U93" s="2954">
        <v>44405</v>
      </c>
      <c r="V93" s="2948" t="s">
        <v>776</v>
      </c>
    </row>
    <row r="94" spans="1:22" s="2944" customFormat="1" ht="46.8" hidden="1">
      <c r="A94" s="2948">
        <v>93</v>
      </c>
      <c r="B94" s="2948" t="s">
        <v>635</v>
      </c>
      <c r="C94" s="2948" t="s">
        <v>636</v>
      </c>
      <c r="D94" s="2948" t="s">
        <v>772</v>
      </c>
      <c r="E94" s="2948" t="s">
        <v>638</v>
      </c>
      <c r="F94" s="2948" t="s">
        <v>648</v>
      </c>
      <c r="G94" s="2948" t="s">
        <v>640</v>
      </c>
      <c r="H94" s="2948" t="s">
        <v>773</v>
      </c>
      <c r="I94" s="2948" t="s">
        <v>642</v>
      </c>
      <c r="J94" s="2948" t="s">
        <v>643</v>
      </c>
      <c r="K94" s="2950">
        <v>148.13999999999999</v>
      </c>
      <c r="L94" s="2950">
        <v>111.06</v>
      </c>
      <c r="M94" s="2951">
        <v>14729116</v>
      </c>
      <c r="N94" s="2951">
        <v>15180202</v>
      </c>
      <c r="O94" s="2952">
        <v>15180202</v>
      </c>
      <c r="P94" s="2953">
        <v>15180202</v>
      </c>
      <c r="Q94" s="2951">
        <v>15180202</v>
      </c>
      <c r="R94" s="2954">
        <v>44281</v>
      </c>
      <c r="S94" s="2954">
        <v>44281</v>
      </c>
      <c r="T94" s="2954">
        <v>44333</v>
      </c>
      <c r="U94" s="2954">
        <v>44333</v>
      </c>
      <c r="V94" s="2948" t="s">
        <v>777</v>
      </c>
    </row>
    <row r="95" spans="1:22" s="2944" customFormat="1" ht="46.8" hidden="1">
      <c r="A95" s="2948">
        <v>94</v>
      </c>
      <c r="B95" s="2948" t="s">
        <v>635</v>
      </c>
      <c r="C95" s="2948" t="s">
        <v>636</v>
      </c>
      <c r="D95" s="2948" t="s">
        <v>772</v>
      </c>
      <c r="E95" s="2948" t="s">
        <v>638</v>
      </c>
      <c r="F95" s="2948" t="s">
        <v>651</v>
      </c>
      <c r="G95" s="2948" t="s">
        <v>640</v>
      </c>
      <c r="H95" s="2948" t="s">
        <v>778</v>
      </c>
      <c r="I95" s="2948" t="s">
        <v>642</v>
      </c>
      <c r="J95" s="2948" t="s">
        <v>643</v>
      </c>
      <c r="K95" s="2950">
        <v>127.48</v>
      </c>
      <c r="L95" s="2950">
        <v>95.57</v>
      </c>
      <c r="M95" s="2951">
        <v>12934758</v>
      </c>
      <c r="N95" s="2951">
        <v>13330839</v>
      </c>
      <c r="O95" s="2952">
        <v>13065555</v>
      </c>
      <c r="P95" s="2953">
        <v>13065555</v>
      </c>
      <c r="Q95" s="2951">
        <v>13065555</v>
      </c>
      <c r="R95" s="2954">
        <v>44201</v>
      </c>
      <c r="S95" s="2954">
        <v>44253</v>
      </c>
      <c r="T95" s="2954">
        <v>44767</v>
      </c>
      <c r="U95" s="2954">
        <v>44767</v>
      </c>
      <c r="V95" s="2948" t="s">
        <v>779</v>
      </c>
    </row>
    <row r="96" spans="1:22" s="2944" customFormat="1" ht="46.8" hidden="1">
      <c r="A96" s="2948">
        <v>95</v>
      </c>
      <c r="B96" s="2948" t="s">
        <v>635</v>
      </c>
      <c r="C96" s="2948" t="s">
        <v>636</v>
      </c>
      <c r="D96" s="2948" t="s">
        <v>772</v>
      </c>
      <c r="E96" s="2948" t="s">
        <v>638</v>
      </c>
      <c r="F96" s="2948" t="s">
        <v>653</v>
      </c>
      <c r="G96" s="2948" t="s">
        <v>640</v>
      </c>
      <c r="H96" s="2948" t="s">
        <v>773</v>
      </c>
      <c r="I96" s="2948" t="s">
        <v>642</v>
      </c>
      <c r="J96" s="2948" t="s">
        <v>643</v>
      </c>
      <c r="K96" s="2950">
        <v>148.13999999999999</v>
      </c>
      <c r="L96" s="2950">
        <v>111.06</v>
      </c>
      <c r="M96" s="2951">
        <v>14872960</v>
      </c>
      <c r="N96" s="2951">
        <v>15328342</v>
      </c>
      <c r="O96" s="2952">
        <v>15328342</v>
      </c>
      <c r="P96" s="2953">
        <v>15328342</v>
      </c>
      <c r="Q96" s="2951">
        <v>15328342</v>
      </c>
      <c r="R96" s="2954">
        <v>44274</v>
      </c>
      <c r="S96" s="2954">
        <v>44280</v>
      </c>
      <c r="T96" s="2954">
        <v>44371</v>
      </c>
      <c r="U96" s="2954">
        <v>44371</v>
      </c>
      <c r="V96" s="2948" t="s">
        <v>780</v>
      </c>
    </row>
    <row r="97" spans="1:22" s="2944" customFormat="1" ht="46.8" hidden="1">
      <c r="A97" s="2948">
        <v>96</v>
      </c>
      <c r="B97" s="2948" t="s">
        <v>635</v>
      </c>
      <c r="C97" s="2948" t="s">
        <v>636</v>
      </c>
      <c r="D97" s="2948" t="s">
        <v>772</v>
      </c>
      <c r="E97" s="2948" t="s">
        <v>638</v>
      </c>
      <c r="F97" s="2948" t="s">
        <v>655</v>
      </c>
      <c r="G97" s="2948" t="s">
        <v>640</v>
      </c>
      <c r="H97" s="2948" t="s">
        <v>781</v>
      </c>
      <c r="I97" s="2948" t="s">
        <v>642</v>
      </c>
      <c r="J97" s="2948" t="s">
        <v>643</v>
      </c>
      <c r="K97" s="2950">
        <v>127.6</v>
      </c>
      <c r="L97" s="2950">
        <v>95.66</v>
      </c>
      <c r="M97" s="2951">
        <v>13070706</v>
      </c>
      <c r="N97" s="2951">
        <v>13470987</v>
      </c>
      <c r="O97" s="2952">
        <v>13202914</v>
      </c>
      <c r="P97" s="2953">
        <v>13202914</v>
      </c>
      <c r="Q97" s="2951">
        <v>13202914</v>
      </c>
      <c r="R97" s="2954">
        <v>44203</v>
      </c>
      <c r="S97" s="2954">
        <v>44224</v>
      </c>
      <c r="T97" s="2954">
        <v>44326</v>
      </c>
      <c r="U97" s="2954">
        <v>44326</v>
      </c>
      <c r="V97" s="2948" t="s">
        <v>782</v>
      </c>
    </row>
    <row r="98" spans="1:22" s="2944" customFormat="1" ht="46.8" hidden="1">
      <c r="A98" s="2948">
        <v>97</v>
      </c>
      <c r="B98" s="2948" t="s">
        <v>635</v>
      </c>
      <c r="C98" s="2948" t="s">
        <v>636</v>
      </c>
      <c r="D98" s="2948" t="s">
        <v>772</v>
      </c>
      <c r="E98" s="2948" t="s">
        <v>638</v>
      </c>
      <c r="F98" s="2948" t="s">
        <v>657</v>
      </c>
      <c r="G98" s="2948" t="s">
        <v>640</v>
      </c>
      <c r="H98" s="2948" t="s">
        <v>773</v>
      </c>
      <c r="I98" s="2948" t="s">
        <v>642</v>
      </c>
      <c r="J98" s="2948" t="s">
        <v>643</v>
      </c>
      <c r="K98" s="2950">
        <v>148.13999999999999</v>
      </c>
      <c r="L98" s="2950">
        <v>111.06</v>
      </c>
      <c r="M98" s="2951">
        <v>15016656</v>
      </c>
      <c r="N98" s="2951">
        <v>15476482</v>
      </c>
      <c r="O98" s="2952">
        <v>15476482</v>
      </c>
      <c r="P98" s="2953">
        <v>15476482</v>
      </c>
      <c r="Q98" s="2951">
        <v>15476482</v>
      </c>
      <c r="R98" s="2954">
        <v>44368</v>
      </c>
      <c r="S98" s="2954">
        <v>44368</v>
      </c>
      <c r="T98" s="2954">
        <v>44407</v>
      </c>
      <c r="U98" s="2954">
        <v>44407</v>
      </c>
      <c r="V98" s="2948" t="s">
        <v>783</v>
      </c>
    </row>
    <row r="99" spans="1:22" s="2944" customFormat="1" ht="46.8" hidden="1">
      <c r="A99" s="2948">
        <v>98</v>
      </c>
      <c r="B99" s="2948" t="s">
        <v>635</v>
      </c>
      <c r="C99" s="2948" t="s">
        <v>636</v>
      </c>
      <c r="D99" s="2948" t="s">
        <v>772</v>
      </c>
      <c r="E99" s="2948" t="s">
        <v>638</v>
      </c>
      <c r="F99" s="2948" t="s">
        <v>659</v>
      </c>
      <c r="G99" s="2948" t="s">
        <v>640</v>
      </c>
      <c r="H99" s="2948" t="s">
        <v>781</v>
      </c>
      <c r="I99" s="2948" t="s">
        <v>642</v>
      </c>
      <c r="J99" s="2948" t="s">
        <v>643</v>
      </c>
      <c r="K99" s="2950">
        <v>127.6</v>
      </c>
      <c r="L99" s="2950">
        <v>95.66</v>
      </c>
      <c r="M99" s="2951">
        <v>13194606</v>
      </c>
      <c r="N99" s="2951">
        <v>13598587</v>
      </c>
      <c r="O99" s="2952">
        <v>13598587</v>
      </c>
      <c r="P99" s="2953">
        <v>13598587</v>
      </c>
      <c r="Q99" s="2951">
        <v>13598587</v>
      </c>
      <c r="R99" s="2954">
        <v>44435</v>
      </c>
      <c r="S99" s="2954">
        <v>44438</v>
      </c>
      <c r="T99" s="2954">
        <v>44467</v>
      </c>
      <c r="U99" s="2954">
        <v>44467</v>
      </c>
      <c r="V99" s="2948" t="s">
        <v>784</v>
      </c>
    </row>
    <row r="100" spans="1:22" s="2944" customFormat="1" ht="46.8" hidden="1">
      <c r="A100" s="2948">
        <v>99</v>
      </c>
      <c r="B100" s="2948" t="s">
        <v>635</v>
      </c>
      <c r="C100" s="2948" t="s">
        <v>636</v>
      </c>
      <c r="D100" s="2948" t="s">
        <v>772</v>
      </c>
      <c r="E100" s="2948" t="s">
        <v>638</v>
      </c>
      <c r="F100" s="2948" t="s">
        <v>661</v>
      </c>
      <c r="G100" s="2948" t="s">
        <v>640</v>
      </c>
      <c r="H100" s="2948" t="s">
        <v>773</v>
      </c>
      <c r="I100" s="2948" t="s">
        <v>642</v>
      </c>
      <c r="J100" s="2948" t="s">
        <v>643</v>
      </c>
      <c r="K100" s="2950">
        <v>148.13999999999999</v>
      </c>
      <c r="L100" s="2950">
        <v>111.06</v>
      </c>
      <c r="M100" s="2951">
        <v>15232347</v>
      </c>
      <c r="N100" s="2951">
        <v>15698692</v>
      </c>
      <c r="O100" s="2952">
        <v>15698692</v>
      </c>
      <c r="P100" s="2953">
        <v>15698692</v>
      </c>
      <c r="Q100" s="2951">
        <v>15698692</v>
      </c>
      <c r="R100" s="2954">
        <v>44210</v>
      </c>
      <c r="S100" s="2954">
        <v>44265</v>
      </c>
      <c r="T100" s="2954">
        <v>44272</v>
      </c>
      <c r="U100" s="2954">
        <v>44272</v>
      </c>
      <c r="V100" s="2948" t="s">
        <v>785</v>
      </c>
    </row>
    <row r="101" spans="1:22" s="2944" customFormat="1" ht="46.8" hidden="1">
      <c r="A101" s="2948">
        <v>100</v>
      </c>
      <c r="B101" s="2948" t="s">
        <v>635</v>
      </c>
      <c r="C101" s="2948" t="s">
        <v>636</v>
      </c>
      <c r="D101" s="2948" t="s">
        <v>772</v>
      </c>
      <c r="E101" s="2948" t="s">
        <v>638</v>
      </c>
      <c r="F101" s="2948" t="s">
        <v>663</v>
      </c>
      <c r="G101" s="2948" t="s">
        <v>640</v>
      </c>
      <c r="H101" s="2948" t="s">
        <v>781</v>
      </c>
      <c r="I101" s="2948" t="s">
        <v>642</v>
      </c>
      <c r="J101" s="2948" t="s">
        <v>643</v>
      </c>
      <c r="K101" s="2950">
        <v>127.6</v>
      </c>
      <c r="L101" s="2950">
        <v>95.66</v>
      </c>
      <c r="M101" s="2951">
        <v>13380264</v>
      </c>
      <c r="N101" s="2951">
        <v>13789987</v>
      </c>
      <c r="O101" s="2952">
        <v>13515566</v>
      </c>
      <c r="P101" s="2953">
        <v>13515566</v>
      </c>
      <c r="Q101" s="2951">
        <v>13515566</v>
      </c>
      <c r="R101" s="2954">
        <v>44207</v>
      </c>
      <c r="S101" s="2954">
        <v>44247</v>
      </c>
      <c r="T101" s="2954">
        <v>44272</v>
      </c>
      <c r="U101" s="2954">
        <v>44272</v>
      </c>
      <c r="V101" s="2948" t="s">
        <v>786</v>
      </c>
    </row>
    <row r="102" spans="1:22" s="2944" customFormat="1" ht="46.8" hidden="1">
      <c r="A102" s="2948">
        <v>101</v>
      </c>
      <c r="B102" s="2948" t="s">
        <v>635</v>
      </c>
      <c r="C102" s="2948" t="s">
        <v>636</v>
      </c>
      <c r="D102" s="2948" t="s">
        <v>772</v>
      </c>
      <c r="E102" s="2948" t="s">
        <v>638</v>
      </c>
      <c r="F102" s="2948" t="s">
        <v>665</v>
      </c>
      <c r="G102" s="2948" t="s">
        <v>640</v>
      </c>
      <c r="H102" s="2948" t="s">
        <v>773</v>
      </c>
      <c r="I102" s="2948" t="s">
        <v>642</v>
      </c>
      <c r="J102" s="2948" t="s">
        <v>643</v>
      </c>
      <c r="K102" s="2950">
        <v>148.13999999999999</v>
      </c>
      <c r="L102" s="2950">
        <v>111.06</v>
      </c>
      <c r="M102" s="2951">
        <v>15246717</v>
      </c>
      <c r="N102" s="2951">
        <v>15713506</v>
      </c>
      <c r="O102" s="2952">
        <v>15713506</v>
      </c>
      <c r="P102" s="2953">
        <v>15713506</v>
      </c>
      <c r="Q102" s="2951">
        <v>15713506</v>
      </c>
      <c r="R102" s="2954">
        <v>44224</v>
      </c>
      <c r="S102" s="2954">
        <v>44253</v>
      </c>
      <c r="T102" s="2954">
        <v>44333</v>
      </c>
      <c r="U102" s="2954">
        <v>44333</v>
      </c>
      <c r="V102" s="2948" t="s">
        <v>787</v>
      </c>
    </row>
    <row r="103" spans="1:22" s="2944" customFormat="1" ht="46.8" hidden="1">
      <c r="A103" s="2948">
        <v>102</v>
      </c>
      <c r="B103" s="2948" t="s">
        <v>635</v>
      </c>
      <c r="C103" s="2948" t="s">
        <v>636</v>
      </c>
      <c r="D103" s="2948" t="s">
        <v>772</v>
      </c>
      <c r="E103" s="2948" t="s">
        <v>638</v>
      </c>
      <c r="F103" s="2948" t="s">
        <v>667</v>
      </c>
      <c r="G103" s="2948" t="s">
        <v>640</v>
      </c>
      <c r="H103" s="2948" t="s">
        <v>781</v>
      </c>
      <c r="I103" s="2948" t="s">
        <v>642</v>
      </c>
      <c r="J103" s="2948" t="s">
        <v>643</v>
      </c>
      <c r="K103" s="2950">
        <v>127.6</v>
      </c>
      <c r="L103" s="2950">
        <v>95.66</v>
      </c>
      <c r="M103" s="2951">
        <v>13392641</v>
      </c>
      <c r="N103" s="2951">
        <v>13802747</v>
      </c>
      <c r="O103" s="2952">
        <v>13112610</v>
      </c>
      <c r="P103" s="2953">
        <v>13112610</v>
      </c>
      <c r="Q103" s="2951">
        <v>13112610</v>
      </c>
      <c r="R103" s="2954">
        <v>44635</v>
      </c>
      <c r="S103" s="2954">
        <v>44657</v>
      </c>
      <c r="T103" s="2954">
        <v>44785</v>
      </c>
      <c r="U103" s="2954">
        <v>44785</v>
      </c>
      <c r="V103" s="2948" t="s">
        <v>788</v>
      </c>
    </row>
    <row r="104" spans="1:22" s="2944" customFormat="1" ht="46.8" hidden="1">
      <c r="A104" s="2948">
        <v>103</v>
      </c>
      <c r="B104" s="2948" t="s">
        <v>635</v>
      </c>
      <c r="C104" s="2948" t="s">
        <v>636</v>
      </c>
      <c r="D104" s="2948" t="s">
        <v>772</v>
      </c>
      <c r="E104" s="2948" t="s">
        <v>638</v>
      </c>
      <c r="F104" s="2948" t="s">
        <v>669</v>
      </c>
      <c r="G104" s="2948" t="s">
        <v>640</v>
      </c>
      <c r="H104" s="2948" t="s">
        <v>773</v>
      </c>
      <c r="I104" s="2948" t="s">
        <v>642</v>
      </c>
      <c r="J104" s="2948" t="s">
        <v>643</v>
      </c>
      <c r="K104" s="2950">
        <v>148.13999999999999</v>
      </c>
      <c r="L104" s="2950">
        <v>111.06</v>
      </c>
      <c r="M104" s="2951">
        <v>15261087</v>
      </c>
      <c r="N104" s="2951">
        <v>15728320</v>
      </c>
      <c r="O104" s="2952">
        <v>15728320</v>
      </c>
      <c r="P104" s="2953">
        <v>15728320</v>
      </c>
      <c r="Q104" s="2951">
        <v>15728320</v>
      </c>
      <c r="R104" s="2954">
        <v>44211</v>
      </c>
      <c r="S104" s="2954">
        <v>44221</v>
      </c>
      <c r="T104" s="2954">
        <v>44280</v>
      </c>
      <c r="U104" s="2954">
        <v>44280</v>
      </c>
      <c r="V104" s="2948" t="s">
        <v>789</v>
      </c>
    </row>
    <row r="105" spans="1:22" s="2944" customFormat="1" ht="46.8" hidden="1">
      <c r="A105" s="2948">
        <v>104</v>
      </c>
      <c r="B105" s="2948" t="s">
        <v>635</v>
      </c>
      <c r="C105" s="2948" t="s">
        <v>636</v>
      </c>
      <c r="D105" s="2948" t="s">
        <v>772</v>
      </c>
      <c r="E105" s="2948" t="s">
        <v>638</v>
      </c>
      <c r="F105" s="2948" t="s">
        <v>671</v>
      </c>
      <c r="G105" s="2948" t="s">
        <v>640</v>
      </c>
      <c r="H105" s="2948" t="s">
        <v>781</v>
      </c>
      <c r="I105" s="2948" t="s">
        <v>642</v>
      </c>
      <c r="J105" s="2948" t="s">
        <v>643</v>
      </c>
      <c r="K105" s="2950">
        <v>127.6</v>
      </c>
      <c r="L105" s="2950">
        <v>95.66</v>
      </c>
      <c r="M105" s="2951">
        <v>13405018</v>
      </c>
      <c r="N105" s="2951">
        <v>13815507</v>
      </c>
      <c r="O105" s="2952">
        <v>13815507</v>
      </c>
      <c r="P105" s="2953">
        <v>13815507</v>
      </c>
      <c r="Q105" s="2951">
        <v>13815507</v>
      </c>
      <c r="R105" s="2954">
        <v>44219</v>
      </c>
      <c r="S105" s="2954">
        <v>44222</v>
      </c>
      <c r="T105" s="2954">
        <v>44279</v>
      </c>
      <c r="U105" s="2954">
        <v>44279</v>
      </c>
      <c r="V105" s="2948" t="s">
        <v>790</v>
      </c>
    </row>
    <row r="106" spans="1:22" s="2944" customFormat="1" ht="46.8" hidden="1">
      <c r="A106" s="2948">
        <v>105</v>
      </c>
      <c r="B106" s="2948" t="s">
        <v>635</v>
      </c>
      <c r="C106" s="2948" t="s">
        <v>636</v>
      </c>
      <c r="D106" s="2948" t="s">
        <v>772</v>
      </c>
      <c r="E106" s="2948" t="s">
        <v>638</v>
      </c>
      <c r="F106" s="2948" t="s">
        <v>673</v>
      </c>
      <c r="G106" s="2948" t="s">
        <v>640</v>
      </c>
      <c r="H106" s="2948" t="s">
        <v>773</v>
      </c>
      <c r="I106" s="2948" t="s">
        <v>642</v>
      </c>
      <c r="J106" s="2948" t="s">
        <v>643</v>
      </c>
      <c r="K106" s="2950">
        <v>148.13999999999999</v>
      </c>
      <c r="L106" s="2950">
        <v>111.06</v>
      </c>
      <c r="M106" s="2951">
        <v>15275456</v>
      </c>
      <c r="N106" s="2951">
        <v>15743134</v>
      </c>
      <c r="O106" s="2952">
        <v>15743134</v>
      </c>
      <c r="P106" s="2953">
        <v>15743134</v>
      </c>
      <c r="Q106" s="2951">
        <v>15743134</v>
      </c>
      <c r="R106" s="2954">
        <v>44207</v>
      </c>
      <c r="S106" s="2954">
        <v>44280</v>
      </c>
      <c r="T106" s="2954">
        <v>44349</v>
      </c>
      <c r="U106" s="2954">
        <v>44349</v>
      </c>
      <c r="V106" s="2948" t="s">
        <v>791</v>
      </c>
    </row>
    <row r="107" spans="1:22" s="2944" customFormat="1" ht="46.8" hidden="1">
      <c r="A107" s="2948">
        <v>106</v>
      </c>
      <c r="B107" s="2948" t="s">
        <v>635</v>
      </c>
      <c r="C107" s="2948" t="s">
        <v>636</v>
      </c>
      <c r="D107" s="2948" t="s">
        <v>772</v>
      </c>
      <c r="E107" s="2948" t="s">
        <v>638</v>
      </c>
      <c r="F107" s="2948" t="s">
        <v>675</v>
      </c>
      <c r="G107" s="2948" t="s">
        <v>640</v>
      </c>
      <c r="H107" s="2948" t="s">
        <v>781</v>
      </c>
      <c r="I107" s="2948" t="s">
        <v>642</v>
      </c>
      <c r="J107" s="2948" t="s">
        <v>643</v>
      </c>
      <c r="K107" s="2950">
        <v>127.6</v>
      </c>
      <c r="L107" s="2950">
        <v>95.66</v>
      </c>
      <c r="M107" s="2951">
        <v>13417395</v>
      </c>
      <c r="N107" s="2951">
        <v>13828267</v>
      </c>
      <c r="O107" s="2952">
        <v>13136854</v>
      </c>
      <c r="P107" s="2953">
        <v>13136854</v>
      </c>
      <c r="Q107" s="2951">
        <v>13136854</v>
      </c>
      <c r="R107" s="2954">
        <v>44673</v>
      </c>
      <c r="S107" s="2954">
        <v>44679</v>
      </c>
      <c r="T107" s="2954">
        <v>44712</v>
      </c>
      <c r="U107" s="2954">
        <v>44712</v>
      </c>
      <c r="V107" s="2948" t="s">
        <v>792</v>
      </c>
    </row>
    <row r="108" spans="1:22" s="2944" customFormat="1" ht="46.8" hidden="1">
      <c r="A108" s="2948">
        <v>107</v>
      </c>
      <c r="B108" s="2948" t="s">
        <v>635</v>
      </c>
      <c r="C108" s="2948" t="s">
        <v>636</v>
      </c>
      <c r="D108" s="2948" t="s">
        <v>772</v>
      </c>
      <c r="E108" s="2948" t="s">
        <v>638</v>
      </c>
      <c r="F108" s="2948" t="s">
        <v>677</v>
      </c>
      <c r="G108" s="2948" t="s">
        <v>640</v>
      </c>
      <c r="H108" s="2948" t="s">
        <v>773</v>
      </c>
      <c r="I108" s="2948" t="s">
        <v>642</v>
      </c>
      <c r="J108" s="2948" t="s">
        <v>643</v>
      </c>
      <c r="K108" s="2950">
        <v>148.13999999999999</v>
      </c>
      <c r="L108" s="2950">
        <v>111.06</v>
      </c>
      <c r="M108" s="2951">
        <v>15289826</v>
      </c>
      <c r="N108" s="2951">
        <v>15757948</v>
      </c>
      <c r="O108" s="2952">
        <v>15757948</v>
      </c>
      <c r="P108" s="2953">
        <v>15757948</v>
      </c>
      <c r="Q108" s="2951">
        <v>15757948</v>
      </c>
      <c r="R108" s="2954">
        <v>44222</v>
      </c>
      <c r="S108" s="2954">
        <v>44222</v>
      </c>
      <c r="T108" s="2954">
        <v>44252</v>
      </c>
      <c r="U108" s="2954">
        <v>44252</v>
      </c>
      <c r="V108" s="2948" t="s">
        <v>793</v>
      </c>
    </row>
    <row r="109" spans="1:22" s="2944" customFormat="1" ht="46.8" hidden="1">
      <c r="A109" s="2948">
        <v>108</v>
      </c>
      <c r="B109" s="2948" t="s">
        <v>635</v>
      </c>
      <c r="C109" s="2948" t="s">
        <v>636</v>
      </c>
      <c r="D109" s="2948" t="s">
        <v>772</v>
      </c>
      <c r="E109" s="2948" t="s">
        <v>638</v>
      </c>
      <c r="F109" s="2948" t="s">
        <v>679</v>
      </c>
      <c r="G109" s="2948" t="s">
        <v>640</v>
      </c>
      <c r="H109" s="2948" t="s">
        <v>781</v>
      </c>
      <c r="I109" s="2948" t="s">
        <v>642</v>
      </c>
      <c r="J109" s="2948" t="s">
        <v>643</v>
      </c>
      <c r="K109" s="2950">
        <v>127.6</v>
      </c>
      <c r="L109" s="2950">
        <v>95.66</v>
      </c>
      <c r="M109" s="2951">
        <v>13429772</v>
      </c>
      <c r="N109" s="2951">
        <v>13841027</v>
      </c>
      <c r="O109" s="2952">
        <v>13565591</v>
      </c>
      <c r="P109" s="2953">
        <v>13565591</v>
      </c>
      <c r="Q109" s="2951">
        <v>13565591</v>
      </c>
      <c r="R109" s="2954">
        <v>44203</v>
      </c>
      <c r="S109" s="2954">
        <v>44211</v>
      </c>
      <c r="T109" s="2954">
        <v>44236</v>
      </c>
      <c r="U109" s="2954">
        <v>44236</v>
      </c>
      <c r="V109" s="2948" t="s">
        <v>794</v>
      </c>
    </row>
    <row r="110" spans="1:22" s="2944" customFormat="1" ht="46.8" hidden="1">
      <c r="A110" s="2948">
        <v>109</v>
      </c>
      <c r="B110" s="2948" t="s">
        <v>635</v>
      </c>
      <c r="C110" s="2948" t="s">
        <v>636</v>
      </c>
      <c r="D110" s="2948" t="s">
        <v>772</v>
      </c>
      <c r="E110" s="2948" t="s">
        <v>638</v>
      </c>
      <c r="F110" s="2948" t="s">
        <v>681</v>
      </c>
      <c r="G110" s="2948" t="s">
        <v>640</v>
      </c>
      <c r="H110" s="2948" t="s">
        <v>773</v>
      </c>
      <c r="I110" s="2948" t="s">
        <v>642</v>
      </c>
      <c r="J110" s="2948" t="s">
        <v>643</v>
      </c>
      <c r="K110" s="2950">
        <v>148.13999999999999</v>
      </c>
      <c r="L110" s="2950">
        <v>111.06</v>
      </c>
      <c r="M110" s="2951">
        <v>15304195</v>
      </c>
      <c r="N110" s="2951">
        <v>15772762</v>
      </c>
      <c r="O110" s="2952">
        <v>15458884</v>
      </c>
      <c r="P110" s="2953">
        <v>15458884</v>
      </c>
      <c r="Q110" s="2951">
        <v>15458884</v>
      </c>
      <c r="R110" s="2954">
        <v>44203</v>
      </c>
      <c r="S110" s="2954">
        <v>44211</v>
      </c>
      <c r="T110" s="2954">
        <v>44333</v>
      </c>
      <c r="U110" s="2954">
        <v>44333</v>
      </c>
      <c r="V110" s="2948" t="s">
        <v>795</v>
      </c>
    </row>
    <row r="111" spans="1:22" s="2944" customFormat="1" ht="46.8" hidden="1">
      <c r="A111" s="2948">
        <v>110</v>
      </c>
      <c r="B111" s="2948" t="s">
        <v>635</v>
      </c>
      <c r="C111" s="2948" t="s">
        <v>636</v>
      </c>
      <c r="D111" s="2948" t="s">
        <v>772</v>
      </c>
      <c r="E111" s="2948" t="s">
        <v>638</v>
      </c>
      <c r="F111" s="2948" t="s">
        <v>683</v>
      </c>
      <c r="G111" s="2948" t="s">
        <v>640</v>
      </c>
      <c r="H111" s="2948" t="s">
        <v>781</v>
      </c>
      <c r="I111" s="2948" t="s">
        <v>642</v>
      </c>
      <c r="J111" s="2948" t="s">
        <v>643</v>
      </c>
      <c r="K111" s="2950">
        <v>127.6</v>
      </c>
      <c r="L111" s="2950">
        <v>95.66</v>
      </c>
      <c r="M111" s="2951">
        <v>13442150</v>
      </c>
      <c r="N111" s="2951">
        <v>13853787</v>
      </c>
      <c r="O111" s="2952">
        <v>13578097</v>
      </c>
      <c r="P111" s="2953">
        <v>13578097</v>
      </c>
      <c r="Q111" s="2951">
        <v>13578097</v>
      </c>
      <c r="R111" s="2954">
        <v>44201</v>
      </c>
      <c r="S111" s="2954">
        <v>44211</v>
      </c>
      <c r="T111" s="2954">
        <v>44235</v>
      </c>
      <c r="U111" s="2954">
        <v>44235</v>
      </c>
      <c r="V111" s="2948" t="s">
        <v>796</v>
      </c>
    </row>
    <row r="112" spans="1:22" s="2944" customFormat="1" ht="46.8" hidden="1">
      <c r="A112" s="2948">
        <v>111</v>
      </c>
      <c r="B112" s="2948" t="s">
        <v>635</v>
      </c>
      <c r="C112" s="2948" t="s">
        <v>636</v>
      </c>
      <c r="D112" s="2948" t="s">
        <v>772</v>
      </c>
      <c r="E112" s="2948" t="s">
        <v>638</v>
      </c>
      <c r="F112" s="2948" t="s">
        <v>685</v>
      </c>
      <c r="G112" s="2948" t="s">
        <v>640</v>
      </c>
      <c r="H112" s="2948" t="s">
        <v>773</v>
      </c>
      <c r="I112" s="2948" t="s">
        <v>642</v>
      </c>
      <c r="J112" s="2948" t="s">
        <v>643</v>
      </c>
      <c r="K112" s="2950">
        <v>148.13999999999999</v>
      </c>
      <c r="L112" s="2950">
        <v>111.06</v>
      </c>
      <c r="M112" s="2951">
        <v>15246717</v>
      </c>
      <c r="N112" s="2951">
        <v>15713506</v>
      </c>
      <c r="O112" s="2952">
        <v>15713506</v>
      </c>
      <c r="P112" s="2953">
        <v>15713506</v>
      </c>
      <c r="Q112" s="2951">
        <v>15713506</v>
      </c>
      <c r="R112" s="2954">
        <v>44253</v>
      </c>
      <c r="S112" s="2954">
        <v>44253</v>
      </c>
      <c r="T112" s="2954">
        <v>44329</v>
      </c>
      <c r="U112" s="2954">
        <v>44328</v>
      </c>
      <c r="V112" s="2948" t="s">
        <v>797</v>
      </c>
    </row>
    <row r="113" spans="1:22" s="2944" customFormat="1" ht="46.8" hidden="1">
      <c r="A113" s="2948">
        <v>112</v>
      </c>
      <c r="B113" s="2948" t="s">
        <v>635</v>
      </c>
      <c r="C113" s="2948" t="s">
        <v>636</v>
      </c>
      <c r="D113" s="2948" t="s">
        <v>772</v>
      </c>
      <c r="E113" s="2948" t="s">
        <v>638</v>
      </c>
      <c r="F113" s="2948" t="s">
        <v>687</v>
      </c>
      <c r="G113" s="2948" t="s">
        <v>640</v>
      </c>
      <c r="H113" s="2948" t="s">
        <v>781</v>
      </c>
      <c r="I113" s="2948" t="s">
        <v>642</v>
      </c>
      <c r="J113" s="2948" t="s">
        <v>643</v>
      </c>
      <c r="K113" s="2950">
        <v>127.6</v>
      </c>
      <c r="L113" s="2950">
        <v>95.66</v>
      </c>
      <c r="M113" s="2951">
        <v>13392641</v>
      </c>
      <c r="N113" s="2951">
        <v>13802747</v>
      </c>
      <c r="O113" s="2952">
        <v>12851669</v>
      </c>
      <c r="P113" s="2953">
        <v>12851669</v>
      </c>
      <c r="Q113" s="2951">
        <v>12851669</v>
      </c>
      <c r="R113" s="2954">
        <v>44206</v>
      </c>
      <c r="S113" s="2954">
        <v>44253</v>
      </c>
      <c r="T113" s="2954">
        <v>44453</v>
      </c>
      <c r="U113" s="2954">
        <v>44453</v>
      </c>
      <c r="V113" s="2948" t="s">
        <v>798</v>
      </c>
    </row>
    <row r="114" spans="1:22" s="2944" customFormat="1" ht="46.8" hidden="1">
      <c r="A114" s="2948">
        <v>113</v>
      </c>
      <c r="B114" s="2948" t="s">
        <v>635</v>
      </c>
      <c r="C114" s="2948" t="s">
        <v>636</v>
      </c>
      <c r="D114" s="2948" t="s">
        <v>772</v>
      </c>
      <c r="E114" s="2948" t="s">
        <v>700</v>
      </c>
      <c r="F114" s="2948" t="s">
        <v>639</v>
      </c>
      <c r="G114" s="2948" t="s">
        <v>640</v>
      </c>
      <c r="H114" s="2948" t="s">
        <v>775</v>
      </c>
      <c r="I114" s="2948" t="s">
        <v>642</v>
      </c>
      <c r="J114" s="2948" t="s">
        <v>643</v>
      </c>
      <c r="K114" s="2950">
        <v>127.49</v>
      </c>
      <c r="L114" s="2950">
        <v>95.58</v>
      </c>
      <c r="M114" s="2951">
        <v>12812108</v>
      </c>
      <c r="N114" s="2951">
        <v>13204394</v>
      </c>
      <c r="O114" s="2952">
        <v>13204394</v>
      </c>
      <c r="P114" s="2953">
        <v>13204394</v>
      </c>
      <c r="Q114" s="2951">
        <v>13204394</v>
      </c>
      <c r="R114" s="2954">
        <v>44311</v>
      </c>
      <c r="S114" s="2954">
        <v>44316</v>
      </c>
      <c r="T114" s="2954">
        <v>44469</v>
      </c>
      <c r="U114" s="2954">
        <v>44461</v>
      </c>
      <c r="V114" s="2948" t="s">
        <v>799</v>
      </c>
    </row>
    <row r="115" spans="1:22" s="2944" customFormat="1" ht="46.8" hidden="1">
      <c r="A115" s="2948">
        <v>114</v>
      </c>
      <c r="B115" s="2948" t="s">
        <v>635</v>
      </c>
      <c r="C115" s="2948" t="s">
        <v>636</v>
      </c>
      <c r="D115" s="2948" t="s">
        <v>772</v>
      </c>
      <c r="E115" s="2948" t="s">
        <v>700</v>
      </c>
      <c r="F115" s="2948" t="s">
        <v>645</v>
      </c>
      <c r="G115" s="2948" t="s">
        <v>640</v>
      </c>
      <c r="H115" s="2948" t="s">
        <v>773</v>
      </c>
      <c r="I115" s="2948" t="s">
        <v>642</v>
      </c>
      <c r="J115" s="2948" t="s">
        <v>643</v>
      </c>
      <c r="K115" s="2950">
        <v>148.13999999999999</v>
      </c>
      <c r="L115" s="2950">
        <v>111.06</v>
      </c>
      <c r="M115" s="2951">
        <v>14700377</v>
      </c>
      <c r="N115" s="2951">
        <v>15150574</v>
      </c>
      <c r="O115" s="2952">
        <v>14999068</v>
      </c>
      <c r="P115" s="2953">
        <v>14999068</v>
      </c>
      <c r="Q115" s="2951">
        <v>14999068</v>
      </c>
      <c r="R115" s="2954">
        <v>44382</v>
      </c>
      <c r="S115" s="2954">
        <v>44382</v>
      </c>
      <c r="T115" s="2954">
        <v>44390</v>
      </c>
      <c r="U115" s="2954">
        <v>44390</v>
      </c>
      <c r="V115" s="2948" t="s">
        <v>800</v>
      </c>
    </row>
    <row r="116" spans="1:22" s="2944" customFormat="1" ht="46.8" hidden="1">
      <c r="A116" s="2948">
        <v>115</v>
      </c>
      <c r="B116" s="2948" t="s">
        <v>635</v>
      </c>
      <c r="C116" s="2948" t="s">
        <v>636</v>
      </c>
      <c r="D116" s="2948" t="s">
        <v>772</v>
      </c>
      <c r="E116" s="2948" t="s">
        <v>700</v>
      </c>
      <c r="F116" s="2948" t="s">
        <v>648</v>
      </c>
      <c r="G116" s="2948" t="s">
        <v>640</v>
      </c>
      <c r="H116" s="2948" t="s">
        <v>778</v>
      </c>
      <c r="I116" s="2948" t="s">
        <v>642</v>
      </c>
      <c r="J116" s="2948" t="s">
        <v>643</v>
      </c>
      <c r="K116" s="2950">
        <v>127.48</v>
      </c>
      <c r="L116" s="2950">
        <v>95.57</v>
      </c>
      <c r="M116" s="2951">
        <v>12934758</v>
      </c>
      <c r="N116" s="2951">
        <v>13330839</v>
      </c>
      <c r="O116" s="2952">
        <v>13330838</v>
      </c>
      <c r="P116" s="2953">
        <v>13330838</v>
      </c>
      <c r="Q116" s="2951">
        <v>13330838</v>
      </c>
      <c r="R116" s="2954">
        <v>44251</v>
      </c>
      <c r="S116" s="2954">
        <v>44252</v>
      </c>
      <c r="T116" s="2954">
        <v>44349</v>
      </c>
      <c r="U116" s="2954">
        <v>44349</v>
      </c>
      <c r="V116" s="2948" t="s">
        <v>801</v>
      </c>
    </row>
    <row r="117" spans="1:22" s="2944" customFormat="1" ht="46.8" hidden="1">
      <c r="A117" s="2948">
        <v>116</v>
      </c>
      <c r="B117" s="2948" t="s">
        <v>635</v>
      </c>
      <c r="C117" s="2948" t="s">
        <v>636</v>
      </c>
      <c r="D117" s="2948" t="s">
        <v>772</v>
      </c>
      <c r="E117" s="2948" t="s">
        <v>700</v>
      </c>
      <c r="F117" s="2948" t="s">
        <v>651</v>
      </c>
      <c r="G117" s="2948" t="s">
        <v>640</v>
      </c>
      <c r="H117" s="2948" t="s">
        <v>773</v>
      </c>
      <c r="I117" s="2948" t="s">
        <v>642</v>
      </c>
      <c r="J117" s="2948" t="s">
        <v>643</v>
      </c>
      <c r="K117" s="2950">
        <v>148.13999999999999</v>
      </c>
      <c r="L117" s="2950">
        <v>111.06</v>
      </c>
      <c r="M117" s="2951">
        <v>14844221</v>
      </c>
      <c r="N117" s="2951">
        <v>15298714</v>
      </c>
      <c r="O117" s="2952">
        <v>15298714</v>
      </c>
      <c r="P117" s="2953">
        <v>15298714</v>
      </c>
      <c r="Q117" s="2951">
        <v>15298714</v>
      </c>
      <c r="R117" s="2954">
        <v>44246</v>
      </c>
      <c r="S117" s="2954">
        <v>44251</v>
      </c>
      <c r="T117" s="2954">
        <v>44251</v>
      </c>
      <c r="U117" s="2954">
        <v>44251</v>
      </c>
      <c r="V117" s="2948" t="s">
        <v>802</v>
      </c>
    </row>
    <row r="118" spans="1:22" s="2944" customFormat="1" ht="46.8" hidden="1">
      <c r="A118" s="2948">
        <v>117</v>
      </c>
      <c r="B118" s="2948" t="s">
        <v>635</v>
      </c>
      <c r="C118" s="2948" t="s">
        <v>636</v>
      </c>
      <c r="D118" s="2948" t="s">
        <v>772</v>
      </c>
      <c r="E118" s="2948" t="s">
        <v>700</v>
      </c>
      <c r="F118" s="2948" t="s">
        <v>653</v>
      </c>
      <c r="G118" s="2948" t="s">
        <v>640</v>
      </c>
      <c r="H118" s="2948" t="s">
        <v>781</v>
      </c>
      <c r="I118" s="2948" t="s">
        <v>642</v>
      </c>
      <c r="J118" s="2948" t="s">
        <v>643</v>
      </c>
      <c r="K118" s="2950">
        <v>127.6</v>
      </c>
      <c r="L118" s="2950">
        <v>95.66</v>
      </c>
      <c r="M118" s="2951">
        <v>13070706</v>
      </c>
      <c r="N118" s="2951">
        <v>13470987</v>
      </c>
      <c r="O118" s="2952">
        <v>13470987</v>
      </c>
      <c r="P118" s="2953">
        <v>13470987</v>
      </c>
      <c r="Q118" s="2951">
        <v>13470987</v>
      </c>
      <c r="R118" s="2954">
        <v>44254</v>
      </c>
      <c r="S118" s="2954">
        <v>44254</v>
      </c>
      <c r="T118" s="2954">
        <v>44327</v>
      </c>
      <c r="U118" s="2954">
        <v>44327</v>
      </c>
      <c r="V118" s="2948" t="s">
        <v>803</v>
      </c>
    </row>
    <row r="119" spans="1:22" s="2944" customFormat="1" ht="46.8" hidden="1">
      <c r="A119" s="2948">
        <v>118</v>
      </c>
      <c r="B119" s="2948" t="s">
        <v>635</v>
      </c>
      <c r="C119" s="2948" t="s">
        <v>636</v>
      </c>
      <c r="D119" s="2948" t="s">
        <v>772</v>
      </c>
      <c r="E119" s="2948" t="s">
        <v>700</v>
      </c>
      <c r="F119" s="2948" t="s">
        <v>655</v>
      </c>
      <c r="G119" s="2948" t="s">
        <v>640</v>
      </c>
      <c r="H119" s="2948" t="s">
        <v>773</v>
      </c>
      <c r="I119" s="2948" t="s">
        <v>642</v>
      </c>
      <c r="J119" s="2948" t="s">
        <v>643</v>
      </c>
      <c r="K119" s="2950">
        <v>148.13999999999999</v>
      </c>
      <c r="L119" s="2950">
        <v>111.06</v>
      </c>
      <c r="M119" s="2951">
        <v>14987916</v>
      </c>
      <c r="N119" s="2951">
        <v>15446854</v>
      </c>
      <c r="O119" s="2952">
        <v>15446854</v>
      </c>
      <c r="P119" s="2953">
        <v>15446854</v>
      </c>
      <c r="Q119" s="2951">
        <v>15446854</v>
      </c>
      <c r="R119" s="2954">
        <v>44312</v>
      </c>
      <c r="S119" s="2954">
        <v>44316</v>
      </c>
      <c r="T119" s="2954">
        <v>44379</v>
      </c>
      <c r="U119" s="2954">
        <v>44379</v>
      </c>
      <c r="V119" s="2948" t="s">
        <v>804</v>
      </c>
    </row>
    <row r="120" spans="1:22" s="2944" customFormat="1" ht="46.8" hidden="1">
      <c r="A120" s="2948">
        <v>119</v>
      </c>
      <c r="B120" s="2948" t="s">
        <v>635</v>
      </c>
      <c r="C120" s="2948" t="s">
        <v>636</v>
      </c>
      <c r="D120" s="2948" t="s">
        <v>772</v>
      </c>
      <c r="E120" s="2948" t="s">
        <v>700</v>
      </c>
      <c r="F120" s="2948" t="s">
        <v>657</v>
      </c>
      <c r="G120" s="2948" t="s">
        <v>640</v>
      </c>
      <c r="H120" s="2948" t="s">
        <v>781</v>
      </c>
      <c r="I120" s="2948" t="s">
        <v>642</v>
      </c>
      <c r="J120" s="2948" t="s">
        <v>643</v>
      </c>
      <c r="K120" s="2950">
        <v>127.6</v>
      </c>
      <c r="L120" s="2950">
        <v>95.66</v>
      </c>
      <c r="M120" s="2951">
        <v>13194606</v>
      </c>
      <c r="N120" s="2951">
        <v>13598587</v>
      </c>
      <c r="O120" s="2952">
        <v>13598587</v>
      </c>
      <c r="P120" s="2953">
        <v>13598587</v>
      </c>
      <c r="Q120" s="2951">
        <v>13598587</v>
      </c>
      <c r="R120" s="2954">
        <v>44428</v>
      </c>
      <c r="S120" s="2954">
        <v>44432</v>
      </c>
      <c r="T120" s="2954">
        <v>44455</v>
      </c>
      <c r="U120" s="2954">
        <v>44455</v>
      </c>
      <c r="V120" s="2948" t="s">
        <v>805</v>
      </c>
    </row>
    <row r="121" spans="1:22" s="2944" customFormat="1" ht="46.8" hidden="1">
      <c r="A121" s="2948">
        <v>120</v>
      </c>
      <c r="B121" s="2948" t="s">
        <v>635</v>
      </c>
      <c r="C121" s="2948" t="s">
        <v>636</v>
      </c>
      <c r="D121" s="2948" t="s">
        <v>772</v>
      </c>
      <c r="E121" s="2948" t="s">
        <v>700</v>
      </c>
      <c r="F121" s="2948" t="s">
        <v>659</v>
      </c>
      <c r="G121" s="2948" t="s">
        <v>640</v>
      </c>
      <c r="H121" s="2948" t="s">
        <v>773</v>
      </c>
      <c r="I121" s="2948" t="s">
        <v>642</v>
      </c>
      <c r="J121" s="2948" t="s">
        <v>643</v>
      </c>
      <c r="K121" s="2950">
        <v>148.13999999999999</v>
      </c>
      <c r="L121" s="2950">
        <v>111.06</v>
      </c>
      <c r="M121" s="2951">
        <v>15131612</v>
      </c>
      <c r="N121" s="2951">
        <v>15594994</v>
      </c>
      <c r="O121" s="2952">
        <v>15284654</v>
      </c>
      <c r="P121" s="2953">
        <v>15284654</v>
      </c>
      <c r="Q121" s="2951">
        <v>15284654</v>
      </c>
      <c r="R121" s="2954">
        <v>44204</v>
      </c>
      <c r="S121" s="2954">
        <v>44216</v>
      </c>
      <c r="T121" s="2954">
        <v>44271</v>
      </c>
      <c r="U121" s="2954">
        <v>44271</v>
      </c>
      <c r="V121" s="2948" t="s">
        <v>806</v>
      </c>
    </row>
    <row r="122" spans="1:22" s="2944" customFormat="1" ht="46.8" hidden="1">
      <c r="A122" s="2948">
        <v>121</v>
      </c>
      <c r="B122" s="2948" t="s">
        <v>635</v>
      </c>
      <c r="C122" s="2948" t="s">
        <v>636</v>
      </c>
      <c r="D122" s="2948" t="s">
        <v>772</v>
      </c>
      <c r="E122" s="2948" t="s">
        <v>700</v>
      </c>
      <c r="F122" s="2948" t="s">
        <v>661</v>
      </c>
      <c r="G122" s="2948" t="s">
        <v>640</v>
      </c>
      <c r="H122" s="2948" t="s">
        <v>781</v>
      </c>
      <c r="I122" s="2948" t="s">
        <v>642</v>
      </c>
      <c r="J122" s="2948" t="s">
        <v>643</v>
      </c>
      <c r="K122" s="2950">
        <v>127.6</v>
      </c>
      <c r="L122" s="2950">
        <v>95.66</v>
      </c>
      <c r="M122" s="2951">
        <v>13380264</v>
      </c>
      <c r="N122" s="2951">
        <v>13789987</v>
      </c>
      <c r="O122" s="2952">
        <v>13515566</v>
      </c>
      <c r="P122" s="2953">
        <v>13515566</v>
      </c>
      <c r="Q122" s="2951">
        <v>13515566</v>
      </c>
      <c r="R122" s="2954">
        <v>44206</v>
      </c>
      <c r="S122" s="2954">
        <v>44253</v>
      </c>
      <c r="T122" s="2954">
        <v>44377</v>
      </c>
      <c r="U122" s="2954">
        <v>44377</v>
      </c>
      <c r="V122" s="2948" t="s">
        <v>807</v>
      </c>
    </row>
    <row r="123" spans="1:22" s="2944" customFormat="1" ht="46.8" hidden="1">
      <c r="A123" s="2948">
        <v>122</v>
      </c>
      <c r="B123" s="2948" t="s">
        <v>635</v>
      </c>
      <c r="C123" s="2948" t="s">
        <v>636</v>
      </c>
      <c r="D123" s="2948" t="s">
        <v>772</v>
      </c>
      <c r="E123" s="2948" t="s">
        <v>700</v>
      </c>
      <c r="F123" s="2948" t="s">
        <v>663</v>
      </c>
      <c r="G123" s="2948" t="s">
        <v>640</v>
      </c>
      <c r="H123" s="2948" t="s">
        <v>773</v>
      </c>
      <c r="I123" s="2948" t="s">
        <v>642</v>
      </c>
      <c r="J123" s="2948" t="s">
        <v>643</v>
      </c>
      <c r="K123" s="2950">
        <v>148.13999999999999</v>
      </c>
      <c r="L123" s="2950">
        <v>111.06</v>
      </c>
      <c r="M123" s="2951">
        <v>15347304</v>
      </c>
      <c r="N123" s="2951">
        <v>15817204</v>
      </c>
      <c r="O123" s="2952">
        <v>15502442</v>
      </c>
      <c r="P123" s="2953">
        <v>15502442</v>
      </c>
      <c r="Q123" s="2951">
        <v>15502442</v>
      </c>
      <c r="R123" s="2954">
        <v>44202</v>
      </c>
      <c r="S123" s="2954">
        <v>44246</v>
      </c>
      <c r="T123" s="2954">
        <v>44327</v>
      </c>
      <c r="U123" s="2954">
        <v>44327</v>
      </c>
      <c r="V123" s="2948" t="s">
        <v>808</v>
      </c>
    </row>
    <row r="124" spans="1:22" s="2944" customFormat="1" ht="46.8" hidden="1">
      <c r="A124" s="2948">
        <v>123</v>
      </c>
      <c r="B124" s="2948" t="s">
        <v>635</v>
      </c>
      <c r="C124" s="2948" t="s">
        <v>636</v>
      </c>
      <c r="D124" s="2948" t="s">
        <v>772</v>
      </c>
      <c r="E124" s="2948" t="s">
        <v>700</v>
      </c>
      <c r="F124" s="2948" t="s">
        <v>665</v>
      </c>
      <c r="G124" s="2948" t="s">
        <v>640</v>
      </c>
      <c r="H124" s="2948" t="s">
        <v>781</v>
      </c>
      <c r="I124" s="2948" t="s">
        <v>642</v>
      </c>
      <c r="J124" s="2948" t="s">
        <v>643</v>
      </c>
      <c r="K124" s="2950">
        <v>127.6</v>
      </c>
      <c r="L124" s="2950">
        <v>95.66</v>
      </c>
      <c r="M124" s="2951">
        <v>13392641</v>
      </c>
      <c r="N124" s="2951">
        <v>13802747</v>
      </c>
      <c r="O124" s="2952">
        <v>13528072</v>
      </c>
      <c r="P124" s="2953">
        <v>13528072</v>
      </c>
      <c r="Q124" s="2951">
        <v>13528072</v>
      </c>
      <c r="R124" s="2954">
        <v>44206</v>
      </c>
      <c r="S124" s="2954">
        <v>44211</v>
      </c>
      <c r="T124" s="2954">
        <v>44245</v>
      </c>
      <c r="U124" s="2954">
        <v>44245</v>
      </c>
      <c r="V124" s="2948" t="s">
        <v>809</v>
      </c>
    </row>
    <row r="125" spans="1:22" s="2944" customFormat="1" ht="46.8" hidden="1">
      <c r="A125" s="2948">
        <v>124</v>
      </c>
      <c r="B125" s="2948" t="s">
        <v>635</v>
      </c>
      <c r="C125" s="2948" t="s">
        <v>636</v>
      </c>
      <c r="D125" s="2948" t="s">
        <v>772</v>
      </c>
      <c r="E125" s="2948" t="s">
        <v>700</v>
      </c>
      <c r="F125" s="2948" t="s">
        <v>667</v>
      </c>
      <c r="G125" s="2948" t="s">
        <v>640</v>
      </c>
      <c r="H125" s="2948" t="s">
        <v>773</v>
      </c>
      <c r="I125" s="2948" t="s">
        <v>642</v>
      </c>
      <c r="J125" s="2948" t="s">
        <v>643</v>
      </c>
      <c r="K125" s="2950">
        <v>148.13999999999999</v>
      </c>
      <c r="L125" s="2950">
        <v>111.06</v>
      </c>
      <c r="M125" s="2951">
        <v>15361674</v>
      </c>
      <c r="N125" s="2951">
        <v>15832018</v>
      </c>
      <c r="O125" s="2952">
        <v>15516961</v>
      </c>
      <c r="P125" s="2953">
        <v>15516961</v>
      </c>
      <c r="Q125" s="2951">
        <v>15516961</v>
      </c>
      <c r="R125" s="2954">
        <v>44204</v>
      </c>
      <c r="S125" s="2954">
        <v>44211</v>
      </c>
      <c r="T125" s="2954">
        <v>44404</v>
      </c>
      <c r="U125" s="2954">
        <v>44404</v>
      </c>
      <c r="V125" s="2948" t="s">
        <v>810</v>
      </c>
    </row>
    <row r="126" spans="1:22" s="2944" customFormat="1" ht="46.8" hidden="1">
      <c r="A126" s="2948">
        <v>125</v>
      </c>
      <c r="B126" s="2948" t="s">
        <v>635</v>
      </c>
      <c r="C126" s="2948" t="s">
        <v>636</v>
      </c>
      <c r="D126" s="2948" t="s">
        <v>772</v>
      </c>
      <c r="E126" s="2948" t="s">
        <v>700</v>
      </c>
      <c r="F126" s="2948" t="s">
        <v>669</v>
      </c>
      <c r="G126" s="2948" t="s">
        <v>640</v>
      </c>
      <c r="H126" s="2948" t="s">
        <v>781</v>
      </c>
      <c r="I126" s="2948" t="s">
        <v>642</v>
      </c>
      <c r="J126" s="2948" t="s">
        <v>643</v>
      </c>
      <c r="K126" s="2950">
        <v>127.6</v>
      </c>
      <c r="L126" s="2950">
        <v>95.66</v>
      </c>
      <c r="M126" s="2951">
        <v>13405018</v>
      </c>
      <c r="N126" s="2951">
        <v>13815507</v>
      </c>
      <c r="O126" s="2952">
        <v>13815507</v>
      </c>
      <c r="P126" s="2953">
        <v>13815507</v>
      </c>
      <c r="Q126" s="2951">
        <v>13815507</v>
      </c>
      <c r="R126" s="2954">
        <v>44219</v>
      </c>
      <c r="S126" s="2954">
        <v>44246</v>
      </c>
      <c r="T126" s="2954">
        <v>44247</v>
      </c>
      <c r="U126" s="2954">
        <v>44247</v>
      </c>
      <c r="V126" s="2948" t="s">
        <v>811</v>
      </c>
    </row>
    <row r="127" spans="1:22" s="2944" customFormat="1" ht="46.8" hidden="1">
      <c r="A127" s="2948">
        <v>126</v>
      </c>
      <c r="B127" s="2948" t="s">
        <v>635</v>
      </c>
      <c r="C127" s="2948" t="s">
        <v>636</v>
      </c>
      <c r="D127" s="2948" t="s">
        <v>772</v>
      </c>
      <c r="E127" s="2948" t="s">
        <v>700</v>
      </c>
      <c r="F127" s="2948" t="s">
        <v>671</v>
      </c>
      <c r="G127" s="2948" t="s">
        <v>640</v>
      </c>
      <c r="H127" s="2948" t="s">
        <v>773</v>
      </c>
      <c r="I127" s="2948" t="s">
        <v>642</v>
      </c>
      <c r="J127" s="2948" t="s">
        <v>643</v>
      </c>
      <c r="K127" s="2950">
        <v>148.13999999999999</v>
      </c>
      <c r="L127" s="2950">
        <v>111.06</v>
      </c>
      <c r="M127" s="2951">
        <v>15376043</v>
      </c>
      <c r="N127" s="2951">
        <v>15846832</v>
      </c>
      <c r="O127" s="2952">
        <v>15531480</v>
      </c>
      <c r="P127" s="2953">
        <v>15531480</v>
      </c>
      <c r="Q127" s="2951">
        <v>15531480</v>
      </c>
      <c r="R127" s="2954">
        <v>44201</v>
      </c>
      <c r="S127" s="2954">
        <v>44211</v>
      </c>
      <c r="T127" s="2954">
        <v>44349</v>
      </c>
      <c r="U127" s="2954">
        <v>44349</v>
      </c>
      <c r="V127" s="2948" t="s">
        <v>812</v>
      </c>
    </row>
    <row r="128" spans="1:22" s="2944" customFormat="1" ht="46.8" hidden="1">
      <c r="A128" s="2948">
        <v>127</v>
      </c>
      <c r="B128" s="2948" t="s">
        <v>635</v>
      </c>
      <c r="C128" s="2948" t="s">
        <v>636</v>
      </c>
      <c r="D128" s="2948" t="s">
        <v>772</v>
      </c>
      <c r="E128" s="2948" t="s">
        <v>700</v>
      </c>
      <c r="F128" s="2948" t="s">
        <v>673</v>
      </c>
      <c r="G128" s="2948" t="s">
        <v>640</v>
      </c>
      <c r="H128" s="2948" t="s">
        <v>781</v>
      </c>
      <c r="I128" s="2948" t="s">
        <v>642</v>
      </c>
      <c r="J128" s="2948" t="s">
        <v>643</v>
      </c>
      <c r="K128" s="2950">
        <v>127.6</v>
      </c>
      <c r="L128" s="2950">
        <v>95.66</v>
      </c>
      <c r="M128" s="2951">
        <v>13417395</v>
      </c>
      <c r="N128" s="2951">
        <v>13828267</v>
      </c>
      <c r="O128" s="2952">
        <v>12875430</v>
      </c>
      <c r="P128" s="2953">
        <v>12875430</v>
      </c>
      <c r="Q128" s="2951">
        <v>12875430</v>
      </c>
      <c r="R128" s="2954">
        <v>44203</v>
      </c>
      <c r="S128" s="2954">
        <v>44211</v>
      </c>
      <c r="T128" s="2954">
        <v>44250</v>
      </c>
      <c r="U128" s="2954">
        <v>44250</v>
      </c>
      <c r="V128" s="2948" t="s">
        <v>813</v>
      </c>
    </row>
    <row r="129" spans="1:22" s="2944" customFormat="1" ht="46.8" hidden="1">
      <c r="A129" s="2948">
        <v>128</v>
      </c>
      <c r="B129" s="2948" t="s">
        <v>635</v>
      </c>
      <c r="C129" s="2948" t="s">
        <v>636</v>
      </c>
      <c r="D129" s="2948" t="s">
        <v>772</v>
      </c>
      <c r="E129" s="2948" t="s">
        <v>700</v>
      </c>
      <c r="F129" s="2948" t="s">
        <v>675</v>
      </c>
      <c r="G129" s="2948" t="s">
        <v>640</v>
      </c>
      <c r="H129" s="2948" t="s">
        <v>773</v>
      </c>
      <c r="I129" s="2948" t="s">
        <v>642</v>
      </c>
      <c r="J129" s="2948" t="s">
        <v>643</v>
      </c>
      <c r="K129" s="2950">
        <v>148.13999999999999</v>
      </c>
      <c r="L129" s="2950">
        <v>111.06</v>
      </c>
      <c r="M129" s="2951">
        <v>15390413</v>
      </c>
      <c r="N129" s="2951">
        <v>15861646</v>
      </c>
      <c r="O129" s="2952">
        <v>15545999</v>
      </c>
      <c r="P129" s="2953">
        <v>15545999</v>
      </c>
      <c r="Q129" s="2951">
        <v>15545999</v>
      </c>
      <c r="R129" s="2954">
        <v>44204</v>
      </c>
      <c r="S129" s="2954">
        <v>44211</v>
      </c>
      <c r="T129" s="2954">
        <v>44247</v>
      </c>
      <c r="U129" s="2954">
        <v>44247</v>
      </c>
      <c r="V129" s="2948" t="s">
        <v>814</v>
      </c>
    </row>
    <row r="130" spans="1:22" s="2944" customFormat="1" ht="46.8" hidden="1">
      <c r="A130" s="2948">
        <v>129</v>
      </c>
      <c r="B130" s="2948" t="s">
        <v>635</v>
      </c>
      <c r="C130" s="2948" t="s">
        <v>636</v>
      </c>
      <c r="D130" s="2948" t="s">
        <v>772</v>
      </c>
      <c r="E130" s="2948" t="s">
        <v>700</v>
      </c>
      <c r="F130" s="2948" t="s">
        <v>677</v>
      </c>
      <c r="G130" s="2948" t="s">
        <v>640</v>
      </c>
      <c r="H130" s="2948" t="s">
        <v>781</v>
      </c>
      <c r="I130" s="2948" t="s">
        <v>642</v>
      </c>
      <c r="J130" s="2948" t="s">
        <v>643</v>
      </c>
      <c r="K130" s="2950">
        <v>127.6</v>
      </c>
      <c r="L130" s="2950">
        <v>95.66</v>
      </c>
      <c r="M130" s="2951">
        <v>13429772</v>
      </c>
      <c r="N130" s="2951">
        <v>13841027</v>
      </c>
      <c r="O130" s="2952">
        <v>13565591</v>
      </c>
      <c r="P130" s="2953">
        <v>13565591</v>
      </c>
      <c r="Q130" s="2951">
        <v>13565591</v>
      </c>
      <c r="R130" s="2954">
        <v>44204</v>
      </c>
      <c r="S130" s="2954">
        <v>44211</v>
      </c>
      <c r="T130" s="2954">
        <v>44236</v>
      </c>
      <c r="U130" s="2954">
        <v>44236</v>
      </c>
      <c r="V130" s="2948" t="s">
        <v>815</v>
      </c>
    </row>
    <row r="131" spans="1:22" s="2944" customFormat="1" ht="46.8" hidden="1">
      <c r="A131" s="2948">
        <v>130</v>
      </c>
      <c r="B131" s="2948" t="s">
        <v>635</v>
      </c>
      <c r="C131" s="2948" t="s">
        <v>636</v>
      </c>
      <c r="D131" s="2948" t="s">
        <v>772</v>
      </c>
      <c r="E131" s="2948" t="s">
        <v>700</v>
      </c>
      <c r="F131" s="2948" t="s">
        <v>679</v>
      </c>
      <c r="G131" s="2948" t="s">
        <v>640</v>
      </c>
      <c r="H131" s="2948" t="s">
        <v>773</v>
      </c>
      <c r="I131" s="2948" t="s">
        <v>642</v>
      </c>
      <c r="J131" s="2948" t="s">
        <v>643</v>
      </c>
      <c r="K131" s="2950">
        <v>148.13999999999999</v>
      </c>
      <c r="L131" s="2950">
        <v>111.06</v>
      </c>
      <c r="M131" s="2951">
        <v>15404782</v>
      </c>
      <c r="N131" s="2951">
        <v>15876460</v>
      </c>
      <c r="O131" s="2952">
        <v>15560518</v>
      </c>
      <c r="P131" s="2953">
        <v>15560518</v>
      </c>
      <c r="Q131" s="2951">
        <v>15560518</v>
      </c>
      <c r="R131" s="2954">
        <v>44206</v>
      </c>
      <c r="S131" s="2954">
        <v>44227</v>
      </c>
      <c r="T131" s="2954">
        <v>44333</v>
      </c>
      <c r="U131" s="2954">
        <v>44333</v>
      </c>
      <c r="V131" s="2948" t="s">
        <v>816</v>
      </c>
    </row>
    <row r="132" spans="1:22" s="2944" customFormat="1" ht="46.8" hidden="1">
      <c r="A132" s="2948">
        <v>131</v>
      </c>
      <c r="B132" s="2948" t="s">
        <v>635</v>
      </c>
      <c r="C132" s="2948" t="s">
        <v>636</v>
      </c>
      <c r="D132" s="2948" t="s">
        <v>772</v>
      </c>
      <c r="E132" s="2948" t="s">
        <v>700</v>
      </c>
      <c r="F132" s="2948" t="s">
        <v>681</v>
      </c>
      <c r="G132" s="2948" t="s">
        <v>640</v>
      </c>
      <c r="H132" s="2948" t="s">
        <v>781</v>
      </c>
      <c r="I132" s="2948" t="s">
        <v>642</v>
      </c>
      <c r="J132" s="2948" t="s">
        <v>643</v>
      </c>
      <c r="K132" s="2950">
        <v>127.6</v>
      </c>
      <c r="L132" s="2950">
        <v>95.66</v>
      </c>
      <c r="M132" s="2951">
        <v>13442150</v>
      </c>
      <c r="N132" s="2951">
        <v>13853787</v>
      </c>
      <c r="O132" s="2952">
        <v>13578097</v>
      </c>
      <c r="P132" s="2953">
        <v>13578097</v>
      </c>
      <c r="Q132" s="2951">
        <v>13578097</v>
      </c>
      <c r="R132" s="2954">
        <v>44207</v>
      </c>
      <c r="S132" s="2954">
        <v>44211</v>
      </c>
      <c r="T132" s="2954">
        <v>44385</v>
      </c>
      <c r="U132" s="2954">
        <v>44385</v>
      </c>
      <c r="V132" s="2948" t="s">
        <v>817</v>
      </c>
    </row>
    <row r="133" spans="1:22" s="2944" customFormat="1" ht="46.8" hidden="1">
      <c r="A133" s="2948">
        <v>132</v>
      </c>
      <c r="B133" s="2948" t="s">
        <v>635</v>
      </c>
      <c r="C133" s="2948" t="s">
        <v>636</v>
      </c>
      <c r="D133" s="2948" t="s">
        <v>772</v>
      </c>
      <c r="E133" s="2948" t="s">
        <v>700</v>
      </c>
      <c r="F133" s="2948" t="s">
        <v>683</v>
      </c>
      <c r="G133" s="2948" t="s">
        <v>640</v>
      </c>
      <c r="H133" s="2948" t="s">
        <v>773</v>
      </c>
      <c r="I133" s="2948" t="s">
        <v>642</v>
      </c>
      <c r="J133" s="2948" t="s">
        <v>643</v>
      </c>
      <c r="K133" s="2950">
        <v>148.13999999999999</v>
      </c>
      <c r="L133" s="2950">
        <v>111.06</v>
      </c>
      <c r="M133" s="2951">
        <v>15419152</v>
      </c>
      <c r="N133" s="2951">
        <v>15891274</v>
      </c>
      <c r="O133" s="2952">
        <v>15575038</v>
      </c>
      <c r="P133" s="2953">
        <v>15575038</v>
      </c>
      <c r="Q133" s="2951">
        <v>15575038</v>
      </c>
      <c r="R133" s="2954">
        <v>44204</v>
      </c>
      <c r="S133" s="2954">
        <v>44211</v>
      </c>
      <c r="T133" s="2954">
        <v>44250</v>
      </c>
      <c r="U133" s="2954">
        <v>44250</v>
      </c>
      <c r="V133" s="2948" t="s">
        <v>818</v>
      </c>
    </row>
    <row r="134" spans="1:22" s="2944" customFormat="1" ht="46.8" hidden="1">
      <c r="A134" s="2948">
        <v>133</v>
      </c>
      <c r="B134" s="2948" t="s">
        <v>635</v>
      </c>
      <c r="C134" s="2948" t="s">
        <v>636</v>
      </c>
      <c r="D134" s="2948" t="s">
        <v>772</v>
      </c>
      <c r="E134" s="2948" t="s">
        <v>700</v>
      </c>
      <c r="F134" s="2948" t="s">
        <v>685</v>
      </c>
      <c r="G134" s="2948" t="s">
        <v>640</v>
      </c>
      <c r="H134" s="2948" t="s">
        <v>781</v>
      </c>
      <c r="I134" s="2948" t="s">
        <v>642</v>
      </c>
      <c r="J134" s="2948" t="s">
        <v>643</v>
      </c>
      <c r="K134" s="2950">
        <v>127.6</v>
      </c>
      <c r="L134" s="2950">
        <v>95.66</v>
      </c>
      <c r="M134" s="2951">
        <v>13392641</v>
      </c>
      <c r="N134" s="2951">
        <v>13802747</v>
      </c>
      <c r="O134" s="2952">
        <v>13802747</v>
      </c>
      <c r="P134" s="2953">
        <v>13802747</v>
      </c>
      <c r="Q134" s="2951">
        <v>13802747</v>
      </c>
      <c r="R134" s="2954">
        <v>44249</v>
      </c>
      <c r="S134" s="2954">
        <v>44257</v>
      </c>
      <c r="T134" s="2954">
        <v>44328</v>
      </c>
      <c r="U134" s="2954">
        <v>44328</v>
      </c>
      <c r="V134" s="2948" t="s">
        <v>819</v>
      </c>
    </row>
    <row r="135" spans="1:22" s="2944" customFormat="1" ht="46.8" hidden="1">
      <c r="A135" s="2948">
        <v>134</v>
      </c>
      <c r="B135" s="2948" t="s">
        <v>635</v>
      </c>
      <c r="C135" s="2948" t="s">
        <v>636</v>
      </c>
      <c r="D135" s="2948" t="s">
        <v>772</v>
      </c>
      <c r="E135" s="2948" t="s">
        <v>700</v>
      </c>
      <c r="F135" s="2948" t="s">
        <v>687</v>
      </c>
      <c r="G135" s="2948" t="s">
        <v>640</v>
      </c>
      <c r="H135" s="2948" t="s">
        <v>773</v>
      </c>
      <c r="I135" s="2948" t="s">
        <v>642</v>
      </c>
      <c r="J135" s="2948" t="s">
        <v>643</v>
      </c>
      <c r="K135" s="2950">
        <v>148.13999999999999</v>
      </c>
      <c r="L135" s="2950">
        <v>111.06</v>
      </c>
      <c r="M135" s="2951">
        <v>15361674</v>
      </c>
      <c r="N135" s="2951">
        <v>15832018</v>
      </c>
      <c r="O135" s="2952">
        <v>15832018</v>
      </c>
      <c r="P135" s="2953">
        <v>15832018</v>
      </c>
      <c r="Q135" s="2951">
        <v>15832018</v>
      </c>
      <c r="R135" s="2954">
        <v>44311</v>
      </c>
      <c r="S135" s="2954">
        <v>44316</v>
      </c>
      <c r="T135" s="2954">
        <v>44433</v>
      </c>
      <c r="U135" s="2954">
        <v>44433</v>
      </c>
      <c r="V135" s="2948" t="s">
        <v>820</v>
      </c>
    </row>
    <row r="136" spans="1:22" s="2944" customFormat="1" ht="46.8" hidden="1">
      <c r="A136" s="2948">
        <v>135</v>
      </c>
      <c r="B136" s="2948" t="s">
        <v>635</v>
      </c>
      <c r="C136" s="2948" t="s">
        <v>636</v>
      </c>
      <c r="D136" s="2948" t="s">
        <v>821</v>
      </c>
      <c r="E136" s="2948" t="s">
        <v>729</v>
      </c>
      <c r="F136" s="2948" t="s">
        <v>639</v>
      </c>
      <c r="G136" s="2948" t="s">
        <v>640</v>
      </c>
      <c r="H136" s="2948" t="s">
        <v>822</v>
      </c>
      <c r="I136" s="2948" t="s">
        <v>642</v>
      </c>
      <c r="J136" s="2948" t="s">
        <v>643</v>
      </c>
      <c r="K136" s="2950">
        <v>149</v>
      </c>
      <c r="L136" s="2950">
        <v>111.06</v>
      </c>
      <c r="M136" s="2951">
        <v>15060473</v>
      </c>
      <c r="N136" s="2951">
        <v>15521628</v>
      </c>
      <c r="O136" s="2952">
        <v>15521628</v>
      </c>
      <c r="P136" s="2953">
        <v>15521628</v>
      </c>
      <c r="Q136" s="2951">
        <v>15521628</v>
      </c>
      <c r="R136" s="2954">
        <v>45034</v>
      </c>
      <c r="S136" s="2954">
        <v>45034</v>
      </c>
      <c r="T136" s="2954">
        <v>45035</v>
      </c>
      <c r="U136" s="2954">
        <v>45035</v>
      </c>
      <c r="V136" s="2948" t="s">
        <v>823</v>
      </c>
    </row>
    <row r="137" spans="1:22" s="2944" customFormat="1" ht="46.8" hidden="1">
      <c r="A137" s="2948">
        <v>136</v>
      </c>
      <c r="B137" s="2948" t="s">
        <v>635</v>
      </c>
      <c r="C137" s="2948" t="s">
        <v>636</v>
      </c>
      <c r="D137" s="2948" t="s">
        <v>821</v>
      </c>
      <c r="E137" s="2948" t="s">
        <v>729</v>
      </c>
      <c r="F137" s="2948" t="s">
        <v>645</v>
      </c>
      <c r="G137" s="2948" t="s">
        <v>640</v>
      </c>
      <c r="H137" s="2948" t="s">
        <v>822</v>
      </c>
      <c r="I137" s="2948" t="s">
        <v>642</v>
      </c>
      <c r="J137" s="2948" t="s">
        <v>643</v>
      </c>
      <c r="K137" s="2950">
        <v>149</v>
      </c>
      <c r="L137" s="2950">
        <v>111.06</v>
      </c>
      <c r="M137" s="2951">
        <v>15176097</v>
      </c>
      <c r="N137" s="2951">
        <v>15640828</v>
      </c>
      <c r="O137" s="2952">
        <v>15640828</v>
      </c>
      <c r="P137" s="2953">
        <v>15640828</v>
      </c>
      <c r="Q137" s="2951">
        <v>15640828</v>
      </c>
      <c r="R137" s="2954">
        <v>44246</v>
      </c>
      <c r="S137" s="2954">
        <v>44257</v>
      </c>
      <c r="T137" s="2954">
        <v>44349</v>
      </c>
      <c r="U137" s="2954">
        <v>44349</v>
      </c>
      <c r="V137" s="2948" t="s">
        <v>824</v>
      </c>
    </row>
    <row r="138" spans="1:22" s="2944" customFormat="1" ht="46.8" hidden="1">
      <c r="A138" s="2948">
        <v>137</v>
      </c>
      <c r="B138" s="2948" t="s">
        <v>635</v>
      </c>
      <c r="C138" s="2948" t="s">
        <v>636</v>
      </c>
      <c r="D138" s="2948" t="s">
        <v>821</v>
      </c>
      <c r="E138" s="2948" t="s">
        <v>729</v>
      </c>
      <c r="F138" s="2948" t="s">
        <v>648</v>
      </c>
      <c r="G138" s="2948" t="s">
        <v>640</v>
      </c>
      <c r="H138" s="2948" t="s">
        <v>822</v>
      </c>
      <c r="I138" s="2948" t="s">
        <v>642</v>
      </c>
      <c r="J138" s="2948" t="s">
        <v>643</v>
      </c>
      <c r="K138" s="2950">
        <v>149</v>
      </c>
      <c r="L138" s="2950">
        <v>111.06</v>
      </c>
      <c r="M138" s="2951">
        <v>15205003</v>
      </c>
      <c r="N138" s="2951">
        <v>15670628</v>
      </c>
      <c r="O138" s="2952">
        <v>15670628</v>
      </c>
      <c r="P138" s="2953">
        <v>15670628</v>
      </c>
      <c r="Q138" s="2951">
        <v>15670628</v>
      </c>
      <c r="R138" s="2954">
        <v>44312</v>
      </c>
      <c r="S138" s="2954">
        <v>44336</v>
      </c>
      <c r="T138" s="2954">
        <v>44462</v>
      </c>
      <c r="U138" s="2954">
        <v>44462</v>
      </c>
      <c r="V138" s="2948" t="s">
        <v>825</v>
      </c>
    </row>
    <row r="139" spans="1:22" s="2944" customFormat="1" ht="46.8" hidden="1">
      <c r="A139" s="2948">
        <v>138</v>
      </c>
      <c r="B139" s="2948" t="s">
        <v>635</v>
      </c>
      <c r="C139" s="2948" t="s">
        <v>636</v>
      </c>
      <c r="D139" s="2948" t="s">
        <v>821</v>
      </c>
      <c r="E139" s="2948" t="s">
        <v>729</v>
      </c>
      <c r="F139" s="2948" t="s">
        <v>651</v>
      </c>
      <c r="G139" s="2948" t="s">
        <v>640</v>
      </c>
      <c r="H139" s="2948" t="s">
        <v>822</v>
      </c>
      <c r="I139" s="2948" t="s">
        <v>642</v>
      </c>
      <c r="J139" s="2948" t="s">
        <v>643</v>
      </c>
      <c r="K139" s="2950">
        <v>149</v>
      </c>
      <c r="L139" s="2950">
        <v>111.06</v>
      </c>
      <c r="M139" s="2951">
        <v>15320776</v>
      </c>
      <c r="N139" s="2951">
        <v>15789828</v>
      </c>
      <c r="O139" s="2952">
        <v>15789828</v>
      </c>
      <c r="P139" s="2953">
        <v>15789828</v>
      </c>
      <c r="Q139" s="2951">
        <v>15789828</v>
      </c>
      <c r="R139" s="2954">
        <v>44347</v>
      </c>
      <c r="S139" s="2954">
        <v>44347</v>
      </c>
      <c r="T139" s="2954">
        <v>44527</v>
      </c>
      <c r="U139" s="2954">
        <v>44527</v>
      </c>
      <c r="V139" s="2948" t="s">
        <v>826</v>
      </c>
    </row>
    <row r="140" spans="1:22" s="2944" customFormat="1" ht="46.8" hidden="1">
      <c r="A140" s="2948">
        <v>139</v>
      </c>
      <c r="B140" s="2948" t="s">
        <v>635</v>
      </c>
      <c r="C140" s="2948" t="s">
        <v>636</v>
      </c>
      <c r="D140" s="2948" t="s">
        <v>821</v>
      </c>
      <c r="E140" s="2948" t="s">
        <v>729</v>
      </c>
      <c r="F140" s="2948" t="s">
        <v>653</v>
      </c>
      <c r="G140" s="2948" t="s">
        <v>640</v>
      </c>
      <c r="H140" s="2948" t="s">
        <v>822</v>
      </c>
      <c r="I140" s="2948" t="s">
        <v>642</v>
      </c>
      <c r="J140" s="2948" t="s">
        <v>643</v>
      </c>
      <c r="K140" s="2950">
        <v>149</v>
      </c>
      <c r="L140" s="2950">
        <v>111.06</v>
      </c>
      <c r="M140" s="2951">
        <v>15349682</v>
      </c>
      <c r="N140" s="2951">
        <v>15819628</v>
      </c>
      <c r="O140" s="2952">
        <v>15819628</v>
      </c>
      <c r="P140" s="2953">
        <v>15819628</v>
      </c>
      <c r="Q140" s="2951">
        <v>15819628</v>
      </c>
      <c r="R140" s="2954">
        <v>44620</v>
      </c>
      <c r="S140" s="2954">
        <v>44620</v>
      </c>
      <c r="T140" s="2954">
        <v>44726</v>
      </c>
      <c r="U140" s="2954">
        <v>44726</v>
      </c>
      <c r="V140" s="2948" t="s">
        <v>827</v>
      </c>
    </row>
    <row r="141" spans="1:22" s="2944" customFormat="1" ht="46.8" hidden="1">
      <c r="A141" s="2948">
        <v>140</v>
      </c>
      <c r="B141" s="2948" t="s">
        <v>635</v>
      </c>
      <c r="C141" s="2948" t="s">
        <v>636</v>
      </c>
      <c r="D141" s="2948" t="s">
        <v>821</v>
      </c>
      <c r="E141" s="2948" t="s">
        <v>729</v>
      </c>
      <c r="F141" s="2948" t="s">
        <v>655</v>
      </c>
      <c r="G141" s="2948" t="s">
        <v>640</v>
      </c>
      <c r="H141" s="2948" t="s">
        <v>822</v>
      </c>
      <c r="I141" s="2948" t="s">
        <v>642</v>
      </c>
      <c r="J141" s="2948" t="s">
        <v>643</v>
      </c>
      <c r="K141" s="2950">
        <v>149</v>
      </c>
      <c r="L141" s="2950">
        <v>111.06</v>
      </c>
      <c r="M141" s="2951">
        <v>15465306</v>
      </c>
      <c r="N141" s="2951">
        <v>15938828</v>
      </c>
      <c r="O141" s="2952">
        <v>15938828</v>
      </c>
      <c r="P141" s="2953">
        <v>15938828</v>
      </c>
      <c r="Q141" s="2951">
        <v>15938828</v>
      </c>
      <c r="R141" s="2954">
        <v>44253</v>
      </c>
      <c r="S141" s="2954">
        <v>44335</v>
      </c>
      <c r="T141" s="2954">
        <v>44335</v>
      </c>
      <c r="U141" s="2954">
        <v>44335</v>
      </c>
      <c r="V141" s="2948" t="s">
        <v>828</v>
      </c>
    </row>
    <row r="142" spans="1:22" s="2944" customFormat="1" ht="46.8" hidden="1">
      <c r="A142" s="2948">
        <v>141</v>
      </c>
      <c r="B142" s="2948" t="s">
        <v>635</v>
      </c>
      <c r="C142" s="2948" t="s">
        <v>636</v>
      </c>
      <c r="D142" s="2948" t="s">
        <v>821</v>
      </c>
      <c r="E142" s="2948" t="s">
        <v>729</v>
      </c>
      <c r="F142" s="2948" t="s">
        <v>657</v>
      </c>
      <c r="G142" s="2948" t="s">
        <v>640</v>
      </c>
      <c r="H142" s="2948" t="s">
        <v>822</v>
      </c>
      <c r="I142" s="2948" t="s">
        <v>642</v>
      </c>
      <c r="J142" s="2948" t="s">
        <v>643</v>
      </c>
      <c r="K142" s="2950">
        <v>149</v>
      </c>
      <c r="L142" s="2950">
        <v>111.06</v>
      </c>
      <c r="M142" s="2951">
        <v>15494212</v>
      </c>
      <c r="N142" s="2951">
        <v>15968628</v>
      </c>
      <c r="O142" s="2952">
        <v>15968628</v>
      </c>
      <c r="P142" s="2953">
        <v>15968628</v>
      </c>
      <c r="Q142" s="2951">
        <v>15968628</v>
      </c>
      <c r="R142" s="2954">
        <v>44642</v>
      </c>
      <c r="S142" s="2954">
        <v>44648</v>
      </c>
      <c r="T142" s="2954">
        <v>44714</v>
      </c>
      <c r="U142" s="2954">
        <v>44714</v>
      </c>
      <c r="V142" s="2948" t="s">
        <v>829</v>
      </c>
    </row>
    <row r="143" spans="1:22" s="2944" customFormat="1" ht="46.8" hidden="1">
      <c r="A143" s="2948">
        <v>142</v>
      </c>
      <c r="B143" s="2948" t="s">
        <v>635</v>
      </c>
      <c r="C143" s="2948" t="s">
        <v>636</v>
      </c>
      <c r="D143" s="2948" t="s">
        <v>821</v>
      </c>
      <c r="E143" s="2948" t="s">
        <v>729</v>
      </c>
      <c r="F143" s="2948" t="s">
        <v>659</v>
      </c>
      <c r="G143" s="2948" t="s">
        <v>640</v>
      </c>
      <c r="H143" s="2948" t="s">
        <v>822</v>
      </c>
      <c r="I143" s="2948" t="s">
        <v>642</v>
      </c>
      <c r="J143" s="2948" t="s">
        <v>643</v>
      </c>
      <c r="K143" s="2950">
        <v>149</v>
      </c>
      <c r="L143" s="2950">
        <v>111.06</v>
      </c>
      <c r="M143" s="2951">
        <v>15609836</v>
      </c>
      <c r="N143" s="2951">
        <v>16087828</v>
      </c>
      <c r="O143" s="2952">
        <v>15767680</v>
      </c>
      <c r="P143" s="2953">
        <v>15767680</v>
      </c>
      <c r="Q143" s="2951">
        <v>15767680</v>
      </c>
      <c r="R143" s="2954">
        <v>44203</v>
      </c>
      <c r="S143" s="2954">
        <v>44211</v>
      </c>
      <c r="T143" s="2954">
        <v>44252</v>
      </c>
      <c r="U143" s="2954">
        <v>44252</v>
      </c>
      <c r="V143" s="2948" t="s">
        <v>830</v>
      </c>
    </row>
    <row r="144" spans="1:22" s="2944" customFormat="1" ht="46.8" hidden="1">
      <c r="A144" s="2948">
        <v>143</v>
      </c>
      <c r="B144" s="2948" t="s">
        <v>635</v>
      </c>
      <c r="C144" s="2948" t="s">
        <v>636</v>
      </c>
      <c r="D144" s="2948" t="s">
        <v>821</v>
      </c>
      <c r="E144" s="2948" t="s">
        <v>729</v>
      </c>
      <c r="F144" s="2948" t="s">
        <v>661</v>
      </c>
      <c r="G144" s="2948" t="s">
        <v>640</v>
      </c>
      <c r="H144" s="2948" t="s">
        <v>822</v>
      </c>
      <c r="I144" s="2948" t="s">
        <v>642</v>
      </c>
      <c r="J144" s="2948" t="s">
        <v>643</v>
      </c>
      <c r="K144" s="2950">
        <v>149</v>
      </c>
      <c r="L144" s="2950">
        <v>111.06</v>
      </c>
      <c r="M144" s="2951">
        <v>15711007</v>
      </c>
      <c r="N144" s="2951">
        <v>16192128</v>
      </c>
      <c r="O144" s="2952">
        <v>15869905</v>
      </c>
      <c r="P144" s="2953">
        <v>15869905</v>
      </c>
      <c r="Q144" s="2951">
        <v>15869905</v>
      </c>
      <c r="R144" s="2954">
        <v>44203</v>
      </c>
      <c r="S144" s="2954">
        <v>44211</v>
      </c>
      <c r="T144" s="2954">
        <v>44278</v>
      </c>
      <c r="U144" s="2954">
        <v>44278</v>
      </c>
      <c r="V144" s="2948" t="s">
        <v>831</v>
      </c>
    </row>
    <row r="145" spans="1:22" s="2944" customFormat="1" ht="46.8" hidden="1">
      <c r="A145" s="2948">
        <v>144</v>
      </c>
      <c r="B145" s="2948" t="s">
        <v>635</v>
      </c>
      <c r="C145" s="2948" t="s">
        <v>636</v>
      </c>
      <c r="D145" s="2948" t="s">
        <v>821</v>
      </c>
      <c r="E145" s="2948" t="s">
        <v>729</v>
      </c>
      <c r="F145" s="2948" t="s">
        <v>663</v>
      </c>
      <c r="G145" s="2948" t="s">
        <v>640</v>
      </c>
      <c r="H145" s="2948" t="s">
        <v>822</v>
      </c>
      <c r="I145" s="2948" t="s">
        <v>642</v>
      </c>
      <c r="J145" s="2948" t="s">
        <v>643</v>
      </c>
      <c r="K145" s="2950">
        <v>149</v>
      </c>
      <c r="L145" s="2950">
        <v>111.06</v>
      </c>
      <c r="M145" s="2951">
        <v>15826780</v>
      </c>
      <c r="N145" s="2951">
        <v>16311328</v>
      </c>
      <c r="O145" s="2952">
        <v>15986733</v>
      </c>
      <c r="P145" s="2953">
        <v>15986733</v>
      </c>
      <c r="Q145" s="2951">
        <v>15986733</v>
      </c>
      <c r="R145" s="2954">
        <v>44203</v>
      </c>
      <c r="S145" s="2954">
        <v>44211</v>
      </c>
      <c r="T145" s="2954">
        <v>44349</v>
      </c>
      <c r="U145" s="2954">
        <v>44349</v>
      </c>
      <c r="V145" s="2948" t="s">
        <v>832</v>
      </c>
    </row>
    <row r="146" spans="1:22" s="2944" customFormat="1" ht="46.8" hidden="1">
      <c r="A146" s="2948">
        <v>145</v>
      </c>
      <c r="B146" s="2948" t="s">
        <v>635</v>
      </c>
      <c r="C146" s="2948" t="s">
        <v>636</v>
      </c>
      <c r="D146" s="2948" t="s">
        <v>821</v>
      </c>
      <c r="E146" s="2948" t="s">
        <v>729</v>
      </c>
      <c r="F146" s="2948" t="s">
        <v>665</v>
      </c>
      <c r="G146" s="2948" t="s">
        <v>640</v>
      </c>
      <c r="H146" s="2948" t="s">
        <v>822</v>
      </c>
      <c r="I146" s="2948" t="s">
        <v>642</v>
      </c>
      <c r="J146" s="2948" t="s">
        <v>643</v>
      </c>
      <c r="K146" s="2950">
        <v>149</v>
      </c>
      <c r="L146" s="2950">
        <v>111.06</v>
      </c>
      <c r="M146" s="2951">
        <v>15725460</v>
      </c>
      <c r="N146" s="2951">
        <v>16207028</v>
      </c>
      <c r="O146" s="2952">
        <v>16207028</v>
      </c>
      <c r="P146" s="2953">
        <v>16207028</v>
      </c>
      <c r="Q146" s="2951">
        <v>16207028</v>
      </c>
      <c r="R146" s="2954">
        <v>44260</v>
      </c>
      <c r="S146" s="2954">
        <v>44305</v>
      </c>
      <c r="T146" s="2954">
        <v>44327</v>
      </c>
      <c r="U146" s="2954">
        <v>44327</v>
      </c>
      <c r="V146" s="2948" t="s">
        <v>833</v>
      </c>
    </row>
    <row r="147" spans="1:22" s="2944" customFormat="1" ht="46.8" hidden="1">
      <c r="A147" s="2948">
        <v>146</v>
      </c>
      <c r="B147" s="2948" t="s">
        <v>635</v>
      </c>
      <c r="C147" s="2948" t="s">
        <v>636</v>
      </c>
      <c r="D147" s="2948" t="s">
        <v>821</v>
      </c>
      <c r="E147" s="2948" t="s">
        <v>729</v>
      </c>
      <c r="F147" s="2948" t="s">
        <v>667</v>
      </c>
      <c r="G147" s="2948" t="s">
        <v>640</v>
      </c>
      <c r="H147" s="2948" t="s">
        <v>822</v>
      </c>
      <c r="I147" s="2948" t="s">
        <v>642</v>
      </c>
      <c r="J147" s="2948" t="s">
        <v>643</v>
      </c>
      <c r="K147" s="2950">
        <v>149</v>
      </c>
      <c r="L147" s="2950">
        <v>111.06</v>
      </c>
      <c r="M147" s="2951">
        <v>15841233</v>
      </c>
      <c r="N147" s="2951">
        <v>16326228</v>
      </c>
      <c r="O147" s="2952">
        <v>16001336</v>
      </c>
      <c r="P147" s="2953">
        <v>16001336</v>
      </c>
      <c r="Q147" s="2951">
        <v>16001336</v>
      </c>
      <c r="R147" s="2954">
        <v>44206</v>
      </c>
      <c r="S147" s="2954">
        <v>44259</v>
      </c>
      <c r="T147" s="2954">
        <v>44404</v>
      </c>
      <c r="U147" s="2954">
        <v>44404</v>
      </c>
      <c r="V147" s="2948" t="s">
        <v>834</v>
      </c>
    </row>
    <row r="148" spans="1:22" s="2944" customFormat="1" ht="46.8" hidden="1">
      <c r="A148" s="2948">
        <v>147</v>
      </c>
      <c r="B148" s="2948" t="s">
        <v>635</v>
      </c>
      <c r="C148" s="2948" t="s">
        <v>636</v>
      </c>
      <c r="D148" s="2948" t="s">
        <v>821</v>
      </c>
      <c r="E148" s="2948" t="s">
        <v>729</v>
      </c>
      <c r="F148" s="2948" t="s">
        <v>669</v>
      </c>
      <c r="G148" s="2948" t="s">
        <v>640</v>
      </c>
      <c r="H148" s="2948" t="s">
        <v>822</v>
      </c>
      <c r="I148" s="2948" t="s">
        <v>642</v>
      </c>
      <c r="J148" s="2948" t="s">
        <v>643</v>
      </c>
      <c r="K148" s="2950">
        <v>149</v>
      </c>
      <c r="L148" s="2950">
        <v>111.06</v>
      </c>
      <c r="M148" s="2951">
        <v>15739913</v>
      </c>
      <c r="N148" s="2951">
        <v>16221928</v>
      </c>
      <c r="O148" s="2952">
        <v>15899112</v>
      </c>
      <c r="P148" s="2953">
        <v>15899112</v>
      </c>
      <c r="Q148" s="2951">
        <v>15899112</v>
      </c>
      <c r="R148" s="2954">
        <v>44206</v>
      </c>
      <c r="S148" s="2954">
        <v>44285</v>
      </c>
      <c r="T148" s="2954">
        <v>44328</v>
      </c>
      <c r="U148" s="2954">
        <v>44328</v>
      </c>
      <c r="V148" s="2948" t="s">
        <v>835</v>
      </c>
    </row>
    <row r="149" spans="1:22" s="2944" customFormat="1" ht="46.8" hidden="1">
      <c r="A149" s="2948">
        <v>148</v>
      </c>
      <c r="B149" s="2948" t="s">
        <v>635</v>
      </c>
      <c r="C149" s="2948" t="s">
        <v>636</v>
      </c>
      <c r="D149" s="2948" t="s">
        <v>821</v>
      </c>
      <c r="E149" s="2948" t="s">
        <v>729</v>
      </c>
      <c r="F149" s="2948" t="s">
        <v>671</v>
      </c>
      <c r="G149" s="2948" t="s">
        <v>640</v>
      </c>
      <c r="H149" s="2948" t="s">
        <v>822</v>
      </c>
      <c r="I149" s="2948" t="s">
        <v>642</v>
      </c>
      <c r="J149" s="2948" t="s">
        <v>643</v>
      </c>
      <c r="K149" s="2950">
        <v>149</v>
      </c>
      <c r="L149" s="2950">
        <v>111.06</v>
      </c>
      <c r="M149" s="2951">
        <v>15855686</v>
      </c>
      <c r="N149" s="2951">
        <v>16341128</v>
      </c>
      <c r="O149" s="2952">
        <v>15855780</v>
      </c>
      <c r="P149" s="2953">
        <v>15855780</v>
      </c>
      <c r="Q149" s="2951">
        <v>15855780</v>
      </c>
      <c r="R149" s="2954">
        <v>44203</v>
      </c>
      <c r="S149" s="2954">
        <v>44216</v>
      </c>
      <c r="T149" s="2954">
        <v>44351</v>
      </c>
      <c r="U149" s="2954">
        <v>44351</v>
      </c>
      <c r="V149" s="2948" t="s">
        <v>836</v>
      </c>
    </row>
    <row r="150" spans="1:22" s="2944" customFormat="1" ht="46.8" hidden="1">
      <c r="A150" s="2948">
        <v>149</v>
      </c>
      <c r="B150" s="2948" t="s">
        <v>635</v>
      </c>
      <c r="C150" s="2948" t="s">
        <v>636</v>
      </c>
      <c r="D150" s="2948" t="s">
        <v>821</v>
      </c>
      <c r="E150" s="2948" t="s">
        <v>729</v>
      </c>
      <c r="F150" s="2948" t="s">
        <v>673</v>
      </c>
      <c r="G150" s="2948" t="s">
        <v>640</v>
      </c>
      <c r="H150" s="2948" t="s">
        <v>822</v>
      </c>
      <c r="I150" s="2948" t="s">
        <v>642</v>
      </c>
      <c r="J150" s="2948" t="s">
        <v>643</v>
      </c>
      <c r="K150" s="2950">
        <v>149</v>
      </c>
      <c r="L150" s="2950">
        <v>111.06</v>
      </c>
      <c r="M150" s="2951">
        <v>15754366</v>
      </c>
      <c r="N150" s="2951">
        <v>16236828</v>
      </c>
      <c r="O150" s="2952">
        <v>15913715</v>
      </c>
      <c r="P150" s="2953">
        <v>15913715</v>
      </c>
      <c r="Q150" s="2951">
        <v>15913715</v>
      </c>
      <c r="R150" s="2954">
        <v>44204</v>
      </c>
      <c r="S150" s="2954">
        <v>44211</v>
      </c>
      <c r="T150" s="2954">
        <v>44253</v>
      </c>
      <c r="U150" s="2954">
        <v>44253</v>
      </c>
      <c r="V150" s="2948" t="s">
        <v>837</v>
      </c>
    </row>
    <row r="151" spans="1:22" s="2944" customFormat="1" ht="46.8" hidden="1">
      <c r="A151" s="2948">
        <v>150</v>
      </c>
      <c r="B151" s="2948" t="s">
        <v>635</v>
      </c>
      <c r="C151" s="2948" t="s">
        <v>636</v>
      </c>
      <c r="D151" s="2948" t="s">
        <v>821</v>
      </c>
      <c r="E151" s="2948" t="s">
        <v>729</v>
      </c>
      <c r="F151" s="2948" t="s">
        <v>675</v>
      </c>
      <c r="G151" s="2948" t="s">
        <v>640</v>
      </c>
      <c r="H151" s="2948" t="s">
        <v>822</v>
      </c>
      <c r="I151" s="2948" t="s">
        <v>642</v>
      </c>
      <c r="J151" s="2948" t="s">
        <v>643</v>
      </c>
      <c r="K151" s="2950">
        <v>149</v>
      </c>
      <c r="L151" s="2950">
        <v>111.06</v>
      </c>
      <c r="M151" s="2951">
        <v>15870139</v>
      </c>
      <c r="N151" s="2951">
        <v>16356028</v>
      </c>
      <c r="O151" s="2952">
        <v>16356028</v>
      </c>
      <c r="P151" s="2953">
        <v>16356028</v>
      </c>
      <c r="Q151" s="2951">
        <v>16356028</v>
      </c>
      <c r="R151" s="2954">
        <v>44372</v>
      </c>
      <c r="S151" s="2954">
        <v>44372</v>
      </c>
      <c r="T151" s="2954">
        <v>44375</v>
      </c>
      <c r="U151" s="2954">
        <v>44375</v>
      </c>
      <c r="V151" s="2948" t="s">
        <v>838</v>
      </c>
    </row>
    <row r="152" spans="1:22" s="2944" customFormat="1" ht="46.8" hidden="1">
      <c r="A152" s="2948">
        <v>151</v>
      </c>
      <c r="B152" s="2948" t="s">
        <v>635</v>
      </c>
      <c r="C152" s="2948" t="s">
        <v>636</v>
      </c>
      <c r="D152" s="2948" t="s">
        <v>821</v>
      </c>
      <c r="E152" s="2948" t="s">
        <v>729</v>
      </c>
      <c r="F152" s="2948" t="s">
        <v>677</v>
      </c>
      <c r="G152" s="2948" t="s">
        <v>640</v>
      </c>
      <c r="H152" s="2948" t="s">
        <v>822</v>
      </c>
      <c r="I152" s="2948" t="s">
        <v>642</v>
      </c>
      <c r="J152" s="2948" t="s">
        <v>643</v>
      </c>
      <c r="K152" s="2950">
        <v>149</v>
      </c>
      <c r="L152" s="2950">
        <v>111.06</v>
      </c>
      <c r="M152" s="2951">
        <v>15768819</v>
      </c>
      <c r="N152" s="2951">
        <v>16251728</v>
      </c>
      <c r="O152" s="2952">
        <v>16251728</v>
      </c>
      <c r="P152" s="2953">
        <v>16251728</v>
      </c>
      <c r="Q152" s="2951">
        <v>16251728</v>
      </c>
      <c r="R152" s="2954">
        <v>44921</v>
      </c>
      <c r="S152" s="2954">
        <v>44921</v>
      </c>
      <c r="T152" s="2954">
        <v>44930</v>
      </c>
      <c r="U152" s="2954">
        <v>44938</v>
      </c>
      <c r="V152" s="2948" t="s">
        <v>839</v>
      </c>
    </row>
    <row r="153" spans="1:22" s="2944" customFormat="1" ht="46.8" hidden="1">
      <c r="A153" s="2948">
        <v>152</v>
      </c>
      <c r="B153" s="2948" t="s">
        <v>635</v>
      </c>
      <c r="C153" s="2948" t="s">
        <v>636</v>
      </c>
      <c r="D153" s="2948" t="s">
        <v>821</v>
      </c>
      <c r="E153" s="2948" t="s">
        <v>729</v>
      </c>
      <c r="F153" s="2948" t="s">
        <v>679</v>
      </c>
      <c r="G153" s="2948" t="s">
        <v>640</v>
      </c>
      <c r="H153" s="2948" t="s">
        <v>822</v>
      </c>
      <c r="I153" s="2948" t="s">
        <v>642</v>
      </c>
      <c r="J153" s="2948" t="s">
        <v>643</v>
      </c>
      <c r="K153" s="2950">
        <v>149</v>
      </c>
      <c r="L153" s="2950">
        <v>111.06</v>
      </c>
      <c r="M153" s="2951">
        <v>15903068</v>
      </c>
      <c r="N153" s="2951">
        <v>16390000</v>
      </c>
      <c r="O153" s="2952">
        <v>16063839</v>
      </c>
      <c r="P153" s="2953">
        <v>16063839</v>
      </c>
      <c r="Q153" s="2951">
        <v>16063839</v>
      </c>
      <c r="R153" s="2954">
        <v>44201</v>
      </c>
      <c r="S153" s="2954">
        <v>44211</v>
      </c>
      <c r="T153" s="2954">
        <v>44246</v>
      </c>
      <c r="U153" s="2954">
        <v>44246</v>
      </c>
      <c r="V153" s="2948" t="s">
        <v>840</v>
      </c>
    </row>
    <row r="154" spans="1:22" s="2944" customFormat="1" ht="46.8" hidden="1">
      <c r="A154" s="2948">
        <v>153</v>
      </c>
      <c r="B154" s="2948" t="s">
        <v>635</v>
      </c>
      <c r="C154" s="2948" t="s">
        <v>636</v>
      </c>
      <c r="D154" s="2948" t="s">
        <v>821</v>
      </c>
      <c r="E154" s="2948" t="s">
        <v>729</v>
      </c>
      <c r="F154" s="2948" t="s">
        <v>681</v>
      </c>
      <c r="G154" s="2948" t="s">
        <v>640</v>
      </c>
      <c r="H154" s="2948" t="s">
        <v>822</v>
      </c>
      <c r="I154" s="2948" t="s">
        <v>642</v>
      </c>
      <c r="J154" s="2948" t="s">
        <v>643</v>
      </c>
      <c r="K154" s="2950">
        <v>149</v>
      </c>
      <c r="L154" s="2950">
        <v>111.06</v>
      </c>
      <c r="M154" s="2951">
        <v>15783272</v>
      </c>
      <c r="N154" s="2951">
        <v>16266628</v>
      </c>
      <c r="O154" s="2952">
        <v>15942922</v>
      </c>
      <c r="P154" s="2953">
        <v>15942922</v>
      </c>
      <c r="Q154" s="2951">
        <v>15942922</v>
      </c>
      <c r="R154" s="2954">
        <v>44204</v>
      </c>
      <c r="S154" s="2954">
        <v>44211</v>
      </c>
      <c r="T154" s="2954">
        <v>44284</v>
      </c>
      <c r="U154" s="2954">
        <v>44284</v>
      </c>
      <c r="V154" s="2948" t="s">
        <v>841</v>
      </c>
    </row>
    <row r="155" spans="1:22" s="2944" customFormat="1" ht="46.8" hidden="1">
      <c r="A155" s="2948">
        <v>154</v>
      </c>
      <c r="B155" s="2948" t="s">
        <v>635</v>
      </c>
      <c r="C155" s="2948" t="s">
        <v>636</v>
      </c>
      <c r="D155" s="2948" t="s">
        <v>821</v>
      </c>
      <c r="E155" s="2948" t="s">
        <v>729</v>
      </c>
      <c r="F155" s="2948" t="s">
        <v>683</v>
      </c>
      <c r="G155" s="2948" t="s">
        <v>640</v>
      </c>
      <c r="H155" s="2948" t="s">
        <v>822</v>
      </c>
      <c r="I155" s="2948" t="s">
        <v>642</v>
      </c>
      <c r="J155" s="2948" t="s">
        <v>643</v>
      </c>
      <c r="K155" s="2950">
        <v>149</v>
      </c>
      <c r="L155" s="2950">
        <v>111.06</v>
      </c>
      <c r="M155" s="2951">
        <v>15903068</v>
      </c>
      <c r="N155" s="2951">
        <v>16390000</v>
      </c>
      <c r="O155" s="2952">
        <v>16063839</v>
      </c>
      <c r="P155" s="2953">
        <v>16063839</v>
      </c>
      <c r="Q155" s="2951">
        <v>16063839</v>
      </c>
      <c r="R155" s="2954">
        <v>44204</v>
      </c>
      <c r="S155" s="2954">
        <v>44211</v>
      </c>
      <c r="T155" s="2954">
        <v>44236</v>
      </c>
      <c r="U155" s="2954">
        <v>44236</v>
      </c>
      <c r="V155" s="2948" t="s">
        <v>842</v>
      </c>
    </row>
    <row r="156" spans="1:22" s="2944" customFormat="1" ht="46.8" hidden="1">
      <c r="A156" s="2948">
        <v>155</v>
      </c>
      <c r="B156" s="2948" t="s">
        <v>635</v>
      </c>
      <c r="C156" s="2948" t="s">
        <v>636</v>
      </c>
      <c r="D156" s="2948" t="s">
        <v>821</v>
      </c>
      <c r="E156" s="2948" t="s">
        <v>729</v>
      </c>
      <c r="F156" s="2948" t="s">
        <v>685</v>
      </c>
      <c r="G156" s="2948" t="s">
        <v>640</v>
      </c>
      <c r="H156" s="2948" t="s">
        <v>822</v>
      </c>
      <c r="I156" s="2948" t="s">
        <v>642</v>
      </c>
      <c r="J156" s="2948" t="s">
        <v>643</v>
      </c>
      <c r="K156" s="2950">
        <v>149</v>
      </c>
      <c r="L156" s="2950">
        <v>111.06</v>
      </c>
      <c r="M156" s="2951">
        <v>15797874</v>
      </c>
      <c r="N156" s="2951">
        <v>16281528</v>
      </c>
      <c r="O156" s="2952">
        <v>15957526</v>
      </c>
      <c r="P156" s="2953">
        <v>15957526</v>
      </c>
      <c r="Q156" s="2951">
        <v>15957526</v>
      </c>
      <c r="R156" s="2954">
        <v>44206</v>
      </c>
      <c r="S156" s="2954">
        <v>44211</v>
      </c>
      <c r="T156" s="2954">
        <v>44260</v>
      </c>
      <c r="U156" s="2954">
        <v>44260</v>
      </c>
      <c r="V156" s="2948" t="s">
        <v>843</v>
      </c>
    </row>
    <row r="157" spans="1:22" s="2944" customFormat="1" ht="46.8" hidden="1">
      <c r="A157" s="2948">
        <v>156</v>
      </c>
      <c r="B157" s="2948" t="s">
        <v>635</v>
      </c>
      <c r="C157" s="2948" t="s">
        <v>636</v>
      </c>
      <c r="D157" s="2948" t="s">
        <v>821</v>
      </c>
      <c r="E157" s="2948" t="s">
        <v>729</v>
      </c>
      <c r="F157" s="2948" t="s">
        <v>687</v>
      </c>
      <c r="G157" s="2948" t="s">
        <v>640</v>
      </c>
      <c r="H157" s="2948" t="s">
        <v>822</v>
      </c>
      <c r="I157" s="2948" t="s">
        <v>642</v>
      </c>
      <c r="J157" s="2948" t="s">
        <v>643</v>
      </c>
      <c r="K157" s="2950">
        <v>149</v>
      </c>
      <c r="L157" s="2950">
        <v>111.06</v>
      </c>
      <c r="M157" s="2951">
        <v>15903068</v>
      </c>
      <c r="N157" s="2951">
        <v>16390000</v>
      </c>
      <c r="O157" s="2952">
        <v>16063839</v>
      </c>
      <c r="P157" s="2953">
        <v>16063839</v>
      </c>
      <c r="Q157" s="2951">
        <v>16063839</v>
      </c>
      <c r="R157" s="2954">
        <v>44204</v>
      </c>
      <c r="S157" s="2954">
        <v>44211</v>
      </c>
      <c r="T157" s="2954">
        <v>44275</v>
      </c>
      <c r="U157" s="2954">
        <v>44275</v>
      </c>
      <c r="V157" s="2948" t="s">
        <v>844</v>
      </c>
    </row>
    <row r="158" spans="1:22" s="2944" customFormat="1" ht="46.8" hidden="1">
      <c r="A158" s="2948">
        <v>157</v>
      </c>
      <c r="B158" s="2948" t="s">
        <v>635</v>
      </c>
      <c r="C158" s="2948" t="s">
        <v>636</v>
      </c>
      <c r="D158" s="2948" t="s">
        <v>821</v>
      </c>
      <c r="E158" s="2948" t="s">
        <v>729</v>
      </c>
      <c r="F158" s="2948" t="s">
        <v>689</v>
      </c>
      <c r="G158" s="2948" t="s">
        <v>640</v>
      </c>
      <c r="H158" s="2948" t="s">
        <v>822</v>
      </c>
      <c r="I158" s="2948" t="s">
        <v>642</v>
      </c>
      <c r="J158" s="2948" t="s">
        <v>643</v>
      </c>
      <c r="K158" s="2950">
        <v>149</v>
      </c>
      <c r="L158" s="2950">
        <v>111.06</v>
      </c>
      <c r="M158" s="2951">
        <v>15812327</v>
      </c>
      <c r="N158" s="2951">
        <v>16296428</v>
      </c>
      <c r="O158" s="2952">
        <v>15972129</v>
      </c>
      <c r="P158" s="2953">
        <v>15972129</v>
      </c>
      <c r="Q158" s="2951">
        <v>15972129</v>
      </c>
      <c r="R158" s="2954">
        <v>44203</v>
      </c>
      <c r="S158" s="2954">
        <v>44211</v>
      </c>
      <c r="T158" s="2954">
        <v>44249</v>
      </c>
      <c r="U158" s="2954">
        <v>44249</v>
      </c>
      <c r="V158" s="2948" t="s">
        <v>845</v>
      </c>
    </row>
    <row r="159" spans="1:22" s="2944" customFormat="1" ht="46.8" hidden="1">
      <c r="A159" s="2948">
        <v>158</v>
      </c>
      <c r="B159" s="2948" t="s">
        <v>635</v>
      </c>
      <c r="C159" s="2948" t="s">
        <v>636</v>
      </c>
      <c r="D159" s="2948" t="s">
        <v>821</v>
      </c>
      <c r="E159" s="2948" t="s">
        <v>729</v>
      </c>
      <c r="F159" s="2948" t="s">
        <v>691</v>
      </c>
      <c r="G159" s="2948" t="s">
        <v>640</v>
      </c>
      <c r="H159" s="2948" t="s">
        <v>822</v>
      </c>
      <c r="I159" s="2948" t="s">
        <v>642</v>
      </c>
      <c r="J159" s="2948" t="s">
        <v>643</v>
      </c>
      <c r="K159" s="2950">
        <v>149</v>
      </c>
      <c r="L159" s="2950">
        <v>111.06</v>
      </c>
      <c r="M159" s="2951">
        <v>15903068</v>
      </c>
      <c r="N159" s="2951">
        <v>16390000</v>
      </c>
      <c r="O159" s="2952">
        <v>16063839</v>
      </c>
      <c r="P159" s="2953">
        <v>16063839</v>
      </c>
      <c r="Q159" s="2951">
        <v>16063839</v>
      </c>
      <c r="R159" s="2954">
        <v>44206</v>
      </c>
      <c r="S159" s="2954">
        <v>44222</v>
      </c>
      <c r="T159" s="2954">
        <v>44252</v>
      </c>
      <c r="U159" s="2954">
        <v>44252</v>
      </c>
      <c r="V159" s="2948" t="s">
        <v>846</v>
      </c>
    </row>
    <row r="160" spans="1:22" s="2944" customFormat="1" ht="46.8" hidden="1">
      <c r="A160" s="2948">
        <v>159</v>
      </c>
      <c r="B160" s="2948" t="s">
        <v>635</v>
      </c>
      <c r="C160" s="2948" t="s">
        <v>636</v>
      </c>
      <c r="D160" s="2948" t="s">
        <v>821</v>
      </c>
      <c r="E160" s="2948" t="s">
        <v>729</v>
      </c>
      <c r="F160" s="2948" t="s">
        <v>693</v>
      </c>
      <c r="G160" s="2948" t="s">
        <v>640</v>
      </c>
      <c r="H160" s="2948" t="s">
        <v>822</v>
      </c>
      <c r="I160" s="2948" t="s">
        <v>642</v>
      </c>
      <c r="J160" s="2948" t="s">
        <v>643</v>
      </c>
      <c r="K160" s="2950">
        <v>149</v>
      </c>
      <c r="L160" s="2950">
        <v>111.06</v>
      </c>
      <c r="M160" s="2951">
        <v>15826780</v>
      </c>
      <c r="N160" s="2951">
        <v>16311328</v>
      </c>
      <c r="O160" s="2952">
        <v>15986733</v>
      </c>
      <c r="P160" s="2953">
        <v>15986733</v>
      </c>
      <c r="Q160" s="2951">
        <v>15986733</v>
      </c>
      <c r="R160" s="2954">
        <v>44201</v>
      </c>
      <c r="S160" s="2954">
        <v>44211</v>
      </c>
      <c r="T160" s="2954">
        <v>44246</v>
      </c>
      <c r="U160" s="2954">
        <v>44246</v>
      </c>
      <c r="V160" s="2948" t="s">
        <v>847</v>
      </c>
    </row>
    <row r="161" spans="1:22" s="2944" customFormat="1" ht="46.8" hidden="1">
      <c r="A161" s="2948">
        <v>160</v>
      </c>
      <c r="B161" s="2948" t="s">
        <v>635</v>
      </c>
      <c r="C161" s="2948" t="s">
        <v>636</v>
      </c>
      <c r="D161" s="2948" t="s">
        <v>821</v>
      </c>
      <c r="E161" s="2948" t="s">
        <v>729</v>
      </c>
      <c r="F161" s="2948" t="s">
        <v>694</v>
      </c>
      <c r="G161" s="2948" t="s">
        <v>640</v>
      </c>
      <c r="H161" s="2948" t="s">
        <v>822</v>
      </c>
      <c r="I161" s="2948" t="s">
        <v>642</v>
      </c>
      <c r="J161" s="2948" t="s">
        <v>643</v>
      </c>
      <c r="K161" s="2950">
        <v>149</v>
      </c>
      <c r="L161" s="2950">
        <v>111.06</v>
      </c>
      <c r="M161" s="2951">
        <v>15903068</v>
      </c>
      <c r="N161" s="2951">
        <v>16390000</v>
      </c>
      <c r="O161" s="2952">
        <v>16063839</v>
      </c>
      <c r="P161" s="2953">
        <v>16063839</v>
      </c>
      <c r="Q161" s="2951">
        <v>16063839</v>
      </c>
      <c r="R161" s="2954">
        <v>44204</v>
      </c>
      <c r="S161" s="2954">
        <v>44211</v>
      </c>
      <c r="T161" s="2954">
        <v>44246</v>
      </c>
      <c r="U161" s="2954">
        <v>44246</v>
      </c>
      <c r="V161" s="2948" t="s">
        <v>848</v>
      </c>
    </row>
    <row r="162" spans="1:22" s="2944" customFormat="1" ht="46.8" hidden="1">
      <c r="A162" s="2948">
        <v>161</v>
      </c>
      <c r="B162" s="2948" t="s">
        <v>635</v>
      </c>
      <c r="C162" s="2948" t="s">
        <v>636</v>
      </c>
      <c r="D162" s="2948" t="s">
        <v>821</v>
      </c>
      <c r="E162" s="2948" t="s">
        <v>729</v>
      </c>
      <c r="F162" s="2948" t="s">
        <v>696</v>
      </c>
      <c r="G162" s="2948" t="s">
        <v>640</v>
      </c>
      <c r="H162" s="2948" t="s">
        <v>822</v>
      </c>
      <c r="I162" s="2948" t="s">
        <v>642</v>
      </c>
      <c r="J162" s="2948" t="s">
        <v>643</v>
      </c>
      <c r="K162" s="2950">
        <v>149</v>
      </c>
      <c r="L162" s="2950">
        <v>111.06</v>
      </c>
      <c r="M162" s="2951">
        <v>15754366</v>
      </c>
      <c r="N162" s="2951">
        <v>16236828</v>
      </c>
      <c r="O162" s="2952">
        <v>16236828</v>
      </c>
      <c r="P162" s="2953">
        <v>16236828</v>
      </c>
      <c r="Q162" s="2951">
        <v>16236828</v>
      </c>
      <c r="R162" s="2954">
        <v>44376</v>
      </c>
      <c r="S162" s="2954">
        <v>44376</v>
      </c>
      <c r="T162" s="2954">
        <v>44438</v>
      </c>
      <c r="U162" s="2954">
        <v>44438</v>
      </c>
      <c r="V162" s="2948" t="s">
        <v>849</v>
      </c>
    </row>
    <row r="163" spans="1:22" s="2944" customFormat="1" ht="46.8" hidden="1">
      <c r="A163" s="2948">
        <v>162</v>
      </c>
      <c r="B163" s="2948" t="s">
        <v>635</v>
      </c>
      <c r="C163" s="2948" t="s">
        <v>636</v>
      </c>
      <c r="D163" s="2948" t="s">
        <v>821</v>
      </c>
      <c r="E163" s="2948" t="s">
        <v>729</v>
      </c>
      <c r="F163" s="2948" t="s">
        <v>698</v>
      </c>
      <c r="G163" s="2948" t="s">
        <v>640</v>
      </c>
      <c r="H163" s="2948" t="s">
        <v>822</v>
      </c>
      <c r="I163" s="2948" t="s">
        <v>642</v>
      </c>
      <c r="J163" s="2948" t="s">
        <v>643</v>
      </c>
      <c r="K163" s="2950">
        <v>149</v>
      </c>
      <c r="L163" s="2950">
        <v>111.06</v>
      </c>
      <c r="M163" s="2951">
        <v>15870139</v>
      </c>
      <c r="N163" s="2951">
        <v>16356028</v>
      </c>
      <c r="O163" s="2952">
        <v>16192468</v>
      </c>
      <c r="P163" s="2953">
        <v>16192468</v>
      </c>
      <c r="Q163" s="2951">
        <v>16192468</v>
      </c>
      <c r="R163" s="2954">
        <v>44210</v>
      </c>
      <c r="S163" s="2954">
        <v>44311</v>
      </c>
      <c r="T163" s="2954">
        <v>44360</v>
      </c>
      <c r="U163" s="2954">
        <v>44360</v>
      </c>
      <c r="V163" s="2948" t="s">
        <v>850</v>
      </c>
    </row>
    <row r="164" spans="1:22" s="2944" customFormat="1" ht="46.8" hidden="1">
      <c r="A164" s="2948">
        <v>163</v>
      </c>
      <c r="B164" s="2948" t="s">
        <v>635</v>
      </c>
      <c r="C164" s="2948" t="s">
        <v>636</v>
      </c>
      <c r="D164" s="2948" t="s">
        <v>851</v>
      </c>
      <c r="E164" s="2948" t="s">
        <v>852</v>
      </c>
      <c r="F164" s="2948" t="s">
        <v>639</v>
      </c>
      <c r="G164" s="2948" t="s">
        <v>640</v>
      </c>
      <c r="H164" s="2948" t="s">
        <v>853</v>
      </c>
      <c r="I164" s="2948" t="s">
        <v>854</v>
      </c>
      <c r="J164" s="2948" t="s">
        <v>643</v>
      </c>
      <c r="K164" s="2950">
        <v>116.45</v>
      </c>
      <c r="L164" s="2950">
        <v>84.85</v>
      </c>
      <c r="M164" s="2951">
        <v>10989619</v>
      </c>
      <c r="N164" s="2951">
        <v>11326160</v>
      </c>
      <c r="O164" s="2952">
        <v>10759852</v>
      </c>
      <c r="P164" s="2953">
        <v>10759852</v>
      </c>
      <c r="Q164" s="2951">
        <v>10759852</v>
      </c>
      <c r="R164" s="2954">
        <v>45283</v>
      </c>
      <c r="S164" s="2954">
        <v>45285</v>
      </c>
      <c r="T164" s="2954">
        <v>45287</v>
      </c>
      <c r="U164" s="2954">
        <v>45287</v>
      </c>
      <c r="V164" s="2948" t="s">
        <v>855</v>
      </c>
    </row>
    <row r="165" spans="1:22" s="2944" customFormat="1" ht="46.8" hidden="1">
      <c r="A165" s="2948">
        <v>164</v>
      </c>
      <c r="B165" s="2948" t="s">
        <v>635</v>
      </c>
      <c r="C165" s="2948" t="s">
        <v>636</v>
      </c>
      <c r="D165" s="2948" t="s">
        <v>851</v>
      </c>
      <c r="E165" s="2948" t="s">
        <v>852</v>
      </c>
      <c r="F165" s="2948" t="s">
        <v>645</v>
      </c>
      <c r="G165" s="2948" t="s">
        <v>640</v>
      </c>
      <c r="H165" s="2948" t="s">
        <v>856</v>
      </c>
      <c r="I165" s="2948" t="s">
        <v>854</v>
      </c>
      <c r="J165" s="2948" t="s">
        <v>643</v>
      </c>
      <c r="K165" s="2950">
        <v>175.74</v>
      </c>
      <c r="L165" s="2950">
        <v>128.05000000000001</v>
      </c>
      <c r="M165" s="2951">
        <v>17643945</v>
      </c>
      <c r="N165" s="2951">
        <v>18184169</v>
      </c>
      <c r="O165" s="2952">
        <v>18184169</v>
      </c>
      <c r="P165" s="2953">
        <v>18184169</v>
      </c>
      <c r="Q165" s="2951">
        <v>18184169</v>
      </c>
      <c r="R165" s="2954">
        <v>45044</v>
      </c>
      <c r="S165" s="2954">
        <v>45044</v>
      </c>
      <c r="T165" s="2948"/>
      <c r="U165" s="2948"/>
      <c r="V165" s="2948" t="s">
        <v>857</v>
      </c>
    </row>
    <row r="166" spans="1:22" s="2944" customFormat="1" ht="46.8" hidden="1">
      <c r="A166" s="2948">
        <v>165</v>
      </c>
      <c r="B166" s="2948" t="s">
        <v>635</v>
      </c>
      <c r="C166" s="2948" t="s">
        <v>636</v>
      </c>
      <c r="D166" s="2948" t="s">
        <v>851</v>
      </c>
      <c r="E166" s="2948" t="s">
        <v>852</v>
      </c>
      <c r="F166" s="2948" t="s">
        <v>648</v>
      </c>
      <c r="G166" s="2948" t="s">
        <v>640</v>
      </c>
      <c r="H166" s="2948" t="s">
        <v>858</v>
      </c>
      <c r="I166" s="2948" t="s">
        <v>854</v>
      </c>
      <c r="J166" s="2948" t="s">
        <v>643</v>
      </c>
      <c r="K166" s="2950">
        <v>146.13999999999999</v>
      </c>
      <c r="L166" s="2950">
        <v>106.48</v>
      </c>
      <c r="M166" s="2951">
        <v>13933426</v>
      </c>
      <c r="N166" s="2951">
        <v>14360009</v>
      </c>
      <c r="O166" s="2952">
        <v>14360008</v>
      </c>
      <c r="P166" s="2953">
        <v>14360008</v>
      </c>
      <c r="Q166" s="2951">
        <v>14360008</v>
      </c>
      <c r="R166" s="2954">
        <v>44253</v>
      </c>
      <c r="S166" s="2954">
        <v>44286</v>
      </c>
      <c r="T166" s="2954">
        <v>44330</v>
      </c>
      <c r="U166" s="2954">
        <v>44330</v>
      </c>
      <c r="V166" s="2948" t="s">
        <v>859</v>
      </c>
    </row>
    <row r="167" spans="1:22" s="2944" customFormat="1" ht="46.8" hidden="1">
      <c r="A167" s="2948">
        <v>166</v>
      </c>
      <c r="B167" s="2948" t="s">
        <v>635</v>
      </c>
      <c r="C167" s="2948" t="s">
        <v>636</v>
      </c>
      <c r="D167" s="2948" t="s">
        <v>851</v>
      </c>
      <c r="E167" s="2948" t="s">
        <v>852</v>
      </c>
      <c r="F167" s="2948" t="s">
        <v>651</v>
      </c>
      <c r="G167" s="2948" t="s">
        <v>640</v>
      </c>
      <c r="H167" s="2948" t="s">
        <v>856</v>
      </c>
      <c r="I167" s="2948" t="s">
        <v>854</v>
      </c>
      <c r="J167" s="2948" t="s">
        <v>643</v>
      </c>
      <c r="K167" s="2950">
        <v>175.74</v>
      </c>
      <c r="L167" s="2950">
        <v>128.05000000000001</v>
      </c>
      <c r="M167" s="2951">
        <v>17814412</v>
      </c>
      <c r="N167" s="2951">
        <v>18359909</v>
      </c>
      <c r="O167" s="2952">
        <v>18359909</v>
      </c>
      <c r="P167" s="2953">
        <v>18359909</v>
      </c>
      <c r="Q167" s="2951">
        <v>18359909</v>
      </c>
      <c r="R167" s="2954">
        <v>45222</v>
      </c>
      <c r="S167" s="2954">
        <v>45222</v>
      </c>
      <c r="T167" s="2954">
        <v>45222</v>
      </c>
      <c r="U167" s="2954">
        <v>45222</v>
      </c>
      <c r="V167" s="2948" t="s">
        <v>860</v>
      </c>
    </row>
    <row r="168" spans="1:22" s="2944" customFormat="1" ht="46.8" hidden="1">
      <c r="A168" s="2948">
        <v>167</v>
      </c>
      <c r="B168" s="2948" t="s">
        <v>635</v>
      </c>
      <c r="C168" s="2948" t="s">
        <v>636</v>
      </c>
      <c r="D168" s="2948" t="s">
        <v>851</v>
      </c>
      <c r="E168" s="2948" t="s">
        <v>852</v>
      </c>
      <c r="F168" s="2948" t="s">
        <v>653</v>
      </c>
      <c r="G168" s="2948" t="s">
        <v>640</v>
      </c>
      <c r="H168" s="2948" t="s">
        <v>858</v>
      </c>
      <c r="I168" s="2948" t="s">
        <v>854</v>
      </c>
      <c r="J168" s="2948" t="s">
        <v>643</v>
      </c>
      <c r="K168" s="2950">
        <v>146.13999999999999</v>
      </c>
      <c r="L168" s="2950">
        <v>106.48</v>
      </c>
      <c r="M168" s="2951">
        <v>14075182</v>
      </c>
      <c r="N168" s="2951">
        <v>14506149</v>
      </c>
      <c r="O168" s="2952">
        <v>14506148</v>
      </c>
      <c r="P168" s="2953">
        <v>14506148</v>
      </c>
      <c r="Q168" s="2951">
        <v>14506148</v>
      </c>
      <c r="R168" s="2954">
        <v>44220</v>
      </c>
      <c r="S168" s="2954">
        <v>44286</v>
      </c>
      <c r="T168" s="2954">
        <v>44350</v>
      </c>
      <c r="U168" s="2954">
        <v>44350</v>
      </c>
      <c r="V168" s="2948" t="s">
        <v>861</v>
      </c>
    </row>
    <row r="169" spans="1:22" s="2944" customFormat="1" ht="46.8" hidden="1">
      <c r="A169" s="2948">
        <v>168</v>
      </c>
      <c r="B169" s="2948" t="s">
        <v>635</v>
      </c>
      <c r="C169" s="2948" t="s">
        <v>636</v>
      </c>
      <c r="D169" s="2948" t="s">
        <v>851</v>
      </c>
      <c r="E169" s="2948" t="s">
        <v>852</v>
      </c>
      <c r="F169" s="2948" t="s">
        <v>655</v>
      </c>
      <c r="G169" s="2948" t="s">
        <v>640</v>
      </c>
      <c r="H169" s="2948" t="s">
        <v>856</v>
      </c>
      <c r="I169" s="2948" t="s">
        <v>854</v>
      </c>
      <c r="J169" s="2948" t="s">
        <v>643</v>
      </c>
      <c r="K169" s="2950">
        <v>175.74</v>
      </c>
      <c r="L169" s="2950">
        <v>128.05000000000001</v>
      </c>
      <c r="M169" s="2951">
        <v>17984880</v>
      </c>
      <c r="N169" s="2951">
        <v>18535649</v>
      </c>
      <c r="O169" s="2952">
        <v>18535649</v>
      </c>
      <c r="P169" s="2953">
        <v>18535649</v>
      </c>
      <c r="Q169" s="2951">
        <v>18535649</v>
      </c>
      <c r="R169" s="2954">
        <v>45009</v>
      </c>
      <c r="S169" s="2954">
        <v>45009</v>
      </c>
      <c r="T169" s="2954">
        <v>45009</v>
      </c>
      <c r="U169" s="2954">
        <v>45009</v>
      </c>
      <c r="V169" s="2948" t="s">
        <v>862</v>
      </c>
    </row>
    <row r="170" spans="1:22" s="2944" customFormat="1" ht="46.8" hidden="1">
      <c r="A170" s="2948">
        <v>169</v>
      </c>
      <c r="B170" s="2948" t="s">
        <v>635</v>
      </c>
      <c r="C170" s="2948" t="s">
        <v>636</v>
      </c>
      <c r="D170" s="2948" t="s">
        <v>851</v>
      </c>
      <c r="E170" s="2948" t="s">
        <v>852</v>
      </c>
      <c r="F170" s="2948" t="s">
        <v>657</v>
      </c>
      <c r="G170" s="2948" t="s">
        <v>640</v>
      </c>
      <c r="H170" s="2948" t="s">
        <v>858</v>
      </c>
      <c r="I170" s="2948" t="s">
        <v>854</v>
      </c>
      <c r="J170" s="2948" t="s">
        <v>643</v>
      </c>
      <c r="K170" s="2950">
        <v>146.13999999999999</v>
      </c>
      <c r="L170" s="2950">
        <v>106.48</v>
      </c>
      <c r="M170" s="2951">
        <v>14216938</v>
      </c>
      <c r="N170" s="2951">
        <v>14652289</v>
      </c>
      <c r="O170" s="2952">
        <v>14652288</v>
      </c>
      <c r="P170" s="2953">
        <v>14652288</v>
      </c>
      <c r="Q170" s="2951">
        <v>14652288</v>
      </c>
      <c r="R170" s="2954">
        <v>44453</v>
      </c>
      <c r="S170" s="2954">
        <v>44458</v>
      </c>
      <c r="T170" s="2954">
        <v>44467</v>
      </c>
      <c r="U170" s="2954">
        <v>44467</v>
      </c>
      <c r="V170" s="2948" t="s">
        <v>863</v>
      </c>
    </row>
    <row r="171" spans="1:22" s="2944" customFormat="1" ht="46.8" hidden="1">
      <c r="A171" s="2948">
        <v>170</v>
      </c>
      <c r="B171" s="2948" t="s">
        <v>635</v>
      </c>
      <c r="C171" s="2948" t="s">
        <v>636</v>
      </c>
      <c r="D171" s="2948" t="s">
        <v>851</v>
      </c>
      <c r="E171" s="2948" t="s">
        <v>852</v>
      </c>
      <c r="F171" s="2948" t="s">
        <v>659</v>
      </c>
      <c r="G171" s="2948" t="s">
        <v>640</v>
      </c>
      <c r="H171" s="2948" t="s">
        <v>856</v>
      </c>
      <c r="I171" s="2948" t="s">
        <v>854</v>
      </c>
      <c r="J171" s="2948" t="s">
        <v>643</v>
      </c>
      <c r="K171" s="2950">
        <v>175.74</v>
      </c>
      <c r="L171" s="2950">
        <v>128.05000000000001</v>
      </c>
      <c r="M171" s="2951">
        <v>18155524</v>
      </c>
      <c r="N171" s="2951">
        <v>18711389</v>
      </c>
      <c r="O171" s="2952">
        <v>18711389</v>
      </c>
      <c r="P171" s="2953">
        <v>18711389</v>
      </c>
      <c r="Q171" s="2951">
        <v>18711389</v>
      </c>
      <c r="R171" s="2954">
        <v>45194</v>
      </c>
      <c r="S171" s="2954">
        <v>45194</v>
      </c>
      <c r="T171" s="2954">
        <v>45206</v>
      </c>
      <c r="U171" s="2954">
        <v>45206</v>
      </c>
      <c r="V171" s="2948" t="s">
        <v>864</v>
      </c>
    </row>
    <row r="172" spans="1:22" s="2944" customFormat="1" ht="46.8" hidden="1">
      <c r="A172" s="2948">
        <v>171</v>
      </c>
      <c r="B172" s="2948" t="s">
        <v>635</v>
      </c>
      <c r="C172" s="2948" t="s">
        <v>636</v>
      </c>
      <c r="D172" s="2948" t="s">
        <v>851</v>
      </c>
      <c r="E172" s="2948" t="s">
        <v>852</v>
      </c>
      <c r="F172" s="2948" t="s">
        <v>661</v>
      </c>
      <c r="G172" s="2948" t="s">
        <v>640</v>
      </c>
      <c r="H172" s="2948" t="s">
        <v>858</v>
      </c>
      <c r="I172" s="2948" t="s">
        <v>854</v>
      </c>
      <c r="J172" s="2948" t="s">
        <v>643</v>
      </c>
      <c r="K172" s="2950">
        <v>146.13999999999999</v>
      </c>
      <c r="L172" s="2950">
        <v>106.48</v>
      </c>
      <c r="M172" s="2951">
        <v>14429717</v>
      </c>
      <c r="N172" s="2951">
        <v>14871499</v>
      </c>
      <c r="O172" s="2952">
        <v>14871498</v>
      </c>
      <c r="P172" s="2953">
        <v>14871498</v>
      </c>
      <c r="Q172" s="2951">
        <v>14871498</v>
      </c>
      <c r="R172" s="2954">
        <v>44428</v>
      </c>
      <c r="S172" s="2954">
        <v>44432</v>
      </c>
      <c r="T172" s="2954">
        <v>44465</v>
      </c>
      <c r="U172" s="2954">
        <v>44465</v>
      </c>
      <c r="V172" s="2948" t="s">
        <v>865</v>
      </c>
    </row>
    <row r="173" spans="1:22" s="2944" customFormat="1" ht="46.8" hidden="1">
      <c r="A173" s="2948">
        <v>172</v>
      </c>
      <c r="B173" s="2948" t="s">
        <v>635</v>
      </c>
      <c r="C173" s="2948" t="s">
        <v>636</v>
      </c>
      <c r="D173" s="2948" t="s">
        <v>851</v>
      </c>
      <c r="E173" s="2948" t="s">
        <v>852</v>
      </c>
      <c r="F173" s="2948" t="s">
        <v>663</v>
      </c>
      <c r="G173" s="2948" t="s">
        <v>640</v>
      </c>
      <c r="H173" s="2948" t="s">
        <v>856</v>
      </c>
      <c r="I173" s="2948" t="s">
        <v>854</v>
      </c>
      <c r="J173" s="2948" t="s">
        <v>643</v>
      </c>
      <c r="K173" s="2950">
        <v>175.74</v>
      </c>
      <c r="L173" s="2950">
        <v>128.05000000000001</v>
      </c>
      <c r="M173" s="2951">
        <v>18411225</v>
      </c>
      <c r="N173" s="2951">
        <v>18974999</v>
      </c>
      <c r="O173" s="2952">
        <v>18974999</v>
      </c>
      <c r="P173" s="2953">
        <v>18974999</v>
      </c>
      <c r="Q173" s="2951">
        <v>18974999</v>
      </c>
      <c r="R173" s="2954">
        <v>44917</v>
      </c>
      <c r="S173" s="2954">
        <v>44926</v>
      </c>
      <c r="T173" s="2954">
        <v>44929</v>
      </c>
      <c r="U173" s="2954">
        <v>44929</v>
      </c>
      <c r="V173" s="2948" t="s">
        <v>866</v>
      </c>
    </row>
    <row r="174" spans="1:22" s="2944" customFormat="1" ht="46.8" hidden="1">
      <c r="A174" s="2948">
        <v>173</v>
      </c>
      <c r="B174" s="2948" t="s">
        <v>635</v>
      </c>
      <c r="C174" s="2948" t="s">
        <v>636</v>
      </c>
      <c r="D174" s="2948" t="s">
        <v>851</v>
      </c>
      <c r="E174" s="2948" t="s">
        <v>852</v>
      </c>
      <c r="F174" s="2948" t="s">
        <v>665</v>
      </c>
      <c r="G174" s="2948" t="s">
        <v>640</v>
      </c>
      <c r="H174" s="2948" t="s">
        <v>858</v>
      </c>
      <c r="I174" s="2948" t="s">
        <v>854</v>
      </c>
      <c r="J174" s="2948" t="s">
        <v>643</v>
      </c>
      <c r="K174" s="2950">
        <v>146.13999999999999</v>
      </c>
      <c r="L174" s="2950">
        <v>106.48</v>
      </c>
      <c r="M174" s="2951">
        <v>14443893</v>
      </c>
      <c r="N174" s="2951">
        <v>14886113</v>
      </c>
      <c r="O174" s="2952">
        <v>14589879</v>
      </c>
      <c r="P174" s="2953">
        <v>14589879</v>
      </c>
      <c r="Q174" s="2951">
        <v>14589879</v>
      </c>
      <c r="R174" s="2954">
        <v>44204</v>
      </c>
      <c r="S174" s="2954">
        <v>44224</v>
      </c>
      <c r="T174" s="2954">
        <v>44329</v>
      </c>
      <c r="U174" s="2954">
        <v>44329</v>
      </c>
      <c r="V174" s="2948" t="s">
        <v>867</v>
      </c>
    </row>
    <row r="175" spans="1:22" s="2944" customFormat="1" ht="46.8" hidden="1">
      <c r="A175" s="2948">
        <v>174</v>
      </c>
      <c r="B175" s="2948" t="s">
        <v>635</v>
      </c>
      <c r="C175" s="2948" t="s">
        <v>636</v>
      </c>
      <c r="D175" s="2948" t="s">
        <v>851</v>
      </c>
      <c r="E175" s="2948" t="s">
        <v>852</v>
      </c>
      <c r="F175" s="2948" t="s">
        <v>667</v>
      </c>
      <c r="G175" s="2948" t="s">
        <v>640</v>
      </c>
      <c r="H175" s="2948" t="s">
        <v>856</v>
      </c>
      <c r="I175" s="2948" t="s">
        <v>854</v>
      </c>
      <c r="J175" s="2948" t="s">
        <v>643</v>
      </c>
      <c r="K175" s="2950">
        <v>175.74</v>
      </c>
      <c r="L175" s="2950">
        <v>128.05000000000001</v>
      </c>
      <c r="M175" s="2951">
        <v>18428272</v>
      </c>
      <c r="N175" s="2951">
        <v>18992573</v>
      </c>
      <c r="O175" s="2952">
        <v>18992573</v>
      </c>
      <c r="P175" s="2953">
        <v>18992573</v>
      </c>
      <c r="Q175" s="2951">
        <v>18992573</v>
      </c>
      <c r="R175" s="2954">
        <v>44956</v>
      </c>
      <c r="S175" s="2954">
        <v>44985</v>
      </c>
      <c r="T175" s="2954">
        <v>45076</v>
      </c>
      <c r="U175" s="2954">
        <v>45076</v>
      </c>
      <c r="V175" s="2948" t="s">
        <v>868</v>
      </c>
    </row>
    <row r="176" spans="1:22" s="2944" customFormat="1" ht="46.8" hidden="1">
      <c r="A176" s="2948">
        <v>175</v>
      </c>
      <c r="B176" s="2948" t="s">
        <v>635</v>
      </c>
      <c r="C176" s="2948" t="s">
        <v>636</v>
      </c>
      <c r="D176" s="2948" t="s">
        <v>851</v>
      </c>
      <c r="E176" s="2948" t="s">
        <v>852</v>
      </c>
      <c r="F176" s="2948" t="s">
        <v>669</v>
      </c>
      <c r="G176" s="2948" t="s">
        <v>640</v>
      </c>
      <c r="H176" s="2948" t="s">
        <v>858</v>
      </c>
      <c r="I176" s="2948" t="s">
        <v>854</v>
      </c>
      <c r="J176" s="2948" t="s">
        <v>643</v>
      </c>
      <c r="K176" s="2950">
        <v>146.13999999999999</v>
      </c>
      <c r="L176" s="2950">
        <v>106.48</v>
      </c>
      <c r="M176" s="2951">
        <v>14458069</v>
      </c>
      <c r="N176" s="2951">
        <v>14900727</v>
      </c>
      <c r="O176" s="2952">
        <v>14604203</v>
      </c>
      <c r="P176" s="2953">
        <v>14604203</v>
      </c>
      <c r="Q176" s="2951">
        <v>14604203</v>
      </c>
      <c r="R176" s="2954">
        <v>44203</v>
      </c>
      <c r="S176" s="2954">
        <v>44211</v>
      </c>
      <c r="T176" s="2954">
        <v>44278</v>
      </c>
      <c r="U176" s="2954">
        <v>44278</v>
      </c>
      <c r="V176" s="2948" t="s">
        <v>869</v>
      </c>
    </row>
    <row r="177" spans="1:22" s="2944" customFormat="1" ht="46.8" hidden="1">
      <c r="A177" s="2948">
        <v>176</v>
      </c>
      <c r="B177" s="2948" t="s">
        <v>635</v>
      </c>
      <c r="C177" s="2948" t="s">
        <v>636</v>
      </c>
      <c r="D177" s="2948" t="s">
        <v>851</v>
      </c>
      <c r="E177" s="2948" t="s">
        <v>852</v>
      </c>
      <c r="F177" s="2948" t="s">
        <v>671</v>
      </c>
      <c r="G177" s="2948" t="s">
        <v>640</v>
      </c>
      <c r="H177" s="2948" t="s">
        <v>856</v>
      </c>
      <c r="I177" s="2948" t="s">
        <v>854</v>
      </c>
      <c r="J177" s="2948" t="s">
        <v>643</v>
      </c>
      <c r="K177" s="2950">
        <v>175.74</v>
      </c>
      <c r="L177" s="2950">
        <v>128.05000000000001</v>
      </c>
      <c r="M177" s="2951">
        <v>19010147</v>
      </c>
      <c r="N177" s="2951">
        <v>19010147</v>
      </c>
      <c r="O177" s="2952">
        <v>19010147</v>
      </c>
      <c r="P177" s="2953">
        <v>19010147</v>
      </c>
      <c r="Q177" s="2951">
        <v>19010147</v>
      </c>
      <c r="R177" s="2954">
        <v>45265</v>
      </c>
      <c r="S177" s="2954">
        <v>45265</v>
      </c>
      <c r="T177" s="2954">
        <v>45265</v>
      </c>
      <c r="U177" s="2954">
        <v>45265</v>
      </c>
      <c r="V177" s="2948" t="s">
        <v>870</v>
      </c>
    </row>
    <row r="178" spans="1:22" s="2944" customFormat="1" ht="46.8" hidden="1">
      <c r="A178" s="2948">
        <v>177</v>
      </c>
      <c r="B178" s="2948" t="s">
        <v>635</v>
      </c>
      <c r="C178" s="2948" t="s">
        <v>636</v>
      </c>
      <c r="D178" s="2948" t="s">
        <v>851</v>
      </c>
      <c r="E178" s="2948" t="s">
        <v>852</v>
      </c>
      <c r="F178" s="2948" t="s">
        <v>673</v>
      </c>
      <c r="G178" s="2948" t="s">
        <v>640</v>
      </c>
      <c r="H178" s="2948" t="s">
        <v>858</v>
      </c>
      <c r="I178" s="2948" t="s">
        <v>854</v>
      </c>
      <c r="J178" s="2948" t="s">
        <v>643</v>
      </c>
      <c r="K178" s="2950">
        <v>146.13999999999999</v>
      </c>
      <c r="L178" s="2950">
        <v>106.48</v>
      </c>
      <c r="M178" s="2951">
        <v>14472244</v>
      </c>
      <c r="N178" s="2951">
        <v>14915341</v>
      </c>
      <c r="O178" s="2952">
        <v>14915340</v>
      </c>
      <c r="P178" s="2953">
        <v>14915340</v>
      </c>
      <c r="Q178" s="2951">
        <v>14915340</v>
      </c>
      <c r="R178" s="2954">
        <v>44249</v>
      </c>
      <c r="S178" s="2954">
        <v>44250</v>
      </c>
      <c r="T178" s="2954">
        <v>44349</v>
      </c>
      <c r="U178" s="2954">
        <v>44349</v>
      </c>
      <c r="V178" s="2948" t="s">
        <v>871</v>
      </c>
    </row>
    <row r="179" spans="1:22" s="2944" customFormat="1" ht="46.8" hidden="1">
      <c r="A179" s="2948">
        <v>178</v>
      </c>
      <c r="B179" s="2948" t="s">
        <v>635</v>
      </c>
      <c r="C179" s="2948" t="s">
        <v>636</v>
      </c>
      <c r="D179" s="2948" t="s">
        <v>851</v>
      </c>
      <c r="E179" s="2948" t="s">
        <v>852</v>
      </c>
      <c r="F179" s="2948" t="s">
        <v>675</v>
      </c>
      <c r="G179" s="2948" t="s">
        <v>640</v>
      </c>
      <c r="H179" s="2948" t="s">
        <v>856</v>
      </c>
      <c r="I179" s="2948" t="s">
        <v>854</v>
      </c>
      <c r="J179" s="2948" t="s">
        <v>643</v>
      </c>
      <c r="K179" s="2950">
        <v>175.74</v>
      </c>
      <c r="L179" s="2950">
        <v>128.05000000000001</v>
      </c>
      <c r="M179" s="2951">
        <v>18462366</v>
      </c>
      <c r="N179" s="2951">
        <v>19027721</v>
      </c>
      <c r="O179" s="2952">
        <v>19027721</v>
      </c>
      <c r="P179" s="2953">
        <v>19027721</v>
      </c>
      <c r="Q179" s="2951">
        <v>19027721</v>
      </c>
      <c r="R179" s="2954">
        <v>44921</v>
      </c>
      <c r="S179" s="2954">
        <v>44926</v>
      </c>
      <c r="T179" s="2954">
        <v>44929</v>
      </c>
      <c r="U179" s="2954">
        <v>44929</v>
      </c>
      <c r="V179" s="2948" t="s">
        <v>872</v>
      </c>
    </row>
    <row r="180" spans="1:22" s="2944" customFormat="1" ht="46.8" hidden="1">
      <c r="A180" s="2948">
        <v>179</v>
      </c>
      <c r="B180" s="2948" t="s">
        <v>635</v>
      </c>
      <c r="C180" s="2948" t="s">
        <v>636</v>
      </c>
      <c r="D180" s="2948" t="s">
        <v>851</v>
      </c>
      <c r="E180" s="2948" t="s">
        <v>852</v>
      </c>
      <c r="F180" s="2948" t="s">
        <v>677</v>
      </c>
      <c r="G180" s="2948" t="s">
        <v>640</v>
      </c>
      <c r="H180" s="2948" t="s">
        <v>858</v>
      </c>
      <c r="I180" s="2948" t="s">
        <v>854</v>
      </c>
      <c r="J180" s="2948" t="s">
        <v>643</v>
      </c>
      <c r="K180" s="2950">
        <v>146.13999999999999</v>
      </c>
      <c r="L180" s="2950">
        <v>106.48</v>
      </c>
      <c r="M180" s="2951">
        <v>14486420</v>
      </c>
      <c r="N180" s="2951">
        <v>14929955</v>
      </c>
      <c r="O180" s="2952">
        <v>14632849</v>
      </c>
      <c r="P180" s="2953">
        <v>14632849</v>
      </c>
      <c r="Q180" s="2951">
        <v>14632849</v>
      </c>
      <c r="R180" s="2954">
        <v>44203</v>
      </c>
      <c r="S180" s="2954">
        <v>44211</v>
      </c>
      <c r="T180" s="2954">
        <v>44235</v>
      </c>
      <c r="U180" s="2954">
        <v>44235</v>
      </c>
      <c r="V180" s="2948" t="s">
        <v>873</v>
      </c>
    </row>
    <row r="181" spans="1:22" s="2944" customFormat="1" ht="46.8" hidden="1">
      <c r="A181" s="2948">
        <v>180</v>
      </c>
      <c r="B181" s="2948" t="s">
        <v>635</v>
      </c>
      <c r="C181" s="2948" t="s">
        <v>636</v>
      </c>
      <c r="D181" s="2948" t="s">
        <v>851</v>
      </c>
      <c r="E181" s="2948" t="s">
        <v>852</v>
      </c>
      <c r="F181" s="2948" t="s">
        <v>679</v>
      </c>
      <c r="G181" s="2948" t="s">
        <v>640</v>
      </c>
      <c r="H181" s="2948" t="s">
        <v>856</v>
      </c>
      <c r="I181" s="2948" t="s">
        <v>854</v>
      </c>
      <c r="J181" s="2948" t="s">
        <v>643</v>
      </c>
      <c r="K181" s="2950">
        <v>175.74</v>
      </c>
      <c r="L181" s="2950">
        <v>128.05000000000001</v>
      </c>
      <c r="M181" s="2951">
        <v>18479412</v>
      </c>
      <c r="N181" s="2951">
        <v>19045295</v>
      </c>
      <c r="O181" s="2952">
        <v>19045295</v>
      </c>
      <c r="P181" s="2953">
        <v>19045295</v>
      </c>
      <c r="Q181" s="2951">
        <v>19045295</v>
      </c>
      <c r="R181" s="2954">
        <v>44796</v>
      </c>
      <c r="S181" s="2954">
        <v>44801</v>
      </c>
      <c r="T181" s="2954">
        <v>44801</v>
      </c>
      <c r="U181" s="2954">
        <v>44801</v>
      </c>
      <c r="V181" s="2948" t="s">
        <v>874</v>
      </c>
    </row>
    <row r="182" spans="1:22" s="2944" customFormat="1" ht="46.8" hidden="1">
      <c r="A182" s="2948">
        <v>181</v>
      </c>
      <c r="B182" s="2948" t="s">
        <v>635</v>
      </c>
      <c r="C182" s="2948" t="s">
        <v>636</v>
      </c>
      <c r="D182" s="2948" t="s">
        <v>851</v>
      </c>
      <c r="E182" s="2948" t="s">
        <v>852</v>
      </c>
      <c r="F182" s="2948" t="s">
        <v>681</v>
      </c>
      <c r="G182" s="2948" t="s">
        <v>640</v>
      </c>
      <c r="H182" s="2948" t="s">
        <v>858</v>
      </c>
      <c r="I182" s="2948" t="s">
        <v>854</v>
      </c>
      <c r="J182" s="2948" t="s">
        <v>643</v>
      </c>
      <c r="K182" s="2950">
        <v>146.13999999999999</v>
      </c>
      <c r="L182" s="2950">
        <v>106.48</v>
      </c>
      <c r="M182" s="2951">
        <v>14500595</v>
      </c>
      <c r="N182" s="2951">
        <v>14944569</v>
      </c>
      <c r="O182" s="2952">
        <v>14944568</v>
      </c>
      <c r="P182" s="2953">
        <v>14944568</v>
      </c>
      <c r="Q182" s="2951">
        <v>14944568</v>
      </c>
      <c r="R182" s="2954">
        <v>44203</v>
      </c>
      <c r="S182" s="2954">
        <v>44211</v>
      </c>
      <c r="T182" s="2954">
        <v>44247</v>
      </c>
      <c r="U182" s="2954">
        <v>44247</v>
      </c>
      <c r="V182" s="2948" t="s">
        <v>875</v>
      </c>
    </row>
    <row r="183" spans="1:22" s="2944" customFormat="1" ht="46.8" hidden="1">
      <c r="A183" s="2948">
        <v>182</v>
      </c>
      <c r="B183" s="2948" t="s">
        <v>635</v>
      </c>
      <c r="C183" s="2948" t="s">
        <v>636</v>
      </c>
      <c r="D183" s="2948" t="s">
        <v>851</v>
      </c>
      <c r="E183" s="2948" t="s">
        <v>852</v>
      </c>
      <c r="F183" s="2948" t="s">
        <v>683</v>
      </c>
      <c r="G183" s="2948" t="s">
        <v>640</v>
      </c>
      <c r="H183" s="2948" t="s">
        <v>856</v>
      </c>
      <c r="I183" s="2948" t="s">
        <v>854</v>
      </c>
      <c r="J183" s="2948" t="s">
        <v>643</v>
      </c>
      <c r="K183" s="2950">
        <v>175.74</v>
      </c>
      <c r="L183" s="2950">
        <v>128.05000000000001</v>
      </c>
      <c r="M183" s="2951">
        <v>18496459</v>
      </c>
      <c r="N183" s="2951">
        <v>19062869</v>
      </c>
      <c r="O183" s="2952">
        <v>19062869</v>
      </c>
      <c r="P183" s="2953">
        <v>19062869</v>
      </c>
      <c r="Q183" s="2951">
        <v>19062869</v>
      </c>
      <c r="R183" s="2954">
        <v>44887</v>
      </c>
      <c r="S183" s="2954">
        <v>44887</v>
      </c>
      <c r="T183" s="2954">
        <v>44957</v>
      </c>
      <c r="U183" s="2954">
        <v>44957</v>
      </c>
      <c r="V183" s="2948" t="s">
        <v>876</v>
      </c>
    </row>
    <row r="184" spans="1:22" s="2944" customFormat="1" ht="46.8" hidden="1">
      <c r="A184" s="2948">
        <v>183</v>
      </c>
      <c r="B184" s="2948" t="s">
        <v>635</v>
      </c>
      <c r="C184" s="2948" t="s">
        <v>636</v>
      </c>
      <c r="D184" s="2948" t="s">
        <v>851</v>
      </c>
      <c r="E184" s="2948" t="s">
        <v>852</v>
      </c>
      <c r="F184" s="2948" t="s">
        <v>685</v>
      </c>
      <c r="G184" s="2948" t="s">
        <v>640</v>
      </c>
      <c r="H184" s="2948" t="s">
        <v>858</v>
      </c>
      <c r="I184" s="2948" t="s">
        <v>854</v>
      </c>
      <c r="J184" s="2948" t="s">
        <v>643</v>
      </c>
      <c r="K184" s="2950">
        <v>146.13999999999999</v>
      </c>
      <c r="L184" s="2950">
        <v>106.48</v>
      </c>
      <c r="M184" s="2951">
        <v>14514771</v>
      </c>
      <c r="N184" s="2951">
        <v>14959183</v>
      </c>
      <c r="O184" s="2952">
        <v>14661494</v>
      </c>
      <c r="P184" s="2953">
        <v>14661494</v>
      </c>
      <c r="Q184" s="2951">
        <v>14661494</v>
      </c>
      <c r="R184" s="2954">
        <v>44201</v>
      </c>
      <c r="S184" s="2954">
        <v>44253</v>
      </c>
      <c r="T184" s="2954">
        <v>44399</v>
      </c>
      <c r="U184" s="2954">
        <v>44399</v>
      </c>
      <c r="V184" s="2948" t="s">
        <v>861</v>
      </c>
    </row>
    <row r="185" spans="1:22" s="2944" customFormat="1" ht="46.8" hidden="1">
      <c r="A185" s="2948">
        <v>184</v>
      </c>
      <c r="B185" s="2948" t="s">
        <v>635</v>
      </c>
      <c r="C185" s="2948" t="s">
        <v>636</v>
      </c>
      <c r="D185" s="2948" t="s">
        <v>851</v>
      </c>
      <c r="E185" s="2948" t="s">
        <v>852</v>
      </c>
      <c r="F185" s="2948" t="s">
        <v>687</v>
      </c>
      <c r="G185" s="2948" t="s">
        <v>640</v>
      </c>
      <c r="H185" s="2948" t="s">
        <v>856</v>
      </c>
      <c r="I185" s="2948" t="s">
        <v>854</v>
      </c>
      <c r="J185" s="2948" t="s">
        <v>643</v>
      </c>
      <c r="K185" s="2950">
        <v>175.74</v>
      </c>
      <c r="L185" s="2950">
        <v>128.05000000000001</v>
      </c>
      <c r="M185" s="2951">
        <v>18513506</v>
      </c>
      <c r="N185" s="2951">
        <v>19080443</v>
      </c>
      <c r="O185" s="2952">
        <v>19080443</v>
      </c>
      <c r="P185" s="2953">
        <v>19080443</v>
      </c>
      <c r="Q185" s="2951">
        <v>19080443</v>
      </c>
      <c r="R185" s="2954">
        <v>44798</v>
      </c>
      <c r="S185" s="2954">
        <v>44834</v>
      </c>
      <c r="T185" s="2954">
        <v>44888</v>
      </c>
      <c r="U185" s="2954">
        <v>44888</v>
      </c>
      <c r="V185" s="2948" t="s">
        <v>877</v>
      </c>
    </row>
    <row r="186" spans="1:22" s="2944" customFormat="1" ht="46.8" hidden="1">
      <c r="A186" s="2948">
        <v>185</v>
      </c>
      <c r="B186" s="2948" t="s">
        <v>635</v>
      </c>
      <c r="C186" s="2948" t="s">
        <v>636</v>
      </c>
      <c r="D186" s="2948" t="s">
        <v>851</v>
      </c>
      <c r="E186" s="2948" t="s">
        <v>852</v>
      </c>
      <c r="F186" s="2948" t="s">
        <v>689</v>
      </c>
      <c r="G186" s="2948" t="s">
        <v>640</v>
      </c>
      <c r="H186" s="2948" t="s">
        <v>858</v>
      </c>
      <c r="I186" s="2948" t="s">
        <v>854</v>
      </c>
      <c r="J186" s="2948" t="s">
        <v>643</v>
      </c>
      <c r="K186" s="2950">
        <v>146.13999999999999</v>
      </c>
      <c r="L186" s="2950">
        <v>106.48</v>
      </c>
      <c r="M186" s="2951">
        <v>14528947</v>
      </c>
      <c r="N186" s="2951">
        <v>14973797</v>
      </c>
      <c r="O186" s="2952">
        <v>14675818</v>
      </c>
      <c r="P186" s="2953">
        <v>14675818</v>
      </c>
      <c r="Q186" s="2951">
        <v>14675818</v>
      </c>
      <c r="R186" s="2954">
        <v>44227</v>
      </c>
      <c r="S186" s="2954">
        <v>44229</v>
      </c>
      <c r="T186" s="2954">
        <v>44575</v>
      </c>
      <c r="U186" s="2954">
        <v>44575</v>
      </c>
      <c r="V186" s="2948" t="s">
        <v>878</v>
      </c>
    </row>
    <row r="187" spans="1:22" s="2944" customFormat="1" ht="46.8" hidden="1">
      <c r="A187" s="2948">
        <v>186</v>
      </c>
      <c r="B187" s="2948" t="s">
        <v>635</v>
      </c>
      <c r="C187" s="2948" t="s">
        <v>636</v>
      </c>
      <c r="D187" s="2948" t="s">
        <v>851</v>
      </c>
      <c r="E187" s="2948" t="s">
        <v>852</v>
      </c>
      <c r="F187" s="2948" t="s">
        <v>691</v>
      </c>
      <c r="G187" s="2948" t="s">
        <v>640</v>
      </c>
      <c r="H187" s="2948" t="s">
        <v>856</v>
      </c>
      <c r="I187" s="2948" t="s">
        <v>854</v>
      </c>
      <c r="J187" s="2948" t="s">
        <v>643</v>
      </c>
      <c r="K187" s="2950">
        <v>175.74</v>
      </c>
      <c r="L187" s="2950">
        <v>128.05000000000001</v>
      </c>
      <c r="M187" s="2951">
        <v>18530553</v>
      </c>
      <c r="N187" s="2951">
        <v>19098017</v>
      </c>
      <c r="O187" s="2952">
        <v>19098017</v>
      </c>
      <c r="P187" s="2953">
        <v>19098017</v>
      </c>
      <c r="Q187" s="2951">
        <v>19098017</v>
      </c>
      <c r="R187" s="2954">
        <v>44350</v>
      </c>
      <c r="S187" s="2954">
        <v>44383</v>
      </c>
      <c r="T187" s="2954">
        <v>44383</v>
      </c>
      <c r="U187" s="2954">
        <v>44383</v>
      </c>
      <c r="V187" s="2948" t="s">
        <v>879</v>
      </c>
    </row>
    <row r="188" spans="1:22" s="2944" customFormat="1" ht="46.8" hidden="1">
      <c r="A188" s="2948">
        <v>187</v>
      </c>
      <c r="B188" s="2948" t="s">
        <v>635</v>
      </c>
      <c r="C188" s="2948" t="s">
        <v>636</v>
      </c>
      <c r="D188" s="2948" t="s">
        <v>851</v>
      </c>
      <c r="E188" s="2948" t="s">
        <v>852</v>
      </c>
      <c r="F188" s="2948" t="s">
        <v>693</v>
      </c>
      <c r="G188" s="2948" t="s">
        <v>640</v>
      </c>
      <c r="H188" s="2948" t="s">
        <v>858</v>
      </c>
      <c r="I188" s="2948" t="s">
        <v>854</v>
      </c>
      <c r="J188" s="2948" t="s">
        <v>643</v>
      </c>
      <c r="K188" s="2950">
        <v>146.13999999999999</v>
      </c>
      <c r="L188" s="2950">
        <v>106.48</v>
      </c>
      <c r="M188" s="2951">
        <v>14543122</v>
      </c>
      <c r="N188" s="2951">
        <v>14988411</v>
      </c>
      <c r="O188" s="2952">
        <v>14690142</v>
      </c>
      <c r="P188" s="2953">
        <v>14690142</v>
      </c>
      <c r="Q188" s="2951">
        <v>14690142</v>
      </c>
      <c r="R188" s="2954">
        <v>44204</v>
      </c>
      <c r="S188" s="2954">
        <v>44227</v>
      </c>
      <c r="T188" s="2954">
        <v>44644</v>
      </c>
      <c r="U188" s="2954">
        <v>44644</v>
      </c>
      <c r="V188" s="2948" t="s">
        <v>880</v>
      </c>
    </row>
    <row r="189" spans="1:22" s="2944" customFormat="1" ht="46.8" hidden="1">
      <c r="A189" s="2948">
        <v>188</v>
      </c>
      <c r="B189" s="2948" t="s">
        <v>635</v>
      </c>
      <c r="C189" s="2948" t="s">
        <v>636</v>
      </c>
      <c r="D189" s="2948" t="s">
        <v>851</v>
      </c>
      <c r="E189" s="2948" t="s">
        <v>852</v>
      </c>
      <c r="F189" s="2948" t="s">
        <v>694</v>
      </c>
      <c r="G189" s="2948" t="s">
        <v>640</v>
      </c>
      <c r="H189" s="2948" t="s">
        <v>856</v>
      </c>
      <c r="I189" s="2948" t="s">
        <v>854</v>
      </c>
      <c r="J189" s="2948" t="s">
        <v>643</v>
      </c>
      <c r="K189" s="2950">
        <v>175.74</v>
      </c>
      <c r="L189" s="2950">
        <v>128.05000000000001</v>
      </c>
      <c r="M189" s="2951">
        <v>18547600</v>
      </c>
      <c r="N189" s="2951">
        <v>19115591</v>
      </c>
      <c r="O189" s="2952">
        <v>19115591</v>
      </c>
      <c r="P189" s="2953">
        <v>19115591</v>
      </c>
      <c r="Q189" s="2951">
        <v>19115591</v>
      </c>
      <c r="R189" s="2954">
        <v>44770</v>
      </c>
      <c r="S189" s="2954">
        <v>44771</v>
      </c>
      <c r="T189" s="2954">
        <v>44771</v>
      </c>
      <c r="U189" s="2954">
        <v>44771</v>
      </c>
      <c r="V189" s="2948" t="s">
        <v>881</v>
      </c>
    </row>
    <row r="190" spans="1:22" s="2944" customFormat="1" ht="46.8" hidden="1">
      <c r="A190" s="2948">
        <v>189</v>
      </c>
      <c r="B190" s="2948" t="s">
        <v>635</v>
      </c>
      <c r="C190" s="2948" t="s">
        <v>636</v>
      </c>
      <c r="D190" s="2948" t="s">
        <v>851</v>
      </c>
      <c r="E190" s="2948" t="s">
        <v>852</v>
      </c>
      <c r="F190" s="2948" t="s">
        <v>696</v>
      </c>
      <c r="G190" s="2948" t="s">
        <v>640</v>
      </c>
      <c r="H190" s="2948" t="s">
        <v>858</v>
      </c>
      <c r="I190" s="2948" t="s">
        <v>854</v>
      </c>
      <c r="J190" s="2948" t="s">
        <v>643</v>
      </c>
      <c r="K190" s="2950">
        <v>146.13999999999999</v>
      </c>
      <c r="L190" s="2950">
        <v>106.48</v>
      </c>
      <c r="M190" s="2951">
        <v>14557298</v>
      </c>
      <c r="N190" s="2951">
        <v>15003025</v>
      </c>
      <c r="O190" s="2952">
        <v>15003024</v>
      </c>
      <c r="P190" s="2953">
        <v>15003024</v>
      </c>
      <c r="Q190" s="2951">
        <v>15003024</v>
      </c>
      <c r="R190" s="2954">
        <v>44207</v>
      </c>
      <c r="S190" s="2954">
        <v>44226</v>
      </c>
      <c r="T190" s="2954">
        <v>44253</v>
      </c>
      <c r="U190" s="2954">
        <v>44253</v>
      </c>
      <c r="V190" s="2948" t="s">
        <v>882</v>
      </c>
    </row>
    <row r="191" spans="1:22" s="2944" customFormat="1" ht="46.8" hidden="1">
      <c r="A191" s="2948">
        <v>190</v>
      </c>
      <c r="B191" s="2948" t="s">
        <v>635</v>
      </c>
      <c r="C191" s="2948" t="s">
        <v>636</v>
      </c>
      <c r="D191" s="2948" t="s">
        <v>851</v>
      </c>
      <c r="E191" s="2948" t="s">
        <v>852</v>
      </c>
      <c r="F191" s="2948" t="s">
        <v>698</v>
      </c>
      <c r="G191" s="2948" t="s">
        <v>640</v>
      </c>
      <c r="H191" s="2948" t="s">
        <v>856</v>
      </c>
      <c r="I191" s="2948" t="s">
        <v>854</v>
      </c>
      <c r="J191" s="2948" t="s">
        <v>643</v>
      </c>
      <c r="K191" s="2950">
        <v>175.74</v>
      </c>
      <c r="L191" s="2950">
        <v>128.05000000000001</v>
      </c>
      <c r="M191" s="2951">
        <v>18564646</v>
      </c>
      <c r="N191" s="2951">
        <v>19133165</v>
      </c>
      <c r="O191" s="2952">
        <v>19133165</v>
      </c>
      <c r="P191" s="2953">
        <v>19133165</v>
      </c>
      <c r="Q191" s="2951">
        <v>19133165</v>
      </c>
      <c r="R191" s="2954">
        <v>44762</v>
      </c>
      <c r="S191" s="2954">
        <v>44772</v>
      </c>
      <c r="T191" s="2954">
        <v>44804</v>
      </c>
      <c r="U191" s="2954">
        <v>44804</v>
      </c>
      <c r="V191" s="2948" t="s">
        <v>883</v>
      </c>
    </row>
    <row r="192" spans="1:22" s="2944" customFormat="1" ht="46.8" hidden="1">
      <c r="A192" s="2948">
        <v>191</v>
      </c>
      <c r="B192" s="2948" t="s">
        <v>635</v>
      </c>
      <c r="C192" s="2948" t="s">
        <v>636</v>
      </c>
      <c r="D192" s="2948" t="s">
        <v>851</v>
      </c>
      <c r="E192" s="2948" t="s">
        <v>852</v>
      </c>
      <c r="F192" s="2948" t="s">
        <v>760</v>
      </c>
      <c r="G192" s="2948" t="s">
        <v>640</v>
      </c>
      <c r="H192" s="2948" t="s">
        <v>858</v>
      </c>
      <c r="I192" s="2948" t="s">
        <v>854</v>
      </c>
      <c r="J192" s="2948" t="s">
        <v>643</v>
      </c>
      <c r="K192" s="2950">
        <v>146.13999999999999</v>
      </c>
      <c r="L192" s="2950">
        <v>106.48</v>
      </c>
      <c r="M192" s="2951">
        <v>14713229</v>
      </c>
      <c r="N192" s="2951">
        <v>15163779</v>
      </c>
      <c r="O192" s="2952">
        <v>14862020</v>
      </c>
      <c r="P192" s="2953">
        <v>14862020</v>
      </c>
      <c r="Q192" s="2951">
        <v>14862020</v>
      </c>
      <c r="R192" s="2954">
        <v>44204</v>
      </c>
      <c r="S192" s="2954">
        <v>44211</v>
      </c>
      <c r="T192" s="2954">
        <v>44326</v>
      </c>
      <c r="U192" s="2954">
        <v>44326</v>
      </c>
      <c r="V192" s="2948" t="s">
        <v>884</v>
      </c>
    </row>
    <row r="193" spans="1:22" s="2944" customFormat="1" ht="46.8" hidden="1">
      <c r="A193" s="2948">
        <v>192</v>
      </c>
      <c r="B193" s="2948" t="s">
        <v>635</v>
      </c>
      <c r="C193" s="2948" t="s">
        <v>636</v>
      </c>
      <c r="D193" s="2948" t="s">
        <v>851</v>
      </c>
      <c r="E193" s="2948" t="s">
        <v>852</v>
      </c>
      <c r="F193" s="2948" t="s">
        <v>762</v>
      </c>
      <c r="G193" s="2948" t="s">
        <v>640</v>
      </c>
      <c r="H193" s="2948" t="s">
        <v>856</v>
      </c>
      <c r="I193" s="2948" t="s">
        <v>854</v>
      </c>
      <c r="J193" s="2948" t="s">
        <v>643</v>
      </c>
      <c r="K193" s="2950">
        <v>175.74</v>
      </c>
      <c r="L193" s="2950">
        <v>128.05000000000001</v>
      </c>
      <c r="M193" s="2951">
        <v>18757082</v>
      </c>
      <c r="N193" s="2951">
        <v>19331400</v>
      </c>
      <c r="O193" s="2952">
        <v>19331400</v>
      </c>
      <c r="P193" s="2953">
        <v>19331400</v>
      </c>
      <c r="Q193" s="2951">
        <v>19331400</v>
      </c>
      <c r="R193" s="2954">
        <v>44453</v>
      </c>
      <c r="S193" s="2954">
        <v>44497</v>
      </c>
      <c r="T193" s="2954">
        <v>44515</v>
      </c>
      <c r="U193" s="2954">
        <v>44515</v>
      </c>
      <c r="V193" s="2948" t="s">
        <v>885</v>
      </c>
    </row>
    <row r="194" spans="1:22" s="2944" customFormat="1" ht="46.8" hidden="1">
      <c r="A194" s="2948">
        <v>193</v>
      </c>
      <c r="B194" s="2948" t="s">
        <v>635</v>
      </c>
      <c r="C194" s="2948" t="s">
        <v>636</v>
      </c>
      <c r="D194" s="2948" t="s">
        <v>851</v>
      </c>
      <c r="E194" s="2948" t="s">
        <v>852</v>
      </c>
      <c r="F194" s="2948" t="s">
        <v>764</v>
      </c>
      <c r="G194" s="2948" t="s">
        <v>640</v>
      </c>
      <c r="H194" s="2948" t="s">
        <v>858</v>
      </c>
      <c r="I194" s="2948" t="s">
        <v>854</v>
      </c>
      <c r="J194" s="2948" t="s">
        <v>643</v>
      </c>
      <c r="K194" s="2950">
        <v>146.13999999999999</v>
      </c>
      <c r="L194" s="2950">
        <v>106.48</v>
      </c>
      <c r="M194" s="2951">
        <v>14727405</v>
      </c>
      <c r="N194" s="2951">
        <v>15178393</v>
      </c>
      <c r="O194" s="2952">
        <v>14419472</v>
      </c>
      <c r="P194" s="2953">
        <v>14419472</v>
      </c>
      <c r="Q194" s="2951">
        <v>14419472</v>
      </c>
      <c r="R194" s="2954">
        <v>44798</v>
      </c>
      <c r="S194" s="2954">
        <v>44810</v>
      </c>
      <c r="T194" s="2954">
        <v>44810</v>
      </c>
      <c r="U194" s="2954">
        <v>44810</v>
      </c>
      <c r="V194" s="2948" t="s">
        <v>886</v>
      </c>
    </row>
    <row r="195" spans="1:22" s="2944" customFormat="1" ht="46.8" hidden="1">
      <c r="A195" s="2948">
        <v>194</v>
      </c>
      <c r="B195" s="2948" t="s">
        <v>635</v>
      </c>
      <c r="C195" s="2948" t="s">
        <v>636</v>
      </c>
      <c r="D195" s="2948" t="s">
        <v>851</v>
      </c>
      <c r="E195" s="2948" t="s">
        <v>852</v>
      </c>
      <c r="F195" s="2948" t="s">
        <v>766</v>
      </c>
      <c r="G195" s="2948" t="s">
        <v>640</v>
      </c>
      <c r="H195" s="2948" t="s">
        <v>856</v>
      </c>
      <c r="I195" s="2948" t="s">
        <v>854</v>
      </c>
      <c r="J195" s="2948" t="s">
        <v>643</v>
      </c>
      <c r="K195" s="2950">
        <v>175.74</v>
      </c>
      <c r="L195" s="2950">
        <v>128.05000000000001</v>
      </c>
      <c r="M195" s="2951">
        <v>18757082</v>
      </c>
      <c r="N195" s="2951">
        <v>19331400</v>
      </c>
      <c r="O195" s="2952">
        <v>19331400</v>
      </c>
      <c r="P195" s="2953">
        <v>19331400</v>
      </c>
      <c r="Q195" s="2951">
        <v>19331400</v>
      </c>
      <c r="R195" s="2954">
        <v>44728</v>
      </c>
      <c r="S195" s="2954">
        <v>44732</v>
      </c>
      <c r="T195" s="2954">
        <v>44736</v>
      </c>
      <c r="U195" s="2954">
        <v>44736</v>
      </c>
      <c r="V195" s="2948" t="s">
        <v>887</v>
      </c>
    </row>
    <row r="196" spans="1:22" s="2944" customFormat="1" ht="46.8" hidden="1">
      <c r="A196" s="2948">
        <v>195</v>
      </c>
      <c r="B196" s="2948" t="s">
        <v>635</v>
      </c>
      <c r="C196" s="2948" t="s">
        <v>636</v>
      </c>
      <c r="D196" s="2948" t="s">
        <v>851</v>
      </c>
      <c r="E196" s="2948" t="s">
        <v>852</v>
      </c>
      <c r="F196" s="2948" t="s">
        <v>768</v>
      </c>
      <c r="G196" s="2948" t="s">
        <v>640</v>
      </c>
      <c r="H196" s="2948" t="s">
        <v>858</v>
      </c>
      <c r="I196" s="2948" t="s">
        <v>854</v>
      </c>
      <c r="J196" s="2948" t="s">
        <v>643</v>
      </c>
      <c r="K196" s="2950">
        <v>146.13999999999999</v>
      </c>
      <c r="L196" s="2950">
        <v>106.48</v>
      </c>
      <c r="M196" s="2951">
        <v>14741580</v>
      </c>
      <c r="N196" s="2951">
        <v>15193007</v>
      </c>
      <c r="O196" s="2952">
        <v>14146133</v>
      </c>
      <c r="P196" s="2953">
        <v>14146133</v>
      </c>
      <c r="Q196" s="2951">
        <v>14146133</v>
      </c>
      <c r="R196" s="2954">
        <v>44203</v>
      </c>
      <c r="S196" s="2954">
        <v>44279</v>
      </c>
      <c r="T196" s="2954">
        <v>44639</v>
      </c>
      <c r="U196" s="2954">
        <v>44639</v>
      </c>
      <c r="V196" s="2948" t="s">
        <v>888</v>
      </c>
    </row>
    <row r="197" spans="1:22" s="2944" customFormat="1" ht="46.8" hidden="1">
      <c r="A197" s="2948">
        <v>196</v>
      </c>
      <c r="B197" s="2948" t="s">
        <v>635</v>
      </c>
      <c r="C197" s="2948" t="s">
        <v>636</v>
      </c>
      <c r="D197" s="2948" t="s">
        <v>851</v>
      </c>
      <c r="E197" s="2948" t="s">
        <v>852</v>
      </c>
      <c r="F197" s="2948" t="s">
        <v>770</v>
      </c>
      <c r="G197" s="2948" t="s">
        <v>640</v>
      </c>
      <c r="H197" s="2948" t="s">
        <v>856</v>
      </c>
      <c r="I197" s="2948" t="s">
        <v>854</v>
      </c>
      <c r="J197" s="2948" t="s">
        <v>643</v>
      </c>
      <c r="K197" s="2950">
        <v>175.74</v>
      </c>
      <c r="L197" s="2950">
        <v>128.05000000000001</v>
      </c>
      <c r="M197" s="2951">
        <v>18757082</v>
      </c>
      <c r="N197" s="2951">
        <v>19331400</v>
      </c>
      <c r="O197" s="2952">
        <v>19331400</v>
      </c>
      <c r="P197" s="2953">
        <v>19331400</v>
      </c>
      <c r="Q197" s="2951">
        <v>19331400</v>
      </c>
      <c r="R197" s="2954">
        <v>44434</v>
      </c>
      <c r="S197" s="2954">
        <v>44438</v>
      </c>
      <c r="T197" s="2954">
        <v>44502</v>
      </c>
      <c r="U197" s="2954">
        <v>44502</v>
      </c>
      <c r="V197" s="2948" t="s">
        <v>889</v>
      </c>
    </row>
    <row r="198" spans="1:22" s="2944" customFormat="1" ht="46.8" hidden="1">
      <c r="A198" s="2948">
        <v>197</v>
      </c>
      <c r="B198" s="2948" t="s">
        <v>635</v>
      </c>
      <c r="C198" s="2948" t="s">
        <v>636</v>
      </c>
      <c r="D198" s="2948" t="s">
        <v>851</v>
      </c>
      <c r="E198" s="2948" t="s">
        <v>852</v>
      </c>
      <c r="F198" s="2948" t="s">
        <v>890</v>
      </c>
      <c r="G198" s="2948" t="s">
        <v>640</v>
      </c>
      <c r="H198" s="2948" t="s">
        <v>858</v>
      </c>
      <c r="I198" s="2948" t="s">
        <v>854</v>
      </c>
      <c r="J198" s="2948" t="s">
        <v>643</v>
      </c>
      <c r="K198" s="2950">
        <v>146.13999999999999</v>
      </c>
      <c r="L198" s="2950">
        <v>106.48</v>
      </c>
      <c r="M198" s="2951">
        <v>14755756</v>
      </c>
      <c r="N198" s="2951">
        <v>15207621</v>
      </c>
      <c r="O198" s="2952">
        <v>15207620</v>
      </c>
      <c r="P198" s="2953">
        <v>15207620</v>
      </c>
      <c r="Q198" s="2951">
        <v>15207620</v>
      </c>
      <c r="R198" s="2954">
        <v>44530</v>
      </c>
      <c r="S198" s="2954">
        <v>44530</v>
      </c>
      <c r="T198" s="2954">
        <v>44641</v>
      </c>
      <c r="U198" s="2954">
        <v>44641</v>
      </c>
      <c r="V198" s="2948" t="s">
        <v>891</v>
      </c>
    </row>
    <row r="199" spans="1:22" s="2944" customFormat="1" ht="46.8" hidden="1">
      <c r="A199" s="2948">
        <v>198</v>
      </c>
      <c r="B199" s="2948" t="s">
        <v>635</v>
      </c>
      <c r="C199" s="2948" t="s">
        <v>636</v>
      </c>
      <c r="D199" s="2948" t="s">
        <v>851</v>
      </c>
      <c r="E199" s="2948" t="s">
        <v>852</v>
      </c>
      <c r="F199" s="2948" t="s">
        <v>892</v>
      </c>
      <c r="G199" s="2948" t="s">
        <v>640</v>
      </c>
      <c r="H199" s="2948" t="s">
        <v>856</v>
      </c>
      <c r="I199" s="2948" t="s">
        <v>854</v>
      </c>
      <c r="J199" s="2948" t="s">
        <v>643</v>
      </c>
      <c r="K199" s="2950">
        <v>175.74</v>
      </c>
      <c r="L199" s="2950">
        <v>128.05000000000001</v>
      </c>
      <c r="M199" s="2951">
        <v>18757082</v>
      </c>
      <c r="N199" s="2951">
        <v>19331400</v>
      </c>
      <c r="O199" s="2952">
        <v>19331400</v>
      </c>
      <c r="P199" s="2953">
        <v>19331400</v>
      </c>
      <c r="Q199" s="2951">
        <v>19331400</v>
      </c>
      <c r="R199" s="2954">
        <v>44736</v>
      </c>
      <c r="S199" s="2954">
        <v>44739</v>
      </c>
      <c r="T199" s="2954">
        <v>44795</v>
      </c>
      <c r="U199" s="2954">
        <v>44795</v>
      </c>
      <c r="V199" s="2948" t="s">
        <v>893</v>
      </c>
    </row>
    <row r="200" spans="1:22" s="2944" customFormat="1" ht="46.8" hidden="1">
      <c r="A200" s="2948">
        <v>199</v>
      </c>
      <c r="B200" s="2948" t="s">
        <v>635</v>
      </c>
      <c r="C200" s="2948" t="s">
        <v>636</v>
      </c>
      <c r="D200" s="2948" t="s">
        <v>851</v>
      </c>
      <c r="E200" s="2948" t="s">
        <v>852</v>
      </c>
      <c r="F200" s="2948" t="s">
        <v>894</v>
      </c>
      <c r="G200" s="2948" t="s">
        <v>640</v>
      </c>
      <c r="H200" s="2948" t="s">
        <v>858</v>
      </c>
      <c r="I200" s="2948" t="s">
        <v>854</v>
      </c>
      <c r="J200" s="2948" t="s">
        <v>643</v>
      </c>
      <c r="K200" s="2950">
        <v>146.13999999999999</v>
      </c>
      <c r="L200" s="2950">
        <v>106.48</v>
      </c>
      <c r="M200" s="2951">
        <v>14769931</v>
      </c>
      <c r="N200" s="2951">
        <v>15222235</v>
      </c>
      <c r="O200" s="2952">
        <v>14919313</v>
      </c>
      <c r="P200" s="2953">
        <v>14919313</v>
      </c>
      <c r="Q200" s="2951">
        <v>14919313</v>
      </c>
      <c r="R200" s="2954">
        <v>44203</v>
      </c>
      <c r="S200" s="2954">
        <v>44211</v>
      </c>
      <c r="T200" s="2954">
        <v>44330</v>
      </c>
      <c r="U200" s="2954">
        <v>44330</v>
      </c>
      <c r="V200" s="2948" t="s">
        <v>895</v>
      </c>
    </row>
    <row r="201" spans="1:22" s="2944" customFormat="1" ht="46.8" hidden="1">
      <c r="A201" s="2948">
        <v>200</v>
      </c>
      <c r="B201" s="2948" t="s">
        <v>635</v>
      </c>
      <c r="C201" s="2948" t="s">
        <v>636</v>
      </c>
      <c r="D201" s="2948" t="s">
        <v>851</v>
      </c>
      <c r="E201" s="2948" t="s">
        <v>852</v>
      </c>
      <c r="F201" s="2948" t="s">
        <v>896</v>
      </c>
      <c r="G201" s="2948" t="s">
        <v>640</v>
      </c>
      <c r="H201" s="2948" t="s">
        <v>856</v>
      </c>
      <c r="I201" s="2948" t="s">
        <v>854</v>
      </c>
      <c r="J201" s="2948" t="s">
        <v>643</v>
      </c>
      <c r="K201" s="2950">
        <v>175.74</v>
      </c>
      <c r="L201" s="2950">
        <v>128.05000000000001</v>
      </c>
      <c r="M201" s="2951">
        <v>18757082</v>
      </c>
      <c r="N201" s="2951">
        <v>19331400</v>
      </c>
      <c r="O201" s="2952">
        <v>19331400</v>
      </c>
      <c r="P201" s="2953">
        <v>19331400</v>
      </c>
      <c r="Q201" s="2951">
        <v>19331400</v>
      </c>
      <c r="R201" s="2954">
        <v>44337</v>
      </c>
      <c r="S201" s="2954">
        <v>44350</v>
      </c>
      <c r="T201" s="2954">
        <v>44373</v>
      </c>
      <c r="U201" s="2954">
        <v>44372</v>
      </c>
      <c r="V201" s="2948" t="s">
        <v>897</v>
      </c>
    </row>
    <row r="202" spans="1:22" s="2944" customFormat="1" ht="46.8" hidden="1">
      <c r="A202" s="2948">
        <v>201</v>
      </c>
      <c r="B202" s="2948" t="s">
        <v>635</v>
      </c>
      <c r="C202" s="2948" t="s">
        <v>636</v>
      </c>
      <c r="D202" s="2948" t="s">
        <v>851</v>
      </c>
      <c r="E202" s="2948" t="s">
        <v>852</v>
      </c>
      <c r="F202" s="2948" t="s">
        <v>898</v>
      </c>
      <c r="G202" s="2948" t="s">
        <v>640</v>
      </c>
      <c r="H202" s="2948" t="s">
        <v>858</v>
      </c>
      <c r="I202" s="2948" t="s">
        <v>854</v>
      </c>
      <c r="J202" s="2948" t="s">
        <v>643</v>
      </c>
      <c r="K202" s="2950">
        <v>146.13999999999999</v>
      </c>
      <c r="L202" s="2950">
        <v>106.48</v>
      </c>
      <c r="M202" s="2951">
        <v>14784107</v>
      </c>
      <c r="N202" s="2951">
        <v>15236849</v>
      </c>
      <c r="O202" s="2952">
        <v>14186953</v>
      </c>
      <c r="P202" s="2953">
        <v>14186953</v>
      </c>
      <c r="Q202" s="2951">
        <v>14186953</v>
      </c>
      <c r="R202" s="2954">
        <v>44204</v>
      </c>
      <c r="S202" s="2954">
        <v>44211</v>
      </c>
      <c r="T202" s="2954">
        <v>44389</v>
      </c>
      <c r="U202" s="2954">
        <v>44389</v>
      </c>
      <c r="V202" s="2948" t="s">
        <v>899</v>
      </c>
    </row>
    <row r="203" spans="1:22" s="2944" customFormat="1" ht="46.8" hidden="1">
      <c r="A203" s="2948">
        <v>202</v>
      </c>
      <c r="B203" s="2948" t="s">
        <v>635</v>
      </c>
      <c r="C203" s="2948" t="s">
        <v>636</v>
      </c>
      <c r="D203" s="2948" t="s">
        <v>851</v>
      </c>
      <c r="E203" s="2948" t="s">
        <v>852</v>
      </c>
      <c r="F203" s="2948" t="s">
        <v>900</v>
      </c>
      <c r="G203" s="2948" t="s">
        <v>640</v>
      </c>
      <c r="H203" s="2948" t="s">
        <v>856</v>
      </c>
      <c r="I203" s="2948" t="s">
        <v>854</v>
      </c>
      <c r="J203" s="2948" t="s">
        <v>643</v>
      </c>
      <c r="K203" s="2950">
        <v>175.74</v>
      </c>
      <c r="L203" s="2950">
        <v>128.05000000000001</v>
      </c>
      <c r="M203" s="2951">
        <v>18757082</v>
      </c>
      <c r="N203" s="2951">
        <v>19331400</v>
      </c>
      <c r="O203" s="2952">
        <v>19331400</v>
      </c>
      <c r="P203" s="2953">
        <v>19331400</v>
      </c>
      <c r="Q203" s="2951">
        <v>19331400</v>
      </c>
      <c r="R203" s="2954">
        <v>44375</v>
      </c>
      <c r="S203" s="2954">
        <v>44375</v>
      </c>
      <c r="T203" s="2954">
        <v>44404</v>
      </c>
      <c r="U203" s="2954">
        <v>44404</v>
      </c>
      <c r="V203" s="2948" t="s">
        <v>901</v>
      </c>
    </row>
    <row r="204" spans="1:22" s="2944" customFormat="1" ht="46.8" hidden="1">
      <c r="A204" s="2948">
        <v>203</v>
      </c>
      <c r="B204" s="2948" t="s">
        <v>635</v>
      </c>
      <c r="C204" s="2948" t="s">
        <v>636</v>
      </c>
      <c r="D204" s="2948" t="s">
        <v>851</v>
      </c>
      <c r="E204" s="2948" t="s">
        <v>852</v>
      </c>
      <c r="F204" s="2948" t="s">
        <v>902</v>
      </c>
      <c r="G204" s="2948" t="s">
        <v>640</v>
      </c>
      <c r="H204" s="2948" t="s">
        <v>858</v>
      </c>
      <c r="I204" s="2948" t="s">
        <v>854</v>
      </c>
      <c r="J204" s="2948" t="s">
        <v>643</v>
      </c>
      <c r="K204" s="2950">
        <v>146.13999999999999</v>
      </c>
      <c r="L204" s="2950">
        <v>106.48</v>
      </c>
      <c r="M204" s="2951">
        <v>14798283</v>
      </c>
      <c r="N204" s="2951">
        <v>15251463</v>
      </c>
      <c r="O204" s="2952">
        <v>15251462</v>
      </c>
      <c r="P204" s="2953">
        <v>15251462</v>
      </c>
      <c r="Q204" s="2951">
        <v>15251462</v>
      </c>
      <c r="R204" s="2954">
        <v>44219</v>
      </c>
      <c r="S204" s="2954">
        <v>44224</v>
      </c>
      <c r="T204" s="2954">
        <v>44252</v>
      </c>
      <c r="U204" s="2954">
        <v>44252</v>
      </c>
      <c r="V204" s="2948" t="s">
        <v>903</v>
      </c>
    </row>
    <row r="205" spans="1:22" s="2944" customFormat="1" ht="46.8" hidden="1">
      <c r="A205" s="2948">
        <v>204</v>
      </c>
      <c r="B205" s="2948" t="s">
        <v>635</v>
      </c>
      <c r="C205" s="2948" t="s">
        <v>636</v>
      </c>
      <c r="D205" s="2948" t="s">
        <v>851</v>
      </c>
      <c r="E205" s="2948" t="s">
        <v>852</v>
      </c>
      <c r="F205" s="2948" t="s">
        <v>904</v>
      </c>
      <c r="G205" s="2948" t="s">
        <v>640</v>
      </c>
      <c r="H205" s="2948" t="s">
        <v>856</v>
      </c>
      <c r="I205" s="2948" t="s">
        <v>854</v>
      </c>
      <c r="J205" s="2948" t="s">
        <v>643</v>
      </c>
      <c r="K205" s="2950">
        <v>175.74</v>
      </c>
      <c r="L205" s="2950">
        <v>128.05000000000001</v>
      </c>
      <c r="M205" s="2951">
        <v>18757082</v>
      </c>
      <c r="N205" s="2951">
        <v>19331400</v>
      </c>
      <c r="O205" s="2952">
        <v>19331400</v>
      </c>
      <c r="P205" s="2953">
        <v>19331400</v>
      </c>
      <c r="Q205" s="2951">
        <v>19331400</v>
      </c>
      <c r="R205" s="2954">
        <v>44347</v>
      </c>
      <c r="S205" s="2954">
        <v>44368</v>
      </c>
      <c r="T205" s="2954">
        <v>44391</v>
      </c>
      <c r="U205" s="2954">
        <v>44391</v>
      </c>
      <c r="V205" s="2948" t="s">
        <v>905</v>
      </c>
    </row>
    <row r="206" spans="1:22" s="2944" customFormat="1" ht="46.8" hidden="1">
      <c r="A206" s="2948">
        <v>205</v>
      </c>
      <c r="B206" s="2948" t="s">
        <v>635</v>
      </c>
      <c r="C206" s="2948" t="s">
        <v>636</v>
      </c>
      <c r="D206" s="2948" t="s">
        <v>851</v>
      </c>
      <c r="E206" s="2948" t="s">
        <v>852</v>
      </c>
      <c r="F206" s="2948" t="s">
        <v>906</v>
      </c>
      <c r="G206" s="2948" t="s">
        <v>640</v>
      </c>
      <c r="H206" s="2948" t="s">
        <v>858</v>
      </c>
      <c r="I206" s="2948" t="s">
        <v>854</v>
      </c>
      <c r="J206" s="2948" t="s">
        <v>643</v>
      </c>
      <c r="K206" s="2950">
        <v>146.13999999999999</v>
      </c>
      <c r="L206" s="2950">
        <v>106.48</v>
      </c>
      <c r="M206" s="2951">
        <v>14812458</v>
      </c>
      <c r="N206" s="2951">
        <v>15266077</v>
      </c>
      <c r="O206" s="2952">
        <v>14502773</v>
      </c>
      <c r="P206" s="2953">
        <v>14502773</v>
      </c>
      <c r="Q206" s="2951">
        <v>14502773</v>
      </c>
      <c r="R206" s="2954">
        <v>44670</v>
      </c>
      <c r="S206" s="2954">
        <v>44679</v>
      </c>
      <c r="T206" s="2954">
        <v>44735</v>
      </c>
      <c r="U206" s="2954">
        <v>44735</v>
      </c>
      <c r="V206" s="2948" t="s">
        <v>907</v>
      </c>
    </row>
    <row r="207" spans="1:22" s="2944" customFormat="1" ht="46.8" hidden="1">
      <c r="A207" s="2948">
        <v>206</v>
      </c>
      <c r="B207" s="2948" t="s">
        <v>635</v>
      </c>
      <c r="C207" s="2948" t="s">
        <v>636</v>
      </c>
      <c r="D207" s="2948" t="s">
        <v>851</v>
      </c>
      <c r="E207" s="2948" t="s">
        <v>852</v>
      </c>
      <c r="F207" s="2948" t="s">
        <v>908</v>
      </c>
      <c r="G207" s="2948" t="s">
        <v>640</v>
      </c>
      <c r="H207" s="2948" t="s">
        <v>856</v>
      </c>
      <c r="I207" s="2948" t="s">
        <v>854</v>
      </c>
      <c r="J207" s="2948" t="s">
        <v>643</v>
      </c>
      <c r="K207" s="2950">
        <v>175.74</v>
      </c>
      <c r="L207" s="2950">
        <v>128.05000000000001</v>
      </c>
      <c r="M207" s="2951">
        <v>18757082</v>
      </c>
      <c r="N207" s="2951">
        <v>19331400</v>
      </c>
      <c r="O207" s="2952">
        <v>19331400</v>
      </c>
      <c r="P207" s="2953">
        <v>19331400</v>
      </c>
      <c r="Q207" s="2951">
        <v>19331400</v>
      </c>
      <c r="R207" s="2954">
        <v>44438</v>
      </c>
      <c r="S207" s="2954">
        <v>44438</v>
      </c>
      <c r="T207" s="2954">
        <v>44461</v>
      </c>
      <c r="U207" s="2954">
        <v>44461</v>
      </c>
      <c r="V207" s="2948" t="s">
        <v>909</v>
      </c>
    </row>
    <row r="208" spans="1:22" s="2944" customFormat="1" ht="46.8" hidden="1">
      <c r="A208" s="2948">
        <v>207</v>
      </c>
      <c r="B208" s="2948" t="s">
        <v>635</v>
      </c>
      <c r="C208" s="2948" t="s">
        <v>636</v>
      </c>
      <c r="D208" s="2948" t="s">
        <v>851</v>
      </c>
      <c r="E208" s="2948" t="s">
        <v>852</v>
      </c>
      <c r="F208" s="2948" t="s">
        <v>910</v>
      </c>
      <c r="G208" s="2948" t="s">
        <v>640</v>
      </c>
      <c r="H208" s="2948" t="s">
        <v>858</v>
      </c>
      <c r="I208" s="2948" t="s">
        <v>854</v>
      </c>
      <c r="J208" s="2948" t="s">
        <v>643</v>
      </c>
      <c r="K208" s="2950">
        <v>146.13999999999999</v>
      </c>
      <c r="L208" s="2950">
        <v>106.48</v>
      </c>
      <c r="M208" s="2951">
        <v>14826634</v>
      </c>
      <c r="N208" s="2951">
        <v>15280691</v>
      </c>
      <c r="O208" s="2952">
        <v>14976605</v>
      </c>
      <c r="P208" s="2953">
        <v>14976605</v>
      </c>
      <c r="Q208" s="2951">
        <v>14976605</v>
      </c>
      <c r="R208" s="2954">
        <v>44203</v>
      </c>
      <c r="S208" s="2954">
        <v>44286</v>
      </c>
      <c r="T208" s="2954">
        <v>44357</v>
      </c>
      <c r="U208" s="2954">
        <v>44357</v>
      </c>
      <c r="V208" s="2948" t="s">
        <v>911</v>
      </c>
    </row>
    <row r="209" spans="1:22" s="2944" customFormat="1" ht="46.8" hidden="1">
      <c r="A209" s="2948">
        <v>208</v>
      </c>
      <c r="B209" s="2948" t="s">
        <v>635</v>
      </c>
      <c r="C209" s="2948" t="s">
        <v>636</v>
      </c>
      <c r="D209" s="2948" t="s">
        <v>851</v>
      </c>
      <c r="E209" s="2948" t="s">
        <v>852</v>
      </c>
      <c r="F209" s="2948" t="s">
        <v>912</v>
      </c>
      <c r="G209" s="2948" t="s">
        <v>640</v>
      </c>
      <c r="H209" s="2948" t="s">
        <v>856</v>
      </c>
      <c r="I209" s="2948" t="s">
        <v>854</v>
      </c>
      <c r="J209" s="2948" t="s">
        <v>643</v>
      </c>
      <c r="K209" s="2950">
        <v>175.74</v>
      </c>
      <c r="L209" s="2950">
        <v>128.05000000000001</v>
      </c>
      <c r="M209" s="2951">
        <v>18757082</v>
      </c>
      <c r="N209" s="2951">
        <v>19331400</v>
      </c>
      <c r="O209" s="2952">
        <v>19331400</v>
      </c>
      <c r="P209" s="2953">
        <v>19331400</v>
      </c>
      <c r="Q209" s="2951">
        <v>19331400</v>
      </c>
      <c r="R209" s="2954">
        <v>44324</v>
      </c>
      <c r="S209" s="2954">
        <v>44325</v>
      </c>
      <c r="T209" s="2954">
        <v>44349</v>
      </c>
      <c r="U209" s="2954">
        <v>44349</v>
      </c>
      <c r="V209" s="2948" t="s">
        <v>913</v>
      </c>
    </row>
    <row r="210" spans="1:22" s="2944" customFormat="1" ht="46.8" hidden="1">
      <c r="A210" s="2948">
        <v>209</v>
      </c>
      <c r="B210" s="2948" t="s">
        <v>635</v>
      </c>
      <c r="C210" s="2948" t="s">
        <v>636</v>
      </c>
      <c r="D210" s="2948" t="s">
        <v>851</v>
      </c>
      <c r="E210" s="2948" t="s">
        <v>852</v>
      </c>
      <c r="F210" s="2948" t="s">
        <v>914</v>
      </c>
      <c r="G210" s="2948" t="s">
        <v>640</v>
      </c>
      <c r="H210" s="2948" t="s">
        <v>858</v>
      </c>
      <c r="I210" s="2948" t="s">
        <v>854</v>
      </c>
      <c r="J210" s="2948" t="s">
        <v>643</v>
      </c>
      <c r="K210" s="2950">
        <v>146.13999999999999</v>
      </c>
      <c r="L210" s="2950">
        <v>106.48</v>
      </c>
      <c r="M210" s="2951">
        <v>14713229</v>
      </c>
      <c r="N210" s="2951">
        <v>15163779</v>
      </c>
      <c r="O210" s="2952">
        <v>14862020</v>
      </c>
      <c r="P210" s="2953">
        <v>14862020</v>
      </c>
      <c r="Q210" s="2951">
        <v>14862020</v>
      </c>
      <c r="R210" s="2954">
        <v>44203</v>
      </c>
      <c r="S210" s="2954">
        <v>44252</v>
      </c>
      <c r="T210" s="2954">
        <v>44278</v>
      </c>
      <c r="U210" s="2954">
        <v>44278</v>
      </c>
      <c r="V210" s="2948" t="s">
        <v>915</v>
      </c>
    </row>
    <row r="211" spans="1:22" s="2944" customFormat="1" ht="46.8" hidden="1">
      <c r="A211" s="2948">
        <v>210</v>
      </c>
      <c r="B211" s="2948" t="s">
        <v>635</v>
      </c>
      <c r="C211" s="2948" t="s">
        <v>636</v>
      </c>
      <c r="D211" s="2948" t="s">
        <v>851</v>
      </c>
      <c r="E211" s="2948" t="s">
        <v>852</v>
      </c>
      <c r="F211" s="2948" t="s">
        <v>916</v>
      </c>
      <c r="G211" s="2948" t="s">
        <v>640</v>
      </c>
      <c r="H211" s="2948" t="s">
        <v>856</v>
      </c>
      <c r="I211" s="2948" t="s">
        <v>854</v>
      </c>
      <c r="J211" s="2948" t="s">
        <v>643</v>
      </c>
      <c r="K211" s="2950">
        <v>175.74</v>
      </c>
      <c r="L211" s="2950">
        <v>128.05000000000001</v>
      </c>
      <c r="M211" s="2951">
        <v>18757082</v>
      </c>
      <c r="N211" s="2951">
        <v>19331400</v>
      </c>
      <c r="O211" s="2952">
        <v>19331400</v>
      </c>
      <c r="P211" s="2953">
        <v>19331400</v>
      </c>
      <c r="Q211" s="2951">
        <v>19331400</v>
      </c>
      <c r="R211" s="2954">
        <v>44894</v>
      </c>
      <c r="S211" s="2954">
        <v>44957</v>
      </c>
      <c r="T211" s="2954">
        <v>45013</v>
      </c>
      <c r="U211" s="2954">
        <v>45014</v>
      </c>
      <c r="V211" s="2948" t="s">
        <v>917</v>
      </c>
    </row>
    <row r="212" spans="1:22" s="2944" customFormat="1" ht="46.8" hidden="1">
      <c r="A212" s="2948">
        <v>211</v>
      </c>
      <c r="B212" s="2948" t="s">
        <v>635</v>
      </c>
      <c r="C212" s="2948" t="s">
        <v>636</v>
      </c>
      <c r="D212" s="2948" t="s">
        <v>918</v>
      </c>
      <c r="E212" s="2948" t="s">
        <v>729</v>
      </c>
      <c r="F212" s="2948" t="s">
        <v>639</v>
      </c>
      <c r="G212" s="2948" t="s">
        <v>640</v>
      </c>
      <c r="H212" s="2948" t="s">
        <v>919</v>
      </c>
      <c r="I212" s="2948" t="s">
        <v>854</v>
      </c>
      <c r="J212" s="2948" t="s">
        <v>643</v>
      </c>
      <c r="K212" s="2950">
        <v>146.06</v>
      </c>
      <c r="L212" s="2950">
        <v>106.48</v>
      </c>
      <c r="M212" s="2951">
        <v>13783974</v>
      </c>
      <c r="N212" s="2951">
        <v>14206088</v>
      </c>
      <c r="O212" s="2952">
        <v>14206088</v>
      </c>
      <c r="P212" s="2953">
        <v>14206088</v>
      </c>
      <c r="Q212" s="2951">
        <v>14206088</v>
      </c>
      <c r="R212" s="2954">
        <v>45068</v>
      </c>
      <c r="S212" s="2954">
        <v>45069</v>
      </c>
      <c r="T212" s="2954">
        <v>45078</v>
      </c>
      <c r="U212" s="2954">
        <v>45070</v>
      </c>
      <c r="V212" s="2948" t="s">
        <v>920</v>
      </c>
    </row>
    <row r="213" spans="1:22" s="2944" customFormat="1" ht="46.8" hidden="1">
      <c r="A213" s="2948">
        <v>212</v>
      </c>
      <c r="B213" s="2948" t="s">
        <v>635</v>
      </c>
      <c r="C213" s="2948" t="s">
        <v>636</v>
      </c>
      <c r="D213" s="2948" t="s">
        <v>918</v>
      </c>
      <c r="E213" s="2948" t="s">
        <v>729</v>
      </c>
      <c r="F213" s="2948" t="s">
        <v>645</v>
      </c>
      <c r="G213" s="2948" t="s">
        <v>640</v>
      </c>
      <c r="H213" s="2948" t="s">
        <v>921</v>
      </c>
      <c r="I213" s="2948" t="s">
        <v>854</v>
      </c>
      <c r="J213" s="2948" t="s">
        <v>643</v>
      </c>
      <c r="K213" s="2950">
        <v>175.65</v>
      </c>
      <c r="L213" s="2950">
        <v>128.05000000000001</v>
      </c>
      <c r="M213" s="2951">
        <v>17634909</v>
      </c>
      <c r="N213" s="2951">
        <v>18174857</v>
      </c>
      <c r="O213" s="2952">
        <v>18174857</v>
      </c>
      <c r="P213" s="2953">
        <v>18174857</v>
      </c>
      <c r="Q213" s="2951">
        <v>5452458</v>
      </c>
      <c r="R213" s="2954">
        <v>45196</v>
      </c>
      <c r="S213" s="2954">
        <v>45197</v>
      </c>
      <c r="T213" s="2948"/>
      <c r="U213" s="2948"/>
      <c r="V213" s="2948" t="s">
        <v>922</v>
      </c>
    </row>
    <row r="214" spans="1:22" s="2944" customFormat="1" ht="46.8" hidden="1">
      <c r="A214" s="2948">
        <v>213</v>
      </c>
      <c r="B214" s="2948" t="s">
        <v>635</v>
      </c>
      <c r="C214" s="2948" t="s">
        <v>636</v>
      </c>
      <c r="D214" s="2948" t="s">
        <v>918</v>
      </c>
      <c r="E214" s="2948" t="s">
        <v>729</v>
      </c>
      <c r="F214" s="2948" t="s">
        <v>648</v>
      </c>
      <c r="G214" s="2948" t="s">
        <v>640</v>
      </c>
      <c r="H214" s="2948" t="s">
        <v>919</v>
      </c>
      <c r="I214" s="2948" t="s">
        <v>854</v>
      </c>
      <c r="J214" s="2948" t="s">
        <v>643</v>
      </c>
      <c r="K214" s="2950">
        <v>146.06</v>
      </c>
      <c r="L214" s="2950">
        <v>106.48</v>
      </c>
      <c r="M214" s="2951">
        <v>13925799</v>
      </c>
      <c r="N214" s="2951">
        <v>14352148</v>
      </c>
      <c r="O214" s="2952">
        <v>14352147</v>
      </c>
      <c r="P214" s="2953">
        <v>14352147</v>
      </c>
      <c r="Q214" s="2951">
        <v>14352147</v>
      </c>
      <c r="R214" s="2954">
        <v>44274</v>
      </c>
      <c r="S214" s="2954">
        <v>44316</v>
      </c>
      <c r="T214" s="2954">
        <v>44375</v>
      </c>
      <c r="U214" s="2954">
        <v>44375</v>
      </c>
      <c r="V214" s="2948" t="s">
        <v>923</v>
      </c>
    </row>
    <row r="215" spans="1:22" s="2944" customFormat="1" ht="46.8" hidden="1">
      <c r="A215" s="2948">
        <v>214</v>
      </c>
      <c r="B215" s="2948" t="s">
        <v>635</v>
      </c>
      <c r="C215" s="2948" t="s">
        <v>636</v>
      </c>
      <c r="D215" s="2948" t="s">
        <v>918</v>
      </c>
      <c r="E215" s="2948" t="s">
        <v>729</v>
      </c>
      <c r="F215" s="2948" t="s">
        <v>651</v>
      </c>
      <c r="G215" s="2948" t="s">
        <v>640</v>
      </c>
      <c r="H215" s="2948" t="s">
        <v>921</v>
      </c>
      <c r="I215" s="2948" t="s">
        <v>854</v>
      </c>
      <c r="J215" s="2948" t="s">
        <v>643</v>
      </c>
      <c r="K215" s="2950">
        <v>175.65</v>
      </c>
      <c r="L215" s="2950">
        <v>128.05000000000001</v>
      </c>
      <c r="M215" s="2951">
        <v>17805289</v>
      </c>
      <c r="N215" s="2951">
        <v>18350507</v>
      </c>
      <c r="O215" s="2952">
        <v>18350506</v>
      </c>
      <c r="P215" s="2953">
        <v>18350506</v>
      </c>
      <c r="Q215" s="2951">
        <v>18350506</v>
      </c>
      <c r="R215" s="2954">
        <v>45044</v>
      </c>
      <c r="S215" s="2954">
        <v>45075</v>
      </c>
      <c r="T215" s="2954">
        <v>45167</v>
      </c>
      <c r="U215" s="2954">
        <v>45167</v>
      </c>
      <c r="V215" s="2948" t="s">
        <v>924</v>
      </c>
    </row>
    <row r="216" spans="1:22" s="2944" customFormat="1" ht="46.8" hidden="1">
      <c r="A216" s="2948">
        <v>215</v>
      </c>
      <c r="B216" s="2948" t="s">
        <v>635</v>
      </c>
      <c r="C216" s="2948" t="s">
        <v>636</v>
      </c>
      <c r="D216" s="2948" t="s">
        <v>918</v>
      </c>
      <c r="E216" s="2948" t="s">
        <v>729</v>
      </c>
      <c r="F216" s="2948" t="s">
        <v>653</v>
      </c>
      <c r="G216" s="2948" t="s">
        <v>640</v>
      </c>
      <c r="H216" s="2948" t="s">
        <v>919</v>
      </c>
      <c r="I216" s="2948" t="s">
        <v>854</v>
      </c>
      <c r="J216" s="2948" t="s">
        <v>643</v>
      </c>
      <c r="K216" s="2950">
        <v>146.06</v>
      </c>
      <c r="L216" s="2950">
        <v>106.48</v>
      </c>
      <c r="M216" s="2951">
        <v>14067477</v>
      </c>
      <c r="N216" s="2951">
        <v>14498208</v>
      </c>
      <c r="O216" s="2952">
        <v>14498207</v>
      </c>
      <c r="P216" s="2953">
        <v>14498207</v>
      </c>
      <c r="Q216" s="2951">
        <v>14498207</v>
      </c>
      <c r="R216" s="2954">
        <v>44221</v>
      </c>
      <c r="S216" s="2954">
        <v>44253</v>
      </c>
      <c r="T216" s="2954">
        <v>44351</v>
      </c>
      <c r="U216" s="2954">
        <v>44351</v>
      </c>
      <c r="V216" s="2948" t="s">
        <v>925</v>
      </c>
    </row>
    <row r="217" spans="1:22" s="2944" customFormat="1" ht="46.8" hidden="1">
      <c r="A217" s="2948">
        <v>216</v>
      </c>
      <c r="B217" s="2948" t="s">
        <v>635</v>
      </c>
      <c r="C217" s="2948" t="s">
        <v>636</v>
      </c>
      <c r="D217" s="2948" t="s">
        <v>918</v>
      </c>
      <c r="E217" s="2948" t="s">
        <v>729</v>
      </c>
      <c r="F217" s="2948" t="s">
        <v>655</v>
      </c>
      <c r="G217" s="2948" t="s">
        <v>640</v>
      </c>
      <c r="H217" s="2948" t="s">
        <v>921</v>
      </c>
      <c r="I217" s="2948" t="s">
        <v>854</v>
      </c>
      <c r="J217" s="2948" t="s">
        <v>643</v>
      </c>
      <c r="K217" s="2950">
        <v>175.65</v>
      </c>
      <c r="L217" s="2950">
        <v>128.05000000000001</v>
      </c>
      <c r="M217" s="2951">
        <v>17975670</v>
      </c>
      <c r="N217" s="2951">
        <v>18526157</v>
      </c>
      <c r="O217" s="2952">
        <v>18526156</v>
      </c>
      <c r="P217" s="2953">
        <v>18526156</v>
      </c>
      <c r="Q217" s="2951">
        <v>18526156</v>
      </c>
      <c r="R217" s="2954">
        <v>44925</v>
      </c>
      <c r="S217" s="2954">
        <v>44926</v>
      </c>
      <c r="T217" s="2954">
        <v>44965</v>
      </c>
      <c r="U217" s="2954">
        <v>44965</v>
      </c>
      <c r="V217" s="2948" t="s">
        <v>924</v>
      </c>
    </row>
    <row r="218" spans="1:22" s="2944" customFormat="1" ht="46.8" hidden="1">
      <c r="A218" s="2948">
        <v>217</v>
      </c>
      <c r="B218" s="2948" t="s">
        <v>635</v>
      </c>
      <c r="C218" s="2948" t="s">
        <v>636</v>
      </c>
      <c r="D218" s="2948" t="s">
        <v>918</v>
      </c>
      <c r="E218" s="2948" t="s">
        <v>729</v>
      </c>
      <c r="F218" s="2948" t="s">
        <v>657</v>
      </c>
      <c r="G218" s="2948" t="s">
        <v>640</v>
      </c>
      <c r="H218" s="2948" t="s">
        <v>919</v>
      </c>
      <c r="I218" s="2948" t="s">
        <v>854</v>
      </c>
      <c r="J218" s="2948" t="s">
        <v>643</v>
      </c>
      <c r="K218" s="2950">
        <v>146.06</v>
      </c>
      <c r="L218" s="2950">
        <v>106.48</v>
      </c>
      <c r="M218" s="2951">
        <v>14209155</v>
      </c>
      <c r="N218" s="2951">
        <v>14644268</v>
      </c>
      <c r="O218" s="2952">
        <v>14644267</v>
      </c>
      <c r="P218" s="2953">
        <v>14644267</v>
      </c>
      <c r="Q218" s="2951">
        <v>14644267</v>
      </c>
      <c r="R218" s="2954">
        <v>44224.634201388901</v>
      </c>
      <c r="S218" s="2954">
        <v>44254</v>
      </c>
      <c r="T218" s="2954">
        <v>44425</v>
      </c>
      <c r="U218" s="2954">
        <v>44425</v>
      </c>
      <c r="V218" s="2948" t="s">
        <v>926</v>
      </c>
    </row>
    <row r="219" spans="1:22" s="2944" customFormat="1" ht="46.8" hidden="1">
      <c r="A219" s="2948">
        <v>218</v>
      </c>
      <c r="B219" s="2948" t="s">
        <v>635</v>
      </c>
      <c r="C219" s="2948" t="s">
        <v>636</v>
      </c>
      <c r="D219" s="2948" t="s">
        <v>918</v>
      </c>
      <c r="E219" s="2948" t="s">
        <v>729</v>
      </c>
      <c r="F219" s="2948" t="s">
        <v>659</v>
      </c>
      <c r="G219" s="2948" t="s">
        <v>640</v>
      </c>
      <c r="H219" s="2948" t="s">
        <v>921</v>
      </c>
      <c r="I219" s="2948" t="s">
        <v>854</v>
      </c>
      <c r="J219" s="2948" t="s">
        <v>643</v>
      </c>
      <c r="K219" s="2950">
        <v>175.65</v>
      </c>
      <c r="L219" s="2950">
        <v>128.05000000000001</v>
      </c>
      <c r="M219" s="2951">
        <v>18146226</v>
      </c>
      <c r="N219" s="2951">
        <v>18701807</v>
      </c>
      <c r="O219" s="2952">
        <v>18701807</v>
      </c>
      <c r="P219" s="2953">
        <v>18701807</v>
      </c>
      <c r="Q219" s="2951">
        <v>18701806</v>
      </c>
      <c r="R219" s="2954">
        <v>45082</v>
      </c>
      <c r="S219" s="2954">
        <v>45107</v>
      </c>
      <c r="T219" s="2954">
        <v>45119</v>
      </c>
      <c r="U219" s="2954">
        <v>45119</v>
      </c>
      <c r="V219" s="2948" t="s">
        <v>927</v>
      </c>
    </row>
    <row r="220" spans="1:22" s="2944" customFormat="1" ht="46.8" hidden="1">
      <c r="A220" s="2948">
        <v>219</v>
      </c>
      <c r="B220" s="2948" t="s">
        <v>635</v>
      </c>
      <c r="C220" s="2948" t="s">
        <v>636</v>
      </c>
      <c r="D220" s="2948" t="s">
        <v>918</v>
      </c>
      <c r="E220" s="2948" t="s">
        <v>729</v>
      </c>
      <c r="F220" s="2948" t="s">
        <v>661</v>
      </c>
      <c r="G220" s="2948" t="s">
        <v>640</v>
      </c>
      <c r="H220" s="2948" t="s">
        <v>919</v>
      </c>
      <c r="I220" s="2948" t="s">
        <v>854</v>
      </c>
      <c r="J220" s="2948" t="s">
        <v>643</v>
      </c>
      <c r="K220" s="2950">
        <v>146.06</v>
      </c>
      <c r="L220" s="2950">
        <v>106.48</v>
      </c>
      <c r="M220" s="2951">
        <v>14421818</v>
      </c>
      <c r="N220" s="2951">
        <v>14863358</v>
      </c>
      <c r="O220" s="2952">
        <v>14863358</v>
      </c>
      <c r="P220" s="2953">
        <v>14863358</v>
      </c>
      <c r="Q220" s="2951">
        <v>14863358</v>
      </c>
      <c r="R220" s="2948"/>
      <c r="S220" s="2954">
        <v>44424.440763888902</v>
      </c>
      <c r="T220" s="2954">
        <v>44453</v>
      </c>
      <c r="U220" s="2954">
        <v>44453</v>
      </c>
      <c r="V220" s="2948" t="s">
        <v>928</v>
      </c>
    </row>
    <row r="221" spans="1:22" s="2944" customFormat="1" ht="46.8" hidden="1">
      <c r="A221" s="2948">
        <v>220</v>
      </c>
      <c r="B221" s="2948" t="s">
        <v>635</v>
      </c>
      <c r="C221" s="2948" t="s">
        <v>636</v>
      </c>
      <c r="D221" s="2948" t="s">
        <v>918</v>
      </c>
      <c r="E221" s="2948" t="s">
        <v>729</v>
      </c>
      <c r="F221" s="2948" t="s">
        <v>663</v>
      </c>
      <c r="G221" s="2948" t="s">
        <v>640</v>
      </c>
      <c r="H221" s="2948" t="s">
        <v>921</v>
      </c>
      <c r="I221" s="2948" t="s">
        <v>854</v>
      </c>
      <c r="J221" s="2948" t="s">
        <v>643</v>
      </c>
      <c r="K221" s="2950">
        <v>175.65</v>
      </c>
      <c r="L221" s="2950">
        <v>128.05000000000001</v>
      </c>
      <c r="M221" s="2951">
        <v>18401797</v>
      </c>
      <c r="N221" s="2951">
        <v>18965282</v>
      </c>
      <c r="O221" s="2952">
        <v>18965281</v>
      </c>
      <c r="P221" s="2953">
        <v>18965281</v>
      </c>
      <c r="Q221" s="2951">
        <v>18965281</v>
      </c>
      <c r="R221" s="2954">
        <v>45188</v>
      </c>
      <c r="S221" s="2954">
        <v>45188</v>
      </c>
      <c r="T221" s="2954">
        <v>45195</v>
      </c>
      <c r="U221" s="2954">
        <v>45195</v>
      </c>
      <c r="V221" s="2948" t="s">
        <v>929</v>
      </c>
    </row>
    <row r="222" spans="1:22" s="2944" customFormat="1" ht="46.8" hidden="1">
      <c r="A222" s="2948">
        <v>221</v>
      </c>
      <c r="B222" s="2948" t="s">
        <v>635</v>
      </c>
      <c r="C222" s="2948" t="s">
        <v>636</v>
      </c>
      <c r="D222" s="2948" t="s">
        <v>918</v>
      </c>
      <c r="E222" s="2948" t="s">
        <v>729</v>
      </c>
      <c r="F222" s="2948" t="s">
        <v>665</v>
      </c>
      <c r="G222" s="2948" t="s">
        <v>640</v>
      </c>
      <c r="H222" s="2948" t="s">
        <v>919</v>
      </c>
      <c r="I222" s="2948" t="s">
        <v>854</v>
      </c>
      <c r="J222" s="2948" t="s">
        <v>643</v>
      </c>
      <c r="K222" s="2950">
        <v>146.06</v>
      </c>
      <c r="L222" s="2950">
        <v>106.48</v>
      </c>
      <c r="M222" s="2951">
        <v>14435986</v>
      </c>
      <c r="N222" s="2951">
        <v>14877964</v>
      </c>
      <c r="O222" s="2952">
        <v>14581893</v>
      </c>
      <c r="P222" s="2953">
        <v>14581893</v>
      </c>
      <c r="Q222" s="2951">
        <v>14581893</v>
      </c>
      <c r="R222" s="2954">
        <v>44206</v>
      </c>
      <c r="S222" s="2954">
        <v>44226</v>
      </c>
      <c r="T222" s="2954">
        <v>44355</v>
      </c>
      <c r="U222" s="2954">
        <v>44355</v>
      </c>
      <c r="V222" s="2948" t="s">
        <v>930</v>
      </c>
    </row>
    <row r="223" spans="1:22" s="2944" customFormat="1" ht="46.8" hidden="1">
      <c r="A223" s="2948">
        <v>222</v>
      </c>
      <c r="B223" s="2948" t="s">
        <v>635</v>
      </c>
      <c r="C223" s="2948" t="s">
        <v>636</v>
      </c>
      <c r="D223" s="2948" t="s">
        <v>918</v>
      </c>
      <c r="E223" s="2948" t="s">
        <v>729</v>
      </c>
      <c r="F223" s="2948" t="s">
        <v>667</v>
      </c>
      <c r="G223" s="2948" t="s">
        <v>640</v>
      </c>
      <c r="H223" s="2948" t="s">
        <v>921</v>
      </c>
      <c r="I223" s="2948" t="s">
        <v>854</v>
      </c>
      <c r="J223" s="2948" t="s">
        <v>643</v>
      </c>
      <c r="K223" s="2950">
        <v>175.65</v>
      </c>
      <c r="L223" s="2950">
        <v>128.05000000000001</v>
      </c>
      <c r="M223" s="2951">
        <v>18418835</v>
      </c>
      <c r="N223" s="2951">
        <v>18982847</v>
      </c>
      <c r="O223" s="2952">
        <v>18982846</v>
      </c>
      <c r="P223" s="2953">
        <v>18982846</v>
      </c>
      <c r="Q223" s="2951">
        <v>18982846</v>
      </c>
      <c r="R223" s="2954">
        <v>44823</v>
      </c>
      <c r="S223" s="2954">
        <v>44833</v>
      </c>
      <c r="T223" s="2954">
        <v>44902</v>
      </c>
      <c r="U223" s="2954">
        <v>44938</v>
      </c>
      <c r="V223" s="2948" t="s">
        <v>931</v>
      </c>
    </row>
    <row r="224" spans="1:22" s="2944" customFormat="1" ht="46.8" hidden="1">
      <c r="A224" s="2948">
        <v>223</v>
      </c>
      <c r="B224" s="2948" t="s">
        <v>635</v>
      </c>
      <c r="C224" s="2948" t="s">
        <v>636</v>
      </c>
      <c r="D224" s="2948" t="s">
        <v>918</v>
      </c>
      <c r="E224" s="2948" t="s">
        <v>729</v>
      </c>
      <c r="F224" s="2948" t="s">
        <v>669</v>
      </c>
      <c r="G224" s="2948" t="s">
        <v>640</v>
      </c>
      <c r="H224" s="2948" t="s">
        <v>919</v>
      </c>
      <c r="I224" s="2948" t="s">
        <v>854</v>
      </c>
      <c r="J224" s="2948" t="s">
        <v>643</v>
      </c>
      <c r="K224" s="2950">
        <v>146.06</v>
      </c>
      <c r="L224" s="2950">
        <v>106.48</v>
      </c>
      <c r="M224" s="2951">
        <v>14450154</v>
      </c>
      <c r="N224" s="2951">
        <v>14892570</v>
      </c>
      <c r="O224" s="2952">
        <v>14892569</v>
      </c>
      <c r="P224" s="2953">
        <v>14892569</v>
      </c>
      <c r="Q224" s="2951">
        <v>14892569</v>
      </c>
      <c r="R224" s="2954">
        <v>44203</v>
      </c>
      <c r="S224" s="2954">
        <v>44225</v>
      </c>
      <c r="T224" s="2954">
        <v>44349</v>
      </c>
      <c r="U224" s="2954">
        <v>44349</v>
      </c>
      <c r="V224" s="2948" t="s">
        <v>932</v>
      </c>
    </row>
    <row r="225" spans="1:22" s="2944" customFormat="1" ht="46.8" hidden="1">
      <c r="A225" s="2948">
        <v>224</v>
      </c>
      <c r="B225" s="2948" t="s">
        <v>635</v>
      </c>
      <c r="C225" s="2948" t="s">
        <v>636</v>
      </c>
      <c r="D225" s="2948" t="s">
        <v>918</v>
      </c>
      <c r="E225" s="2948" t="s">
        <v>729</v>
      </c>
      <c r="F225" s="2948" t="s">
        <v>671</v>
      </c>
      <c r="G225" s="2948" t="s">
        <v>640</v>
      </c>
      <c r="H225" s="2948" t="s">
        <v>921</v>
      </c>
      <c r="I225" s="2948" t="s">
        <v>854</v>
      </c>
      <c r="J225" s="2948" t="s">
        <v>643</v>
      </c>
      <c r="K225" s="2950">
        <v>175.65</v>
      </c>
      <c r="L225" s="2950">
        <v>128.05000000000001</v>
      </c>
      <c r="M225" s="2951">
        <v>18435873</v>
      </c>
      <c r="N225" s="2951">
        <v>19000412</v>
      </c>
      <c r="O225" s="2952">
        <v>19000412</v>
      </c>
      <c r="P225" s="2953">
        <v>19000412</v>
      </c>
      <c r="Q225" s="2951">
        <v>19000411</v>
      </c>
      <c r="R225" s="2954">
        <v>44796</v>
      </c>
      <c r="S225" s="2954">
        <v>44870</v>
      </c>
      <c r="T225" s="2954">
        <v>44985</v>
      </c>
      <c r="U225" s="2954">
        <v>44985</v>
      </c>
      <c r="V225" s="2948" t="s">
        <v>933</v>
      </c>
    </row>
    <row r="226" spans="1:22" s="2944" customFormat="1" ht="46.8" hidden="1">
      <c r="A226" s="2948">
        <v>225</v>
      </c>
      <c r="B226" s="2948" t="s">
        <v>635</v>
      </c>
      <c r="C226" s="2948" t="s">
        <v>636</v>
      </c>
      <c r="D226" s="2948" t="s">
        <v>918</v>
      </c>
      <c r="E226" s="2948" t="s">
        <v>729</v>
      </c>
      <c r="F226" s="2948" t="s">
        <v>673</v>
      </c>
      <c r="G226" s="2948" t="s">
        <v>640</v>
      </c>
      <c r="H226" s="2948" t="s">
        <v>919</v>
      </c>
      <c r="I226" s="2948" t="s">
        <v>854</v>
      </c>
      <c r="J226" s="2948" t="s">
        <v>643</v>
      </c>
      <c r="K226" s="2950">
        <v>146.06</v>
      </c>
      <c r="L226" s="2950">
        <v>106.48</v>
      </c>
      <c r="M226" s="2951">
        <v>14464322</v>
      </c>
      <c r="N226" s="2951">
        <v>14907176</v>
      </c>
      <c r="O226" s="2952">
        <v>14161816</v>
      </c>
      <c r="P226" s="2953">
        <v>14161816</v>
      </c>
      <c r="Q226" s="2951">
        <v>14161816</v>
      </c>
      <c r="R226" s="2954">
        <v>44809</v>
      </c>
      <c r="S226" s="2954">
        <v>44830</v>
      </c>
      <c r="T226" s="2954">
        <v>44831</v>
      </c>
      <c r="U226" s="2954">
        <v>44831</v>
      </c>
      <c r="V226" s="2948" t="s">
        <v>934</v>
      </c>
    </row>
    <row r="227" spans="1:22" s="2944" customFormat="1" ht="46.8" hidden="1">
      <c r="A227" s="2948">
        <v>226</v>
      </c>
      <c r="B227" s="2948" t="s">
        <v>635</v>
      </c>
      <c r="C227" s="2948" t="s">
        <v>636</v>
      </c>
      <c r="D227" s="2948" t="s">
        <v>918</v>
      </c>
      <c r="E227" s="2948" t="s">
        <v>729</v>
      </c>
      <c r="F227" s="2948" t="s">
        <v>675</v>
      </c>
      <c r="G227" s="2948" t="s">
        <v>640</v>
      </c>
      <c r="H227" s="2948" t="s">
        <v>921</v>
      </c>
      <c r="I227" s="2948" t="s">
        <v>854</v>
      </c>
      <c r="J227" s="2948" t="s">
        <v>643</v>
      </c>
      <c r="K227" s="2950">
        <v>175.65</v>
      </c>
      <c r="L227" s="2950">
        <v>128.05000000000001</v>
      </c>
      <c r="M227" s="2951">
        <v>18452911</v>
      </c>
      <c r="N227" s="2951">
        <v>19017977</v>
      </c>
      <c r="O227" s="2952">
        <v>19017977</v>
      </c>
      <c r="P227" s="2953">
        <v>19017977</v>
      </c>
      <c r="Q227" s="2951">
        <v>19017977</v>
      </c>
      <c r="R227" s="2954">
        <v>44823.387222222198</v>
      </c>
      <c r="S227" s="2954">
        <v>44834</v>
      </c>
      <c r="T227" s="2954">
        <v>44917</v>
      </c>
      <c r="U227" s="2954">
        <v>44917</v>
      </c>
      <c r="V227" s="2948" t="s">
        <v>935</v>
      </c>
    </row>
    <row r="228" spans="1:22" s="2944" customFormat="1" ht="46.8" hidden="1">
      <c r="A228" s="2948">
        <v>227</v>
      </c>
      <c r="B228" s="2948" t="s">
        <v>635</v>
      </c>
      <c r="C228" s="2948" t="s">
        <v>636</v>
      </c>
      <c r="D228" s="2948" t="s">
        <v>918</v>
      </c>
      <c r="E228" s="2948" t="s">
        <v>729</v>
      </c>
      <c r="F228" s="2948" t="s">
        <v>677</v>
      </c>
      <c r="G228" s="2948" t="s">
        <v>640</v>
      </c>
      <c r="H228" s="2948" t="s">
        <v>919</v>
      </c>
      <c r="I228" s="2948" t="s">
        <v>854</v>
      </c>
      <c r="J228" s="2948" t="s">
        <v>643</v>
      </c>
      <c r="K228" s="2950">
        <v>146.06</v>
      </c>
      <c r="L228" s="2950">
        <v>106.48</v>
      </c>
      <c r="M228" s="2951">
        <v>14478490</v>
      </c>
      <c r="N228" s="2951">
        <v>14921782</v>
      </c>
      <c r="O228" s="2952">
        <v>14921781</v>
      </c>
      <c r="P228" s="2953">
        <v>14921781</v>
      </c>
      <c r="Q228" s="2951">
        <v>14921781</v>
      </c>
      <c r="R228" s="2954">
        <v>44210</v>
      </c>
      <c r="S228" s="2954">
        <v>44211</v>
      </c>
      <c r="T228" s="2954">
        <v>44332</v>
      </c>
      <c r="U228" s="2954">
        <v>44332</v>
      </c>
      <c r="V228" s="2948" t="s">
        <v>936</v>
      </c>
    </row>
    <row r="229" spans="1:22" s="2944" customFormat="1" ht="46.8" hidden="1">
      <c r="A229" s="2948">
        <v>228</v>
      </c>
      <c r="B229" s="2948" t="s">
        <v>635</v>
      </c>
      <c r="C229" s="2948" t="s">
        <v>636</v>
      </c>
      <c r="D229" s="2948" t="s">
        <v>918</v>
      </c>
      <c r="E229" s="2948" t="s">
        <v>729</v>
      </c>
      <c r="F229" s="2948" t="s">
        <v>679</v>
      </c>
      <c r="G229" s="2948" t="s">
        <v>640</v>
      </c>
      <c r="H229" s="2948" t="s">
        <v>921</v>
      </c>
      <c r="I229" s="2948" t="s">
        <v>854</v>
      </c>
      <c r="J229" s="2948" t="s">
        <v>643</v>
      </c>
      <c r="K229" s="2950">
        <v>175.65</v>
      </c>
      <c r="L229" s="2950">
        <v>128.05000000000001</v>
      </c>
      <c r="M229" s="2951">
        <v>18469949</v>
      </c>
      <c r="N229" s="2951">
        <v>19035542</v>
      </c>
      <c r="O229" s="2952">
        <v>19035542</v>
      </c>
      <c r="P229" s="2953">
        <v>19035542</v>
      </c>
      <c r="Q229" s="2951">
        <v>19035541</v>
      </c>
      <c r="R229" s="2954">
        <v>44773</v>
      </c>
      <c r="S229" s="2954">
        <v>44773</v>
      </c>
      <c r="T229" s="2954">
        <v>44854</v>
      </c>
      <c r="U229" s="2954">
        <v>44854</v>
      </c>
      <c r="V229" s="2948" t="s">
        <v>937</v>
      </c>
    </row>
    <row r="230" spans="1:22" s="2944" customFormat="1" ht="46.8" hidden="1">
      <c r="A230" s="2948">
        <v>229</v>
      </c>
      <c r="B230" s="2948" t="s">
        <v>635</v>
      </c>
      <c r="C230" s="2948" t="s">
        <v>636</v>
      </c>
      <c r="D230" s="2948" t="s">
        <v>918</v>
      </c>
      <c r="E230" s="2948" t="s">
        <v>729</v>
      </c>
      <c r="F230" s="2948" t="s">
        <v>681</v>
      </c>
      <c r="G230" s="2948" t="s">
        <v>640</v>
      </c>
      <c r="H230" s="2948" t="s">
        <v>919</v>
      </c>
      <c r="I230" s="2948" t="s">
        <v>854</v>
      </c>
      <c r="J230" s="2948" t="s">
        <v>643</v>
      </c>
      <c r="K230" s="2950">
        <v>146.06</v>
      </c>
      <c r="L230" s="2950">
        <v>106.48</v>
      </c>
      <c r="M230" s="2951">
        <v>14492657</v>
      </c>
      <c r="N230" s="2951">
        <v>14936388</v>
      </c>
      <c r="O230" s="2952">
        <v>14639154</v>
      </c>
      <c r="P230" s="2953">
        <v>14639154</v>
      </c>
      <c r="Q230" s="2951">
        <v>14639154</v>
      </c>
      <c r="R230" s="2954">
        <v>44203</v>
      </c>
      <c r="S230" s="2954">
        <v>44259</v>
      </c>
      <c r="T230" s="2954">
        <v>44333</v>
      </c>
      <c r="U230" s="2954">
        <v>44333</v>
      </c>
      <c r="V230" s="2948" t="s">
        <v>938</v>
      </c>
    </row>
    <row r="231" spans="1:22" s="2944" customFormat="1" ht="46.8" hidden="1">
      <c r="A231" s="2948">
        <v>230</v>
      </c>
      <c r="B231" s="2948" t="s">
        <v>635</v>
      </c>
      <c r="C231" s="2948" t="s">
        <v>636</v>
      </c>
      <c r="D231" s="2948" t="s">
        <v>918</v>
      </c>
      <c r="E231" s="2948" t="s">
        <v>729</v>
      </c>
      <c r="F231" s="2948" t="s">
        <v>683</v>
      </c>
      <c r="G231" s="2948" t="s">
        <v>640</v>
      </c>
      <c r="H231" s="2948" t="s">
        <v>921</v>
      </c>
      <c r="I231" s="2948" t="s">
        <v>854</v>
      </c>
      <c r="J231" s="2948" t="s">
        <v>643</v>
      </c>
      <c r="K231" s="2950">
        <v>175.65</v>
      </c>
      <c r="L231" s="2950">
        <v>128.05000000000001</v>
      </c>
      <c r="M231" s="2951">
        <v>18486987</v>
      </c>
      <c r="N231" s="2951">
        <v>19053107</v>
      </c>
      <c r="O231" s="2952">
        <v>18673950</v>
      </c>
      <c r="P231" s="2953">
        <v>18673950</v>
      </c>
      <c r="Q231" s="2951">
        <v>18673950</v>
      </c>
      <c r="R231" s="2954">
        <v>44337</v>
      </c>
      <c r="S231" s="2954">
        <v>44375</v>
      </c>
      <c r="T231" s="2954">
        <v>44375</v>
      </c>
      <c r="U231" s="2954">
        <v>44375</v>
      </c>
      <c r="V231" s="2948" t="s">
        <v>939</v>
      </c>
    </row>
    <row r="232" spans="1:22" s="2944" customFormat="1" ht="46.8" hidden="1">
      <c r="A232" s="2948">
        <v>231</v>
      </c>
      <c r="B232" s="2948" t="s">
        <v>635</v>
      </c>
      <c r="C232" s="2948" t="s">
        <v>636</v>
      </c>
      <c r="D232" s="2948" t="s">
        <v>918</v>
      </c>
      <c r="E232" s="2948" t="s">
        <v>729</v>
      </c>
      <c r="F232" s="2948" t="s">
        <v>685</v>
      </c>
      <c r="G232" s="2948" t="s">
        <v>640</v>
      </c>
      <c r="H232" s="2948" t="s">
        <v>919</v>
      </c>
      <c r="I232" s="2948" t="s">
        <v>854</v>
      </c>
      <c r="J232" s="2948" t="s">
        <v>643</v>
      </c>
      <c r="K232" s="2950">
        <v>146.06</v>
      </c>
      <c r="L232" s="2950">
        <v>106.48</v>
      </c>
      <c r="M232" s="2951">
        <v>14506825</v>
      </c>
      <c r="N232" s="2951">
        <v>14950994</v>
      </c>
      <c r="O232" s="2952">
        <v>14801484</v>
      </c>
      <c r="P232" s="2953">
        <v>14801484</v>
      </c>
      <c r="Q232" s="2951">
        <v>14801484</v>
      </c>
      <c r="R232" s="2954">
        <v>44204</v>
      </c>
      <c r="S232" s="2954">
        <v>44231</v>
      </c>
      <c r="T232" s="2954">
        <v>44253</v>
      </c>
      <c r="U232" s="2954">
        <v>44253</v>
      </c>
      <c r="V232" s="2948" t="s">
        <v>940</v>
      </c>
    </row>
    <row r="233" spans="1:22" s="2944" customFormat="1" ht="46.8" hidden="1">
      <c r="A233" s="2948">
        <v>232</v>
      </c>
      <c r="B233" s="2948" t="s">
        <v>635</v>
      </c>
      <c r="C233" s="2948" t="s">
        <v>636</v>
      </c>
      <c r="D233" s="2948" t="s">
        <v>918</v>
      </c>
      <c r="E233" s="2948" t="s">
        <v>729</v>
      </c>
      <c r="F233" s="2948" t="s">
        <v>687</v>
      </c>
      <c r="G233" s="2948" t="s">
        <v>640</v>
      </c>
      <c r="H233" s="2948" t="s">
        <v>921</v>
      </c>
      <c r="I233" s="2948" t="s">
        <v>854</v>
      </c>
      <c r="J233" s="2948" t="s">
        <v>643</v>
      </c>
      <c r="K233" s="2950">
        <v>175.65</v>
      </c>
      <c r="L233" s="2950">
        <v>128.05000000000001</v>
      </c>
      <c r="M233" s="2951">
        <v>18504025</v>
      </c>
      <c r="N233" s="2951">
        <v>19070672</v>
      </c>
      <c r="O233" s="2952">
        <v>19070671</v>
      </c>
      <c r="P233" s="2953">
        <v>19070671</v>
      </c>
      <c r="Q233" s="2951">
        <v>19070671</v>
      </c>
      <c r="R233" s="2954">
        <v>44671</v>
      </c>
      <c r="S233" s="2954">
        <v>44679</v>
      </c>
      <c r="T233" s="2954">
        <v>44873</v>
      </c>
      <c r="U233" s="2954">
        <v>44873</v>
      </c>
      <c r="V233" s="2948" t="s">
        <v>941</v>
      </c>
    </row>
    <row r="234" spans="1:22" s="2944" customFormat="1" ht="46.8" hidden="1">
      <c r="A234" s="2948">
        <v>233</v>
      </c>
      <c r="B234" s="2948" t="s">
        <v>635</v>
      </c>
      <c r="C234" s="2948" t="s">
        <v>636</v>
      </c>
      <c r="D234" s="2948" t="s">
        <v>918</v>
      </c>
      <c r="E234" s="2948" t="s">
        <v>729</v>
      </c>
      <c r="F234" s="2948" t="s">
        <v>689</v>
      </c>
      <c r="G234" s="2948" t="s">
        <v>640</v>
      </c>
      <c r="H234" s="2948" t="s">
        <v>919</v>
      </c>
      <c r="I234" s="2948" t="s">
        <v>854</v>
      </c>
      <c r="J234" s="2948" t="s">
        <v>643</v>
      </c>
      <c r="K234" s="2950">
        <v>146.06</v>
      </c>
      <c r="L234" s="2950">
        <v>106.48</v>
      </c>
      <c r="M234" s="2951">
        <v>14520993</v>
      </c>
      <c r="N234" s="2951">
        <v>14965600</v>
      </c>
      <c r="O234" s="2952">
        <v>14965599</v>
      </c>
      <c r="P234" s="2953">
        <v>14965599</v>
      </c>
      <c r="Q234" s="2951">
        <v>14965599</v>
      </c>
      <c r="R234" s="2954">
        <v>44224</v>
      </c>
      <c r="S234" s="2954">
        <v>44225</v>
      </c>
      <c r="T234" s="2954">
        <v>44326</v>
      </c>
      <c r="U234" s="2954">
        <v>44326</v>
      </c>
      <c r="V234" s="2948" t="s">
        <v>942</v>
      </c>
    </row>
    <row r="235" spans="1:22" s="2944" customFormat="1" ht="46.8" hidden="1">
      <c r="A235" s="2948">
        <v>234</v>
      </c>
      <c r="B235" s="2948" t="s">
        <v>635</v>
      </c>
      <c r="C235" s="2948" t="s">
        <v>636</v>
      </c>
      <c r="D235" s="2948" t="s">
        <v>918</v>
      </c>
      <c r="E235" s="2948" t="s">
        <v>729</v>
      </c>
      <c r="F235" s="2948" t="s">
        <v>691</v>
      </c>
      <c r="G235" s="2948" t="s">
        <v>640</v>
      </c>
      <c r="H235" s="2948" t="s">
        <v>921</v>
      </c>
      <c r="I235" s="2948" t="s">
        <v>854</v>
      </c>
      <c r="J235" s="2948" t="s">
        <v>643</v>
      </c>
      <c r="K235" s="2950">
        <v>175.65</v>
      </c>
      <c r="L235" s="2950">
        <v>128.05000000000001</v>
      </c>
      <c r="M235" s="2951">
        <v>18521063</v>
      </c>
      <c r="N235" s="2951">
        <v>19088237</v>
      </c>
      <c r="O235" s="2952">
        <v>18708380</v>
      </c>
      <c r="P235" s="2953">
        <v>18708380</v>
      </c>
      <c r="Q235" s="2951">
        <v>18708380</v>
      </c>
      <c r="R235" s="2954">
        <v>44311</v>
      </c>
      <c r="S235" s="2954">
        <v>44316</v>
      </c>
      <c r="T235" s="2954">
        <v>44326</v>
      </c>
      <c r="U235" s="2954">
        <v>44326</v>
      </c>
      <c r="V235" s="2948" t="s">
        <v>943</v>
      </c>
    </row>
    <row r="236" spans="1:22" s="2944" customFormat="1" ht="46.8" hidden="1">
      <c r="A236" s="2948">
        <v>235</v>
      </c>
      <c r="B236" s="2948" t="s">
        <v>635</v>
      </c>
      <c r="C236" s="2948" t="s">
        <v>636</v>
      </c>
      <c r="D236" s="2948" t="s">
        <v>918</v>
      </c>
      <c r="E236" s="2948" t="s">
        <v>729</v>
      </c>
      <c r="F236" s="2948" t="s">
        <v>693</v>
      </c>
      <c r="G236" s="2948" t="s">
        <v>640</v>
      </c>
      <c r="H236" s="2948" t="s">
        <v>919</v>
      </c>
      <c r="I236" s="2948" t="s">
        <v>854</v>
      </c>
      <c r="J236" s="2948" t="s">
        <v>643</v>
      </c>
      <c r="K236" s="2950">
        <v>146.06</v>
      </c>
      <c r="L236" s="2950">
        <v>106.48</v>
      </c>
      <c r="M236" s="2951">
        <v>14535161</v>
      </c>
      <c r="N236" s="2951">
        <v>14980206</v>
      </c>
      <c r="O236" s="2952">
        <v>14980205</v>
      </c>
      <c r="P236" s="2953">
        <v>14980205</v>
      </c>
      <c r="Q236" s="2951">
        <v>14980205</v>
      </c>
      <c r="R236" s="2954">
        <v>44217</v>
      </c>
      <c r="S236" s="2954">
        <v>44280</v>
      </c>
      <c r="T236" s="2954">
        <v>44284</v>
      </c>
      <c r="U236" s="2954">
        <v>44284</v>
      </c>
      <c r="V236" s="2948" t="s">
        <v>944</v>
      </c>
    </row>
    <row r="237" spans="1:22" s="2944" customFormat="1" ht="46.8" hidden="1">
      <c r="A237" s="2948">
        <v>236</v>
      </c>
      <c r="B237" s="2948" t="s">
        <v>635</v>
      </c>
      <c r="C237" s="2948" t="s">
        <v>636</v>
      </c>
      <c r="D237" s="2948" t="s">
        <v>918</v>
      </c>
      <c r="E237" s="2948" t="s">
        <v>729</v>
      </c>
      <c r="F237" s="2948" t="s">
        <v>694</v>
      </c>
      <c r="G237" s="2948" t="s">
        <v>640</v>
      </c>
      <c r="H237" s="2948" t="s">
        <v>921</v>
      </c>
      <c r="I237" s="2948" t="s">
        <v>854</v>
      </c>
      <c r="J237" s="2948" t="s">
        <v>643</v>
      </c>
      <c r="K237" s="2950">
        <v>175.65</v>
      </c>
      <c r="L237" s="2950">
        <v>128.05000000000001</v>
      </c>
      <c r="M237" s="2951">
        <v>18538101</v>
      </c>
      <c r="N237" s="2951">
        <v>19105802</v>
      </c>
      <c r="O237" s="2952">
        <v>19105801</v>
      </c>
      <c r="P237" s="2953">
        <v>19105801</v>
      </c>
      <c r="Q237" s="2951">
        <v>19105801</v>
      </c>
      <c r="R237" s="2954">
        <v>44651</v>
      </c>
      <c r="S237" s="2954">
        <v>44680</v>
      </c>
      <c r="T237" s="2954">
        <v>44741</v>
      </c>
      <c r="U237" s="2954">
        <v>44741</v>
      </c>
      <c r="V237" s="2948" t="s">
        <v>945</v>
      </c>
    </row>
    <row r="238" spans="1:22" s="2944" customFormat="1" ht="46.8" hidden="1">
      <c r="A238" s="2948">
        <v>237</v>
      </c>
      <c r="B238" s="2948" t="s">
        <v>635</v>
      </c>
      <c r="C238" s="2948" t="s">
        <v>636</v>
      </c>
      <c r="D238" s="2948" t="s">
        <v>918</v>
      </c>
      <c r="E238" s="2948" t="s">
        <v>729</v>
      </c>
      <c r="F238" s="2948" t="s">
        <v>696</v>
      </c>
      <c r="G238" s="2948" t="s">
        <v>640</v>
      </c>
      <c r="H238" s="2948" t="s">
        <v>919</v>
      </c>
      <c r="I238" s="2948" t="s">
        <v>854</v>
      </c>
      <c r="J238" s="2948" t="s">
        <v>643</v>
      </c>
      <c r="K238" s="2950">
        <v>146.06</v>
      </c>
      <c r="L238" s="2950">
        <v>106.48</v>
      </c>
      <c r="M238" s="2951">
        <v>14549329</v>
      </c>
      <c r="N238" s="2951">
        <v>14994812</v>
      </c>
      <c r="O238" s="2952">
        <v>14844864</v>
      </c>
      <c r="P238" s="2953">
        <v>14844864</v>
      </c>
      <c r="Q238" s="2951">
        <v>14844864</v>
      </c>
      <c r="R238" s="2954">
        <v>44209.594351851898</v>
      </c>
      <c r="S238" s="2954">
        <v>44211</v>
      </c>
      <c r="T238" s="2954">
        <v>44279</v>
      </c>
      <c r="U238" s="2954">
        <v>44278</v>
      </c>
      <c r="V238" s="2948" t="s">
        <v>946</v>
      </c>
    </row>
    <row r="239" spans="1:22" s="2944" customFormat="1" ht="46.8" hidden="1">
      <c r="A239" s="2948">
        <v>238</v>
      </c>
      <c r="B239" s="2948" t="s">
        <v>635</v>
      </c>
      <c r="C239" s="2948" t="s">
        <v>636</v>
      </c>
      <c r="D239" s="2948" t="s">
        <v>918</v>
      </c>
      <c r="E239" s="2948" t="s">
        <v>729</v>
      </c>
      <c r="F239" s="2948" t="s">
        <v>698</v>
      </c>
      <c r="G239" s="2948" t="s">
        <v>640</v>
      </c>
      <c r="H239" s="2948" t="s">
        <v>921</v>
      </c>
      <c r="I239" s="2948" t="s">
        <v>854</v>
      </c>
      <c r="J239" s="2948" t="s">
        <v>643</v>
      </c>
      <c r="K239" s="2950">
        <v>175.65</v>
      </c>
      <c r="L239" s="2950">
        <v>128.05000000000001</v>
      </c>
      <c r="M239" s="2951">
        <v>18555139</v>
      </c>
      <c r="N239" s="2951">
        <v>19123367</v>
      </c>
      <c r="O239" s="2952">
        <v>18742811</v>
      </c>
      <c r="P239" s="2953">
        <v>18742811</v>
      </c>
      <c r="Q239" s="2951">
        <v>18742811</v>
      </c>
      <c r="R239" s="2954">
        <v>44311</v>
      </c>
      <c r="S239" s="2954">
        <v>44368</v>
      </c>
      <c r="T239" s="2954">
        <v>44433</v>
      </c>
      <c r="U239" s="2954">
        <v>44433</v>
      </c>
      <c r="V239" s="2948" t="s">
        <v>947</v>
      </c>
    </row>
    <row r="240" spans="1:22" s="2944" customFormat="1" ht="46.8" hidden="1">
      <c r="A240" s="2948">
        <v>239</v>
      </c>
      <c r="B240" s="2948" t="s">
        <v>635</v>
      </c>
      <c r="C240" s="2948" t="s">
        <v>636</v>
      </c>
      <c r="D240" s="2948" t="s">
        <v>918</v>
      </c>
      <c r="E240" s="2948" t="s">
        <v>729</v>
      </c>
      <c r="F240" s="2948" t="s">
        <v>760</v>
      </c>
      <c r="G240" s="2948" t="s">
        <v>640</v>
      </c>
      <c r="H240" s="2948" t="s">
        <v>919</v>
      </c>
      <c r="I240" s="2948" t="s">
        <v>854</v>
      </c>
      <c r="J240" s="2948" t="s">
        <v>643</v>
      </c>
      <c r="K240" s="2950">
        <v>146.06</v>
      </c>
      <c r="L240" s="2950">
        <v>106.48</v>
      </c>
      <c r="M240" s="2951">
        <v>14705175</v>
      </c>
      <c r="N240" s="2951">
        <v>15155478</v>
      </c>
      <c r="O240" s="2952">
        <v>14705344</v>
      </c>
      <c r="P240" s="2953">
        <v>14705344</v>
      </c>
      <c r="Q240" s="2951">
        <v>14705344</v>
      </c>
      <c r="R240" s="2954">
        <v>44210</v>
      </c>
      <c r="S240" s="2954">
        <v>44224</v>
      </c>
      <c r="T240" s="2954">
        <v>44355</v>
      </c>
      <c r="U240" s="2954">
        <v>44355</v>
      </c>
      <c r="V240" s="2948" t="s">
        <v>948</v>
      </c>
    </row>
    <row r="241" spans="1:22" s="2944" customFormat="1" ht="46.8" hidden="1">
      <c r="A241" s="2948">
        <v>240</v>
      </c>
      <c r="B241" s="2948" t="s">
        <v>635</v>
      </c>
      <c r="C241" s="2948" t="s">
        <v>636</v>
      </c>
      <c r="D241" s="2948" t="s">
        <v>918</v>
      </c>
      <c r="E241" s="2948" t="s">
        <v>729</v>
      </c>
      <c r="F241" s="2948" t="s">
        <v>762</v>
      </c>
      <c r="G241" s="2948" t="s">
        <v>640</v>
      </c>
      <c r="H241" s="2948" t="s">
        <v>921</v>
      </c>
      <c r="I241" s="2948" t="s">
        <v>854</v>
      </c>
      <c r="J241" s="2948" t="s">
        <v>643</v>
      </c>
      <c r="K241" s="2950">
        <v>175.65</v>
      </c>
      <c r="L241" s="2950">
        <v>128.05000000000001</v>
      </c>
      <c r="M241" s="2951">
        <v>18747476</v>
      </c>
      <c r="N241" s="2951">
        <v>19321500</v>
      </c>
      <c r="O241" s="2952">
        <v>18937002</v>
      </c>
      <c r="P241" s="2953">
        <v>18937002</v>
      </c>
      <c r="Q241" s="2951">
        <v>18937002</v>
      </c>
      <c r="R241" s="2954">
        <v>44288</v>
      </c>
      <c r="S241" s="2954">
        <v>44301</v>
      </c>
      <c r="T241" s="2954">
        <v>44375</v>
      </c>
      <c r="U241" s="2954">
        <v>44375</v>
      </c>
      <c r="V241" s="2948" t="s">
        <v>949</v>
      </c>
    </row>
    <row r="242" spans="1:22" s="2944" customFormat="1" ht="46.8" hidden="1">
      <c r="A242" s="2948">
        <v>241</v>
      </c>
      <c r="B242" s="2948" t="s">
        <v>635</v>
      </c>
      <c r="C242" s="2948" t="s">
        <v>636</v>
      </c>
      <c r="D242" s="2948" t="s">
        <v>918</v>
      </c>
      <c r="E242" s="2948" t="s">
        <v>729</v>
      </c>
      <c r="F242" s="2948" t="s">
        <v>764</v>
      </c>
      <c r="G242" s="2948" t="s">
        <v>640</v>
      </c>
      <c r="H242" s="2948" t="s">
        <v>919</v>
      </c>
      <c r="I242" s="2948" t="s">
        <v>854</v>
      </c>
      <c r="J242" s="2948" t="s">
        <v>643</v>
      </c>
      <c r="K242" s="2950">
        <v>146.06</v>
      </c>
      <c r="L242" s="2950">
        <v>106.48</v>
      </c>
      <c r="M242" s="2951">
        <v>14719343</v>
      </c>
      <c r="N242" s="2951">
        <v>15170084</v>
      </c>
      <c r="O242" s="2952">
        <v>14868198</v>
      </c>
      <c r="P242" s="2953">
        <v>14868198</v>
      </c>
      <c r="Q242" s="2951">
        <v>14868198</v>
      </c>
      <c r="R242" s="2954">
        <v>44203</v>
      </c>
      <c r="S242" s="2954">
        <v>44225</v>
      </c>
      <c r="T242" s="2954">
        <v>44265</v>
      </c>
      <c r="U242" s="2954">
        <v>44265</v>
      </c>
      <c r="V242" s="2948" t="s">
        <v>950</v>
      </c>
    </row>
    <row r="243" spans="1:22" s="2944" customFormat="1" ht="46.8" hidden="1">
      <c r="A243" s="2948">
        <v>242</v>
      </c>
      <c r="B243" s="2948" t="s">
        <v>635</v>
      </c>
      <c r="C243" s="2948" t="s">
        <v>636</v>
      </c>
      <c r="D243" s="2948" t="s">
        <v>918</v>
      </c>
      <c r="E243" s="2948" t="s">
        <v>729</v>
      </c>
      <c r="F243" s="2948" t="s">
        <v>766</v>
      </c>
      <c r="G243" s="2948" t="s">
        <v>640</v>
      </c>
      <c r="H243" s="2948" t="s">
        <v>921</v>
      </c>
      <c r="I243" s="2948" t="s">
        <v>854</v>
      </c>
      <c r="J243" s="2948" t="s">
        <v>643</v>
      </c>
      <c r="K243" s="2950">
        <v>175.65</v>
      </c>
      <c r="L243" s="2950">
        <v>128.05000000000001</v>
      </c>
      <c r="M243" s="2951">
        <v>18747476</v>
      </c>
      <c r="N243" s="2951">
        <v>19321500</v>
      </c>
      <c r="O243" s="2952">
        <v>19321500</v>
      </c>
      <c r="P243" s="2953">
        <v>19321500</v>
      </c>
      <c r="Q243" s="2951">
        <v>19321500</v>
      </c>
      <c r="R243" s="2954">
        <v>44312</v>
      </c>
      <c r="S243" s="2954">
        <v>44316</v>
      </c>
      <c r="T243" s="2954">
        <v>44350</v>
      </c>
      <c r="U243" s="2954">
        <v>44350</v>
      </c>
      <c r="V243" s="2948" t="s">
        <v>951</v>
      </c>
    </row>
    <row r="244" spans="1:22" s="2944" customFormat="1" ht="46.8" hidden="1">
      <c r="A244" s="2948">
        <v>243</v>
      </c>
      <c r="B244" s="2948" t="s">
        <v>635</v>
      </c>
      <c r="C244" s="2948" t="s">
        <v>636</v>
      </c>
      <c r="D244" s="2948" t="s">
        <v>918</v>
      </c>
      <c r="E244" s="2948" t="s">
        <v>729</v>
      </c>
      <c r="F244" s="2948" t="s">
        <v>768</v>
      </c>
      <c r="G244" s="2948" t="s">
        <v>640</v>
      </c>
      <c r="H244" s="2948" t="s">
        <v>919</v>
      </c>
      <c r="I244" s="2948" t="s">
        <v>854</v>
      </c>
      <c r="J244" s="2948" t="s">
        <v>643</v>
      </c>
      <c r="K244" s="2950">
        <v>146.06</v>
      </c>
      <c r="L244" s="2950">
        <v>106.48</v>
      </c>
      <c r="M244" s="2951">
        <v>14733510</v>
      </c>
      <c r="N244" s="2951">
        <v>15184690</v>
      </c>
      <c r="O244" s="2952">
        <v>14882512</v>
      </c>
      <c r="P244" s="2953">
        <v>14882512</v>
      </c>
      <c r="Q244" s="2951">
        <v>14882512</v>
      </c>
      <c r="R244" s="2954">
        <v>44204</v>
      </c>
      <c r="S244" s="2954">
        <v>44211</v>
      </c>
      <c r="T244" s="2954">
        <v>44354</v>
      </c>
      <c r="U244" s="2954">
        <v>44354</v>
      </c>
      <c r="V244" s="2948" t="s">
        <v>952</v>
      </c>
    </row>
    <row r="245" spans="1:22" s="2944" customFormat="1" ht="46.8" hidden="1">
      <c r="A245" s="2948">
        <v>244</v>
      </c>
      <c r="B245" s="2948" t="s">
        <v>635</v>
      </c>
      <c r="C245" s="2948" t="s">
        <v>636</v>
      </c>
      <c r="D245" s="2948" t="s">
        <v>918</v>
      </c>
      <c r="E245" s="2948" t="s">
        <v>729</v>
      </c>
      <c r="F245" s="2948" t="s">
        <v>770</v>
      </c>
      <c r="G245" s="2948" t="s">
        <v>640</v>
      </c>
      <c r="H245" s="2948" t="s">
        <v>921</v>
      </c>
      <c r="I245" s="2948" t="s">
        <v>854</v>
      </c>
      <c r="J245" s="2948" t="s">
        <v>643</v>
      </c>
      <c r="K245" s="2950">
        <v>175.65</v>
      </c>
      <c r="L245" s="2950">
        <v>128.05000000000001</v>
      </c>
      <c r="M245" s="2951">
        <v>18747476</v>
      </c>
      <c r="N245" s="2951">
        <v>19321500</v>
      </c>
      <c r="O245" s="2952">
        <v>19321500</v>
      </c>
      <c r="P245" s="2953">
        <v>19321500</v>
      </c>
      <c r="Q245" s="2951">
        <v>19321500</v>
      </c>
      <c r="R245" s="2954">
        <v>44291</v>
      </c>
      <c r="S245" s="2954">
        <v>44316</v>
      </c>
      <c r="T245" s="2954">
        <v>44376</v>
      </c>
      <c r="U245" s="2954">
        <v>44376</v>
      </c>
      <c r="V245" s="2948" t="s">
        <v>953</v>
      </c>
    </row>
    <row r="246" spans="1:22" s="2944" customFormat="1" ht="46.8" hidden="1">
      <c r="A246" s="2948">
        <v>245</v>
      </c>
      <c r="B246" s="2948" t="s">
        <v>635</v>
      </c>
      <c r="C246" s="2948" t="s">
        <v>636</v>
      </c>
      <c r="D246" s="2948" t="s">
        <v>918</v>
      </c>
      <c r="E246" s="2948" t="s">
        <v>729</v>
      </c>
      <c r="F246" s="2948" t="s">
        <v>890</v>
      </c>
      <c r="G246" s="2948" t="s">
        <v>640</v>
      </c>
      <c r="H246" s="2948" t="s">
        <v>919</v>
      </c>
      <c r="I246" s="2948" t="s">
        <v>854</v>
      </c>
      <c r="J246" s="2948" t="s">
        <v>643</v>
      </c>
      <c r="K246" s="2950">
        <v>146.06</v>
      </c>
      <c r="L246" s="2950">
        <v>106.48</v>
      </c>
      <c r="M246" s="2951">
        <v>14747678</v>
      </c>
      <c r="N246" s="2951">
        <v>15199296</v>
      </c>
      <c r="O246" s="2952">
        <v>15199295</v>
      </c>
      <c r="P246" s="2953">
        <v>15199295</v>
      </c>
      <c r="Q246" s="2951">
        <v>15199295</v>
      </c>
      <c r="R246" s="2954">
        <v>44442</v>
      </c>
      <c r="S246" s="2954">
        <v>44449</v>
      </c>
      <c r="T246" s="2954">
        <v>44449</v>
      </c>
      <c r="U246" s="2954">
        <v>44449</v>
      </c>
      <c r="V246" s="2948" t="s">
        <v>954</v>
      </c>
    </row>
    <row r="247" spans="1:22" s="2944" customFormat="1" ht="46.8" hidden="1">
      <c r="A247" s="2948">
        <v>246</v>
      </c>
      <c r="B247" s="2948" t="s">
        <v>635</v>
      </c>
      <c r="C247" s="2948" t="s">
        <v>636</v>
      </c>
      <c r="D247" s="2948" t="s">
        <v>918</v>
      </c>
      <c r="E247" s="2948" t="s">
        <v>729</v>
      </c>
      <c r="F247" s="2948" t="s">
        <v>892</v>
      </c>
      <c r="G247" s="2948" t="s">
        <v>640</v>
      </c>
      <c r="H247" s="2948" t="s">
        <v>921</v>
      </c>
      <c r="I247" s="2948" t="s">
        <v>854</v>
      </c>
      <c r="J247" s="2948" t="s">
        <v>643</v>
      </c>
      <c r="K247" s="2950">
        <v>175.65</v>
      </c>
      <c r="L247" s="2950">
        <v>128.05000000000001</v>
      </c>
      <c r="M247" s="2951">
        <v>18747476</v>
      </c>
      <c r="N247" s="2951">
        <v>19321500</v>
      </c>
      <c r="O247" s="2952">
        <v>19321500</v>
      </c>
      <c r="P247" s="2953">
        <v>19321500</v>
      </c>
      <c r="Q247" s="2951">
        <v>8000000</v>
      </c>
      <c r="R247" s="2954">
        <v>44925</v>
      </c>
      <c r="S247" s="2954">
        <v>45012</v>
      </c>
      <c r="T247" s="2954">
        <v>45013</v>
      </c>
      <c r="U247" s="2954">
        <v>45013</v>
      </c>
      <c r="V247" s="2948" t="s">
        <v>955</v>
      </c>
    </row>
    <row r="248" spans="1:22" s="2944" customFormat="1" ht="46.8" hidden="1">
      <c r="A248" s="2948">
        <v>247</v>
      </c>
      <c r="B248" s="2948" t="s">
        <v>635</v>
      </c>
      <c r="C248" s="2948" t="s">
        <v>636</v>
      </c>
      <c r="D248" s="2948" t="s">
        <v>918</v>
      </c>
      <c r="E248" s="2948" t="s">
        <v>729</v>
      </c>
      <c r="F248" s="2948" t="s">
        <v>894</v>
      </c>
      <c r="G248" s="2948" t="s">
        <v>640</v>
      </c>
      <c r="H248" s="2948" t="s">
        <v>919</v>
      </c>
      <c r="I248" s="2948" t="s">
        <v>854</v>
      </c>
      <c r="J248" s="2948" t="s">
        <v>643</v>
      </c>
      <c r="K248" s="2950">
        <v>146.06</v>
      </c>
      <c r="L248" s="2950">
        <v>106.48</v>
      </c>
      <c r="M248" s="2951">
        <v>14761846</v>
      </c>
      <c r="N248" s="2951">
        <v>15213902</v>
      </c>
      <c r="O248" s="2952">
        <v>14911145</v>
      </c>
      <c r="P248" s="2953">
        <v>14911145</v>
      </c>
      <c r="Q248" s="2951">
        <v>14911145</v>
      </c>
      <c r="R248" s="2954">
        <v>44204</v>
      </c>
      <c r="S248" s="2954">
        <v>44225</v>
      </c>
      <c r="T248" s="2954">
        <v>44330</v>
      </c>
      <c r="U248" s="2954">
        <v>44330</v>
      </c>
      <c r="V248" s="2948" t="s">
        <v>956</v>
      </c>
    </row>
    <row r="249" spans="1:22" s="2944" customFormat="1" ht="46.8" hidden="1">
      <c r="A249" s="2948">
        <v>248</v>
      </c>
      <c r="B249" s="2948" t="s">
        <v>635</v>
      </c>
      <c r="C249" s="2948" t="s">
        <v>636</v>
      </c>
      <c r="D249" s="2948" t="s">
        <v>918</v>
      </c>
      <c r="E249" s="2948" t="s">
        <v>729</v>
      </c>
      <c r="F249" s="2948" t="s">
        <v>896</v>
      </c>
      <c r="G249" s="2948" t="s">
        <v>640</v>
      </c>
      <c r="H249" s="2948" t="s">
        <v>921</v>
      </c>
      <c r="I249" s="2948" t="s">
        <v>854</v>
      </c>
      <c r="J249" s="2948" t="s">
        <v>643</v>
      </c>
      <c r="K249" s="2950">
        <v>175.65</v>
      </c>
      <c r="L249" s="2950">
        <v>128.05000000000001</v>
      </c>
      <c r="M249" s="2951">
        <v>18747476</v>
      </c>
      <c r="N249" s="2951">
        <v>19321500</v>
      </c>
      <c r="O249" s="2952">
        <v>19321500</v>
      </c>
      <c r="P249" s="2953">
        <v>19321500</v>
      </c>
      <c r="Q249" s="2951">
        <v>19321500</v>
      </c>
      <c r="R249" s="2954">
        <v>44285</v>
      </c>
      <c r="S249" s="2954">
        <v>44285</v>
      </c>
      <c r="T249" s="2954">
        <v>44330</v>
      </c>
      <c r="U249" s="2954">
        <v>44330</v>
      </c>
      <c r="V249" s="2948" t="s">
        <v>957</v>
      </c>
    </row>
    <row r="250" spans="1:22" s="2944" customFormat="1" ht="46.8" hidden="1">
      <c r="A250" s="2948">
        <v>249</v>
      </c>
      <c r="B250" s="2948" t="s">
        <v>635</v>
      </c>
      <c r="C250" s="2948" t="s">
        <v>636</v>
      </c>
      <c r="D250" s="2948" t="s">
        <v>918</v>
      </c>
      <c r="E250" s="2948" t="s">
        <v>729</v>
      </c>
      <c r="F250" s="2948" t="s">
        <v>898</v>
      </c>
      <c r="G250" s="2948" t="s">
        <v>640</v>
      </c>
      <c r="H250" s="2948" t="s">
        <v>919</v>
      </c>
      <c r="I250" s="2948" t="s">
        <v>854</v>
      </c>
      <c r="J250" s="2948" t="s">
        <v>643</v>
      </c>
      <c r="K250" s="2950">
        <v>146.06</v>
      </c>
      <c r="L250" s="2950">
        <v>106.48</v>
      </c>
      <c r="M250" s="2951">
        <v>14776014</v>
      </c>
      <c r="N250" s="2951">
        <v>15228508</v>
      </c>
      <c r="O250" s="2952">
        <v>14925461</v>
      </c>
      <c r="P250" s="2953">
        <v>14925461</v>
      </c>
      <c r="Q250" s="2951">
        <v>14925461</v>
      </c>
      <c r="R250" s="2954">
        <v>44204</v>
      </c>
      <c r="S250" s="2954">
        <v>44211</v>
      </c>
      <c r="T250" s="2954">
        <v>44252</v>
      </c>
      <c r="U250" s="2954">
        <v>44252</v>
      </c>
      <c r="V250" s="2948" t="s">
        <v>958</v>
      </c>
    </row>
    <row r="251" spans="1:22" s="2944" customFormat="1" ht="46.8" hidden="1">
      <c r="A251" s="2948">
        <v>250</v>
      </c>
      <c r="B251" s="2948" t="s">
        <v>635</v>
      </c>
      <c r="C251" s="2948" t="s">
        <v>636</v>
      </c>
      <c r="D251" s="2948" t="s">
        <v>918</v>
      </c>
      <c r="E251" s="2948" t="s">
        <v>729</v>
      </c>
      <c r="F251" s="2948" t="s">
        <v>900</v>
      </c>
      <c r="G251" s="2948" t="s">
        <v>640</v>
      </c>
      <c r="H251" s="2948" t="s">
        <v>921</v>
      </c>
      <c r="I251" s="2948" t="s">
        <v>854</v>
      </c>
      <c r="J251" s="2948" t="s">
        <v>643</v>
      </c>
      <c r="K251" s="2950">
        <v>175.65</v>
      </c>
      <c r="L251" s="2950">
        <v>128.05000000000001</v>
      </c>
      <c r="M251" s="2951">
        <v>18747476</v>
      </c>
      <c r="N251" s="2951">
        <v>19321500</v>
      </c>
      <c r="O251" s="2952">
        <v>19321500</v>
      </c>
      <c r="P251" s="2953">
        <v>19321500</v>
      </c>
      <c r="Q251" s="2951">
        <v>19321500</v>
      </c>
      <c r="R251" s="2954">
        <v>44680</v>
      </c>
      <c r="S251" s="2954">
        <v>44707</v>
      </c>
      <c r="T251" s="2954">
        <v>44770</v>
      </c>
      <c r="U251" s="2954">
        <v>44770</v>
      </c>
      <c r="V251" s="2948" t="s">
        <v>959</v>
      </c>
    </row>
    <row r="252" spans="1:22" s="2944" customFormat="1" ht="46.8" hidden="1">
      <c r="A252" s="2948">
        <v>251</v>
      </c>
      <c r="B252" s="2948" t="s">
        <v>635</v>
      </c>
      <c r="C252" s="2948" t="s">
        <v>636</v>
      </c>
      <c r="D252" s="2948" t="s">
        <v>918</v>
      </c>
      <c r="E252" s="2948" t="s">
        <v>729</v>
      </c>
      <c r="F252" s="2948" t="s">
        <v>902</v>
      </c>
      <c r="G252" s="2948" t="s">
        <v>640</v>
      </c>
      <c r="H252" s="2948" t="s">
        <v>919</v>
      </c>
      <c r="I252" s="2948" t="s">
        <v>854</v>
      </c>
      <c r="J252" s="2948" t="s">
        <v>643</v>
      </c>
      <c r="K252" s="2950">
        <v>146.06</v>
      </c>
      <c r="L252" s="2950">
        <v>106.48</v>
      </c>
      <c r="M252" s="2951">
        <v>14790182</v>
      </c>
      <c r="N252" s="2951">
        <v>15243114</v>
      </c>
      <c r="O252" s="2952">
        <v>14480958</v>
      </c>
      <c r="P252" s="2953">
        <v>14480958</v>
      </c>
      <c r="Q252" s="2951">
        <v>14480958</v>
      </c>
      <c r="R252" s="2954">
        <v>44585</v>
      </c>
      <c r="S252" s="2954">
        <v>44587</v>
      </c>
      <c r="T252" s="2954">
        <v>44736</v>
      </c>
      <c r="U252" s="2954">
        <v>44736</v>
      </c>
      <c r="V252" s="2948" t="s">
        <v>960</v>
      </c>
    </row>
    <row r="253" spans="1:22" s="2944" customFormat="1" ht="46.8" hidden="1">
      <c r="A253" s="2948">
        <v>252</v>
      </c>
      <c r="B253" s="2948" t="s">
        <v>635</v>
      </c>
      <c r="C253" s="2948" t="s">
        <v>636</v>
      </c>
      <c r="D253" s="2948" t="s">
        <v>918</v>
      </c>
      <c r="E253" s="2948" t="s">
        <v>729</v>
      </c>
      <c r="F253" s="2948" t="s">
        <v>904</v>
      </c>
      <c r="G253" s="2948" t="s">
        <v>640</v>
      </c>
      <c r="H253" s="2948" t="s">
        <v>921</v>
      </c>
      <c r="I253" s="2948" t="s">
        <v>854</v>
      </c>
      <c r="J253" s="2948" t="s">
        <v>643</v>
      </c>
      <c r="K253" s="2950">
        <v>175.65</v>
      </c>
      <c r="L253" s="2950">
        <v>128.05000000000001</v>
      </c>
      <c r="M253" s="2951">
        <v>18747476</v>
      </c>
      <c r="N253" s="2951">
        <v>19321500</v>
      </c>
      <c r="O253" s="2952">
        <v>19321500</v>
      </c>
      <c r="P253" s="2953">
        <v>19321500</v>
      </c>
      <c r="Q253" s="2951">
        <v>19321500</v>
      </c>
      <c r="R253" s="2954">
        <v>44282</v>
      </c>
      <c r="S253" s="2954">
        <v>44282</v>
      </c>
      <c r="T253" s="2954">
        <v>44326</v>
      </c>
      <c r="U253" s="2954">
        <v>44326</v>
      </c>
      <c r="V253" s="2948" t="s">
        <v>961</v>
      </c>
    </row>
    <row r="254" spans="1:22" s="2944" customFormat="1" ht="46.8" hidden="1">
      <c r="A254" s="2948">
        <v>253</v>
      </c>
      <c r="B254" s="2948" t="s">
        <v>635</v>
      </c>
      <c r="C254" s="2948" t="s">
        <v>636</v>
      </c>
      <c r="D254" s="2948" t="s">
        <v>918</v>
      </c>
      <c r="E254" s="2948" t="s">
        <v>729</v>
      </c>
      <c r="F254" s="2948" t="s">
        <v>906</v>
      </c>
      <c r="G254" s="2948" t="s">
        <v>640</v>
      </c>
      <c r="H254" s="2948" t="s">
        <v>919</v>
      </c>
      <c r="I254" s="2948" t="s">
        <v>854</v>
      </c>
      <c r="J254" s="2948" t="s">
        <v>643</v>
      </c>
      <c r="K254" s="2950">
        <v>146.06</v>
      </c>
      <c r="L254" s="2950">
        <v>106.48</v>
      </c>
      <c r="M254" s="2951">
        <v>14804349</v>
      </c>
      <c r="N254" s="2951">
        <v>15257720</v>
      </c>
      <c r="O254" s="2952">
        <v>15257719</v>
      </c>
      <c r="P254" s="2953">
        <v>15257719</v>
      </c>
      <c r="Q254" s="2951">
        <v>15257719</v>
      </c>
      <c r="R254" s="2954">
        <v>44214</v>
      </c>
      <c r="S254" s="2954">
        <v>44253</v>
      </c>
      <c r="T254" s="2954">
        <v>44374</v>
      </c>
      <c r="U254" s="2954">
        <v>44374</v>
      </c>
      <c r="V254" s="2948" t="s">
        <v>962</v>
      </c>
    </row>
    <row r="255" spans="1:22" s="2944" customFormat="1" ht="46.8" hidden="1">
      <c r="A255" s="2948">
        <v>254</v>
      </c>
      <c r="B255" s="2948" t="s">
        <v>635</v>
      </c>
      <c r="C255" s="2948" t="s">
        <v>636</v>
      </c>
      <c r="D255" s="2948" t="s">
        <v>918</v>
      </c>
      <c r="E255" s="2948" t="s">
        <v>729</v>
      </c>
      <c r="F255" s="2948" t="s">
        <v>908</v>
      </c>
      <c r="G255" s="2948" t="s">
        <v>640</v>
      </c>
      <c r="H255" s="2948" t="s">
        <v>921</v>
      </c>
      <c r="I255" s="2948" t="s">
        <v>854</v>
      </c>
      <c r="J255" s="2948" t="s">
        <v>643</v>
      </c>
      <c r="K255" s="2950">
        <v>175.65</v>
      </c>
      <c r="L255" s="2950">
        <v>128.05000000000001</v>
      </c>
      <c r="M255" s="2951">
        <v>18747476</v>
      </c>
      <c r="N255" s="2951">
        <v>19321500</v>
      </c>
      <c r="O255" s="2952">
        <v>19321500</v>
      </c>
      <c r="P255" s="2953">
        <v>19321500</v>
      </c>
      <c r="Q255" s="2951">
        <v>19321500</v>
      </c>
      <c r="R255" s="2954">
        <v>44649</v>
      </c>
      <c r="S255" s="2954">
        <v>44649</v>
      </c>
      <c r="T255" s="2954">
        <v>44713</v>
      </c>
      <c r="U255" s="2954">
        <v>44713</v>
      </c>
      <c r="V255" s="2948" t="s">
        <v>963</v>
      </c>
    </row>
    <row r="256" spans="1:22" s="2944" customFormat="1" ht="46.8" hidden="1">
      <c r="A256" s="2948">
        <v>255</v>
      </c>
      <c r="B256" s="2948" t="s">
        <v>635</v>
      </c>
      <c r="C256" s="2948" t="s">
        <v>636</v>
      </c>
      <c r="D256" s="2948" t="s">
        <v>918</v>
      </c>
      <c r="E256" s="2948" t="s">
        <v>729</v>
      </c>
      <c r="F256" s="2948" t="s">
        <v>910</v>
      </c>
      <c r="G256" s="2948" t="s">
        <v>640</v>
      </c>
      <c r="H256" s="2948" t="s">
        <v>919</v>
      </c>
      <c r="I256" s="2948" t="s">
        <v>854</v>
      </c>
      <c r="J256" s="2948" t="s">
        <v>643</v>
      </c>
      <c r="K256" s="2950">
        <v>146.06</v>
      </c>
      <c r="L256" s="2950">
        <v>106.48</v>
      </c>
      <c r="M256" s="2951">
        <v>14818517</v>
      </c>
      <c r="N256" s="2951">
        <v>15272326</v>
      </c>
      <c r="O256" s="2952">
        <v>14968407</v>
      </c>
      <c r="P256" s="2953">
        <v>14968407</v>
      </c>
      <c r="Q256" s="2951">
        <v>14968407</v>
      </c>
      <c r="R256" s="2954">
        <v>44204</v>
      </c>
      <c r="S256" s="2954">
        <v>44214</v>
      </c>
      <c r="T256" s="2954">
        <v>44250</v>
      </c>
      <c r="U256" s="2954">
        <v>44250</v>
      </c>
      <c r="V256" s="2948" t="s">
        <v>964</v>
      </c>
    </row>
    <row r="257" spans="1:22" s="2944" customFormat="1" ht="46.8" hidden="1">
      <c r="A257" s="2948">
        <v>256</v>
      </c>
      <c r="B257" s="2948" t="s">
        <v>635</v>
      </c>
      <c r="C257" s="2948" t="s">
        <v>636</v>
      </c>
      <c r="D257" s="2948" t="s">
        <v>918</v>
      </c>
      <c r="E257" s="2948" t="s">
        <v>729</v>
      </c>
      <c r="F257" s="2948" t="s">
        <v>912</v>
      </c>
      <c r="G257" s="2948" t="s">
        <v>640</v>
      </c>
      <c r="H257" s="2948" t="s">
        <v>921</v>
      </c>
      <c r="I257" s="2948" t="s">
        <v>854</v>
      </c>
      <c r="J257" s="2948" t="s">
        <v>643</v>
      </c>
      <c r="K257" s="2950">
        <v>175.65</v>
      </c>
      <c r="L257" s="2950">
        <v>128.05000000000001</v>
      </c>
      <c r="M257" s="2951">
        <v>18747476</v>
      </c>
      <c r="N257" s="2951">
        <v>19321500</v>
      </c>
      <c r="O257" s="2952">
        <v>19321500</v>
      </c>
      <c r="P257" s="2953">
        <v>19321500</v>
      </c>
      <c r="Q257" s="2951">
        <v>19321500</v>
      </c>
      <c r="R257" s="2954">
        <v>44648</v>
      </c>
      <c r="S257" s="2954">
        <v>44651</v>
      </c>
      <c r="T257" s="2954">
        <v>44713</v>
      </c>
      <c r="U257" s="2954">
        <v>44713</v>
      </c>
      <c r="V257" s="2948" t="s">
        <v>965</v>
      </c>
    </row>
    <row r="258" spans="1:22" s="2944" customFormat="1" ht="46.8" hidden="1">
      <c r="A258" s="2948">
        <v>257</v>
      </c>
      <c r="B258" s="2948" t="s">
        <v>635</v>
      </c>
      <c r="C258" s="2948" t="s">
        <v>636</v>
      </c>
      <c r="D258" s="2948" t="s">
        <v>918</v>
      </c>
      <c r="E258" s="2948" t="s">
        <v>729</v>
      </c>
      <c r="F258" s="2948" t="s">
        <v>914</v>
      </c>
      <c r="G258" s="2948" t="s">
        <v>640</v>
      </c>
      <c r="H258" s="2948" t="s">
        <v>919</v>
      </c>
      <c r="I258" s="2948" t="s">
        <v>854</v>
      </c>
      <c r="J258" s="2948" t="s">
        <v>643</v>
      </c>
      <c r="K258" s="2950">
        <v>146.06</v>
      </c>
      <c r="L258" s="2950">
        <v>106.48</v>
      </c>
      <c r="M258" s="2951">
        <v>14832685</v>
      </c>
      <c r="N258" s="2951">
        <v>15286932</v>
      </c>
      <c r="O258" s="2952">
        <v>15286931</v>
      </c>
      <c r="P258" s="2953">
        <v>15286931</v>
      </c>
      <c r="Q258" s="2951">
        <v>15286931</v>
      </c>
      <c r="R258" s="2954">
        <v>44224.384525463</v>
      </c>
      <c r="S258" s="2954">
        <v>44224</v>
      </c>
      <c r="T258" s="2954">
        <v>44333</v>
      </c>
      <c r="U258" s="2954">
        <v>44333</v>
      </c>
      <c r="V258" s="2948" t="s">
        <v>966</v>
      </c>
    </row>
    <row r="259" spans="1:22" s="2944" customFormat="1" ht="46.8" hidden="1">
      <c r="A259" s="2948">
        <v>258</v>
      </c>
      <c r="B259" s="2948" t="s">
        <v>635</v>
      </c>
      <c r="C259" s="2948" t="s">
        <v>636</v>
      </c>
      <c r="D259" s="2948" t="s">
        <v>918</v>
      </c>
      <c r="E259" s="2948" t="s">
        <v>729</v>
      </c>
      <c r="F259" s="2948" t="s">
        <v>916</v>
      </c>
      <c r="G259" s="2948" t="s">
        <v>640</v>
      </c>
      <c r="H259" s="2948" t="s">
        <v>921</v>
      </c>
      <c r="I259" s="2948" t="s">
        <v>854</v>
      </c>
      <c r="J259" s="2948" t="s">
        <v>643</v>
      </c>
      <c r="K259" s="2950">
        <v>175.65</v>
      </c>
      <c r="L259" s="2950">
        <v>128.05000000000001</v>
      </c>
      <c r="M259" s="2951">
        <v>18747476</v>
      </c>
      <c r="N259" s="2951">
        <v>19321500</v>
      </c>
      <c r="O259" s="2952">
        <v>19321500</v>
      </c>
      <c r="P259" s="2953">
        <v>19321500</v>
      </c>
      <c r="Q259" s="2951">
        <v>19321500</v>
      </c>
      <c r="R259" s="2954">
        <v>44247</v>
      </c>
      <c r="S259" s="2954">
        <v>44275</v>
      </c>
      <c r="T259" s="2954">
        <v>44335</v>
      </c>
      <c r="U259" s="2954">
        <v>44335</v>
      </c>
      <c r="V259" s="2948" t="s">
        <v>967</v>
      </c>
    </row>
    <row r="260" spans="1:22" s="2944" customFormat="1" ht="46.8" hidden="1">
      <c r="A260" s="2948">
        <v>259</v>
      </c>
      <c r="B260" s="2948" t="s">
        <v>635</v>
      </c>
      <c r="C260" s="2948" t="s">
        <v>636</v>
      </c>
      <c r="D260" s="2948" t="s">
        <v>918</v>
      </c>
      <c r="E260" s="2948" t="s">
        <v>729</v>
      </c>
      <c r="F260" s="2948" t="s">
        <v>968</v>
      </c>
      <c r="G260" s="2948" t="s">
        <v>640</v>
      </c>
      <c r="H260" s="2948" t="s">
        <v>919</v>
      </c>
      <c r="I260" s="2948" t="s">
        <v>854</v>
      </c>
      <c r="J260" s="2948" t="s">
        <v>643</v>
      </c>
      <c r="K260" s="2950">
        <v>146.06</v>
      </c>
      <c r="L260" s="2950">
        <v>106.48</v>
      </c>
      <c r="M260" s="2951">
        <v>14705175</v>
      </c>
      <c r="N260" s="2951">
        <v>15155478</v>
      </c>
      <c r="O260" s="2952">
        <v>15155477</v>
      </c>
      <c r="P260" s="2953">
        <v>15155477</v>
      </c>
      <c r="Q260" s="2951">
        <v>15155477</v>
      </c>
      <c r="R260" s="2954">
        <v>44283</v>
      </c>
      <c r="S260" s="2954">
        <v>44283</v>
      </c>
      <c r="T260" s="2954">
        <v>44326</v>
      </c>
      <c r="U260" s="2954">
        <v>44326</v>
      </c>
      <c r="V260" s="2948" t="s">
        <v>969</v>
      </c>
    </row>
    <row r="261" spans="1:22" s="2944" customFormat="1" ht="46.8" hidden="1">
      <c r="A261" s="2948">
        <v>260</v>
      </c>
      <c r="B261" s="2948" t="s">
        <v>635</v>
      </c>
      <c r="C261" s="2948" t="s">
        <v>636</v>
      </c>
      <c r="D261" s="2948" t="s">
        <v>918</v>
      </c>
      <c r="E261" s="2948" t="s">
        <v>729</v>
      </c>
      <c r="F261" s="2948" t="s">
        <v>970</v>
      </c>
      <c r="G261" s="2948" t="s">
        <v>640</v>
      </c>
      <c r="H261" s="2948" t="s">
        <v>921</v>
      </c>
      <c r="I261" s="2948" t="s">
        <v>854</v>
      </c>
      <c r="J261" s="2948" t="s">
        <v>643</v>
      </c>
      <c r="K261" s="2950">
        <v>175.65</v>
      </c>
      <c r="L261" s="2950">
        <v>128.05000000000001</v>
      </c>
      <c r="M261" s="2951">
        <v>18747476</v>
      </c>
      <c r="N261" s="2951">
        <v>19321500</v>
      </c>
      <c r="O261" s="2952">
        <v>19321500</v>
      </c>
      <c r="P261" s="2953">
        <v>19321500</v>
      </c>
      <c r="Q261" s="2951">
        <v>19321500</v>
      </c>
      <c r="R261" s="2954">
        <v>44375</v>
      </c>
      <c r="S261" s="2954">
        <v>44434</v>
      </c>
      <c r="T261" s="2954">
        <v>44435</v>
      </c>
      <c r="U261" s="2954">
        <v>44435</v>
      </c>
      <c r="V261" s="2948" t="s">
        <v>971</v>
      </c>
    </row>
    <row r="262" spans="1:22" s="2944" customFormat="1" ht="46.8" hidden="1">
      <c r="A262" s="2948">
        <v>261</v>
      </c>
      <c r="B262" s="2948" t="s">
        <v>635</v>
      </c>
      <c r="C262" s="2948" t="s">
        <v>636</v>
      </c>
      <c r="D262" s="2948" t="s">
        <v>972</v>
      </c>
      <c r="E262" s="2948" t="s">
        <v>729</v>
      </c>
      <c r="F262" s="2948" t="s">
        <v>639</v>
      </c>
      <c r="G262" s="2948" t="s">
        <v>640</v>
      </c>
      <c r="H262" s="2948" t="s">
        <v>973</v>
      </c>
      <c r="I262" s="2948" t="s">
        <v>854</v>
      </c>
      <c r="J262" s="2948" t="s">
        <v>643</v>
      </c>
      <c r="K262" s="2950">
        <v>151.37</v>
      </c>
      <c r="L262" s="2950">
        <v>112</v>
      </c>
      <c r="M262" s="2951">
        <v>15465624</v>
      </c>
      <c r="N262" s="2951">
        <v>15939261</v>
      </c>
      <c r="O262" s="2952">
        <v>15939261</v>
      </c>
      <c r="P262" s="2953">
        <v>15939261</v>
      </c>
      <c r="Q262" s="2951">
        <v>9692102.5999999996</v>
      </c>
      <c r="R262" s="2954">
        <v>45169</v>
      </c>
      <c r="S262" s="2954">
        <v>45169</v>
      </c>
      <c r="T262" s="2948"/>
      <c r="U262" s="2948"/>
      <c r="V262" s="2948" t="s">
        <v>857</v>
      </c>
    </row>
    <row r="263" spans="1:22" s="2944" customFormat="1" ht="46.8" hidden="1">
      <c r="A263" s="2948">
        <v>262</v>
      </c>
      <c r="B263" s="2948" t="s">
        <v>635</v>
      </c>
      <c r="C263" s="2948" t="s">
        <v>636</v>
      </c>
      <c r="D263" s="2948" t="s">
        <v>972</v>
      </c>
      <c r="E263" s="2948" t="s">
        <v>729</v>
      </c>
      <c r="F263" s="2948" t="s">
        <v>645</v>
      </c>
      <c r="G263" s="2948" t="s">
        <v>640</v>
      </c>
      <c r="H263" s="2948" t="s">
        <v>974</v>
      </c>
      <c r="I263" s="2948" t="s">
        <v>854</v>
      </c>
      <c r="J263" s="2948" t="s">
        <v>643</v>
      </c>
      <c r="K263" s="2950">
        <v>174.77</v>
      </c>
      <c r="L263" s="2950">
        <v>129.31</v>
      </c>
      <c r="M263" s="2951">
        <v>17890506</v>
      </c>
      <c r="N263" s="2951">
        <v>18438235</v>
      </c>
      <c r="O263" s="2952">
        <v>18438235</v>
      </c>
      <c r="P263" s="2953">
        <v>18438235</v>
      </c>
      <c r="Q263" s="2951">
        <v>18438235</v>
      </c>
      <c r="R263" s="2954">
        <v>45197</v>
      </c>
      <c r="S263" s="2954">
        <v>45197</v>
      </c>
      <c r="T263" s="2948"/>
      <c r="U263" s="2948"/>
      <c r="V263" s="2948" t="s">
        <v>975</v>
      </c>
    </row>
    <row r="264" spans="1:22" s="2944" customFormat="1" ht="46.8" hidden="1">
      <c r="A264" s="2948">
        <v>263</v>
      </c>
      <c r="B264" s="2948" t="s">
        <v>635</v>
      </c>
      <c r="C264" s="2948" t="s">
        <v>636</v>
      </c>
      <c r="D264" s="2948" t="s">
        <v>972</v>
      </c>
      <c r="E264" s="2948" t="s">
        <v>729</v>
      </c>
      <c r="F264" s="2948" t="s">
        <v>648</v>
      </c>
      <c r="G264" s="2948" t="s">
        <v>640</v>
      </c>
      <c r="H264" s="2948" t="s">
        <v>976</v>
      </c>
      <c r="I264" s="2948" t="s">
        <v>854</v>
      </c>
      <c r="J264" s="2948" t="s">
        <v>643</v>
      </c>
      <c r="K264" s="2950">
        <v>174</v>
      </c>
      <c r="L264" s="2950">
        <v>128.74</v>
      </c>
      <c r="M264" s="2951">
        <v>17946708</v>
      </c>
      <c r="N264" s="2951">
        <v>18496200</v>
      </c>
      <c r="O264" s="2952">
        <v>18496200</v>
      </c>
      <c r="P264" s="2953">
        <v>18496200</v>
      </c>
      <c r="Q264" s="2951">
        <v>18496200</v>
      </c>
      <c r="R264" s="2954">
        <v>45104</v>
      </c>
      <c r="S264" s="2954">
        <v>45105</v>
      </c>
      <c r="T264" s="2954">
        <v>45206</v>
      </c>
      <c r="U264" s="2954">
        <v>45206</v>
      </c>
      <c r="V264" s="2948" t="s">
        <v>977</v>
      </c>
    </row>
    <row r="265" spans="1:22" s="2944" customFormat="1" ht="46.8" hidden="1">
      <c r="A265" s="2948">
        <v>264</v>
      </c>
      <c r="B265" s="2948" t="s">
        <v>635</v>
      </c>
      <c r="C265" s="2948" t="s">
        <v>636</v>
      </c>
      <c r="D265" s="2948" t="s">
        <v>972</v>
      </c>
      <c r="E265" s="2948" t="s">
        <v>729</v>
      </c>
      <c r="F265" s="2948" t="s">
        <v>651</v>
      </c>
      <c r="G265" s="2948" t="s">
        <v>640</v>
      </c>
      <c r="H265" s="2948" t="s">
        <v>974</v>
      </c>
      <c r="I265" s="2948" t="s">
        <v>854</v>
      </c>
      <c r="J265" s="2948" t="s">
        <v>643</v>
      </c>
      <c r="K265" s="2950">
        <v>174.77</v>
      </c>
      <c r="L265" s="2950">
        <v>129.31</v>
      </c>
      <c r="M265" s="2951">
        <v>18060033</v>
      </c>
      <c r="N265" s="2951">
        <v>18613005</v>
      </c>
      <c r="O265" s="2952">
        <v>18613005</v>
      </c>
      <c r="P265" s="2953">
        <v>18613005</v>
      </c>
      <c r="Q265" s="2951">
        <v>18613005</v>
      </c>
      <c r="R265" s="2954">
        <v>45039</v>
      </c>
      <c r="S265" s="2954">
        <v>45043</v>
      </c>
      <c r="T265" s="2954">
        <v>45063</v>
      </c>
      <c r="U265" s="2954">
        <v>45063</v>
      </c>
      <c r="V265" s="2948" t="s">
        <v>978</v>
      </c>
    </row>
    <row r="266" spans="1:22" s="2944" customFormat="1" ht="46.8" hidden="1">
      <c r="A266" s="2948">
        <v>265</v>
      </c>
      <c r="B266" s="2948" t="s">
        <v>635</v>
      </c>
      <c r="C266" s="2948" t="s">
        <v>636</v>
      </c>
      <c r="D266" s="2948" t="s">
        <v>972</v>
      </c>
      <c r="E266" s="2948" t="s">
        <v>729</v>
      </c>
      <c r="F266" s="2948" t="s">
        <v>653</v>
      </c>
      <c r="G266" s="2948" t="s">
        <v>640</v>
      </c>
      <c r="H266" s="2948" t="s">
        <v>976</v>
      </c>
      <c r="I266" s="2948" t="s">
        <v>854</v>
      </c>
      <c r="J266" s="2948" t="s">
        <v>643</v>
      </c>
      <c r="K266" s="2950">
        <v>174</v>
      </c>
      <c r="L266" s="2950">
        <v>128.74</v>
      </c>
      <c r="M266" s="2951">
        <v>18115488</v>
      </c>
      <c r="N266" s="2951">
        <v>18670200</v>
      </c>
      <c r="O266" s="2952">
        <v>18670200</v>
      </c>
      <c r="P266" s="2953">
        <v>18670200</v>
      </c>
      <c r="Q266" s="2951">
        <v>18670200</v>
      </c>
      <c r="R266" s="2954">
        <v>44736</v>
      </c>
      <c r="S266" s="2954">
        <v>44742</v>
      </c>
      <c r="T266" s="2954">
        <v>44830</v>
      </c>
      <c r="U266" s="2954">
        <v>44830</v>
      </c>
      <c r="V266" s="2948" t="s">
        <v>979</v>
      </c>
    </row>
    <row r="267" spans="1:22" s="2944" customFormat="1" ht="46.8" hidden="1">
      <c r="A267" s="2948">
        <v>266</v>
      </c>
      <c r="B267" s="2948" t="s">
        <v>635</v>
      </c>
      <c r="C267" s="2948" t="s">
        <v>636</v>
      </c>
      <c r="D267" s="2948" t="s">
        <v>972</v>
      </c>
      <c r="E267" s="2948" t="s">
        <v>729</v>
      </c>
      <c r="F267" s="2948" t="s">
        <v>655</v>
      </c>
      <c r="G267" s="2948" t="s">
        <v>640</v>
      </c>
      <c r="H267" s="2948" t="s">
        <v>974</v>
      </c>
      <c r="I267" s="2948" t="s">
        <v>854</v>
      </c>
      <c r="J267" s="2948" t="s">
        <v>643</v>
      </c>
      <c r="K267" s="2950">
        <v>174.77</v>
      </c>
      <c r="L267" s="2950">
        <v>129.31</v>
      </c>
      <c r="M267" s="2951">
        <v>18229560</v>
      </c>
      <c r="N267" s="2951">
        <v>18787775</v>
      </c>
      <c r="O267" s="2952">
        <v>18787775</v>
      </c>
      <c r="P267" s="2953">
        <v>18787775</v>
      </c>
      <c r="Q267" s="2951">
        <v>18787775</v>
      </c>
      <c r="R267" s="2954">
        <v>45106</v>
      </c>
      <c r="S267" s="2954">
        <v>45106</v>
      </c>
      <c r="T267" s="2954">
        <v>45133</v>
      </c>
      <c r="U267" s="2954">
        <v>45133</v>
      </c>
      <c r="V267" s="2948" t="s">
        <v>980</v>
      </c>
    </row>
    <row r="268" spans="1:22" s="2944" customFormat="1" ht="46.8" hidden="1">
      <c r="A268" s="2948">
        <v>267</v>
      </c>
      <c r="B268" s="2948" t="s">
        <v>635</v>
      </c>
      <c r="C268" s="2948" t="s">
        <v>636</v>
      </c>
      <c r="D268" s="2948" t="s">
        <v>972</v>
      </c>
      <c r="E268" s="2948" t="s">
        <v>729</v>
      </c>
      <c r="F268" s="2948" t="s">
        <v>657</v>
      </c>
      <c r="G268" s="2948" t="s">
        <v>640</v>
      </c>
      <c r="H268" s="2948" t="s">
        <v>976</v>
      </c>
      <c r="I268" s="2948" t="s">
        <v>854</v>
      </c>
      <c r="J268" s="2948" t="s">
        <v>643</v>
      </c>
      <c r="K268" s="2950">
        <v>174</v>
      </c>
      <c r="L268" s="2950">
        <v>128.74</v>
      </c>
      <c r="M268" s="2951">
        <v>18284268</v>
      </c>
      <c r="N268" s="2951">
        <v>18844200</v>
      </c>
      <c r="O268" s="2952">
        <v>18844200</v>
      </c>
      <c r="P268" s="2953">
        <v>18844200</v>
      </c>
      <c r="Q268" s="2951">
        <v>18844200</v>
      </c>
      <c r="R268" s="2954">
        <v>44372</v>
      </c>
      <c r="S268" s="2954">
        <v>44373</v>
      </c>
      <c r="T268" s="2954">
        <v>44390</v>
      </c>
      <c r="U268" s="2954">
        <v>44385</v>
      </c>
      <c r="V268" s="2948" t="s">
        <v>981</v>
      </c>
    </row>
    <row r="269" spans="1:22" s="2944" customFormat="1" ht="46.8" hidden="1">
      <c r="A269" s="2948">
        <v>268</v>
      </c>
      <c r="B269" s="2948" t="s">
        <v>635</v>
      </c>
      <c r="C269" s="2948" t="s">
        <v>636</v>
      </c>
      <c r="D269" s="2948" t="s">
        <v>972</v>
      </c>
      <c r="E269" s="2948" t="s">
        <v>729</v>
      </c>
      <c r="F269" s="2948" t="s">
        <v>659</v>
      </c>
      <c r="G269" s="2948" t="s">
        <v>640</v>
      </c>
      <c r="H269" s="2948" t="s">
        <v>974</v>
      </c>
      <c r="I269" s="2948" t="s">
        <v>854</v>
      </c>
      <c r="J269" s="2948" t="s">
        <v>643</v>
      </c>
      <c r="K269" s="2950">
        <v>174.77</v>
      </c>
      <c r="L269" s="2950">
        <v>129.31</v>
      </c>
      <c r="M269" s="2951">
        <v>18399087</v>
      </c>
      <c r="N269" s="2951">
        <v>18962545</v>
      </c>
      <c r="O269" s="2952">
        <v>18962545</v>
      </c>
      <c r="P269" s="2953">
        <v>18962545</v>
      </c>
      <c r="Q269" s="2951">
        <v>18962545</v>
      </c>
      <c r="R269" s="2948"/>
      <c r="S269" s="2954">
        <v>45188</v>
      </c>
      <c r="T269" s="2954">
        <v>45188</v>
      </c>
      <c r="U269" s="2954">
        <v>45188</v>
      </c>
      <c r="V269" s="2948" t="s">
        <v>982</v>
      </c>
    </row>
    <row r="270" spans="1:22" s="2944" customFormat="1" ht="46.8" hidden="1">
      <c r="A270" s="2948">
        <v>269</v>
      </c>
      <c r="B270" s="2948" t="s">
        <v>635</v>
      </c>
      <c r="C270" s="2948" t="s">
        <v>636</v>
      </c>
      <c r="D270" s="2948" t="s">
        <v>972</v>
      </c>
      <c r="E270" s="2948" t="s">
        <v>729</v>
      </c>
      <c r="F270" s="2948" t="s">
        <v>661</v>
      </c>
      <c r="G270" s="2948" t="s">
        <v>640</v>
      </c>
      <c r="H270" s="2948" t="s">
        <v>976</v>
      </c>
      <c r="I270" s="2948" t="s">
        <v>854</v>
      </c>
      <c r="J270" s="2948" t="s">
        <v>643</v>
      </c>
      <c r="K270" s="2950">
        <v>174</v>
      </c>
      <c r="L270" s="2950">
        <v>128.74</v>
      </c>
      <c r="M270" s="2951">
        <v>18537612</v>
      </c>
      <c r="N270" s="2951">
        <v>19105200</v>
      </c>
      <c r="O270" s="2952">
        <v>19105200</v>
      </c>
      <c r="P270" s="2953">
        <v>19105200</v>
      </c>
      <c r="Q270" s="2951">
        <v>19105200</v>
      </c>
      <c r="R270" s="2954">
        <v>44357</v>
      </c>
      <c r="S270" s="2954">
        <v>44357</v>
      </c>
      <c r="T270" s="2954">
        <v>44382</v>
      </c>
      <c r="U270" s="2954">
        <v>44382</v>
      </c>
      <c r="V270" s="2948" t="s">
        <v>983</v>
      </c>
    </row>
    <row r="271" spans="1:22" s="2944" customFormat="1" ht="46.8" hidden="1">
      <c r="A271" s="2948">
        <v>270</v>
      </c>
      <c r="B271" s="2948" t="s">
        <v>635</v>
      </c>
      <c r="C271" s="2948" t="s">
        <v>636</v>
      </c>
      <c r="D271" s="2948" t="s">
        <v>972</v>
      </c>
      <c r="E271" s="2948" t="s">
        <v>729</v>
      </c>
      <c r="F271" s="2948" t="s">
        <v>663</v>
      </c>
      <c r="G271" s="2948" t="s">
        <v>640</v>
      </c>
      <c r="H271" s="2948" t="s">
        <v>974</v>
      </c>
      <c r="I271" s="2948" t="s">
        <v>854</v>
      </c>
      <c r="J271" s="2948" t="s">
        <v>643</v>
      </c>
      <c r="K271" s="2950">
        <v>174.77</v>
      </c>
      <c r="L271" s="2950">
        <v>129.31</v>
      </c>
      <c r="M271" s="2951">
        <v>18653552</v>
      </c>
      <c r="N271" s="2951">
        <v>19224700</v>
      </c>
      <c r="O271" s="2952">
        <v>19224700</v>
      </c>
      <c r="P271" s="2953">
        <v>19224700</v>
      </c>
      <c r="Q271" s="2951">
        <v>19224700</v>
      </c>
      <c r="R271" s="2954">
        <v>44916</v>
      </c>
      <c r="S271" s="2954">
        <v>44985</v>
      </c>
      <c r="T271" s="2954">
        <v>45009</v>
      </c>
      <c r="U271" s="2954">
        <v>45009</v>
      </c>
      <c r="V271" s="2948" t="s">
        <v>984</v>
      </c>
    </row>
    <row r="272" spans="1:22" s="2944" customFormat="1" ht="46.8" hidden="1">
      <c r="A272" s="2948">
        <v>271</v>
      </c>
      <c r="B272" s="2948" t="s">
        <v>635</v>
      </c>
      <c r="C272" s="2948" t="s">
        <v>636</v>
      </c>
      <c r="D272" s="2948" t="s">
        <v>972</v>
      </c>
      <c r="E272" s="2948" t="s">
        <v>729</v>
      </c>
      <c r="F272" s="2948" t="s">
        <v>665</v>
      </c>
      <c r="G272" s="2948" t="s">
        <v>640</v>
      </c>
      <c r="H272" s="2948" t="s">
        <v>976</v>
      </c>
      <c r="I272" s="2948" t="s">
        <v>854</v>
      </c>
      <c r="J272" s="2948" t="s">
        <v>643</v>
      </c>
      <c r="K272" s="2950">
        <v>174</v>
      </c>
      <c r="L272" s="2950">
        <v>128.74</v>
      </c>
      <c r="M272" s="2951">
        <v>18554490</v>
      </c>
      <c r="N272" s="2951">
        <v>19122600</v>
      </c>
      <c r="O272" s="2952">
        <v>19122600</v>
      </c>
      <c r="P272" s="2953">
        <v>19122600</v>
      </c>
      <c r="Q272" s="2951">
        <v>19122600</v>
      </c>
      <c r="R272" s="2954">
        <v>44252</v>
      </c>
      <c r="S272" s="2954">
        <v>44313</v>
      </c>
      <c r="T272" s="2954">
        <v>44333</v>
      </c>
      <c r="U272" s="2954">
        <v>44333</v>
      </c>
      <c r="V272" s="2948" t="s">
        <v>985</v>
      </c>
    </row>
    <row r="273" spans="1:22" s="2944" customFormat="1" ht="46.8" hidden="1">
      <c r="A273" s="2948">
        <v>272</v>
      </c>
      <c r="B273" s="2948" t="s">
        <v>635</v>
      </c>
      <c r="C273" s="2948" t="s">
        <v>636</v>
      </c>
      <c r="D273" s="2948" t="s">
        <v>972</v>
      </c>
      <c r="E273" s="2948" t="s">
        <v>729</v>
      </c>
      <c r="F273" s="2948" t="s">
        <v>667</v>
      </c>
      <c r="G273" s="2948" t="s">
        <v>640</v>
      </c>
      <c r="H273" s="2948" t="s">
        <v>974</v>
      </c>
      <c r="I273" s="2948" t="s">
        <v>854</v>
      </c>
      <c r="J273" s="2948" t="s">
        <v>643</v>
      </c>
      <c r="K273" s="2950">
        <v>174.77</v>
      </c>
      <c r="L273" s="2950">
        <v>129.31</v>
      </c>
      <c r="M273" s="2951">
        <v>18653552</v>
      </c>
      <c r="N273" s="2951">
        <v>19224700</v>
      </c>
      <c r="O273" s="2952">
        <v>19224700</v>
      </c>
      <c r="P273" s="2953">
        <v>19224700</v>
      </c>
      <c r="Q273" s="2951">
        <v>19224700</v>
      </c>
      <c r="R273" s="2954">
        <v>44351</v>
      </c>
      <c r="S273" s="2954">
        <v>44372</v>
      </c>
      <c r="T273" s="2954">
        <v>44428</v>
      </c>
      <c r="U273" s="2954">
        <v>44428</v>
      </c>
      <c r="V273" s="2948" t="s">
        <v>986</v>
      </c>
    </row>
    <row r="274" spans="1:22" s="2944" customFormat="1" ht="46.8" hidden="1">
      <c r="A274" s="2948">
        <v>273</v>
      </c>
      <c r="B274" s="2948" t="s">
        <v>635</v>
      </c>
      <c r="C274" s="2948" t="s">
        <v>636</v>
      </c>
      <c r="D274" s="2948" t="s">
        <v>972</v>
      </c>
      <c r="E274" s="2948" t="s">
        <v>729</v>
      </c>
      <c r="F274" s="2948" t="s">
        <v>669</v>
      </c>
      <c r="G274" s="2948" t="s">
        <v>640</v>
      </c>
      <c r="H274" s="2948" t="s">
        <v>976</v>
      </c>
      <c r="I274" s="2948" t="s">
        <v>854</v>
      </c>
      <c r="J274" s="2948" t="s">
        <v>643</v>
      </c>
      <c r="K274" s="2950">
        <v>174</v>
      </c>
      <c r="L274" s="2950">
        <v>128.74</v>
      </c>
      <c r="M274" s="2951">
        <v>18571368</v>
      </c>
      <c r="N274" s="2951">
        <v>19140000</v>
      </c>
      <c r="O274" s="2952">
        <v>18759114</v>
      </c>
      <c r="P274" s="2953">
        <v>18759114</v>
      </c>
      <c r="Q274" s="2951">
        <v>18759114</v>
      </c>
      <c r="R274" s="2954">
        <v>44203</v>
      </c>
      <c r="S274" s="2954">
        <v>44285</v>
      </c>
      <c r="T274" s="2954">
        <v>44396</v>
      </c>
      <c r="U274" s="2954">
        <v>44396</v>
      </c>
      <c r="V274" s="2948" t="s">
        <v>987</v>
      </c>
    </row>
    <row r="275" spans="1:22" s="2944" customFormat="1" ht="46.8" hidden="1">
      <c r="A275" s="2948">
        <v>274</v>
      </c>
      <c r="B275" s="2948" t="s">
        <v>635</v>
      </c>
      <c r="C275" s="2948" t="s">
        <v>636</v>
      </c>
      <c r="D275" s="2948" t="s">
        <v>972</v>
      </c>
      <c r="E275" s="2948" t="s">
        <v>729</v>
      </c>
      <c r="F275" s="2948" t="s">
        <v>671</v>
      </c>
      <c r="G275" s="2948" t="s">
        <v>640</v>
      </c>
      <c r="H275" s="2948" t="s">
        <v>974</v>
      </c>
      <c r="I275" s="2948" t="s">
        <v>854</v>
      </c>
      <c r="J275" s="2948" t="s">
        <v>643</v>
      </c>
      <c r="K275" s="2950">
        <v>174.77</v>
      </c>
      <c r="L275" s="2950">
        <v>129.31</v>
      </c>
      <c r="M275" s="2951">
        <v>18653552</v>
      </c>
      <c r="N275" s="2951">
        <v>19224700</v>
      </c>
      <c r="O275" s="2952">
        <v>19224700</v>
      </c>
      <c r="P275" s="2953">
        <v>19224700</v>
      </c>
      <c r="Q275" s="2951">
        <v>19224700</v>
      </c>
      <c r="R275" s="2954">
        <v>44773</v>
      </c>
      <c r="S275" s="2954">
        <v>44834</v>
      </c>
      <c r="T275" s="2954">
        <v>44879</v>
      </c>
      <c r="U275" s="2954">
        <v>45013</v>
      </c>
      <c r="V275" s="2948" t="s">
        <v>988</v>
      </c>
    </row>
    <row r="276" spans="1:22" s="2944" customFormat="1" ht="46.8" hidden="1">
      <c r="A276" s="2948">
        <v>275</v>
      </c>
      <c r="B276" s="2948" t="s">
        <v>635</v>
      </c>
      <c r="C276" s="2948" t="s">
        <v>636</v>
      </c>
      <c r="D276" s="2948" t="s">
        <v>972</v>
      </c>
      <c r="E276" s="2948" t="s">
        <v>729</v>
      </c>
      <c r="F276" s="2948" t="s">
        <v>673</v>
      </c>
      <c r="G276" s="2948" t="s">
        <v>640</v>
      </c>
      <c r="H276" s="2948" t="s">
        <v>976</v>
      </c>
      <c r="I276" s="2948" t="s">
        <v>854</v>
      </c>
      <c r="J276" s="2948" t="s">
        <v>643</v>
      </c>
      <c r="K276" s="2950">
        <v>174</v>
      </c>
      <c r="L276" s="2950">
        <v>128.74</v>
      </c>
      <c r="M276" s="2951">
        <v>18571368</v>
      </c>
      <c r="N276" s="2951">
        <v>19140000</v>
      </c>
      <c r="O276" s="2952">
        <v>19140000</v>
      </c>
      <c r="P276" s="2953">
        <v>19140000</v>
      </c>
      <c r="Q276" s="2951">
        <v>19140000</v>
      </c>
      <c r="R276" s="2954">
        <v>44286</v>
      </c>
      <c r="S276" s="2954">
        <v>44286</v>
      </c>
      <c r="T276" s="2954">
        <v>44371</v>
      </c>
      <c r="U276" s="2954">
        <v>44371</v>
      </c>
      <c r="V276" s="2948" t="s">
        <v>989</v>
      </c>
    </row>
    <row r="277" spans="1:22" s="2944" customFormat="1" ht="46.8" hidden="1">
      <c r="A277" s="2948">
        <v>276</v>
      </c>
      <c r="B277" s="2948" t="s">
        <v>635</v>
      </c>
      <c r="C277" s="2948" t="s">
        <v>636</v>
      </c>
      <c r="D277" s="2948" t="s">
        <v>972</v>
      </c>
      <c r="E277" s="2948" t="s">
        <v>729</v>
      </c>
      <c r="F277" s="2948" t="s">
        <v>675</v>
      </c>
      <c r="G277" s="2948" t="s">
        <v>640</v>
      </c>
      <c r="H277" s="2948" t="s">
        <v>974</v>
      </c>
      <c r="I277" s="2948" t="s">
        <v>854</v>
      </c>
      <c r="J277" s="2948" t="s">
        <v>643</v>
      </c>
      <c r="K277" s="2950">
        <v>174.77</v>
      </c>
      <c r="L277" s="2950">
        <v>129.31</v>
      </c>
      <c r="M277" s="2951">
        <v>18653552</v>
      </c>
      <c r="N277" s="2951">
        <v>19224700</v>
      </c>
      <c r="O277" s="2952">
        <v>18842128</v>
      </c>
      <c r="P277" s="2953">
        <v>18842128</v>
      </c>
      <c r="Q277" s="2951">
        <v>18842128</v>
      </c>
      <c r="R277" s="2954">
        <v>44267</v>
      </c>
      <c r="S277" s="2954">
        <v>44316</v>
      </c>
      <c r="T277" s="2954">
        <v>44349</v>
      </c>
      <c r="U277" s="2954">
        <v>44349</v>
      </c>
      <c r="V277" s="2948" t="s">
        <v>990</v>
      </c>
    </row>
    <row r="278" spans="1:22" s="2944" customFormat="1" ht="46.8" hidden="1">
      <c r="A278" s="2948">
        <v>277</v>
      </c>
      <c r="B278" s="2948" t="s">
        <v>635</v>
      </c>
      <c r="C278" s="2948" t="s">
        <v>636</v>
      </c>
      <c r="D278" s="2948" t="s">
        <v>972</v>
      </c>
      <c r="E278" s="2948" t="s">
        <v>729</v>
      </c>
      <c r="F278" s="2948" t="s">
        <v>677</v>
      </c>
      <c r="G278" s="2948" t="s">
        <v>640</v>
      </c>
      <c r="H278" s="2948" t="s">
        <v>976</v>
      </c>
      <c r="I278" s="2948" t="s">
        <v>854</v>
      </c>
      <c r="J278" s="2948" t="s">
        <v>643</v>
      </c>
      <c r="K278" s="2950">
        <v>174</v>
      </c>
      <c r="L278" s="2950">
        <v>128.74</v>
      </c>
      <c r="M278" s="2951">
        <v>18571368</v>
      </c>
      <c r="N278" s="2951">
        <v>19140000</v>
      </c>
      <c r="O278" s="2952">
        <v>19140000</v>
      </c>
      <c r="P278" s="2953">
        <v>19140000</v>
      </c>
      <c r="Q278" s="2951">
        <v>19140000</v>
      </c>
      <c r="R278" s="2954">
        <v>44226</v>
      </c>
      <c r="S278" s="2954">
        <v>44258</v>
      </c>
      <c r="T278" s="2954">
        <v>44260</v>
      </c>
      <c r="U278" s="2954">
        <v>44260</v>
      </c>
      <c r="V278" s="2948" t="s">
        <v>991</v>
      </c>
    </row>
    <row r="279" spans="1:22" s="2944" customFormat="1" ht="46.8" hidden="1">
      <c r="A279" s="2948">
        <v>278</v>
      </c>
      <c r="B279" s="2948" t="s">
        <v>635</v>
      </c>
      <c r="C279" s="2948" t="s">
        <v>636</v>
      </c>
      <c r="D279" s="2948" t="s">
        <v>972</v>
      </c>
      <c r="E279" s="2948" t="s">
        <v>729</v>
      </c>
      <c r="F279" s="2948" t="s">
        <v>679</v>
      </c>
      <c r="G279" s="2948" t="s">
        <v>640</v>
      </c>
      <c r="H279" s="2948" t="s">
        <v>974</v>
      </c>
      <c r="I279" s="2948" t="s">
        <v>854</v>
      </c>
      <c r="J279" s="2948" t="s">
        <v>643</v>
      </c>
      <c r="K279" s="2950">
        <v>174.77</v>
      </c>
      <c r="L279" s="2950">
        <v>129.31</v>
      </c>
      <c r="M279" s="2951">
        <v>18653552</v>
      </c>
      <c r="N279" s="2951">
        <v>19224700</v>
      </c>
      <c r="O279" s="2952">
        <v>19224700</v>
      </c>
      <c r="P279" s="2953">
        <v>19224700</v>
      </c>
      <c r="Q279" s="2951">
        <v>19224700</v>
      </c>
      <c r="R279" s="2954">
        <v>44893</v>
      </c>
      <c r="S279" s="2954">
        <v>44895</v>
      </c>
      <c r="T279" s="2954">
        <v>44984</v>
      </c>
      <c r="U279" s="2954">
        <v>44984</v>
      </c>
      <c r="V279" s="2948" t="s">
        <v>992</v>
      </c>
    </row>
    <row r="280" spans="1:22" s="2944" customFormat="1" ht="46.8" hidden="1">
      <c r="A280" s="2948">
        <v>279</v>
      </c>
      <c r="B280" s="2948" t="s">
        <v>635</v>
      </c>
      <c r="C280" s="2948" t="s">
        <v>636</v>
      </c>
      <c r="D280" s="2948" t="s">
        <v>972</v>
      </c>
      <c r="E280" s="2948" t="s">
        <v>729</v>
      </c>
      <c r="F280" s="2948" t="s">
        <v>681</v>
      </c>
      <c r="G280" s="2948" t="s">
        <v>640</v>
      </c>
      <c r="H280" s="2948" t="s">
        <v>976</v>
      </c>
      <c r="I280" s="2948" t="s">
        <v>854</v>
      </c>
      <c r="J280" s="2948" t="s">
        <v>643</v>
      </c>
      <c r="K280" s="2950">
        <v>174</v>
      </c>
      <c r="L280" s="2950">
        <v>128.74</v>
      </c>
      <c r="M280" s="2951">
        <v>19140000</v>
      </c>
      <c r="N280" s="2951">
        <v>19140000</v>
      </c>
      <c r="O280" s="2952">
        <v>19140000</v>
      </c>
      <c r="P280" s="2953">
        <v>19140000</v>
      </c>
      <c r="Q280" s="2951">
        <v>19140000</v>
      </c>
      <c r="R280" s="2954">
        <v>44998</v>
      </c>
      <c r="S280" s="2954">
        <v>44998</v>
      </c>
      <c r="T280" s="2954">
        <v>45013</v>
      </c>
      <c r="U280" s="2954">
        <v>45013</v>
      </c>
      <c r="V280" s="2948" t="s">
        <v>993</v>
      </c>
    </row>
    <row r="281" spans="1:22" s="2944" customFormat="1" ht="46.8" hidden="1">
      <c r="A281" s="2948">
        <v>280</v>
      </c>
      <c r="B281" s="2948" t="s">
        <v>635</v>
      </c>
      <c r="C281" s="2948" t="s">
        <v>636</v>
      </c>
      <c r="D281" s="2948" t="s">
        <v>972</v>
      </c>
      <c r="E281" s="2948" t="s">
        <v>729</v>
      </c>
      <c r="F281" s="2948" t="s">
        <v>683</v>
      </c>
      <c r="G281" s="2948" t="s">
        <v>640</v>
      </c>
      <c r="H281" s="2948" t="s">
        <v>974</v>
      </c>
      <c r="I281" s="2948" t="s">
        <v>854</v>
      </c>
      <c r="J281" s="2948" t="s">
        <v>643</v>
      </c>
      <c r="K281" s="2950">
        <v>174.77</v>
      </c>
      <c r="L281" s="2950">
        <v>129.31</v>
      </c>
      <c r="M281" s="2951">
        <v>18653552</v>
      </c>
      <c r="N281" s="2951">
        <v>19224700</v>
      </c>
      <c r="O281" s="2952">
        <v>17900022</v>
      </c>
      <c r="P281" s="2953">
        <v>17900022</v>
      </c>
      <c r="Q281" s="2951">
        <v>17900022</v>
      </c>
      <c r="R281" s="2954">
        <v>44259</v>
      </c>
      <c r="S281" s="2954">
        <v>44286</v>
      </c>
      <c r="T281" s="2954">
        <v>44351</v>
      </c>
      <c r="U281" s="2954">
        <v>44351</v>
      </c>
      <c r="V281" s="2948" t="s">
        <v>994</v>
      </c>
    </row>
    <row r="282" spans="1:22" s="2944" customFormat="1" ht="46.8" hidden="1">
      <c r="A282" s="2948">
        <v>281</v>
      </c>
      <c r="B282" s="2948" t="s">
        <v>635</v>
      </c>
      <c r="C282" s="2948" t="s">
        <v>636</v>
      </c>
      <c r="D282" s="2948" t="s">
        <v>972</v>
      </c>
      <c r="E282" s="2948" t="s">
        <v>729</v>
      </c>
      <c r="F282" s="2948" t="s">
        <v>685</v>
      </c>
      <c r="G282" s="2948" t="s">
        <v>640</v>
      </c>
      <c r="H282" s="2948" t="s">
        <v>976</v>
      </c>
      <c r="I282" s="2948" t="s">
        <v>854</v>
      </c>
      <c r="J282" s="2948" t="s">
        <v>643</v>
      </c>
      <c r="K282" s="2950">
        <v>174</v>
      </c>
      <c r="L282" s="2950">
        <v>128.74</v>
      </c>
      <c r="M282" s="2951">
        <v>18571368</v>
      </c>
      <c r="N282" s="2951">
        <v>19140000</v>
      </c>
      <c r="O282" s="2952">
        <v>19140000</v>
      </c>
      <c r="P282" s="2953">
        <v>19140000</v>
      </c>
      <c r="Q282" s="2951">
        <v>19140000</v>
      </c>
      <c r="R282" s="2954">
        <v>44215</v>
      </c>
      <c r="S282" s="2954">
        <v>44284</v>
      </c>
      <c r="T282" s="2954">
        <v>44392</v>
      </c>
      <c r="U282" s="2954">
        <v>44392</v>
      </c>
      <c r="V282" s="2948" t="s">
        <v>995</v>
      </c>
    </row>
    <row r="283" spans="1:22" s="2944" customFormat="1" ht="46.8" hidden="1">
      <c r="A283" s="2948">
        <v>282</v>
      </c>
      <c r="B283" s="2948" t="s">
        <v>635</v>
      </c>
      <c r="C283" s="2948" t="s">
        <v>636</v>
      </c>
      <c r="D283" s="2948" t="s">
        <v>972</v>
      </c>
      <c r="E283" s="2948" t="s">
        <v>729</v>
      </c>
      <c r="F283" s="2948" t="s">
        <v>687</v>
      </c>
      <c r="G283" s="2948" t="s">
        <v>640</v>
      </c>
      <c r="H283" s="2948" t="s">
        <v>974</v>
      </c>
      <c r="I283" s="2948" t="s">
        <v>854</v>
      </c>
      <c r="J283" s="2948" t="s">
        <v>643</v>
      </c>
      <c r="K283" s="2950">
        <v>174.77</v>
      </c>
      <c r="L283" s="2950">
        <v>129.31</v>
      </c>
      <c r="M283" s="2951">
        <v>18653552</v>
      </c>
      <c r="N283" s="2951">
        <v>19224700</v>
      </c>
      <c r="O283" s="2952">
        <v>18842128</v>
      </c>
      <c r="P283" s="2953">
        <v>18842128</v>
      </c>
      <c r="Q283" s="2951">
        <v>18842128</v>
      </c>
      <c r="R283" s="2954">
        <v>44263</v>
      </c>
      <c r="S283" s="2954">
        <v>44266</v>
      </c>
      <c r="T283" s="2954">
        <v>44431</v>
      </c>
      <c r="U283" s="2954">
        <v>44431</v>
      </c>
      <c r="V283" s="2948" t="s">
        <v>996</v>
      </c>
    </row>
    <row r="284" spans="1:22" s="2944" customFormat="1" ht="46.8" hidden="1">
      <c r="A284" s="2948">
        <v>283</v>
      </c>
      <c r="B284" s="2948" t="s">
        <v>635</v>
      </c>
      <c r="C284" s="2948" t="s">
        <v>636</v>
      </c>
      <c r="D284" s="2948" t="s">
        <v>972</v>
      </c>
      <c r="E284" s="2948" t="s">
        <v>729</v>
      </c>
      <c r="F284" s="2948" t="s">
        <v>689</v>
      </c>
      <c r="G284" s="2948" t="s">
        <v>640</v>
      </c>
      <c r="H284" s="2948" t="s">
        <v>976</v>
      </c>
      <c r="I284" s="2948" t="s">
        <v>854</v>
      </c>
      <c r="J284" s="2948" t="s">
        <v>643</v>
      </c>
      <c r="K284" s="2950">
        <v>174</v>
      </c>
      <c r="L284" s="2950">
        <v>128.74</v>
      </c>
      <c r="M284" s="2951">
        <v>18571368</v>
      </c>
      <c r="N284" s="2951">
        <v>19140000</v>
      </c>
      <c r="O284" s="2952">
        <v>18759114</v>
      </c>
      <c r="P284" s="2953">
        <v>18759114</v>
      </c>
      <c r="Q284" s="2951">
        <v>18759114</v>
      </c>
      <c r="R284" s="2954">
        <v>44204</v>
      </c>
      <c r="S284" s="2954">
        <v>44211</v>
      </c>
      <c r="T284" s="2954">
        <v>44810</v>
      </c>
      <c r="U284" s="2954">
        <v>44810</v>
      </c>
      <c r="V284" s="2948" t="s">
        <v>997</v>
      </c>
    </row>
    <row r="285" spans="1:22" s="2944" customFormat="1" ht="46.8" hidden="1">
      <c r="A285" s="2948">
        <v>284</v>
      </c>
      <c r="B285" s="2948" t="s">
        <v>635</v>
      </c>
      <c r="C285" s="2948" t="s">
        <v>636</v>
      </c>
      <c r="D285" s="2948" t="s">
        <v>972</v>
      </c>
      <c r="E285" s="2948" t="s">
        <v>729</v>
      </c>
      <c r="F285" s="2948" t="s">
        <v>691</v>
      </c>
      <c r="G285" s="2948" t="s">
        <v>640</v>
      </c>
      <c r="H285" s="2948" t="s">
        <v>974</v>
      </c>
      <c r="I285" s="2948" t="s">
        <v>854</v>
      </c>
      <c r="J285" s="2948" t="s">
        <v>643</v>
      </c>
      <c r="K285" s="2950">
        <v>174.77</v>
      </c>
      <c r="L285" s="2950">
        <v>129.31</v>
      </c>
      <c r="M285" s="2951">
        <v>18653552</v>
      </c>
      <c r="N285" s="2951">
        <v>19224700</v>
      </c>
      <c r="O285" s="2952">
        <v>18842128</v>
      </c>
      <c r="P285" s="2953">
        <v>18842128</v>
      </c>
      <c r="Q285" s="2951">
        <v>18842128</v>
      </c>
      <c r="R285" s="2954">
        <v>44252</v>
      </c>
      <c r="S285" s="2954">
        <v>44265</v>
      </c>
      <c r="T285" s="2954">
        <v>44326</v>
      </c>
      <c r="U285" s="2954">
        <v>44326</v>
      </c>
      <c r="V285" s="2948" t="s">
        <v>998</v>
      </c>
    </row>
    <row r="286" spans="1:22" s="2944" customFormat="1" ht="46.8" hidden="1">
      <c r="A286" s="2948">
        <v>285</v>
      </c>
      <c r="B286" s="2948" t="s">
        <v>635</v>
      </c>
      <c r="C286" s="2948" t="s">
        <v>636</v>
      </c>
      <c r="D286" s="2948" t="s">
        <v>972</v>
      </c>
      <c r="E286" s="2948" t="s">
        <v>729</v>
      </c>
      <c r="F286" s="2948" t="s">
        <v>693</v>
      </c>
      <c r="G286" s="2948" t="s">
        <v>640</v>
      </c>
      <c r="H286" s="2948" t="s">
        <v>976</v>
      </c>
      <c r="I286" s="2948" t="s">
        <v>854</v>
      </c>
      <c r="J286" s="2948" t="s">
        <v>643</v>
      </c>
      <c r="K286" s="2950">
        <v>174</v>
      </c>
      <c r="L286" s="2950">
        <v>128.74</v>
      </c>
      <c r="M286" s="2951">
        <v>18571368</v>
      </c>
      <c r="N286" s="2951">
        <v>19140000</v>
      </c>
      <c r="O286" s="2952">
        <v>19140000</v>
      </c>
      <c r="P286" s="2953">
        <v>19140000</v>
      </c>
      <c r="Q286" s="2951">
        <v>19140000</v>
      </c>
      <c r="R286" s="2948"/>
      <c r="S286" s="2954">
        <v>44279.566099536998</v>
      </c>
      <c r="T286" s="2954">
        <v>44375</v>
      </c>
      <c r="U286" s="2954">
        <v>44375</v>
      </c>
      <c r="V286" s="2948" t="s">
        <v>999</v>
      </c>
    </row>
    <row r="287" spans="1:22" s="2944" customFormat="1" ht="46.8" hidden="1">
      <c r="A287" s="2948">
        <v>286</v>
      </c>
      <c r="B287" s="2948" t="s">
        <v>635</v>
      </c>
      <c r="C287" s="2948" t="s">
        <v>636</v>
      </c>
      <c r="D287" s="2948" t="s">
        <v>972</v>
      </c>
      <c r="E287" s="2948" t="s">
        <v>729</v>
      </c>
      <c r="F287" s="2948" t="s">
        <v>694</v>
      </c>
      <c r="G287" s="2948" t="s">
        <v>640</v>
      </c>
      <c r="H287" s="2948" t="s">
        <v>974</v>
      </c>
      <c r="I287" s="2948" t="s">
        <v>854</v>
      </c>
      <c r="J287" s="2948" t="s">
        <v>643</v>
      </c>
      <c r="K287" s="2950">
        <v>174.77</v>
      </c>
      <c r="L287" s="2950">
        <v>129.31</v>
      </c>
      <c r="M287" s="2951">
        <v>18653552</v>
      </c>
      <c r="N287" s="2951">
        <v>19224700</v>
      </c>
      <c r="O287" s="2952">
        <v>19224700</v>
      </c>
      <c r="P287" s="2953">
        <v>19224700</v>
      </c>
      <c r="Q287" s="2951">
        <v>19224700</v>
      </c>
      <c r="R287" s="2948"/>
      <c r="S287" s="2954">
        <v>44277.710011574098</v>
      </c>
      <c r="T287" s="2954">
        <v>44560</v>
      </c>
      <c r="U287" s="2954">
        <v>44560</v>
      </c>
      <c r="V287" s="2948" t="s">
        <v>1000</v>
      </c>
    </row>
    <row r="288" spans="1:22" s="2944" customFormat="1" ht="46.8" hidden="1">
      <c r="A288" s="2948">
        <v>287</v>
      </c>
      <c r="B288" s="2948" t="s">
        <v>635</v>
      </c>
      <c r="C288" s="2948" t="s">
        <v>636</v>
      </c>
      <c r="D288" s="2948" t="s">
        <v>972</v>
      </c>
      <c r="E288" s="2948" t="s">
        <v>729</v>
      </c>
      <c r="F288" s="2948" t="s">
        <v>696</v>
      </c>
      <c r="G288" s="2948" t="s">
        <v>640</v>
      </c>
      <c r="H288" s="2948" t="s">
        <v>976</v>
      </c>
      <c r="I288" s="2948" t="s">
        <v>854</v>
      </c>
      <c r="J288" s="2948" t="s">
        <v>643</v>
      </c>
      <c r="K288" s="2950">
        <v>174</v>
      </c>
      <c r="L288" s="2950">
        <v>128.74</v>
      </c>
      <c r="M288" s="2951">
        <v>18571368</v>
      </c>
      <c r="N288" s="2951">
        <v>19140000</v>
      </c>
      <c r="O288" s="2952">
        <v>19140000</v>
      </c>
      <c r="P288" s="2953">
        <v>19140000</v>
      </c>
      <c r="Q288" s="2951">
        <v>19140000</v>
      </c>
      <c r="R288" s="2948"/>
      <c r="S288" s="2954">
        <v>44521.464884259301</v>
      </c>
      <c r="T288" s="2954">
        <v>44579</v>
      </c>
      <c r="U288" s="2954">
        <v>44579</v>
      </c>
      <c r="V288" s="2948" t="s">
        <v>1001</v>
      </c>
    </row>
    <row r="289" spans="1:22" s="2944" customFormat="1" ht="46.8" hidden="1">
      <c r="A289" s="2948">
        <v>288</v>
      </c>
      <c r="B289" s="2948" t="s">
        <v>635</v>
      </c>
      <c r="C289" s="2948" t="s">
        <v>636</v>
      </c>
      <c r="D289" s="2948" t="s">
        <v>972</v>
      </c>
      <c r="E289" s="2948" t="s">
        <v>729</v>
      </c>
      <c r="F289" s="2948" t="s">
        <v>698</v>
      </c>
      <c r="G289" s="2948" t="s">
        <v>640</v>
      </c>
      <c r="H289" s="2948" t="s">
        <v>974</v>
      </c>
      <c r="I289" s="2948" t="s">
        <v>854</v>
      </c>
      <c r="J289" s="2948" t="s">
        <v>643</v>
      </c>
      <c r="K289" s="2950">
        <v>174.77</v>
      </c>
      <c r="L289" s="2950">
        <v>129.31</v>
      </c>
      <c r="M289" s="2951">
        <v>18653552</v>
      </c>
      <c r="N289" s="2951">
        <v>19224700</v>
      </c>
      <c r="O289" s="2952">
        <v>19224700</v>
      </c>
      <c r="P289" s="2953">
        <v>19224700</v>
      </c>
      <c r="Q289" s="2951">
        <v>19224700</v>
      </c>
      <c r="R289" s="2954">
        <v>44220</v>
      </c>
      <c r="S289" s="2954">
        <v>44251</v>
      </c>
      <c r="T289" s="2954">
        <v>44375</v>
      </c>
      <c r="U289" s="2954">
        <v>44375</v>
      </c>
      <c r="V289" s="2948" t="s">
        <v>1002</v>
      </c>
    </row>
    <row r="290" spans="1:22" s="2944" customFormat="1" ht="46.8" hidden="1">
      <c r="A290" s="2948">
        <v>289</v>
      </c>
      <c r="B290" s="2948" t="s">
        <v>635</v>
      </c>
      <c r="C290" s="2948" t="s">
        <v>636</v>
      </c>
      <c r="D290" s="2948" t="s">
        <v>972</v>
      </c>
      <c r="E290" s="2948" t="s">
        <v>729</v>
      </c>
      <c r="F290" s="2948" t="s">
        <v>760</v>
      </c>
      <c r="G290" s="2948" t="s">
        <v>640</v>
      </c>
      <c r="H290" s="2948" t="s">
        <v>976</v>
      </c>
      <c r="I290" s="2948" t="s">
        <v>854</v>
      </c>
      <c r="J290" s="2948" t="s">
        <v>643</v>
      </c>
      <c r="K290" s="2950">
        <v>174</v>
      </c>
      <c r="L290" s="2950">
        <v>128.74</v>
      </c>
      <c r="M290" s="2951">
        <v>18571368</v>
      </c>
      <c r="N290" s="2951">
        <v>19140000</v>
      </c>
      <c r="O290" s="2952">
        <v>17821158</v>
      </c>
      <c r="P290" s="2953">
        <v>17821158</v>
      </c>
      <c r="Q290" s="2951">
        <v>17821158</v>
      </c>
      <c r="R290" s="2954">
        <v>44207</v>
      </c>
      <c r="S290" s="2954">
        <v>44280</v>
      </c>
      <c r="T290" s="2954">
        <v>44328</v>
      </c>
      <c r="U290" s="2954">
        <v>44328</v>
      </c>
      <c r="V290" s="2948" t="s">
        <v>1003</v>
      </c>
    </row>
    <row r="291" spans="1:22" s="2944" customFormat="1" ht="46.8" hidden="1">
      <c r="A291" s="2948">
        <v>290</v>
      </c>
      <c r="B291" s="2948" t="s">
        <v>635</v>
      </c>
      <c r="C291" s="2948" t="s">
        <v>636</v>
      </c>
      <c r="D291" s="2948" t="s">
        <v>972</v>
      </c>
      <c r="E291" s="2948" t="s">
        <v>729</v>
      </c>
      <c r="F291" s="2948" t="s">
        <v>762</v>
      </c>
      <c r="G291" s="2948" t="s">
        <v>640</v>
      </c>
      <c r="H291" s="2948" t="s">
        <v>974</v>
      </c>
      <c r="I291" s="2948" t="s">
        <v>854</v>
      </c>
      <c r="J291" s="2948" t="s">
        <v>643</v>
      </c>
      <c r="K291" s="2950">
        <v>174.77</v>
      </c>
      <c r="L291" s="2950">
        <v>129.31</v>
      </c>
      <c r="M291" s="2951">
        <v>18653552</v>
      </c>
      <c r="N291" s="2951">
        <v>19224700</v>
      </c>
      <c r="O291" s="2952">
        <v>18842128</v>
      </c>
      <c r="P291" s="2953">
        <v>18842128</v>
      </c>
      <c r="Q291" s="2951">
        <v>18842128</v>
      </c>
      <c r="R291" s="2954">
        <v>44203</v>
      </c>
      <c r="S291" s="2954">
        <v>44251</v>
      </c>
      <c r="T291" s="2954">
        <v>44375</v>
      </c>
      <c r="U291" s="2954">
        <v>44375</v>
      </c>
      <c r="V291" s="2948" t="s">
        <v>1004</v>
      </c>
    </row>
    <row r="292" spans="1:22" s="2944" customFormat="1" ht="46.8" hidden="1">
      <c r="A292" s="2948">
        <v>291</v>
      </c>
      <c r="B292" s="2948" t="s">
        <v>635</v>
      </c>
      <c r="C292" s="2948" t="s">
        <v>636</v>
      </c>
      <c r="D292" s="2948" t="s">
        <v>972</v>
      </c>
      <c r="E292" s="2948" t="s">
        <v>729</v>
      </c>
      <c r="F292" s="2948" t="s">
        <v>764</v>
      </c>
      <c r="G292" s="2948" t="s">
        <v>640</v>
      </c>
      <c r="H292" s="2948" t="s">
        <v>976</v>
      </c>
      <c r="I292" s="2948" t="s">
        <v>854</v>
      </c>
      <c r="J292" s="2948" t="s">
        <v>643</v>
      </c>
      <c r="K292" s="2950">
        <v>174</v>
      </c>
      <c r="L292" s="2950">
        <v>128.74</v>
      </c>
      <c r="M292" s="2951">
        <v>18571368</v>
      </c>
      <c r="N292" s="2951">
        <v>19140000</v>
      </c>
      <c r="O292" s="2952">
        <v>18759114</v>
      </c>
      <c r="P292" s="2953">
        <v>18759114</v>
      </c>
      <c r="Q292" s="2951">
        <v>18759114</v>
      </c>
      <c r="R292" s="2954">
        <v>44203</v>
      </c>
      <c r="S292" s="2954">
        <v>44211</v>
      </c>
      <c r="T292" s="2954">
        <v>44247</v>
      </c>
      <c r="U292" s="2954">
        <v>44246</v>
      </c>
      <c r="V292" s="2948" t="s">
        <v>1005</v>
      </c>
    </row>
    <row r="293" spans="1:22" s="2944" customFormat="1" ht="46.8" hidden="1">
      <c r="A293" s="2948">
        <v>292</v>
      </c>
      <c r="B293" s="2948" t="s">
        <v>635</v>
      </c>
      <c r="C293" s="2948" t="s">
        <v>636</v>
      </c>
      <c r="D293" s="2948" t="s">
        <v>972</v>
      </c>
      <c r="E293" s="2948" t="s">
        <v>729</v>
      </c>
      <c r="F293" s="2948" t="s">
        <v>766</v>
      </c>
      <c r="G293" s="2948" t="s">
        <v>640</v>
      </c>
      <c r="H293" s="2948" t="s">
        <v>974</v>
      </c>
      <c r="I293" s="2948" t="s">
        <v>854</v>
      </c>
      <c r="J293" s="2948" t="s">
        <v>643</v>
      </c>
      <c r="K293" s="2950">
        <v>174.77</v>
      </c>
      <c r="L293" s="2950">
        <v>129.31</v>
      </c>
      <c r="M293" s="2951">
        <v>18653552</v>
      </c>
      <c r="N293" s="2951">
        <v>19224700</v>
      </c>
      <c r="O293" s="2952">
        <v>18842128</v>
      </c>
      <c r="P293" s="2953">
        <v>18842128</v>
      </c>
      <c r="Q293" s="2951">
        <v>18842128</v>
      </c>
      <c r="R293" s="2954">
        <v>44204</v>
      </c>
      <c r="S293" s="2954">
        <v>44211</v>
      </c>
      <c r="T293" s="2954">
        <v>44278</v>
      </c>
      <c r="U293" s="2954">
        <v>44278</v>
      </c>
      <c r="V293" s="2948" t="s">
        <v>1006</v>
      </c>
    </row>
    <row r="294" spans="1:22" s="2944" customFormat="1" ht="46.8" hidden="1">
      <c r="A294" s="2948">
        <v>293</v>
      </c>
      <c r="B294" s="2948" t="s">
        <v>635</v>
      </c>
      <c r="C294" s="2948" t="s">
        <v>636</v>
      </c>
      <c r="D294" s="2948" t="s">
        <v>972</v>
      </c>
      <c r="E294" s="2948" t="s">
        <v>729</v>
      </c>
      <c r="F294" s="2948" t="s">
        <v>768</v>
      </c>
      <c r="G294" s="2948" t="s">
        <v>640</v>
      </c>
      <c r="H294" s="2948" t="s">
        <v>976</v>
      </c>
      <c r="I294" s="2948" t="s">
        <v>854</v>
      </c>
      <c r="J294" s="2948" t="s">
        <v>643</v>
      </c>
      <c r="K294" s="2950">
        <v>174</v>
      </c>
      <c r="L294" s="2950">
        <v>128.74</v>
      </c>
      <c r="M294" s="2951">
        <v>18571368</v>
      </c>
      <c r="N294" s="2951">
        <v>19140000</v>
      </c>
      <c r="O294" s="2952">
        <v>18759114</v>
      </c>
      <c r="P294" s="2953">
        <v>18759114</v>
      </c>
      <c r="Q294" s="2951">
        <v>18759114</v>
      </c>
      <c r="R294" s="2954">
        <v>44204</v>
      </c>
      <c r="S294" s="2954">
        <v>44253</v>
      </c>
      <c r="T294" s="2954">
        <v>44327</v>
      </c>
      <c r="U294" s="2954">
        <v>44327</v>
      </c>
      <c r="V294" s="2948" t="s">
        <v>1007</v>
      </c>
    </row>
    <row r="295" spans="1:22" s="2944" customFormat="1" ht="46.8" hidden="1">
      <c r="A295" s="2948">
        <v>294</v>
      </c>
      <c r="B295" s="2948" t="s">
        <v>635</v>
      </c>
      <c r="C295" s="2948" t="s">
        <v>636</v>
      </c>
      <c r="D295" s="2948" t="s">
        <v>972</v>
      </c>
      <c r="E295" s="2948" t="s">
        <v>729</v>
      </c>
      <c r="F295" s="2948" t="s">
        <v>770</v>
      </c>
      <c r="G295" s="2948" t="s">
        <v>640</v>
      </c>
      <c r="H295" s="2948" t="s">
        <v>974</v>
      </c>
      <c r="I295" s="2948" t="s">
        <v>854</v>
      </c>
      <c r="J295" s="2948" t="s">
        <v>643</v>
      </c>
      <c r="K295" s="2950">
        <v>174.77</v>
      </c>
      <c r="L295" s="2950">
        <v>129.31</v>
      </c>
      <c r="M295" s="2951">
        <v>18653552</v>
      </c>
      <c r="N295" s="2951">
        <v>19224700</v>
      </c>
      <c r="O295" s="2952">
        <v>18842128</v>
      </c>
      <c r="P295" s="2953">
        <v>18842128</v>
      </c>
      <c r="Q295" s="2951">
        <v>18842128</v>
      </c>
      <c r="R295" s="2954">
        <v>44203</v>
      </c>
      <c r="S295" s="2954">
        <v>44249</v>
      </c>
      <c r="T295" s="2954">
        <v>44328</v>
      </c>
      <c r="U295" s="2954">
        <v>44328</v>
      </c>
      <c r="V295" s="2948" t="s">
        <v>1008</v>
      </c>
    </row>
    <row r="296" spans="1:22" s="2944" customFormat="1" ht="46.8" hidden="1">
      <c r="A296" s="2948">
        <v>295</v>
      </c>
      <c r="B296" s="2948" t="s">
        <v>635</v>
      </c>
      <c r="C296" s="2948" t="s">
        <v>636</v>
      </c>
      <c r="D296" s="2948" t="s">
        <v>972</v>
      </c>
      <c r="E296" s="2948" t="s">
        <v>729</v>
      </c>
      <c r="F296" s="2948" t="s">
        <v>890</v>
      </c>
      <c r="G296" s="2948" t="s">
        <v>640</v>
      </c>
      <c r="H296" s="2948" t="s">
        <v>976</v>
      </c>
      <c r="I296" s="2948" t="s">
        <v>854</v>
      </c>
      <c r="J296" s="2948" t="s">
        <v>643</v>
      </c>
      <c r="K296" s="2950">
        <v>174</v>
      </c>
      <c r="L296" s="2950">
        <v>128.74</v>
      </c>
      <c r="M296" s="2951">
        <v>18571368</v>
      </c>
      <c r="N296" s="2951">
        <v>19140000</v>
      </c>
      <c r="O296" s="2952">
        <v>19140000</v>
      </c>
      <c r="P296" s="2953">
        <v>19140000</v>
      </c>
      <c r="Q296" s="2951">
        <v>19140000</v>
      </c>
      <c r="R296" s="2948"/>
      <c r="S296" s="2954">
        <v>44286.638657407399</v>
      </c>
      <c r="T296" s="2954">
        <v>44349</v>
      </c>
      <c r="U296" s="2954">
        <v>44349</v>
      </c>
      <c r="V296" s="2948" t="s">
        <v>1009</v>
      </c>
    </row>
    <row r="297" spans="1:22" s="2944" customFormat="1" ht="46.8" hidden="1">
      <c r="A297" s="2948">
        <v>296</v>
      </c>
      <c r="B297" s="2948" t="s">
        <v>635</v>
      </c>
      <c r="C297" s="2948" t="s">
        <v>636</v>
      </c>
      <c r="D297" s="2948" t="s">
        <v>972</v>
      </c>
      <c r="E297" s="2948" t="s">
        <v>729</v>
      </c>
      <c r="F297" s="2948" t="s">
        <v>892</v>
      </c>
      <c r="G297" s="2948" t="s">
        <v>640</v>
      </c>
      <c r="H297" s="2948" t="s">
        <v>974</v>
      </c>
      <c r="I297" s="2948" t="s">
        <v>854</v>
      </c>
      <c r="J297" s="2948" t="s">
        <v>643</v>
      </c>
      <c r="K297" s="2950">
        <v>174.77</v>
      </c>
      <c r="L297" s="2950">
        <v>129.31</v>
      </c>
      <c r="M297" s="2951">
        <v>18653552</v>
      </c>
      <c r="N297" s="2951">
        <v>19224700</v>
      </c>
      <c r="O297" s="2952">
        <v>19032453</v>
      </c>
      <c r="P297" s="2953">
        <v>19032453</v>
      </c>
      <c r="Q297" s="2951">
        <v>19032453</v>
      </c>
      <c r="R297" s="2954">
        <v>44214</v>
      </c>
      <c r="S297" s="2954">
        <v>44222</v>
      </c>
      <c r="T297" s="2954">
        <v>44326</v>
      </c>
      <c r="U297" s="2954">
        <v>44326</v>
      </c>
      <c r="V297" s="2948" t="s">
        <v>1010</v>
      </c>
    </row>
    <row r="298" spans="1:22" s="2944" customFormat="1" ht="46.8" hidden="1">
      <c r="A298" s="2948">
        <v>297</v>
      </c>
      <c r="B298" s="2948" t="s">
        <v>635</v>
      </c>
      <c r="C298" s="2948" t="s">
        <v>636</v>
      </c>
      <c r="D298" s="2948" t="s">
        <v>972</v>
      </c>
      <c r="E298" s="2948" t="s">
        <v>729</v>
      </c>
      <c r="F298" s="2948" t="s">
        <v>894</v>
      </c>
      <c r="G298" s="2948" t="s">
        <v>640</v>
      </c>
      <c r="H298" s="2948" t="s">
        <v>976</v>
      </c>
      <c r="I298" s="2948" t="s">
        <v>854</v>
      </c>
      <c r="J298" s="2948" t="s">
        <v>643</v>
      </c>
      <c r="K298" s="2950">
        <v>174</v>
      </c>
      <c r="L298" s="2950">
        <v>128.74</v>
      </c>
      <c r="M298" s="2951">
        <v>18571368</v>
      </c>
      <c r="N298" s="2951">
        <v>19140000</v>
      </c>
      <c r="O298" s="2952">
        <v>18759114</v>
      </c>
      <c r="P298" s="2953">
        <v>18759114</v>
      </c>
      <c r="Q298" s="2951">
        <v>18759114</v>
      </c>
      <c r="R298" s="2954">
        <v>44204</v>
      </c>
      <c r="S298" s="2954">
        <v>44211</v>
      </c>
      <c r="T298" s="2954">
        <v>44271</v>
      </c>
      <c r="U298" s="2954">
        <v>44271</v>
      </c>
      <c r="V298" s="2948" t="s">
        <v>1011</v>
      </c>
    </row>
    <row r="299" spans="1:22" s="2944" customFormat="1" ht="46.8" hidden="1">
      <c r="A299" s="2948">
        <v>298</v>
      </c>
      <c r="B299" s="2948" t="s">
        <v>635</v>
      </c>
      <c r="C299" s="2948" t="s">
        <v>636</v>
      </c>
      <c r="D299" s="2948" t="s">
        <v>972</v>
      </c>
      <c r="E299" s="2948" t="s">
        <v>729</v>
      </c>
      <c r="F299" s="2948" t="s">
        <v>896</v>
      </c>
      <c r="G299" s="2948" t="s">
        <v>640</v>
      </c>
      <c r="H299" s="2948" t="s">
        <v>974</v>
      </c>
      <c r="I299" s="2948" t="s">
        <v>854</v>
      </c>
      <c r="J299" s="2948" t="s">
        <v>643</v>
      </c>
      <c r="K299" s="2950">
        <v>174.77</v>
      </c>
      <c r="L299" s="2950">
        <v>129.31</v>
      </c>
      <c r="M299" s="2951">
        <v>18653552</v>
      </c>
      <c r="N299" s="2951">
        <v>19224700</v>
      </c>
      <c r="O299" s="2952">
        <v>18842128</v>
      </c>
      <c r="P299" s="2953">
        <v>18842128</v>
      </c>
      <c r="Q299" s="2951">
        <v>18842129</v>
      </c>
      <c r="R299" s="2954">
        <v>44204</v>
      </c>
      <c r="S299" s="2954">
        <v>44286</v>
      </c>
      <c r="T299" s="2954">
        <v>44376</v>
      </c>
      <c r="U299" s="2954">
        <v>44376</v>
      </c>
      <c r="V299" s="2948" t="s">
        <v>1012</v>
      </c>
    </row>
    <row r="300" spans="1:22" s="2944" customFormat="1" ht="46.8" hidden="1">
      <c r="A300" s="2948">
        <v>299</v>
      </c>
      <c r="B300" s="2948" t="s">
        <v>635</v>
      </c>
      <c r="C300" s="2948" t="s">
        <v>636</v>
      </c>
      <c r="D300" s="2948" t="s">
        <v>972</v>
      </c>
      <c r="E300" s="2948" t="s">
        <v>729</v>
      </c>
      <c r="F300" s="2948" t="s">
        <v>898</v>
      </c>
      <c r="G300" s="2948" t="s">
        <v>640</v>
      </c>
      <c r="H300" s="2948" t="s">
        <v>976</v>
      </c>
      <c r="I300" s="2948" t="s">
        <v>854</v>
      </c>
      <c r="J300" s="2948" t="s">
        <v>643</v>
      </c>
      <c r="K300" s="2950">
        <v>174</v>
      </c>
      <c r="L300" s="2950">
        <v>128.74</v>
      </c>
      <c r="M300" s="2951">
        <v>18571368</v>
      </c>
      <c r="N300" s="2951">
        <v>19140000</v>
      </c>
      <c r="O300" s="2952">
        <v>18759114</v>
      </c>
      <c r="P300" s="2953">
        <v>18759114</v>
      </c>
      <c r="Q300" s="2951">
        <v>18759114</v>
      </c>
      <c r="R300" s="2954">
        <v>44207</v>
      </c>
      <c r="S300" s="2954">
        <v>44309</v>
      </c>
      <c r="T300" s="2954">
        <v>44452</v>
      </c>
      <c r="U300" s="2954">
        <v>44452</v>
      </c>
      <c r="V300" s="2948" t="s">
        <v>1013</v>
      </c>
    </row>
    <row r="301" spans="1:22" s="2944" customFormat="1" ht="46.8" hidden="1">
      <c r="A301" s="2948">
        <v>300</v>
      </c>
      <c r="B301" s="2948" t="s">
        <v>635</v>
      </c>
      <c r="C301" s="2948" t="s">
        <v>636</v>
      </c>
      <c r="D301" s="2948" t="s">
        <v>972</v>
      </c>
      <c r="E301" s="2948" t="s">
        <v>729</v>
      </c>
      <c r="F301" s="2948" t="s">
        <v>900</v>
      </c>
      <c r="G301" s="2948" t="s">
        <v>640</v>
      </c>
      <c r="H301" s="2948" t="s">
        <v>974</v>
      </c>
      <c r="I301" s="2948" t="s">
        <v>854</v>
      </c>
      <c r="J301" s="2948" t="s">
        <v>643</v>
      </c>
      <c r="K301" s="2950">
        <v>174.77</v>
      </c>
      <c r="L301" s="2950">
        <v>129.31</v>
      </c>
      <c r="M301" s="2951">
        <v>18653552</v>
      </c>
      <c r="N301" s="2951">
        <v>19224700</v>
      </c>
      <c r="O301" s="2952">
        <v>18842128</v>
      </c>
      <c r="P301" s="2953">
        <v>18842128</v>
      </c>
      <c r="Q301" s="2951">
        <v>18842128</v>
      </c>
      <c r="R301" s="2954">
        <v>44202</v>
      </c>
      <c r="S301" s="2954">
        <v>44211</v>
      </c>
      <c r="T301" s="2954">
        <v>44236</v>
      </c>
      <c r="U301" s="2954">
        <v>44236</v>
      </c>
      <c r="V301" s="2948" t="s">
        <v>1014</v>
      </c>
    </row>
    <row r="302" spans="1:22" s="2944" customFormat="1" ht="46.8" hidden="1">
      <c r="A302" s="2948">
        <v>301</v>
      </c>
      <c r="B302" s="2948" t="s">
        <v>635</v>
      </c>
      <c r="C302" s="2948" t="s">
        <v>636</v>
      </c>
      <c r="D302" s="2948" t="s">
        <v>972</v>
      </c>
      <c r="E302" s="2948" t="s">
        <v>729</v>
      </c>
      <c r="F302" s="2948" t="s">
        <v>902</v>
      </c>
      <c r="G302" s="2948" t="s">
        <v>640</v>
      </c>
      <c r="H302" s="2948" t="s">
        <v>976</v>
      </c>
      <c r="I302" s="2948" t="s">
        <v>854</v>
      </c>
      <c r="J302" s="2948" t="s">
        <v>643</v>
      </c>
      <c r="K302" s="2950">
        <v>174</v>
      </c>
      <c r="L302" s="2950">
        <v>128.74</v>
      </c>
      <c r="M302" s="2951">
        <v>18571368</v>
      </c>
      <c r="N302" s="2951">
        <v>19140000</v>
      </c>
      <c r="O302" s="2952">
        <v>18759114</v>
      </c>
      <c r="P302" s="2953">
        <v>18759114</v>
      </c>
      <c r="Q302" s="2951">
        <v>18759114</v>
      </c>
      <c r="R302" s="2954">
        <v>44203</v>
      </c>
      <c r="S302" s="2954">
        <v>44211</v>
      </c>
      <c r="T302" s="2954">
        <v>44328</v>
      </c>
      <c r="U302" s="2954">
        <v>44328</v>
      </c>
      <c r="V302" s="2948" t="s">
        <v>1015</v>
      </c>
    </row>
    <row r="303" spans="1:22" s="2944" customFormat="1" ht="46.8" hidden="1">
      <c r="A303" s="2948">
        <v>302</v>
      </c>
      <c r="B303" s="2948" t="s">
        <v>635</v>
      </c>
      <c r="C303" s="2948" t="s">
        <v>636</v>
      </c>
      <c r="D303" s="2948" t="s">
        <v>972</v>
      </c>
      <c r="E303" s="2948" t="s">
        <v>729</v>
      </c>
      <c r="F303" s="2948" t="s">
        <v>904</v>
      </c>
      <c r="G303" s="2948" t="s">
        <v>640</v>
      </c>
      <c r="H303" s="2948" t="s">
        <v>974</v>
      </c>
      <c r="I303" s="2948" t="s">
        <v>854</v>
      </c>
      <c r="J303" s="2948" t="s">
        <v>643</v>
      </c>
      <c r="K303" s="2950">
        <v>174.77</v>
      </c>
      <c r="L303" s="2950">
        <v>129.31</v>
      </c>
      <c r="M303" s="2951">
        <v>18653552</v>
      </c>
      <c r="N303" s="2951">
        <v>19224700</v>
      </c>
      <c r="O303" s="2952">
        <v>19224700</v>
      </c>
      <c r="P303" s="2953">
        <v>19224700</v>
      </c>
      <c r="Q303" s="2951">
        <v>19224700</v>
      </c>
      <c r="R303" s="2954">
        <v>44226</v>
      </c>
      <c r="S303" s="2954">
        <v>44252</v>
      </c>
      <c r="T303" s="2954">
        <v>44271</v>
      </c>
      <c r="U303" s="2954">
        <v>44271</v>
      </c>
      <c r="V303" s="2948" t="s">
        <v>1016</v>
      </c>
    </row>
    <row r="304" spans="1:22" s="2944" customFormat="1" ht="46.8" hidden="1">
      <c r="A304" s="2948">
        <v>303</v>
      </c>
      <c r="B304" s="2948" t="s">
        <v>635</v>
      </c>
      <c r="C304" s="2948" t="s">
        <v>636</v>
      </c>
      <c r="D304" s="2948" t="s">
        <v>972</v>
      </c>
      <c r="E304" s="2948" t="s">
        <v>729</v>
      </c>
      <c r="F304" s="2948" t="s">
        <v>906</v>
      </c>
      <c r="G304" s="2948" t="s">
        <v>640</v>
      </c>
      <c r="H304" s="2948" t="s">
        <v>976</v>
      </c>
      <c r="I304" s="2948" t="s">
        <v>854</v>
      </c>
      <c r="J304" s="2948" t="s">
        <v>643</v>
      </c>
      <c r="K304" s="2950">
        <v>174</v>
      </c>
      <c r="L304" s="2950">
        <v>128.74</v>
      </c>
      <c r="M304" s="2951">
        <v>18571368</v>
      </c>
      <c r="N304" s="2951">
        <v>19140000</v>
      </c>
      <c r="O304" s="2952">
        <v>18759114</v>
      </c>
      <c r="P304" s="2953">
        <v>18759114</v>
      </c>
      <c r="Q304" s="2951">
        <v>18759114</v>
      </c>
      <c r="R304" s="2954">
        <v>44207</v>
      </c>
      <c r="S304" s="2954">
        <v>44211</v>
      </c>
      <c r="T304" s="2954">
        <v>44394</v>
      </c>
      <c r="U304" s="2954">
        <v>44394</v>
      </c>
      <c r="V304" s="2948" t="s">
        <v>1017</v>
      </c>
    </row>
    <row r="305" spans="1:23" s="2944" customFormat="1" ht="46.8" hidden="1">
      <c r="A305" s="2948">
        <v>304</v>
      </c>
      <c r="B305" s="2948" t="s">
        <v>635</v>
      </c>
      <c r="C305" s="2948" t="s">
        <v>636</v>
      </c>
      <c r="D305" s="2948" t="s">
        <v>972</v>
      </c>
      <c r="E305" s="2948" t="s">
        <v>729</v>
      </c>
      <c r="F305" s="2948" t="s">
        <v>908</v>
      </c>
      <c r="G305" s="2948" t="s">
        <v>640</v>
      </c>
      <c r="H305" s="2948" t="s">
        <v>974</v>
      </c>
      <c r="I305" s="2948" t="s">
        <v>854</v>
      </c>
      <c r="J305" s="2948" t="s">
        <v>643</v>
      </c>
      <c r="K305" s="2950">
        <v>174.77</v>
      </c>
      <c r="L305" s="2950">
        <v>129.31</v>
      </c>
      <c r="M305" s="2951">
        <v>18653552</v>
      </c>
      <c r="N305" s="2951">
        <v>19224700</v>
      </c>
      <c r="O305" s="2952">
        <v>18263465</v>
      </c>
      <c r="P305" s="2953">
        <v>18263465</v>
      </c>
      <c r="Q305" s="2951">
        <v>18263465</v>
      </c>
      <c r="R305" s="2954">
        <v>44732</v>
      </c>
      <c r="S305" s="2954">
        <v>44741</v>
      </c>
      <c r="T305" s="2954">
        <v>44757</v>
      </c>
      <c r="U305" s="2954">
        <v>44757</v>
      </c>
      <c r="V305" s="2948" t="s">
        <v>1018</v>
      </c>
    </row>
    <row r="306" spans="1:23" s="2944" customFormat="1" ht="46.8" hidden="1">
      <c r="A306" s="2948">
        <v>305</v>
      </c>
      <c r="B306" s="2948" t="s">
        <v>635</v>
      </c>
      <c r="C306" s="2948" t="s">
        <v>636</v>
      </c>
      <c r="D306" s="2948" t="s">
        <v>972</v>
      </c>
      <c r="E306" s="2948" t="s">
        <v>729</v>
      </c>
      <c r="F306" s="2948" t="s">
        <v>910</v>
      </c>
      <c r="G306" s="2948" t="s">
        <v>640</v>
      </c>
      <c r="H306" s="2948" t="s">
        <v>976</v>
      </c>
      <c r="I306" s="2948" t="s">
        <v>854</v>
      </c>
      <c r="J306" s="2948" t="s">
        <v>643</v>
      </c>
      <c r="K306" s="2950">
        <v>174</v>
      </c>
      <c r="L306" s="2950">
        <v>128.74</v>
      </c>
      <c r="M306" s="2951">
        <v>18571368</v>
      </c>
      <c r="N306" s="2951">
        <v>19140000</v>
      </c>
      <c r="O306" s="2952">
        <v>17821158</v>
      </c>
      <c r="P306" s="2953">
        <v>17821158</v>
      </c>
      <c r="Q306" s="2951">
        <v>17821158</v>
      </c>
      <c r="R306" s="2948"/>
      <c r="S306" s="2954">
        <v>44732</v>
      </c>
      <c r="T306" s="2954">
        <v>45014</v>
      </c>
      <c r="U306" s="2954">
        <v>45014</v>
      </c>
      <c r="V306" s="2948" t="s">
        <v>1019</v>
      </c>
    </row>
    <row r="307" spans="1:23" s="2944" customFormat="1" ht="46.8" hidden="1">
      <c r="A307" s="2948">
        <v>306</v>
      </c>
      <c r="B307" s="2948" t="s">
        <v>635</v>
      </c>
      <c r="C307" s="2948" t="s">
        <v>636</v>
      </c>
      <c r="D307" s="2948" t="s">
        <v>972</v>
      </c>
      <c r="E307" s="2948" t="s">
        <v>729</v>
      </c>
      <c r="F307" s="2948" t="s">
        <v>912</v>
      </c>
      <c r="G307" s="2948" t="s">
        <v>640</v>
      </c>
      <c r="H307" s="2948" t="s">
        <v>974</v>
      </c>
      <c r="I307" s="2948" t="s">
        <v>854</v>
      </c>
      <c r="J307" s="2948" t="s">
        <v>643</v>
      </c>
      <c r="K307" s="2950">
        <v>174.77</v>
      </c>
      <c r="L307" s="2950">
        <v>129.31</v>
      </c>
      <c r="M307" s="2951">
        <v>18653552</v>
      </c>
      <c r="N307" s="2951">
        <v>19224700</v>
      </c>
      <c r="O307" s="2952">
        <v>18842128</v>
      </c>
      <c r="P307" s="2953">
        <v>18842128</v>
      </c>
      <c r="Q307" s="2951">
        <v>18842128</v>
      </c>
      <c r="R307" s="2954">
        <v>44202</v>
      </c>
      <c r="S307" s="2954">
        <v>44211</v>
      </c>
      <c r="T307" s="2954">
        <v>44235</v>
      </c>
      <c r="U307" s="2954">
        <v>44235</v>
      </c>
      <c r="V307" s="2948" t="s">
        <v>1020</v>
      </c>
    </row>
    <row r="308" spans="1:23" s="2944" customFormat="1" ht="46.8" hidden="1">
      <c r="A308" s="2948">
        <v>307</v>
      </c>
      <c r="B308" s="2948" t="s">
        <v>635</v>
      </c>
      <c r="C308" s="2948" t="s">
        <v>636</v>
      </c>
      <c r="D308" s="2948" t="s">
        <v>972</v>
      </c>
      <c r="E308" s="2948" t="s">
        <v>729</v>
      </c>
      <c r="F308" s="2948" t="s">
        <v>914</v>
      </c>
      <c r="G308" s="2948" t="s">
        <v>640</v>
      </c>
      <c r="H308" s="2948" t="s">
        <v>976</v>
      </c>
      <c r="I308" s="2948" t="s">
        <v>854</v>
      </c>
      <c r="J308" s="2948" t="s">
        <v>643</v>
      </c>
      <c r="K308" s="2950">
        <v>174</v>
      </c>
      <c r="L308" s="2950">
        <v>128.74</v>
      </c>
      <c r="M308" s="2951">
        <v>18571368</v>
      </c>
      <c r="N308" s="2951">
        <v>19140000</v>
      </c>
      <c r="O308" s="2952">
        <v>18759114</v>
      </c>
      <c r="P308" s="2953">
        <v>18759114</v>
      </c>
      <c r="Q308" s="2951">
        <v>18759114</v>
      </c>
      <c r="R308" s="2954">
        <v>44204</v>
      </c>
      <c r="S308" s="2954">
        <v>44278</v>
      </c>
      <c r="T308" s="2954">
        <v>44326</v>
      </c>
      <c r="U308" s="2954">
        <v>44326</v>
      </c>
      <c r="V308" s="2948" t="s">
        <v>1021</v>
      </c>
    </row>
    <row r="309" spans="1:23" s="2944" customFormat="1" ht="46.8" hidden="1">
      <c r="A309" s="2948">
        <v>308</v>
      </c>
      <c r="B309" s="2948" t="s">
        <v>635</v>
      </c>
      <c r="C309" s="2948" t="s">
        <v>636</v>
      </c>
      <c r="D309" s="2948" t="s">
        <v>972</v>
      </c>
      <c r="E309" s="2948" t="s">
        <v>729</v>
      </c>
      <c r="F309" s="2948" t="s">
        <v>916</v>
      </c>
      <c r="G309" s="2948" t="s">
        <v>640</v>
      </c>
      <c r="H309" s="2948" t="s">
        <v>974</v>
      </c>
      <c r="I309" s="2948" t="s">
        <v>854</v>
      </c>
      <c r="J309" s="2948" t="s">
        <v>643</v>
      </c>
      <c r="K309" s="2950">
        <v>174.77</v>
      </c>
      <c r="L309" s="2950">
        <v>129.31</v>
      </c>
      <c r="M309" s="2951">
        <v>18653552</v>
      </c>
      <c r="N309" s="2951">
        <v>19224700</v>
      </c>
      <c r="O309" s="2952">
        <v>18842128</v>
      </c>
      <c r="P309" s="2953">
        <v>18842128</v>
      </c>
      <c r="Q309" s="2951">
        <v>18842128</v>
      </c>
      <c r="R309" s="2954">
        <v>44203</v>
      </c>
      <c r="S309" s="2954">
        <v>44211</v>
      </c>
      <c r="T309" s="2954">
        <v>44246</v>
      </c>
      <c r="U309" s="2954">
        <v>44246</v>
      </c>
      <c r="V309" s="2948" t="s">
        <v>1022</v>
      </c>
    </row>
    <row r="310" spans="1:23" s="2944" customFormat="1" ht="46.8" hidden="1">
      <c r="A310" s="2948">
        <v>309</v>
      </c>
      <c r="B310" s="2948" t="s">
        <v>635</v>
      </c>
      <c r="C310" s="2948" t="s">
        <v>636</v>
      </c>
      <c r="D310" s="2948" t="s">
        <v>972</v>
      </c>
      <c r="E310" s="2948" t="s">
        <v>729</v>
      </c>
      <c r="F310" s="2948" t="s">
        <v>968</v>
      </c>
      <c r="G310" s="2948" t="s">
        <v>640</v>
      </c>
      <c r="H310" s="2948" t="s">
        <v>976</v>
      </c>
      <c r="I310" s="2948" t="s">
        <v>854</v>
      </c>
      <c r="J310" s="2948" t="s">
        <v>643</v>
      </c>
      <c r="K310" s="2950">
        <v>174</v>
      </c>
      <c r="L310" s="2950">
        <v>128.74</v>
      </c>
      <c r="M310" s="2951">
        <v>18571368</v>
      </c>
      <c r="N310" s="2951">
        <v>19140000</v>
      </c>
      <c r="O310" s="2952">
        <v>19140000</v>
      </c>
      <c r="P310" s="2953">
        <v>19140000</v>
      </c>
      <c r="Q310" s="2951">
        <v>19140000</v>
      </c>
      <c r="R310" s="2954">
        <v>44279</v>
      </c>
      <c r="S310" s="2954">
        <v>44316</v>
      </c>
      <c r="T310" s="2954">
        <v>44740</v>
      </c>
      <c r="U310" s="2954">
        <v>44740</v>
      </c>
      <c r="V310" s="2948" t="s">
        <v>1023</v>
      </c>
    </row>
    <row r="311" spans="1:23" s="2944" customFormat="1" ht="46.8" hidden="1">
      <c r="A311" s="2948">
        <v>310</v>
      </c>
      <c r="B311" s="2948" t="s">
        <v>635</v>
      </c>
      <c r="C311" s="2948" t="s">
        <v>636</v>
      </c>
      <c r="D311" s="2948" t="s">
        <v>972</v>
      </c>
      <c r="E311" s="2948" t="s">
        <v>729</v>
      </c>
      <c r="F311" s="2948" t="s">
        <v>970</v>
      </c>
      <c r="G311" s="2948" t="s">
        <v>640</v>
      </c>
      <c r="H311" s="2948" t="s">
        <v>974</v>
      </c>
      <c r="I311" s="2948" t="s">
        <v>854</v>
      </c>
      <c r="J311" s="2948" t="s">
        <v>643</v>
      </c>
      <c r="K311" s="2950">
        <v>174.77</v>
      </c>
      <c r="L311" s="2950">
        <v>129.31</v>
      </c>
      <c r="M311" s="2951">
        <v>18653552</v>
      </c>
      <c r="N311" s="2951">
        <v>19224700</v>
      </c>
      <c r="O311" s="2952">
        <v>19224700</v>
      </c>
      <c r="P311" s="2953">
        <v>19224700</v>
      </c>
      <c r="Q311" s="2951">
        <v>19224700</v>
      </c>
      <c r="R311" s="2954">
        <v>44804</v>
      </c>
      <c r="S311" s="2954">
        <v>44830</v>
      </c>
      <c r="T311" s="2954">
        <v>44921</v>
      </c>
      <c r="U311" s="2954">
        <v>44921</v>
      </c>
      <c r="V311" s="2948" t="s">
        <v>1024</v>
      </c>
    </row>
    <row r="312" spans="1:23" s="2944" customFormat="1" ht="46.8">
      <c r="A312" s="2948">
        <v>311</v>
      </c>
      <c r="B312" s="2948" t="s">
        <v>635</v>
      </c>
      <c r="C312" s="2948" t="s">
        <v>636</v>
      </c>
      <c r="D312" s="2948" t="s">
        <v>1025</v>
      </c>
      <c r="E312" s="2948" t="s">
        <v>729</v>
      </c>
      <c r="F312" s="2948" t="s">
        <v>683</v>
      </c>
      <c r="G312" s="2948" t="s">
        <v>640</v>
      </c>
      <c r="H312" s="2948" t="s">
        <v>1026</v>
      </c>
      <c r="I312" s="2948" t="s">
        <v>1027</v>
      </c>
      <c r="J312" s="2948" t="s">
        <v>643</v>
      </c>
      <c r="K312" s="2950">
        <v>31.47</v>
      </c>
      <c r="L312" s="2950">
        <v>13.25</v>
      </c>
      <c r="M312" s="2951">
        <v>544975</v>
      </c>
      <c r="N312" s="2951">
        <v>544975</v>
      </c>
      <c r="O312" s="2952">
        <v>544975</v>
      </c>
      <c r="P312" s="2953">
        <v>544975</v>
      </c>
      <c r="Q312" s="2951">
        <v>544975</v>
      </c>
      <c r="R312" s="2954">
        <v>44278</v>
      </c>
      <c r="S312" s="2954">
        <v>44279</v>
      </c>
      <c r="T312" s="2954">
        <v>44391</v>
      </c>
      <c r="U312" s="2954">
        <v>44391</v>
      </c>
      <c r="V312" s="2948" t="s">
        <v>882</v>
      </c>
      <c r="W312" s="2944">
        <f t="shared" ref="W312:W375" si="0">O312/K312</f>
        <v>17317.286304416899</v>
      </c>
    </row>
    <row r="313" spans="1:23" s="2944" customFormat="1" ht="46.8">
      <c r="A313" s="2948">
        <v>312</v>
      </c>
      <c r="B313" s="2948" t="s">
        <v>635</v>
      </c>
      <c r="C313" s="2948" t="s">
        <v>636</v>
      </c>
      <c r="D313" s="2948" t="s">
        <v>1025</v>
      </c>
      <c r="E313" s="2948" t="s">
        <v>729</v>
      </c>
      <c r="F313" s="2948" t="s">
        <v>681</v>
      </c>
      <c r="G313" s="2948" t="s">
        <v>640</v>
      </c>
      <c r="H313" s="2948" t="s">
        <v>1026</v>
      </c>
      <c r="I313" s="2948" t="s">
        <v>1027</v>
      </c>
      <c r="J313" s="2948" t="s">
        <v>643</v>
      </c>
      <c r="K313" s="2950">
        <v>31.47</v>
      </c>
      <c r="L313" s="2950">
        <v>13.25</v>
      </c>
      <c r="M313" s="2951">
        <v>544975</v>
      </c>
      <c r="N313" s="2951">
        <v>544975</v>
      </c>
      <c r="O313" s="2952">
        <v>544975</v>
      </c>
      <c r="P313" s="2953">
        <v>544975</v>
      </c>
      <c r="Q313" s="2951">
        <v>544975</v>
      </c>
      <c r="R313" s="2954">
        <v>44278</v>
      </c>
      <c r="S313" s="2954">
        <v>44279</v>
      </c>
      <c r="T313" s="2954">
        <v>44757</v>
      </c>
      <c r="U313" s="2954">
        <v>44757</v>
      </c>
      <c r="V313" s="2948" t="s">
        <v>861</v>
      </c>
      <c r="W313" s="2944">
        <f t="shared" si="0"/>
        <v>17317.286304416899</v>
      </c>
    </row>
    <row r="314" spans="1:23" s="2944" customFormat="1" ht="46.8">
      <c r="A314" s="2948">
        <v>313</v>
      </c>
      <c r="B314" s="2948" t="s">
        <v>635</v>
      </c>
      <c r="C314" s="2948" t="s">
        <v>636</v>
      </c>
      <c r="D314" s="2948" t="s">
        <v>1025</v>
      </c>
      <c r="E314" s="2948" t="s">
        <v>729</v>
      </c>
      <c r="F314" s="2948" t="s">
        <v>1028</v>
      </c>
      <c r="G314" s="2948" t="s">
        <v>640</v>
      </c>
      <c r="H314" s="2948" t="s">
        <v>1026</v>
      </c>
      <c r="I314" s="2948" t="s">
        <v>1027</v>
      </c>
      <c r="J314" s="2948" t="s">
        <v>643</v>
      </c>
      <c r="K314" s="2950">
        <v>31.47</v>
      </c>
      <c r="L314" s="2950">
        <v>13.25</v>
      </c>
      <c r="M314" s="2951">
        <v>544975</v>
      </c>
      <c r="N314" s="2951">
        <v>544975</v>
      </c>
      <c r="O314" s="2952">
        <v>544975</v>
      </c>
      <c r="P314" s="2953">
        <v>544975</v>
      </c>
      <c r="Q314" s="2951">
        <v>544975</v>
      </c>
      <c r="R314" s="2954">
        <v>44284</v>
      </c>
      <c r="S314" s="2954">
        <v>44284</v>
      </c>
      <c r="T314" s="2954">
        <v>44429</v>
      </c>
      <c r="U314" s="2954">
        <v>44429</v>
      </c>
      <c r="V314" s="2948" t="s">
        <v>1029</v>
      </c>
      <c r="W314" s="2944">
        <f t="shared" si="0"/>
        <v>17317.286304416899</v>
      </c>
    </row>
    <row r="315" spans="1:23" s="2944" customFormat="1" ht="46.8">
      <c r="A315" s="2948">
        <v>314</v>
      </c>
      <c r="B315" s="2948" t="s">
        <v>635</v>
      </c>
      <c r="C315" s="2948" t="s">
        <v>636</v>
      </c>
      <c r="D315" s="2948" t="s">
        <v>1025</v>
      </c>
      <c r="E315" s="2948" t="s">
        <v>729</v>
      </c>
      <c r="F315" s="2948" t="s">
        <v>1030</v>
      </c>
      <c r="G315" s="2948" t="s">
        <v>640</v>
      </c>
      <c r="H315" s="2948" t="s">
        <v>1031</v>
      </c>
      <c r="I315" s="2948" t="s">
        <v>1027</v>
      </c>
      <c r="J315" s="2948" t="s">
        <v>643</v>
      </c>
      <c r="K315" s="2950">
        <v>26.72</v>
      </c>
      <c r="L315" s="2950">
        <v>11.25</v>
      </c>
      <c r="M315" s="2951">
        <v>544974</v>
      </c>
      <c r="N315" s="2951">
        <v>544974</v>
      </c>
      <c r="O315" s="2952">
        <v>544974</v>
      </c>
      <c r="P315" s="2953">
        <v>544974</v>
      </c>
      <c r="Q315" s="2951">
        <v>544974</v>
      </c>
      <c r="R315" s="2954">
        <v>44736</v>
      </c>
      <c r="S315" s="2954">
        <v>44737</v>
      </c>
      <c r="T315" s="2954">
        <v>44739</v>
      </c>
      <c r="U315" s="2954">
        <v>44739</v>
      </c>
      <c r="V315" s="2948" t="s">
        <v>1032</v>
      </c>
      <c r="W315" s="2944">
        <f t="shared" si="0"/>
        <v>20395.7335329341</v>
      </c>
    </row>
    <row r="316" spans="1:23" s="2944" customFormat="1" ht="46.8">
      <c r="A316" s="2948">
        <v>315</v>
      </c>
      <c r="B316" s="2948" t="s">
        <v>635</v>
      </c>
      <c r="C316" s="2948" t="s">
        <v>636</v>
      </c>
      <c r="D316" s="2948" t="s">
        <v>1025</v>
      </c>
      <c r="E316" s="2948" t="s">
        <v>729</v>
      </c>
      <c r="F316" s="2948" t="s">
        <v>1033</v>
      </c>
      <c r="G316" s="2948" t="s">
        <v>640</v>
      </c>
      <c r="H316" s="2948" t="s">
        <v>1026</v>
      </c>
      <c r="I316" s="2948" t="s">
        <v>1027</v>
      </c>
      <c r="J316" s="2948" t="s">
        <v>643</v>
      </c>
      <c r="K316" s="2950">
        <v>31.47</v>
      </c>
      <c r="L316" s="2950">
        <v>13.25</v>
      </c>
      <c r="M316" s="2951">
        <v>544975</v>
      </c>
      <c r="N316" s="2951">
        <v>544975</v>
      </c>
      <c r="O316" s="2952">
        <v>544975</v>
      </c>
      <c r="P316" s="2953">
        <v>544975</v>
      </c>
      <c r="Q316" s="2951">
        <v>544975</v>
      </c>
      <c r="R316" s="2948"/>
      <c r="S316" s="2954">
        <v>44739</v>
      </c>
      <c r="T316" s="2954">
        <v>44739</v>
      </c>
      <c r="U316" s="2954">
        <v>44739</v>
      </c>
      <c r="V316" s="2948" t="s">
        <v>1032</v>
      </c>
      <c r="W316" s="2944">
        <f t="shared" si="0"/>
        <v>17317.286304416899</v>
      </c>
    </row>
    <row r="317" spans="1:23" s="2944" customFormat="1" ht="46.8" hidden="1">
      <c r="A317" s="2948">
        <v>316</v>
      </c>
      <c r="B317" s="2948" t="s">
        <v>635</v>
      </c>
      <c r="C317" s="2948" t="s">
        <v>636</v>
      </c>
      <c r="D317" s="2948" t="s">
        <v>1025</v>
      </c>
      <c r="E317" s="2948" t="s">
        <v>729</v>
      </c>
      <c r="F317" s="2948" t="s">
        <v>1034</v>
      </c>
      <c r="G317" s="2948" t="s">
        <v>1035</v>
      </c>
      <c r="H317" s="2948" t="s">
        <v>1031</v>
      </c>
      <c r="I317" s="2948" t="s">
        <v>1027</v>
      </c>
      <c r="J317" s="2948" t="s">
        <v>643</v>
      </c>
      <c r="K317" s="2950">
        <v>26.72</v>
      </c>
      <c r="L317" s="2950">
        <v>11.25</v>
      </c>
      <c r="M317" s="2951">
        <v>544974</v>
      </c>
      <c r="N317" s="2951">
        <v>544974</v>
      </c>
      <c r="O317" s="2955"/>
      <c r="P317" s="2948"/>
      <c r="Q317" s="2951">
        <v>0</v>
      </c>
      <c r="R317" s="2948"/>
      <c r="S317" s="2948"/>
      <c r="T317" s="2948"/>
      <c r="U317" s="2948"/>
      <c r="V317" s="2948"/>
      <c r="W317" s="2944">
        <f t="shared" si="0"/>
        <v>0</v>
      </c>
    </row>
    <row r="318" spans="1:23" s="2944" customFormat="1" ht="46.8">
      <c r="A318" s="2948">
        <v>317</v>
      </c>
      <c r="B318" s="2948" t="s">
        <v>635</v>
      </c>
      <c r="C318" s="2948" t="s">
        <v>636</v>
      </c>
      <c r="D318" s="2948" t="s">
        <v>1025</v>
      </c>
      <c r="E318" s="2948" t="s">
        <v>729</v>
      </c>
      <c r="F318" s="2948" t="s">
        <v>1036</v>
      </c>
      <c r="G318" s="2948" t="s">
        <v>640</v>
      </c>
      <c r="H318" s="2948" t="s">
        <v>1026</v>
      </c>
      <c r="I318" s="2948" t="s">
        <v>1027</v>
      </c>
      <c r="J318" s="2948" t="s">
        <v>643</v>
      </c>
      <c r="K318" s="2950">
        <v>31.47</v>
      </c>
      <c r="L318" s="2950">
        <v>13.25</v>
      </c>
      <c r="M318" s="2951">
        <v>544975</v>
      </c>
      <c r="N318" s="2951">
        <v>544975</v>
      </c>
      <c r="O318" s="2952">
        <v>475000</v>
      </c>
      <c r="P318" s="2953">
        <v>475000</v>
      </c>
      <c r="Q318" s="2951">
        <v>517726</v>
      </c>
      <c r="R318" s="2954">
        <v>45043</v>
      </c>
      <c r="S318" s="2954">
        <v>45044</v>
      </c>
      <c r="T318" s="2948"/>
      <c r="U318" s="2948"/>
      <c r="V318" s="2948" t="s">
        <v>888</v>
      </c>
      <c r="W318" s="2944">
        <f t="shared" si="0"/>
        <v>15093.740069907801</v>
      </c>
    </row>
    <row r="319" spans="1:23" s="2944" customFormat="1" ht="46.8">
      <c r="A319" s="2948">
        <v>318</v>
      </c>
      <c r="B319" s="2948" t="s">
        <v>635</v>
      </c>
      <c r="C319" s="2948" t="s">
        <v>636</v>
      </c>
      <c r="D319" s="2948" t="s">
        <v>1025</v>
      </c>
      <c r="E319" s="2948" t="s">
        <v>729</v>
      </c>
      <c r="F319" s="2948" t="s">
        <v>1037</v>
      </c>
      <c r="G319" s="2948" t="s">
        <v>640</v>
      </c>
      <c r="H319" s="2948" t="s">
        <v>1026</v>
      </c>
      <c r="I319" s="2948" t="s">
        <v>1027</v>
      </c>
      <c r="J319" s="2948" t="s">
        <v>643</v>
      </c>
      <c r="K319" s="2950">
        <v>31.47</v>
      </c>
      <c r="L319" s="2950">
        <v>13.25</v>
      </c>
      <c r="M319" s="2951">
        <v>544975</v>
      </c>
      <c r="N319" s="2951">
        <v>544975</v>
      </c>
      <c r="O319" s="2952">
        <v>517726</v>
      </c>
      <c r="P319" s="2953">
        <v>517726</v>
      </c>
      <c r="Q319" s="2951">
        <v>517726</v>
      </c>
      <c r="R319" s="2954">
        <v>44273</v>
      </c>
      <c r="S319" s="2954">
        <v>44279</v>
      </c>
      <c r="T319" s="2954">
        <v>44391</v>
      </c>
      <c r="U319" s="2954">
        <v>44391</v>
      </c>
      <c r="V319" s="2948" t="s">
        <v>899</v>
      </c>
      <c r="W319" s="2944">
        <f t="shared" si="0"/>
        <v>16451.414045122299</v>
      </c>
    </row>
    <row r="320" spans="1:23" s="2944" customFormat="1" ht="46.8">
      <c r="A320" s="2948">
        <v>319</v>
      </c>
      <c r="B320" s="2948" t="s">
        <v>635</v>
      </c>
      <c r="C320" s="2948" t="s">
        <v>636</v>
      </c>
      <c r="D320" s="2948" t="s">
        <v>1025</v>
      </c>
      <c r="E320" s="2948" t="s">
        <v>729</v>
      </c>
      <c r="F320" s="2948" t="s">
        <v>1038</v>
      </c>
      <c r="G320" s="2948" t="s">
        <v>640</v>
      </c>
      <c r="H320" s="2948" t="s">
        <v>1026</v>
      </c>
      <c r="I320" s="2948" t="s">
        <v>1027</v>
      </c>
      <c r="J320" s="2948" t="s">
        <v>643</v>
      </c>
      <c r="K320" s="2950">
        <v>31.47</v>
      </c>
      <c r="L320" s="2950">
        <v>13.25</v>
      </c>
      <c r="M320" s="2951">
        <v>544975</v>
      </c>
      <c r="N320" s="2951">
        <v>544975</v>
      </c>
      <c r="O320" s="2952">
        <v>544975</v>
      </c>
      <c r="P320" s="2953">
        <v>544975</v>
      </c>
      <c r="Q320" s="2951">
        <v>544975</v>
      </c>
      <c r="R320" s="2954">
        <v>44278</v>
      </c>
      <c r="S320" s="2954">
        <v>44279</v>
      </c>
      <c r="T320" s="2954">
        <v>44386</v>
      </c>
      <c r="U320" s="2954">
        <v>44386</v>
      </c>
      <c r="V320" s="2948" t="s">
        <v>915</v>
      </c>
      <c r="W320" s="2944">
        <f t="shared" si="0"/>
        <v>17317.286304416899</v>
      </c>
    </row>
    <row r="321" spans="1:23" s="2944" customFormat="1" ht="46.8">
      <c r="A321" s="2948">
        <v>320</v>
      </c>
      <c r="B321" s="2948" t="s">
        <v>635</v>
      </c>
      <c r="C321" s="2948" t="s">
        <v>636</v>
      </c>
      <c r="D321" s="2948" t="s">
        <v>1025</v>
      </c>
      <c r="E321" s="2948" t="s">
        <v>729</v>
      </c>
      <c r="F321" s="2948" t="s">
        <v>1039</v>
      </c>
      <c r="G321" s="2948" t="s">
        <v>640</v>
      </c>
      <c r="H321" s="2948" t="s">
        <v>1026</v>
      </c>
      <c r="I321" s="2948" t="s">
        <v>1027</v>
      </c>
      <c r="J321" s="2948" t="s">
        <v>643</v>
      </c>
      <c r="K321" s="2950">
        <v>31.47</v>
      </c>
      <c r="L321" s="2950">
        <v>13.25</v>
      </c>
      <c r="M321" s="2951">
        <v>544975</v>
      </c>
      <c r="N321" s="2951">
        <v>544975</v>
      </c>
      <c r="O321" s="2952">
        <v>544975</v>
      </c>
      <c r="P321" s="2953">
        <v>544975</v>
      </c>
      <c r="Q321" s="2951">
        <v>544975</v>
      </c>
      <c r="R321" s="2954">
        <v>44278</v>
      </c>
      <c r="S321" s="2954">
        <v>44279</v>
      </c>
      <c r="T321" s="2954">
        <v>44757</v>
      </c>
      <c r="U321" s="2954">
        <v>44757</v>
      </c>
      <c r="V321" s="2948" t="s">
        <v>880</v>
      </c>
      <c r="W321" s="2944">
        <f t="shared" si="0"/>
        <v>17317.286304416899</v>
      </c>
    </row>
    <row r="322" spans="1:23" s="2944" customFormat="1" ht="46.8" hidden="1">
      <c r="A322" s="2948">
        <v>321</v>
      </c>
      <c r="B322" s="2948" t="s">
        <v>635</v>
      </c>
      <c r="C322" s="2948" t="s">
        <v>636</v>
      </c>
      <c r="D322" s="2948" t="s">
        <v>1025</v>
      </c>
      <c r="E322" s="2948" t="s">
        <v>729</v>
      </c>
      <c r="F322" s="2948" t="s">
        <v>1040</v>
      </c>
      <c r="G322" s="2948" t="s">
        <v>1041</v>
      </c>
      <c r="H322" s="2948" t="s">
        <v>1042</v>
      </c>
      <c r="I322" s="2948" t="s">
        <v>1027</v>
      </c>
      <c r="J322" s="2948" t="s">
        <v>643</v>
      </c>
      <c r="K322" s="2950">
        <v>35.630000000000003</v>
      </c>
      <c r="L322" s="2950">
        <v>15</v>
      </c>
      <c r="M322" s="2951">
        <v>0</v>
      </c>
      <c r="N322" s="2951">
        <v>0</v>
      </c>
      <c r="O322" s="2955"/>
      <c r="P322" s="2948"/>
      <c r="Q322" s="2951">
        <v>0</v>
      </c>
      <c r="R322" s="2948"/>
      <c r="S322" s="2948"/>
      <c r="T322" s="2948"/>
      <c r="U322" s="2948"/>
      <c r="V322" s="2948"/>
      <c r="W322" s="2944">
        <f t="shared" si="0"/>
        <v>0</v>
      </c>
    </row>
    <row r="323" spans="1:23" s="2944" customFormat="1" ht="46.8" hidden="1">
      <c r="A323" s="2948">
        <v>322</v>
      </c>
      <c r="B323" s="2948" t="s">
        <v>635</v>
      </c>
      <c r="C323" s="2948" t="s">
        <v>636</v>
      </c>
      <c r="D323" s="2948" t="s">
        <v>1025</v>
      </c>
      <c r="E323" s="2948" t="s">
        <v>729</v>
      </c>
      <c r="F323" s="2948" t="s">
        <v>1043</v>
      </c>
      <c r="G323" s="2948" t="s">
        <v>1041</v>
      </c>
      <c r="H323" s="2948" t="s">
        <v>1026</v>
      </c>
      <c r="I323" s="2948" t="s">
        <v>1027</v>
      </c>
      <c r="J323" s="2948" t="s">
        <v>643</v>
      </c>
      <c r="K323" s="2950">
        <v>31.47</v>
      </c>
      <c r="L323" s="2950">
        <v>13.25</v>
      </c>
      <c r="M323" s="2951">
        <v>0</v>
      </c>
      <c r="N323" s="2951">
        <v>0</v>
      </c>
      <c r="O323" s="2955"/>
      <c r="P323" s="2948"/>
      <c r="Q323" s="2951">
        <v>0</v>
      </c>
      <c r="R323" s="2948"/>
      <c r="S323" s="2948"/>
      <c r="T323" s="2948"/>
      <c r="U323" s="2948"/>
      <c r="V323" s="2948"/>
      <c r="W323" s="2944">
        <f t="shared" si="0"/>
        <v>0</v>
      </c>
    </row>
    <row r="324" spans="1:23" s="2944" customFormat="1" ht="46.8">
      <c r="A324" s="2948">
        <v>323</v>
      </c>
      <c r="B324" s="2948" t="s">
        <v>635</v>
      </c>
      <c r="C324" s="2948" t="s">
        <v>636</v>
      </c>
      <c r="D324" s="2948" t="s">
        <v>1025</v>
      </c>
      <c r="E324" s="2948" t="s">
        <v>729</v>
      </c>
      <c r="F324" s="2948" t="s">
        <v>1044</v>
      </c>
      <c r="G324" s="2948" t="s">
        <v>640</v>
      </c>
      <c r="H324" s="2948" t="s">
        <v>1026</v>
      </c>
      <c r="I324" s="2948" t="s">
        <v>1027</v>
      </c>
      <c r="J324" s="2948" t="s">
        <v>643</v>
      </c>
      <c r="K324" s="2950">
        <v>31.47</v>
      </c>
      <c r="L324" s="2950">
        <v>13.25</v>
      </c>
      <c r="M324" s="2951">
        <v>544975</v>
      </c>
      <c r="N324" s="2951">
        <v>544975</v>
      </c>
      <c r="O324" s="2952">
        <v>544975</v>
      </c>
      <c r="P324" s="2953">
        <v>544975</v>
      </c>
      <c r="Q324" s="2951">
        <v>544975</v>
      </c>
      <c r="R324" s="2954">
        <v>44277</v>
      </c>
      <c r="S324" s="2954">
        <v>44279</v>
      </c>
      <c r="T324" s="2954">
        <v>44385</v>
      </c>
      <c r="U324" s="2954">
        <v>44385</v>
      </c>
      <c r="V324" s="2948" t="s">
        <v>678</v>
      </c>
      <c r="W324" s="2944">
        <f t="shared" si="0"/>
        <v>17317.286304416899</v>
      </c>
    </row>
    <row r="325" spans="1:23" s="2944" customFormat="1" ht="46.8">
      <c r="A325" s="2948">
        <v>324</v>
      </c>
      <c r="B325" s="2948" t="s">
        <v>635</v>
      </c>
      <c r="C325" s="2948" t="s">
        <v>636</v>
      </c>
      <c r="D325" s="2948" t="s">
        <v>1025</v>
      </c>
      <c r="E325" s="2948" t="s">
        <v>729</v>
      </c>
      <c r="F325" s="2948" t="s">
        <v>1045</v>
      </c>
      <c r="G325" s="2948" t="s">
        <v>640</v>
      </c>
      <c r="H325" s="2948" t="s">
        <v>1026</v>
      </c>
      <c r="I325" s="2948" t="s">
        <v>1027</v>
      </c>
      <c r="J325" s="2948" t="s">
        <v>643</v>
      </c>
      <c r="K325" s="2950">
        <v>31.47</v>
      </c>
      <c r="L325" s="2950">
        <v>13.25</v>
      </c>
      <c r="M325" s="2951">
        <v>544975</v>
      </c>
      <c r="N325" s="2951">
        <v>544975</v>
      </c>
      <c r="O325" s="2952">
        <v>544975</v>
      </c>
      <c r="P325" s="2953">
        <v>544975</v>
      </c>
      <c r="Q325" s="2951">
        <v>544975</v>
      </c>
      <c r="R325" s="2954">
        <v>44278</v>
      </c>
      <c r="S325" s="2954">
        <v>44279</v>
      </c>
      <c r="T325" s="2954">
        <v>44378</v>
      </c>
      <c r="U325" s="2954">
        <v>44375</v>
      </c>
      <c r="V325" s="2948" t="s">
        <v>680</v>
      </c>
      <c r="W325" s="2944">
        <f t="shared" si="0"/>
        <v>17317.286304416899</v>
      </c>
    </row>
    <row r="326" spans="1:23" s="2944" customFormat="1" ht="46.8">
      <c r="A326" s="2948">
        <v>325</v>
      </c>
      <c r="B326" s="2948" t="s">
        <v>635</v>
      </c>
      <c r="C326" s="2948" t="s">
        <v>636</v>
      </c>
      <c r="D326" s="2948" t="s">
        <v>1025</v>
      </c>
      <c r="E326" s="2948" t="s">
        <v>729</v>
      </c>
      <c r="F326" s="2948" t="s">
        <v>1046</v>
      </c>
      <c r="G326" s="2948" t="s">
        <v>640</v>
      </c>
      <c r="H326" s="2948" t="s">
        <v>1026</v>
      </c>
      <c r="I326" s="2948" t="s">
        <v>1027</v>
      </c>
      <c r="J326" s="2948" t="s">
        <v>643</v>
      </c>
      <c r="K326" s="2950">
        <v>31.47</v>
      </c>
      <c r="L326" s="2950">
        <v>13.25</v>
      </c>
      <c r="M326" s="2951">
        <v>544975</v>
      </c>
      <c r="N326" s="2951">
        <v>544975</v>
      </c>
      <c r="O326" s="2952">
        <v>517726</v>
      </c>
      <c r="P326" s="2953">
        <v>517726</v>
      </c>
      <c r="Q326" s="2951">
        <v>517726</v>
      </c>
      <c r="R326" s="2954">
        <v>44278</v>
      </c>
      <c r="S326" s="2954">
        <v>44279</v>
      </c>
      <c r="T326" s="2954">
        <v>44386</v>
      </c>
      <c r="U326" s="2954">
        <v>44386</v>
      </c>
      <c r="V326" s="2948" t="s">
        <v>684</v>
      </c>
      <c r="W326" s="2944">
        <f t="shared" si="0"/>
        <v>16451.414045122299</v>
      </c>
    </row>
    <row r="327" spans="1:23" s="2944" customFormat="1" ht="46.8">
      <c r="A327" s="2948">
        <v>326</v>
      </c>
      <c r="B327" s="2948" t="s">
        <v>635</v>
      </c>
      <c r="C327" s="2948" t="s">
        <v>636</v>
      </c>
      <c r="D327" s="2948" t="s">
        <v>1025</v>
      </c>
      <c r="E327" s="2948" t="s">
        <v>729</v>
      </c>
      <c r="F327" s="2948" t="s">
        <v>1047</v>
      </c>
      <c r="G327" s="2948" t="s">
        <v>640</v>
      </c>
      <c r="H327" s="2948" t="s">
        <v>1026</v>
      </c>
      <c r="I327" s="2948" t="s">
        <v>1027</v>
      </c>
      <c r="J327" s="2948" t="s">
        <v>643</v>
      </c>
      <c r="K327" s="2950">
        <v>31.47</v>
      </c>
      <c r="L327" s="2950">
        <v>13.25</v>
      </c>
      <c r="M327" s="2951">
        <v>544975</v>
      </c>
      <c r="N327" s="2951">
        <v>544975</v>
      </c>
      <c r="O327" s="2952">
        <v>544975</v>
      </c>
      <c r="P327" s="2953">
        <v>544975</v>
      </c>
      <c r="Q327" s="2951">
        <v>544975</v>
      </c>
      <c r="R327" s="2954">
        <v>44280</v>
      </c>
      <c r="S327" s="2954">
        <v>44282</v>
      </c>
      <c r="T327" s="2954">
        <v>44377</v>
      </c>
      <c r="U327" s="2954">
        <v>44377</v>
      </c>
      <c r="V327" s="2948" t="s">
        <v>717</v>
      </c>
      <c r="W327" s="2944">
        <f t="shared" si="0"/>
        <v>17317.286304416899</v>
      </c>
    </row>
    <row r="328" spans="1:23" s="2944" customFormat="1" ht="46.8">
      <c r="A328" s="2948">
        <v>327</v>
      </c>
      <c r="B328" s="2948" t="s">
        <v>635</v>
      </c>
      <c r="C328" s="2948" t="s">
        <v>636</v>
      </c>
      <c r="D328" s="2948" t="s">
        <v>1025</v>
      </c>
      <c r="E328" s="2948" t="s">
        <v>729</v>
      </c>
      <c r="F328" s="2948" t="s">
        <v>1048</v>
      </c>
      <c r="G328" s="2948" t="s">
        <v>640</v>
      </c>
      <c r="H328" s="2948" t="s">
        <v>1026</v>
      </c>
      <c r="I328" s="2948" t="s">
        <v>1027</v>
      </c>
      <c r="J328" s="2948" t="s">
        <v>643</v>
      </c>
      <c r="K328" s="2950">
        <v>31.47</v>
      </c>
      <c r="L328" s="2950">
        <v>13.25</v>
      </c>
      <c r="M328" s="2951">
        <v>544975</v>
      </c>
      <c r="N328" s="2951">
        <v>544975</v>
      </c>
      <c r="O328" s="2952">
        <v>544975</v>
      </c>
      <c r="P328" s="2953">
        <v>544975</v>
      </c>
      <c r="Q328" s="2951">
        <v>544975</v>
      </c>
      <c r="R328" s="2954">
        <v>44735</v>
      </c>
      <c r="S328" s="2954">
        <v>44737</v>
      </c>
      <c r="T328" s="2954">
        <v>44754</v>
      </c>
      <c r="U328" s="2954">
        <v>44754</v>
      </c>
      <c r="V328" s="2948" t="s">
        <v>715</v>
      </c>
      <c r="W328" s="2944">
        <f t="shared" si="0"/>
        <v>17317.286304416899</v>
      </c>
    </row>
    <row r="329" spans="1:23" s="2944" customFormat="1" ht="46.8" hidden="1">
      <c r="A329" s="2948">
        <v>328</v>
      </c>
      <c r="B329" s="2948" t="s">
        <v>635</v>
      </c>
      <c r="C329" s="2948" t="s">
        <v>636</v>
      </c>
      <c r="D329" s="2948" t="s">
        <v>1025</v>
      </c>
      <c r="E329" s="2948" t="s">
        <v>729</v>
      </c>
      <c r="F329" s="2948" t="s">
        <v>1049</v>
      </c>
      <c r="G329" s="2948" t="s">
        <v>1041</v>
      </c>
      <c r="H329" s="2948" t="s">
        <v>1026</v>
      </c>
      <c r="I329" s="2948" t="s">
        <v>1027</v>
      </c>
      <c r="J329" s="2948" t="s">
        <v>643</v>
      </c>
      <c r="K329" s="2950">
        <v>31.47</v>
      </c>
      <c r="L329" s="2950">
        <v>13.25</v>
      </c>
      <c r="M329" s="2951">
        <v>0</v>
      </c>
      <c r="N329" s="2951">
        <v>0</v>
      </c>
      <c r="O329" s="2955"/>
      <c r="P329" s="2948"/>
      <c r="Q329" s="2951">
        <v>0</v>
      </c>
      <c r="R329" s="2948"/>
      <c r="S329" s="2948"/>
      <c r="T329" s="2948"/>
      <c r="U329" s="2948"/>
      <c r="V329" s="2948"/>
      <c r="W329" s="2944">
        <f t="shared" si="0"/>
        <v>0</v>
      </c>
    </row>
    <row r="330" spans="1:23" s="2944" customFormat="1" ht="46.8">
      <c r="A330" s="2948">
        <v>329</v>
      </c>
      <c r="B330" s="2948" t="s">
        <v>635</v>
      </c>
      <c r="C330" s="2948" t="s">
        <v>636</v>
      </c>
      <c r="D330" s="2948" t="s">
        <v>1025</v>
      </c>
      <c r="E330" s="2948" t="s">
        <v>729</v>
      </c>
      <c r="F330" s="2948" t="s">
        <v>1050</v>
      </c>
      <c r="G330" s="2948" t="s">
        <v>640</v>
      </c>
      <c r="H330" s="2948" t="s">
        <v>1026</v>
      </c>
      <c r="I330" s="2948" t="s">
        <v>1027</v>
      </c>
      <c r="J330" s="2948" t="s">
        <v>643</v>
      </c>
      <c r="K330" s="2950">
        <v>31.47</v>
      </c>
      <c r="L330" s="2950">
        <v>13.25</v>
      </c>
      <c r="M330" s="2951">
        <v>544975</v>
      </c>
      <c r="N330" s="2951">
        <v>544975</v>
      </c>
      <c r="O330" s="2952">
        <v>544975</v>
      </c>
      <c r="P330" s="2953">
        <v>544975</v>
      </c>
      <c r="Q330" s="2951">
        <v>544975</v>
      </c>
      <c r="R330" s="2954">
        <v>45044</v>
      </c>
      <c r="S330" s="2954">
        <v>45044</v>
      </c>
      <c r="T330" s="2954">
        <v>45138</v>
      </c>
      <c r="U330" s="2954">
        <v>45138</v>
      </c>
      <c r="V330" s="2948" t="s">
        <v>712</v>
      </c>
      <c r="W330" s="2944">
        <f t="shared" si="0"/>
        <v>17317.286304416899</v>
      </c>
    </row>
    <row r="331" spans="1:23" s="2944" customFormat="1" ht="46.8">
      <c r="A331" s="2948">
        <v>330</v>
      </c>
      <c r="B331" s="2948" t="s">
        <v>635</v>
      </c>
      <c r="C331" s="2948" t="s">
        <v>636</v>
      </c>
      <c r="D331" s="2948" t="s">
        <v>1025</v>
      </c>
      <c r="E331" s="2948" t="s">
        <v>729</v>
      </c>
      <c r="F331" s="2948" t="s">
        <v>1051</v>
      </c>
      <c r="G331" s="2948" t="s">
        <v>640</v>
      </c>
      <c r="H331" s="2948" t="s">
        <v>1026</v>
      </c>
      <c r="I331" s="2948" t="s">
        <v>1027</v>
      </c>
      <c r="J331" s="2948" t="s">
        <v>643</v>
      </c>
      <c r="K331" s="2950">
        <v>31.47</v>
      </c>
      <c r="L331" s="2950">
        <v>13.25</v>
      </c>
      <c r="M331" s="2951">
        <v>544975</v>
      </c>
      <c r="N331" s="2951">
        <v>544975</v>
      </c>
      <c r="O331" s="2952">
        <v>544975</v>
      </c>
      <c r="P331" s="2953">
        <v>544975</v>
      </c>
      <c r="Q331" s="2951">
        <v>544975</v>
      </c>
      <c r="R331" s="2954">
        <v>44277</v>
      </c>
      <c r="S331" s="2954">
        <v>44279</v>
      </c>
      <c r="T331" s="2954">
        <v>44398</v>
      </c>
      <c r="U331" s="2954">
        <v>44398</v>
      </c>
      <c r="V331" s="2948" t="s">
        <v>721</v>
      </c>
      <c r="W331" s="2944">
        <f t="shared" si="0"/>
        <v>17317.286304416899</v>
      </c>
    </row>
    <row r="332" spans="1:23" s="2944" customFormat="1" ht="46.8" hidden="1">
      <c r="A332" s="2948">
        <v>331</v>
      </c>
      <c r="B332" s="2948" t="s">
        <v>635</v>
      </c>
      <c r="C332" s="2948" t="s">
        <v>636</v>
      </c>
      <c r="D332" s="2948" t="s">
        <v>1025</v>
      </c>
      <c r="E332" s="2948" t="s">
        <v>729</v>
      </c>
      <c r="F332" s="2948" t="s">
        <v>1052</v>
      </c>
      <c r="G332" s="2948" t="s">
        <v>1041</v>
      </c>
      <c r="H332" s="2948" t="s">
        <v>1026</v>
      </c>
      <c r="I332" s="2948" t="s">
        <v>1027</v>
      </c>
      <c r="J332" s="2948" t="s">
        <v>643</v>
      </c>
      <c r="K332" s="2950">
        <v>31.47</v>
      </c>
      <c r="L332" s="2950">
        <v>13.25</v>
      </c>
      <c r="M332" s="2951">
        <v>544975</v>
      </c>
      <c r="N332" s="2951">
        <v>544975</v>
      </c>
      <c r="O332" s="2955"/>
      <c r="P332" s="2948"/>
      <c r="Q332" s="2951">
        <v>0</v>
      </c>
      <c r="R332" s="2948"/>
      <c r="S332" s="2948"/>
      <c r="T332" s="2948"/>
      <c r="U332" s="2948"/>
      <c r="V332" s="2948"/>
      <c r="W332" s="2944">
        <f t="shared" si="0"/>
        <v>0</v>
      </c>
    </row>
    <row r="333" spans="1:23" s="2944" customFormat="1" ht="46.8" hidden="1">
      <c r="A333" s="2948">
        <v>332</v>
      </c>
      <c r="B333" s="2948" t="s">
        <v>635</v>
      </c>
      <c r="C333" s="2948" t="s">
        <v>636</v>
      </c>
      <c r="D333" s="2948" t="s">
        <v>1025</v>
      </c>
      <c r="E333" s="2948" t="s">
        <v>729</v>
      </c>
      <c r="F333" s="2948" t="s">
        <v>1053</v>
      </c>
      <c r="G333" s="2948" t="s">
        <v>1041</v>
      </c>
      <c r="H333" s="2948" t="s">
        <v>1026</v>
      </c>
      <c r="I333" s="2948" t="s">
        <v>1027</v>
      </c>
      <c r="J333" s="2948" t="s">
        <v>643</v>
      </c>
      <c r="K333" s="2950">
        <v>31.47</v>
      </c>
      <c r="L333" s="2950">
        <v>13.25</v>
      </c>
      <c r="M333" s="2951">
        <v>0</v>
      </c>
      <c r="N333" s="2951">
        <v>0</v>
      </c>
      <c r="O333" s="2955"/>
      <c r="P333" s="2948"/>
      <c r="Q333" s="2951">
        <v>0</v>
      </c>
      <c r="R333" s="2948"/>
      <c r="S333" s="2948"/>
      <c r="T333" s="2948"/>
      <c r="U333" s="2948"/>
      <c r="V333" s="2948"/>
      <c r="W333" s="2944">
        <f t="shared" si="0"/>
        <v>0</v>
      </c>
    </row>
    <row r="334" spans="1:23" s="2944" customFormat="1" ht="46.8">
      <c r="A334" s="2948">
        <v>333</v>
      </c>
      <c r="B334" s="2948" t="s">
        <v>635</v>
      </c>
      <c r="C334" s="2948" t="s">
        <v>636</v>
      </c>
      <c r="D334" s="2948" t="s">
        <v>1025</v>
      </c>
      <c r="E334" s="2948" t="s">
        <v>729</v>
      </c>
      <c r="F334" s="2948" t="s">
        <v>1054</v>
      </c>
      <c r="G334" s="2948" t="s">
        <v>640</v>
      </c>
      <c r="H334" s="2948" t="s">
        <v>1026</v>
      </c>
      <c r="I334" s="2948" t="s">
        <v>1027</v>
      </c>
      <c r="J334" s="2948" t="s">
        <v>643</v>
      </c>
      <c r="K334" s="2950">
        <v>31.47</v>
      </c>
      <c r="L334" s="2950">
        <v>13.25</v>
      </c>
      <c r="M334" s="2951">
        <v>544975</v>
      </c>
      <c r="N334" s="2951">
        <v>544975</v>
      </c>
      <c r="O334" s="2952">
        <v>544975</v>
      </c>
      <c r="P334" s="2953">
        <v>544975</v>
      </c>
      <c r="Q334" s="2951">
        <v>544975</v>
      </c>
      <c r="R334" s="2954">
        <v>45044</v>
      </c>
      <c r="S334" s="2954">
        <v>45044</v>
      </c>
      <c r="T334" s="2954">
        <v>45174</v>
      </c>
      <c r="U334" s="2954">
        <v>45174</v>
      </c>
      <c r="V334" s="2948" t="s">
        <v>699</v>
      </c>
      <c r="W334" s="2944">
        <f t="shared" si="0"/>
        <v>17317.286304416899</v>
      </c>
    </row>
    <row r="335" spans="1:23" s="2944" customFormat="1" ht="46.8">
      <c r="A335" s="2948">
        <v>334</v>
      </c>
      <c r="B335" s="2948" t="s">
        <v>635</v>
      </c>
      <c r="C335" s="2948" t="s">
        <v>636</v>
      </c>
      <c r="D335" s="2948" t="s">
        <v>1025</v>
      </c>
      <c r="E335" s="2948" t="s">
        <v>729</v>
      </c>
      <c r="F335" s="2948" t="s">
        <v>1055</v>
      </c>
      <c r="G335" s="2948" t="s">
        <v>640</v>
      </c>
      <c r="H335" s="2948" t="s">
        <v>1026</v>
      </c>
      <c r="I335" s="2948" t="s">
        <v>1027</v>
      </c>
      <c r="J335" s="2948" t="s">
        <v>643</v>
      </c>
      <c r="K335" s="2950">
        <v>31.47</v>
      </c>
      <c r="L335" s="2950">
        <v>13.25</v>
      </c>
      <c r="M335" s="2951">
        <v>544975</v>
      </c>
      <c r="N335" s="2951">
        <v>544975</v>
      </c>
      <c r="O335" s="2952">
        <v>544975</v>
      </c>
      <c r="P335" s="2953">
        <v>544975</v>
      </c>
      <c r="Q335" s="2951">
        <v>544975</v>
      </c>
      <c r="R335" s="2954">
        <v>44273</v>
      </c>
      <c r="S335" s="2954">
        <v>44277</v>
      </c>
      <c r="T335" s="2954">
        <v>44386</v>
      </c>
      <c r="U335" s="2954">
        <v>44386</v>
      </c>
      <c r="V335" s="2948" t="s">
        <v>758</v>
      </c>
      <c r="W335" s="2944">
        <f t="shared" si="0"/>
        <v>17317.286304416899</v>
      </c>
    </row>
    <row r="336" spans="1:23" s="2944" customFormat="1" ht="46.8">
      <c r="A336" s="2948">
        <v>335</v>
      </c>
      <c r="B336" s="2948" t="s">
        <v>635</v>
      </c>
      <c r="C336" s="2948" t="s">
        <v>636</v>
      </c>
      <c r="D336" s="2948" t="s">
        <v>1025</v>
      </c>
      <c r="E336" s="2948" t="s">
        <v>729</v>
      </c>
      <c r="F336" s="2948" t="s">
        <v>1056</v>
      </c>
      <c r="G336" s="2948" t="s">
        <v>640</v>
      </c>
      <c r="H336" s="2948" t="s">
        <v>1026</v>
      </c>
      <c r="I336" s="2948" t="s">
        <v>1027</v>
      </c>
      <c r="J336" s="2948" t="s">
        <v>643</v>
      </c>
      <c r="K336" s="2950">
        <v>31.47</v>
      </c>
      <c r="L336" s="2950">
        <v>13.25</v>
      </c>
      <c r="M336" s="2951">
        <v>544975</v>
      </c>
      <c r="N336" s="2951">
        <v>544975</v>
      </c>
      <c r="O336" s="2952">
        <v>544975</v>
      </c>
      <c r="P336" s="2953">
        <v>544975</v>
      </c>
      <c r="Q336" s="2951">
        <v>544975</v>
      </c>
      <c r="R336" s="2954">
        <v>44280</v>
      </c>
      <c r="S336" s="2954">
        <v>44282</v>
      </c>
      <c r="T336" s="2954">
        <v>44359</v>
      </c>
      <c r="U336" s="2954">
        <v>44359</v>
      </c>
      <c r="V336" s="2948" t="s">
        <v>682</v>
      </c>
      <c r="W336" s="2944">
        <f t="shared" si="0"/>
        <v>17317.286304416899</v>
      </c>
    </row>
    <row r="337" spans="1:23" s="2944" customFormat="1" ht="46.8">
      <c r="A337" s="2948">
        <v>336</v>
      </c>
      <c r="B337" s="2948" t="s">
        <v>635</v>
      </c>
      <c r="C337" s="2948" t="s">
        <v>636</v>
      </c>
      <c r="D337" s="2948" t="s">
        <v>1025</v>
      </c>
      <c r="E337" s="2948" t="s">
        <v>729</v>
      </c>
      <c r="F337" s="2948" t="s">
        <v>1057</v>
      </c>
      <c r="G337" s="2948" t="s">
        <v>640</v>
      </c>
      <c r="H337" s="2948" t="s">
        <v>1026</v>
      </c>
      <c r="I337" s="2948" t="s">
        <v>1027</v>
      </c>
      <c r="J337" s="2948" t="s">
        <v>643</v>
      </c>
      <c r="K337" s="2950">
        <v>31.47</v>
      </c>
      <c r="L337" s="2950">
        <v>13.25</v>
      </c>
      <c r="M337" s="2951">
        <v>544975</v>
      </c>
      <c r="N337" s="2951">
        <v>544975</v>
      </c>
      <c r="O337" s="2952">
        <v>544975</v>
      </c>
      <c r="P337" s="2953">
        <v>544975</v>
      </c>
      <c r="Q337" s="2951">
        <v>544975</v>
      </c>
      <c r="R337" s="2954">
        <v>45199</v>
      </c>
      <c r="S337" s="2954">
        <v>45199</v>
      </c>
      <c r="T337" s="2954">
        <v>45206</v>
      </c>
      <c r="U337" s="2954">
        <v>45206</v>
      </c>
      <c r="V337" s="2948" t="s">
        <v>883</v>
      </c>
      <c r="W337" s="2944">
        <f t="shared" si="0"/>
        <v>17317.286304416899</v>
      </c>
    </row>
    <row r="338" spans="1:23" s="2944" customFormat="1" ht="46.8">
      <c r="A338" s="2948">
        <v>337</v>
      </c>
      <c r="B338" s="2948" t="s">
        <v>635</v>
      </c>
      <c r="C338" s="2948" t="s">
        <v>636</v>
      </c>
      <c r="D338" s="2948" t="s">
        <v>1025</v>
      </c>
      <c r="E338" s="2948" t="s">
        <v>729</v>
      </c>
      <c r="F338" s="2948" t="s">
        <v>1058</v>
      </c>
      <c r="G338" s="2948" t="s">
        <v>640</v>
      </c>
      <c r="H338" s="2948" t="s">
        <v>1026</v>
      </c>
      <c r="I338" s="2948" t="s">
        <v>1027</v>
      </c>
      <c r="J338" s="2948" t="s">
        <v>643</v>
      </c>
      <c r="K338" s="2950">
        <v>31.47</v>
      </c>
      <c r="L338" s="2950">
        <v>13.25</v>
      </c>
      <c r="M338" s="2951">
        <v>544975</v>
      </c>
      <c r="N338" s="2951">
        <v>544975</v>
      </c>
      <c r="O338" s="2952">
        <v>544975</v>
      </c>
      <c r="P338" s="2953">
        <v>544975</v>
      </c>
      <c r="Q338" s="2951">
        <v>544975</v>
      </c>
      <c r="R338" s="2954">
        <v>44278</v>
      </c>
      <c r="S338" s="2954">
        <v>44279</v>
      </c>
      <c r="T338" s="2954">
        <v>44386</v>
      </c>
      <c r="U338" s="2954">
        <v>44385</v>
      </c>
      <c r="V338" s="2948" t="s">
        <v>767</v>
      </c>
      <c r="W338" s="2944">
        <f t="shared" si="0"/>
        <v>17317.286304416899</v>
      </c>
    </row>
    <row r="339" spans="1:23" s="2944" customFormat="1" ht="46.8">
      <c r="A339" s="2948">
        <v>338</v>
      </c>
      <c r="B339" s="2948" t="s">
        <v>635</v>
      </c>
      <c r="C339" s="2948" t="s">
        <v>636</v>
      </c>
      <c r="D339" s="2948" t="s">
        <v>1025</v>
      </c>
      <c r="E339" s="2948" t="s">
        <v>729</v>
      </c>
      <c r="F339" s="2948" t="s">
        <v>1059</v>
      </c>
      <c r="G339" s="2948" t="s">
        <v>640</v>
      </c>
      <c r="H339" s="2948" t="s">
        <v>1026</v>
      </c>
      <c r="I339" s="2948" t="s">
        <v>1027</v>
      </c>
      <c r="J339" s="2948" t="s">
        <v>643</v>
      </c>
      <c r="K339" s="2950">
        <v>31.47</v>
      </c>
      <c r="L339" s="2950">
        <v>13.25</v>
      </c>
      <c r="M339" s="2951">
        <v>544975</v>
      </c>
      <c r="N339" s="2951">
        <v>544975</v>
      </c>
      <c r="O339" s="2952">
        <v>544975</v>
      </c>
      <c r="P339" s="2953">
        <v>544975</v>
      </c>
      <c r="Q339" s="2951">
        <v>544975</v>
      </c>
      <c r="R339" s="2954">
        <v>44734</v>
      </c>
      <c r="S339" s="2954">
        <v>44737</v>
      </c>
      <c r="T339" s="2954">
        <v>44754</v>
      </c>
      <c r="U339" s="2954">
        <v>44754</v>
      </c>
      <c r="V339" s="2948" t="s">
        <v>688</v>
      </c>
      <c r="W339" s="2944">
        <f t="shared" si="0"/>
        <v>17317.286304416899</v>
      </c>
    </row>
    <row r="340" spans="1:23" s="2944" customFormat="1" ht="46.8">
      <c r="A340" s="2948">
        <v>339</v>
      </c>
      <c r="B340" s="2948" t="s">
        <v>635</v>
      </c>
      <c r="C340" s="2948" t="s">
        <v>636</v>
      </c>
      <c r="D340" s="2948" t="s">
        <v>1025</v>
      </c>
      <c r="E340" s="2948" t="s">
        <v>729</v>
      </c>
      <c r="F340" s="2948" t="s">
        <v>1060</v>
      </c>
      <c r="G340" s="2948" t="s">
        <v>640</v>
      </c>
      <c r="H340" s="2948" t="s">
        <v>1026</v>
      </c>
      <c r="I340" s="2948" t="s">
        <v>1027</v>
      </c>
      <c r="J340" s="2948" t="s">
        <v>643</v>
      </c>
      <c r="K340" s="2950">
        <v>31.47</v>
      </c>
      <c r="L340" s="2950">
        <v>13.25</v>
      </c>
      <c r="M340" s="2951">
        <v>544975</v>
      </c>
      <c r="N340" s="2951">
        <v>544975</v>
      </c>
      <c r="O340" s="2952">
        <v>544975</v>
      </c>
      <c r="P340" s="2953">
        <v>544975</v>
      </c>
      <c r="Q340" s="2951">
        <v>544975</v>
      </c>
      <c r="R340" s="2954">
        <v>44735</v>
      </c>
      <c r="S340" s="2954">
        <v>44746</v>
      </c>
      <c r="T340" s="2954">
        <v>44790</v>
      </c>
      <c r="U340" s="2954">
        <v>44790</v>
      </c>
      <c r="V340" s="2948" t="s">
        <v>701</v>
      </c>
      <c r="W340" s="2944">
        <f t="shared" si="0"/>
        <v>17317.286304416899</v>
      </c>
    </row>
    <row r="341" spans="1:23" s="2944" customFormat="1" ht="46.8">
      <c r="A341" s="2948">
        <v>340</v>
      </c>
      <c r="B341" s="2948" t="s">
        <v>635</v>
      </c>
      <c r="C341" s="2948" t="s">
        <v>636</v>
      </c>
      <c r="D341" s="2948" t="s">
        <v>1025</v>
      </c>
      <c r="E341" s="2948" t="s">
        <v>729</v>
      </c>
      <c r="F341" s="2948" t="s">
        <v>1061</v>
      </c>
      <c r="G341" s="2948" t="s">
        <v>640</v>
      </c>
      <c r="H341" s="2948" t="s">
        <v>1026</v>
      </c>
      <c r="I341" s="2948" t="s">
        <v>1027</v>
      </c>
      <c r="J341" s="2948" t="s">
        <v>643</v>
      </c>
      <c r="K341" s="2950">
        <v>31.47</v>
      </c>
      <c r="L341" s="2950">
        <v>13.25</v>
      </c>
      <c r="M341" s="2951">
        <v>544975</v>
      </c>
      <c r="N341" s="2951">
        <v>544975</v>
      </c>
      <c r="O341" s="2952">
        <v>544975</v>
      </c>
      <c r="P341" s="2953">
        <v>544975</v>
      </c>
      <c r="Q341" s="2951">
        <v>544975</v>
      </c>
      <c r="R341" s="2954">
        <v>44278</v>
      </c>
      <c r="S341" s="2954">
        <v>44279</v>
      </c>
      <c r="T341" s="2954">
        <v>44388</v>
      </c>
      <c r="U341" s="2954">
        <v>44388</v>
      </c>
      <c r="V341" s="2948" t="s">
        <v>747</v>
      </c>
      <c r="W341" s="2944">
        <f t="shared" si="0"/>
        <v>17317.286304416899</v>
      </c>
    </row>
    <row r="342" spans="1:23" s="2944" customFormat="1" ht="46.8">
      <c r="A342" s="2948">
        <v>341</v>
      </c>
      <c r="B342" s="2948" t="s">
        <v>635</v>
      </c>
      <c r="C342" s="2948" t="s">
        <v>636</v>
      </c>
      <c r="D342" s="2948" t="s">
        <v>1025</v>
      </c>
      <c r="E342" s="2948" t="s">
        <v>729</v>
      </c>
      <c r="F342" s="2948" t="s">
        <v>1062</v>
      </c>
      <c r="G342" s="2948" t="s">
        <v>640</v>
      </c>
      <c r="H342" s="2948" t="s">
        <v>1026</v>
      </c>
      <c r="I342" s="2948" t="s">
        <v>1027</v>
      </c>
      <c r="J342" s="2948" t="s">
        <v>643</v>
      </c>
      <c r="K342" s="2950">
        <v>31.47</v>
      </c>
      <c r="L342" s="2950">
        <v>13.25</v>
      </c>
      <c r="M342" s="2951">
        <v>544975</v>
      </c>
      <c r="N342" s="2951">
        <v>544975</v>
      </c>
      <c r="O342" s="2952">
        <v>544975</v>
      </c>
      <c r="P342" s="2953">
        <v>544975</v>
      </c>
      <c r="Q342" s="2951">
        <v>544975</v>
      </c>
      <c r="R342" s="2954">
        <v>44277</v>
      </c>
      <c r="S342" s="2954">
        <v>44279</v>
      </c>
      <c r="T342" s="2954">
        <v>44375</v>
      </c>
      <c r="U342" s="2954">
        <v>44375</v>
      </c>
      <c r="V342" s="2948" t="s">
        <v>749</v>
      </c>
      <c r="W342" s="2944">
        <f t="shared" si="0"/>
        <v>17317.286304416899</v>
      </c>
    </row>
    <row r="343" spans="1:23" s="2944" customFormat="1" ht="46.8">
      <c r="A343" s="2948">
        <v>342</v>
      </c>
      <c r="B343" s="2948" t="s">
        <v>635</v>
      </c>
      <c r="C343" s="2948" t="s">
        <v>636</v>
      </c>
      <c r="D343" s="2948" t="s">
        <v>1025</v>
      </c>
      <c r="E343" s="2948" t="s">
        <v>729</v>
      </c>
      <c r="F343" s="2948" t="s">
        <v>1063</v>
      </c>
      <c r="G343" s="2948" t="s">
        <v>640</v>
      </c>
      <c r="H343" s="2948" t="s">
        <v>1026</v>
      </c>
      <c r="I343" s="2948" t="s">
        <v>1027</v>
      </c>
      <c r="J343" s="2948" t="s">
        <v>643</v>
      </c>
      <c r="K343" s="2950">
        <v>31.47</v>
      </c>
      <c r="L343" s="2950">
        <v>13.25</v>
      </c>
      <c r="M343" s="2951">
        <v>544975</v>
      </c>
      <c r="N343" s="2951">
        <v>544975</v>
      </c>
      <c r="O343" s="2952">
        <v>544975</v>
      </c>
      <c r="P343" s="2953">
        <v>544975</v>
      </c>
      <c r="Q343" s="2951">
        <v>544975</v>
      </c>
      <c r="R343" s="2954">
        <v>44277</v>
      </c>
      <c r="S343" s="2954">
        <v>44279</v>
      </c>
      <c r="T343" s="2954">
        <v>44376</v>
      </c>
      <c r="U343" s="2954">
        <v>44376</v>
      </c>
      <c r="V343" s="2948" t="s">
        <v>741</v>
      </c>
      <c r="W343" s="2944">
        <f t="shared" si="0"/>
        <v>17317.286304416899</v>
      </c>
    </row>
    <row r="344" spans="1:23" s="2944" customFormat="1" ht="46.8">
      <c r="A344" s="2948">
        <v>343</v>
      </c>
      <c r="B344" s="2948" t="s">
        <v>635</v>
      </c>
      <c r="C344" s="2948" t="s">
        <v>636</v>
      </c>
      <c r="D344" s="2948" t="s">
        <v>1025</v>
      </c>
      <c r="E344" s="2948" t="s">
        <v>729</v>
      </c>
      <c r="F344" s="2948" t="s">
        <v>1064</v>
      </c>
      <c r="G344" s="2948" t="s">
        <v>640</v>
      </c>
      <c r="H344" s="2948" t="s">
        <v>1026</v>
      </c>
      <c r="I344" s="2948" t="s">
        <v>1027</v>
      </c>
      <c r="J344" s="2948" t="s">
        <v>643</v>
      </c>
      <c r="K344" s="2950">
        <v>31.47</v>
      </c>
      <c r="L344" s="2950">
        <v>13.25</v>
      </c>
      <c r="M344" s="2951">
        <v>544975</v>
      </c>
      <c r="N344" s="2951">
        <v>544975</v>
      </c>
      <c r="O344" s="2952">
        <v>544975</v>
      </c>
      <c r="P344" s="2953">
        <v>544975</v>
      </c>
      <c r="Q344" s="2951">
        <v>544975</v>
      </c>
      <c r="R344" s="2954">
        <v>44300</v>
      </c>
      <c r="S344" s="2954">
        <v>44305</v>
      </c>
      <c r="T344" s="2954">
        <v>44386</v>
      </c>
      <c r="U344" s="2954">
        <v>44386</v>
      </c>
      <c r="V344" s="2948" t="s">
        <v>699</v>
      </c>
      <c r="W344" s="2944">
        <f t="shared" si="0"/>
        <v>17317.286304416899</v>
      </c>
    </row>
    <row r="345" spans="1:23" s="2944" customFormat="1" ht="46.8">
      <c r="A345" s="2948">
        <v>344</v>
      </c>
      <c r="B345" s="2948" t="s">
        <v>635</v>
      </c>
      <c r="C345" s="2948" t="s">
        <v>636</v>
      </c>
      <c r="D345" s="2948" t="s">
        <v>1025</v>
      </c>
      <c r="E345" s="2948" t="s">
        <v>729</v>
      </c>
      <c r="F345" s="2948" t="s">
        <v>1065</v>
      </c>
      <c r="G345" s="2948" t="s">
        <v>640</v>
      </c>
      <c r="H345" s="2948" t="s">
        <v>1026</v>
      </c>
      <c r="I345" s="2948" t="s">
        <v>1027</v>
      </c>
      <c r="J345" s="2948" t="s">
        <v>643</v>
      </c>
      <c r="K345" s="2950">
        <v>31.47</v>
      </c>
      <c r="L345" s="2950">
        <v>13.25</v>
      </c>
      <c r="M345" s="2951">
        <v>544975</v>
      </c>
      <c r="N345" s="2951">
        <v>544975</v>
      </c>
      <c r="O345" s="2952">
        <v>544975</v>
      </c>
      <c r="P345" s="2953">
        <v>544975</v>
      </c>
      <c r="Q345" s="2951">
        <v>544975</v>
      </c>
      <c r="R345" s="2954">
        <v>44278</v>
      </c>
      <c r="S345" s="2954">
        <v>44279</v>
      </c>
      <c r="T345" s="2954">
        <v>44387</v>
      </c>
      <c r="U345" s="2954">
        <v>44387</v>
      </c>
      <c r="V345" s="2948" t="s">
        <v>745</v>
      </c>
      <c r="W345" s="2944">
        <f t="shared" si="0"/>
        <v>17317.286304416899</v>
      </c>
    </row>
    <row r="346" spans="1:23" s="2944" customFormat="1" ht="46.8">
      <c r="A346" s="2948">
        <v>345</v>
      </c>
      <c r="B346" s="2948" t="s">
        <v>635</v>
      </c>
      <c r="C346" s="2948" t="s">
        <v>636</v>
      </c>
      <c r="D346" s="2948" t="s">
        <v>1025</v>
      </c>
      <c r="E346" s="2948" t="s">
        <v>729</v>
      </c>
      <c r="F346" s="2948" t="s">
        <v>1066</v>
      </c>
      <c r="G346" s="2948" t="s">
        <v>640</v>
      </c>
      <c r="H346" s="2948" t="s">
        <v>1026</v>
      </c>
      <c r="I346" s="2948" t="s">
        <v>1027</v>
      </c>
      <c r="J346" s="2948" t="s">
        <v>643</v>
      </c>
      <c r="K346" s="2950">
        <v>31.47</v>
      </c>
      <c r="L346" s="2950">
        <v>13.25</v>
      </c>
      <c r="M346" s="2951">
        <v>544975</v>
      </c>
      <c r="N346" s="2951">
        <v>544975</v>
      </c>
      <c r="O346" s="2952">
        <v>544975</v>
      </c>
      <c r="P346" s="2953">
        <v>544975</v>
      </c>
      <c r="Q346" s="2951">
        <v>544975</v>
      </c>
      <c r="R346" s="2954">
        <v>44278</v>
      </c>
      <c r="S346" s="2954">
        <v>44279</v>
      </c>
      <c r="T346" s="2954">
        <v>44386</v>
      </c>
      <c r="U346" s="2954">
        <v>44386</v>
      </c>
      <c r="V346" s="2948" t="s">
        <v>761</v>
      </c>
      <c r="W346" s="2944">
        <f t="shared" si="0"/>
        <v>17317.286304416899</v>
      </c>
    </row>
    <row r="347" spans="1:23" s="2944" customFormat="1" ht="46.8">
      <c r="A347" s="2948">
        <v>346</v>
      </c>
      <c r="B347" s="2948" t="s">
        <v>635</v>
      </c>
      <c r="C347" s="2948" t="s">
        <v>636</v>
      </c>
      <c r="D347" s="2948" t="s">
        <v>1025</v>
      </c>
      <c r="E347" s="2948" t="s">
        <v>729</v>
      </c>
      <c r="F347" s="2948" t="s">
        <v>1067</v>
      </c>
      <c r="G347" s="2948" t="s">
        <v>640</v>
      </c>
      <c r="H347" s="2948" t="s">
        <v>1026</v>
      </c>
      <c r="I347" s="2948" t="s">
        <v>1027</v>
      </c>
      <c r="J347" s="2948" t="s">
        <v>643</v>
      </c>
      <c r="K347" s="2950">
        <v>31.47</v>
      </c>
      <c r="L347" s="2950">
        <v>13.25</v>
      </c>
      <c r="M347" s="2951">
        <v>544975</v>
      </c>
      <c r="N347" s="2951">
        <v>544975</v>
      </c>
      <c r="O347" s="2952">
        <v>544975</v>
      </c>
      <c r="P347" s="2953">
        <v>544975</v>
      </c>
      <c r="Q347" s="2951">
        <v>544975</v>
      </c>
      <c r="R347" s="2954">
        <v>44277</v>
      </c>
      <c r="S347" s="2954">
        <v>44279</v>
      </c>
      <c r="T347" s="2954">
        <v>44529</v>
      </c>
      <c r="U347" s="2954">
        <v>44529</v>
      </c>
      <c r="V347" s="2948" t="s">
        <v>756</v>
      </c>
      <c r="W347" s="2944">
        <f t="shared" si="0"/>
        <v>17317.286304416899</v>
      </c>
    </row>
    <row r="348" spans="1:23" s="2944" customFormat="1" ht="46.8">
      <c r="A348" s="2948">
        <v>347</v>
      </c>
      <c r="B348" s="2948" t="s">
        <v>635</v>
      </c>
      <c r="C348" s="2948" t="s">
        <v>636</v>
      </c>
      <c r="D348" s="2948" t="s">
        <v>1025</v>
      </c>
      <c r="E348" s="2948" t="s">
        <v>729</v>
      </c>
      <c r="F348" s="2948" t="s">
        <v>1068</v>
      </c>
      <c r="G348" s="2948" t="s">
        <v>640</v>
      </c>
      <c r="H348" s="2948" t="s">
        <v>1026</v>
      </c>
      <c r="I348" s="2948" t="s">
        <v>1027</v>
      </c>
      <c r="J348" s="2948" t="s">
        <v>643</v>
      </c>
      <c r="K348" s="2950">
        <v>31.47</v>
      </c>
      <c r="L348" s="2950">
        <v>13.25</v>
      </c>
      <c r="M348" s="2951">
        <v>544975</v>
      </c>
      <c r="N348" s="2951">
        <v>544975</v>
      </c>
      <c r="O348" s="2952">
        <v>544975</v>
      </c>
      <c r="P348" s="2953">
        <v>544975</v>
      </c>
      <c r="Q348" s="2951">
        <v>544975</v>
      </c>
      <c r="R348" s="2954">
        <v>44278</v>
      </c>
      <c r="S348" s="2954">
        <v>44279</v>
      </c>
      <c r="T348" s="2954">
        <v>44386</v>
      </c>
      <c r="U348" s="2954">
        <v>44386</v>
      </c>
      <c r="V348" s="2948" t="s">
        <v>666</v>
      </c>
      <c r="W348" s="2944">
        <f t="shared" si="0"/>
        <v>17317.286304416899</v>
      </c>
    </row>
    <row r="349" spans="1:23" s="2944" customFormat="1" ht="46.8">
      <c r="A349" s="2948">
        <v>348</v>
      </c>
      <c r="B349" s="2948" t="s">
        <v>635</v>
      </c>
      <c r="C349" s="2948" t="s">
        <v>636</v>
      </c>
      <c r="D349" s="2948" t="s">
        <v>1025</v>
      </c>
      <c r="E349" s="2948" t="s">
        <v>729</v>
      </c>
      <c r="F349" s="2948" t="s">
        <v>1069</v>
      </c>
      <c r="G349" s="2948" t="s">
        <v>640</v>
      </c>
      <c r="H349" s="2948" t="s">
        <v>1026</v>
      </c>
      <c r="I349" s="2948" t="s">
        <v>1027</v>
      </c>
      <c r="J349" s="2948" t="s">
        <v>643</v>
      </c>
      <c r="K349" s="2950">
        <v>31.47</v>
      </c>
      <c r="L349" s="2950">
        <v>13.25</v>
      </c>
      <c r="M349" s="2951">
        <v>544975</v>
      </c>
      <c r="N349" s="2951">
        <v>544975</v>
      </c>
      <c r="O349" s="2952">
        <v>544975</v>
      </c>
      <c r="P349" s="2953">
        <v>544975</v>
      </c>
      <c r="Q349" s="2951">
        <v>544975</v>
      </c>
      <c r="R349" s="2954">
        <v>44273</v>
      </c>
      <c r="S349" s="2954">
        <v>44277</v>
      </c>
      <c r="T349" s="2954">
        <v>44347</v>
      </c>
      <c r="U349" s="2954">
        <v>44347</v>
      </c>
      <c r="V349" s="2948" t="s">
        <v>722</v>
      </c>
      <c r="W349" s="2944">
        <f t="shared" si="0"/>
        <v>17317.286304416899</v>
      </c>
    </row>
    <row r="350" spans="1:23" s="2944" customFormat="1" ht="46.8">
      <c r="A350" s="2948">
        <v>349</v>
      </c>
      <c r="B350" s="2948" t="s">
        <v>635</v>
      </c>
      <c r="C350" s="2948" t="s">
        <v>636</v>
      </c>
      <c r="D350" s="2948" t="s">
        <v>1025</v>
      </c>
      <c r="E350" s="2948" t="s">
        <v>729</v>
      </c>
      <c r="F350" s="2948" t="s">
        <v>1070</v>
      </c>
      <c r="G350" s="2948" t="s">
        <v>640</v>
      </c>
      <c r="H350" s="2948" t="s">
        <v>1026</v>
      </c>
      <c r="I350" s="2948" t="s">
        <v>1027</v>
      </c>
      <c r="J350" s="2948" t="s">
        <v>643</v>
      </c>
      <c r="K350" s="2950">
        <v>31.47</v>
      </c>
      <c r="L350" s="2950">
        <v>13.25</v>
      </c>
      <c r="M350" s="2951">
        <v>544975</v>
      </c>
      <c r="N350" s="2951">
        <v>544975</v>
      </c>
      <c r="O350" s="2952">
        <v>544975</v>
      </c>
      <c r="P350" s="2953">
        <v>544975</v>
      </c>
      <c r="Q350" s="2951">
        <v>544975</v>
      </c>
      <c r="R350" s="2954">
        <v>44278</v>
      </c>
      <c r="S350" s="2954">
        <v>44279</v>
      </c>
      <c r="T350" s="2954">
        <v>44392</v>
      </c>
      <c r="U350" s="2954">
        <v>44392</v>
      </c>
      <c r="V350" s="2948" t="s">
        <v>724</v>
      </c>
      <c r="W350" s="2944">
        <f t="shared" si="0"/>
        <v>17317.286304416899</v>
      </c>
    </row>
    <row r="351" spans="1:23" s="2944" customFormat="1" ht="46.8">
      <c r="A351" s="2948">
        <v>350</v>
      </c>
      <c r="B351" s="2948" t="s">
        <v>635</v>
      </c>
      <c r="C351" s="2948" t="s">
        <v>636</v>
      </c>
      <c r="D351" s="2948" t="s">
        <v>1025</v>
      </c>
      <c r="E351" s="2948" t="s">
        <v>729</v>
      </c>
      <c r="F351" s="2948" t="s">
        <v>1071</v>
      </c>
      <c r="G351" s="2948" t="s">
        <v>640</v>
      </c>
      <c r="H351" s="2948" t="s">
        <v>1026</v>
      </c>
      <c r="I351" s="2948" t="s">
        <v>1027</v>
      </c>
      <c r="J351" s="2948" t="s">
        <v>643</v>
      </c>
      <c r="K351" s="2950">
        <v>31.47</v>
      </c>
      <c r="L351" s="2950">
        <v>13.25</v>
      </c>
      <c r="M351" s="2951">
        <v>544975</v>
      </c>
      <c r="N351" s="2951">
        <v>544975</v>
      </c>
      <c r="O351" s="2952">
        <v>544975</v>
      </c>
      <c r="P351" s="2953">
        <v>544975</v>
      </c>
      <c r="Q351" s="2951">
        <v>544975</v>
      </c>
      <c r="R351" s="2954">
        <v>44278</v>
      </c>
      <c r="S351" s="2954">
        <v>44279</v>
      </c>
      <c r="T351" s="2954">
        <v>44392</v>
      </c>
      <c r="U351" s="2954">
        <v>44392</v>
      </c>
      <c r="V351" s="2948" t="s">
        <v>668</v>
      </c>
      <c r="W351" s="2944">
        <f t="shared" si="0"/>
        <v>17317.286304416899</v>
      </c>
    </row>
    <row r="352" spans="1:23" s="2944" customFormat="1" ht="46.8">
      <c r="A352" s="2948">
        <v>351</v>
      </c>
      <c r="B352" s="2948" t="s">
        <v>635</v>
      </c>
      <c r="C352" s="2948" t="s">
        <v>636</v>
      </c>
      <c r="D352" s="2948" t="s">
        <v>1025</v>
      </c>
      <c r="E352" s="2948" t="s">
        <v>729</v>
      </c>
      <c r="F352" s="2948" t="s">
        <v>1072</v>
      </c>
      <c r="G352" s="2948" t="s">
        <v>640</v>
      </c>
      <c r="H352" s="2948" t="s">
        <v>1026</v>
      </c>
      <c r="I352" s="2948" t="s">
        <v>1027</v>
      </c>
      <c r="J352" s="2948" t="s">
        <v>643</v>
      </c>
      <c r="K352" s="2950">
        <v>31.47</v>
      </c>
      <c r="L352" s="2950">
        <v>13.25</v>
      </c>
      <c r="M352" s="2951">
        <v>544975</v>
      </c>
      <c r="N352" s="2951">
        <v>544975</v>
      </c>
      <c r="O352" s="2952">
        <v>517726</v>
      </c>
      <c r="P352" s="2953">
        <v>517726</v>
      </c>
      <c r="Q352" s="2951">
        <v>517726</v>
      </c>
      <c r="R352" s="2954">
        <v>44279</v>
      </c>
      <c r="S352" s="2954">
        <v>44279</v>
      </c>
      <c r="T352" s="2954">
        <v>44375</v>
      </c>
      <c r="U352" s="2954">
        <v>44375</v>
      </c>
      <c r="V352" s="2948" t="s">
        <v>720</v>
      </c>
      <c r="W352" s="2944">
        <f t="shared" si="0"/>
        <v>16451.414045122299</v>
      </c>
    </row>
    <row r="353" spans="1:23" s="2944" customFormat="1" ht="46.8">
      <c r="A353" s="2948">
        <v>352</v>
      </c>
      <c r="B353" s="2948" t="s">
        <v>635</v>
      </c>
      <c r="C353" s="2948" t="s">
        <v>636</v>
      </c>
      <c r="D353" s="2948" t="s">
        <v>1025</v>
      </c>
      <c r="E353" s="2948" t="s">
        <v>729</v>
      </c>
      <c r="F353" s="2948" t="s">
        <v>1073</v>
      </c>
      <c r="G353" s="2948" t="s">
        <v>640</v>
      </c>
      <c r="H353" s="2948" t="s">
        <v>1026</v>
      </c>
      <c r="I353" s="2948" t="s">
        <v>1027</v>
      </c>
      <c r="J353" s="2948" t="s">
        <v>643</v>
      </c>
      <c r="K353" s="2950">
        <v>31.47</v>
      </c>
      <c r="L353" s="2950">
        <v>13.25</v>
      </c>
      <c r="M353" s="2951">
        <v>544975</v>
      </c>
      <c r="N353" s="2951">
        <v>544975</v>
      </c>
      <c r="O353" s="2952">
        <v>544975</v>
      </c>
      <c r="P353" s="2953">
        <v>544975</v>
      </c>
      <c r="Q353" s="2951">
        <v>544975</v>
      </c>
      <c r="R353" s="2954">
        <v>44280</v>
      </c>
      <c r="S353" s="2954">
        <v>44282</v>
      </c>
      <c r="T353" s="2954">
        <v>44377</v>
      </c>
      <c r="U353" s="2954">
        <v>44377</v>
      </c>
      <c r="V353" s="2948" t="s">
        <v>717</v>
      </c>
      <c r="W353" s="2944">
        <f t="shared" si="0"/>
        <v>17317.286304416899</v>
      </c>
    </row>
    <row r="354" spans="1:23" s="2944" customFormat="1" ht="46.8">
      <c r="A354" s="2948">
        <v>353</v>
      </c>
      <c r="B354" s="2948" t="s">
        <v>635</v>
      </c>
      <c r="C354" s="2948" t="s">
        <v>636</v>
      </c>
      <c r="D354" s="2948" t="s">
        <v>1025</v>
      </c>
      <c r="E354" s="2948" t="s">
        <v>729</v>
      </c>
      <c r="F354" s="2948" t="s">
        <v>1074</v>
      </c>
      <c r="G354" s="2948" t="s">
        <v>640</v>
      </c>
      <c r="H354" s="2948" t="s">
        <v>1026</v>
      </c>
      <c r="I354" s="2948" t="s">
        <v>1027</v>
      </c>
      <c r="J354" s="2948" t="s">
        <v>643</v>
      </c>
      <c r="K354" s="2950">
        <v>31.47</v>
      </c>
      <c r="L354" s="2950">
        <v>13.25</v>
      </c>
      <c r="M354" s="2951">
        <v>544975</v>
      </c>
      <c r="N354" s="2951">
        <v>544975</v>
      </c>
      <c r="O354" s="2952">
        <v>544975</v>
      </c>
      <c r="P354" s="2953">
        <v>544975</v>
      </c>
      <c r="Q354" s="2951">
        <v>544975</v>
      </c>
      <c r="R354" s="2954">
        <v>44277</v>
      </c>
      <c r="S354" s="2954">
        <v>44279</v>
      </c>
      <c r="T354" s="2954">
        <v>44529</v>
      </c>
      <c r="U354" s="2954">
        <v>44529</v>
      </c>
      <c r="V354" s="2948" t="s">
        <v>662</v>
      </c>
      <c r="W354" s="2944">
        <f t="shared" si="0"/>
        <v>17317.286304416899</v>
      </c>
    </row>
    <row r="355" spans="1:23" s="2944" customFormat="1" ht="46.8">
      <c r="A355" s="2948">
        <v>354</v>
      </c>
      <c r="B355" s="2948" t="s">
        <v>635</v>
      </c>
      <c r="C355" s="2948" t="s">
        <v>636</v>
      </c>
      <c r="D355" s="2948" t="s">
        <v>1025</v>
      </c>
      <c r="E355" s="2948" t="s">
        <v>729</v>
      </c>
      <c r="F355" s="2948" t="s">
        <v>1075</v>
      </c>
      <c r="G355" s="2948" t="s">
        <v>640</v>
      </c>
      <c r="H355" s="2948" t="s">
        <v>1026</v>
      </c>
      <c r="I355" s="2948" t="s">
        <v>1027</v>
      </c>
      <c r="J355" s="2948" t="s">
        <v>643</v>
      </c>
      <c r="K355" s="2950">
        <v>31.47</v>
      </c>
      <c r="L355" s="2950">
        <v>13.25</v>
      </c>
      <c r="M355" s="2951">
        <v>544975</v>
      </c>
      <c r="N355" s="2951">
        <v>544975</v>
      </c>
      <c r="O355" s="2952">
        <v>544975</v>
      </c>
      <c r="P355" s="2953">
        <v>544975</v>
      </c>
      <c r="Q355" s="2951">
        <v>544975</v>
      </c>
      <c r="R355" s="2954">
        <v>44278</v>
      </c>
      <c r="S355" s="2954">
        <v>44279</v>
      </c>
      <c r="T355" s="2954">
        <v>44388</v>
      </c>
      <c r="U355" s="2954">
        <v>44388</v>
      </c>
      <c r="V355" s="2948" t="s">
        <v>676</v>
      </c>
      <c r="W355" s="2944">
        <f t="shared" si="0"/>
        <v>17317.286304416899</v>
      </c>
    </row>
    <row r="356" spans="1:23" s="2944" customFormat="1" ht="46.8">
      <c r="A356" s="2948">
        <v>355</v>
      </c>
      <c r="B356" s="2948" t="s">
        <v>635</v>
      </c>
      <c r="C356" s="2948" t="s">
        <v>636</v>
      </c>
      <c r="D356" s="2948" t="s">
        <v>1025</v>
      </c>
      <c r="E356" s="2948" t="s">
        <v>729</v>
      </c>
      <c r="F356" s="2948" t="s">
        <v>1076</v>
      </c>
      <c r="G356" s="2948" t="s">
        <v>640</v>
      </c>
      <c r="H356" s="2948" t="s">
        <v>1026</v>
      </c>
      <c r="I356" s="2948" t="s">
        <v>1027</v>
      </c>
      <c r="J356" s="2948" t="s">
        <v>643</v>
      </c>
      <c r="K356" s="2950">
        <v>31.47</v>
      </c>
      <c r="L356" s="2950">
        <v>13.25</v>
      </c>
      <c r="M356" s="2951">
        <v>544975</v>
      </c>
      <c r="N356" s="2951">
        <v>544975</v>
      </c>
      <c r="O356" s="2952">
        <v>544975</v>
      </c>
      <c r="P356" s="2953">
        <v>544975</v>
      </c>
      <c r="Q356" s="2951">
        <v>544975</v>
      </c>
      <c r="R356" s="2954">
        <v>45044</v>
      </c>
      <c r="S356" s="2954">
        <v>45044</v>
      </c>
      <c r="T356" s="2954">
        <v>45127</v>
      </c>
      <c r="U356" s="2954">
        <v>45127</v>
      </c>
      <c r="V356" s="2948" t="s">
        <v>647</v>
      </c>
      <c r="W356" s="2944">
        <f t="shared" si="0"/>
        <v>17317.286304416899</v>
      </c>
    </row>
    <row r="357" spans="1:23" s="2944" customFormat="1" ht="46.8" hidden="1">
      <c r="A357" s="2948">
        <v>356</v>
      </c>
      <c r="B357" s="2948" t="s">
        <v>635</v>
      </c>
      <c r="C357" s="2948" t="s">
        <v>636</v>
      </c>
      <c r="D357" s="2948" t="s">
        <v>1025</v>
      </c>
      <c r="E357" s="2948" t="s">
        <v>729</v>
      </c>
      <c r="F357" s="2948" t="s">
        <v>1077</v>
      </c>
      <c r="G357" s="2948" t="s">
        <v>1041</v>
      </c>
      <c r="H357" s="2948" t="s">
        <v>1026</v>
      </c>
      <c r="I357" s="2948" t="s">
        <v>1027</v>
      </c>
      <c r="J357" s="2948" t="s">
        <v>643</v>
      </c>
      <c r="K357" s="2950">
        <v>31.47</v>
      </c>
      <c r="L357" s="2950">
        <v>13.25</v>
      </c>
      <c r="M357" s="2951">
        <v>0</v>
      </c>
      <c r="N357" s="2951">
        <v>0</v>
      </c>
      <c r="O357" s="2955"/>
      <c r="P357" s="2948"/>
      <c r="Q357" s="2951">
        <v>0</v>
      </c>
      <c r="R357" s="2948"/>
      <c r="S357" s="2948"/>
      <c r="T357" s="2948"/>
      <c r="U357" s="2948"/>
      <c r="V357" s="2948"/>
      <c r="W357" s="2944">
        <f t="shared" si="0"/>
        <v>0</v>
      </c>
    </row>
    <row r="358" spans="1:23" s="2944" customFormat="1" ht="46.8">
      <c r="A358" s="2948">
        <v>357</v>
      </c>
      <c r="B358" s="2948" t="s">
        <v>635</v>
      </c>
      <c r="C358" s="2948" t="s">
        <v>636</v>
      </c>
      <c r="D358" s="2948" t="s">
        <v>1025</v>
      </c>
      <c r="E358" s="2948" t="s">
        <v>729</v>
      </c>
      <c r="F358" s="2948" t="s">
        <v>1078</v>
      </c>
      <c r="G358" s="2948" t="s">
        <v>640</v>
      </c>
      <c r="H358" s="2948" t="s">
        <v>1026</v>
      </c>
      <c r="I358" s="2948" t="s">
        <v>1027</v>
      </c>
      <c r="J358" s="2948" t="s">
        <v>643</v>
      </c>
      <c r="K358" s="2950">
        <v>31.47</v>
      </c>
      <c r="L358" s="2950">
        <v>13.25</v>
      </c>
      <c r="M358" s="2951">
        <v>544975</v>
      </c>
      <c r="N358" s="2951">
        <v>544975</v>
      </c>
      <c r="O358" s="2952">
        <v>544975</v>
      </c>
      <c r="P358" s="2953">
        <v>544975</v>
      </c>
      <c r="Q358" s="2951">
        <v>544975</v>
      </c>
      <c r="R358" s="2954">
        <v>44736</v>
      </c>
      <c r="S358" s="2954">
        <v>44742</v>
      </c>
      <c r="T358" s="2954">
        <v>44830</v>
      </c>
      <c r="U358" s="2954">
        <v>44830</v>
      </c>
      <c r="V358" s="2948" t="s">
        <v>979</v>
      </c>
      <c r="W358" s="2944">
        <f t="shared" si="0"/>
        <v>17317.286304416899</v>
      </c>
    </row>
    <row r="359" spans="1:23" s="2944" customFormat="1" ht="46.8">
      <c r="A359" s="2948">
        <v>358</v>
      </c>
      <c r="B359" s="2948" t="s">
        <v>635</v>
      </c>
      <c r="C359" s="2948" t="s">
        <v>636</v>
      </c>
      <c r="D359" s="2948" t="s">
        <v>1025</v>
      </c>
      <c r="E359" s="2948" t="s">
        <v>729</v>
      </c>
      <c r="F359" s="2948" t="s">
        <v>1079</v>
      </c>
      <c r="G359" s="2948" t="s">
        <v>640</v>
      </c>
      <c r="H359" s="2948" t="s">
        <v>1026</v>
      </c>
      <c r="I359" s="2948" t="s">
        <v>1027</v>
      </c>
      <c r="J359" s="2948" t="s">
        <v>643</v>
      </c>
      <c r="K359" s="2950">
        <v>31.47</v>
      </c>
      <c r="L359" s="2950">
        <v>13.25</v>
      </c>
      <c r="M359" s="2951">
        <v>544975</v>
      </c>
      <c r="N359" s="2951">
        <v>544975</v>
      </c>
      <c r="O359" s="2952">
        <v>544975</v>
      </c>
      <c r="P359" s="2953">
        <v>544975</v>
      </c>
      <c r="Q359" s="2951">
        <v>544975</v>
      </c>
      <c r="R359" s="2954">
        <v>44278</v>
      </c>
      <c r="S359" s="2954">
        <v>44279</v>
      </c>
      <c r="T359" s="2954">
        <v>44397</v>
      </c>
      <c r="U359" s="2954">
        <v>44397</v>
      </c>
      <c r="V359" s="2948" t="s">
        <v>1008</v>
      </c>
      <c r="W359" s="2944">
        <f t="shared" si="0"/>
        <v>17317.286304416899</v>
      </c>
    </row>
    <row r="360" spans="1:23" s="2944" customFormat="1" ht="46.8">
      <c r="A360" s="2948">
        <v>359</v>
      </c>
      <c r="B360" s="2948" t="s">
        <v>635</v>
      </c>
      <c r="C360" s="2948" t="s">
        <v>636</v>
      </c>
      <c r="D360" s="2948" t="s">
        <v>1025</v>
      </c>
      <c r="E360" s="2948" t="s">
        <v>729</v>
      </c>
      <c r="F360" s="2948" t="s">
        <v>1080</v>
      </c>
      <c r="G360" s="2948" t="s">
        <v>640</v>
      </c>
      <c r="H360" s="2948" t="s">
        <v>1026</v>
      </c>
      <c r="I360" s="2948" t="s">
        <v>1027</v>
      </c>
      <c r="J360" s="2948" t="s">
        <v>643</v>
      </c>
      <c r="K360" s="2950">
        <v>31.47</v>
      </c>
      <c r="L360" s="2950">
        <v>13.25</v>
      </c>
      <c r="M360" s="2951">
        <v>544975</v>
      </c>
      <c r="N360" s="2951">
        <v>544975</v>
      </c>
      <c r="O360" s="2952">
        <v>544975</v>
      </c>
      <c r="P360" s="2953">
        <v>544975</v>
      </c>
      <c r="Q360" s="2951">
        <v>544975</v>
      </c>
      <c r="R360" s="2954">
        <v>44278</v>
      </c>
      <c r="S360" s="2954">
        <v>44279</v>
      </c>
      <c r="T360" s="2954">
        <v>44425</v>
      </c>
      <c r="U360" s="2954">
        <v>44425</v>
      </c>
      <c r="V360" s="2948" t="s">
        <v>926</v>
      </c>
      <c r="W360" s="2944">
        <f t="shared" si="0"/>
        <v>17317.286304416899</v>
      </c>
    </row>
    <row r="361" spans="1:23" s="2944" customFormat="1" ht="46.8">
      <c r="A361" s="2948">
        <v>360</v>
      </c>
      <c r="B361" s="2948" t="s">
        <v>635</v>
      </c>
      <c r="C361" s="2948" t="s">
        <v>636</v>
      </c>
      <c r="D361" s="2948" t="s">
        <v>1025</v>
      </c>
      <c r="E361" s="2948" t="s">
        <v>729</v>
      </c>
      <c r="F361" s="2948" t="s">
        <v>1081</v>
      </c>
      <c r="G361" s="2948" t="s">
        <v>640</v>
      </c>
      <c r="H361" s="2948" t="s">
        <v>1026</v>
      </c>
      <c r="I361" s="2948" t="s">
        <v>1027</v>
      </c>
      <c r="J361" s="2948" t="s">
        <v>643</v>
      </c>
      <c r="K361" s="2950">
        <v>31.47</v>
      </c>
      <c r="L361" s="2950">
        <v>13.25</v>
      </c>
      <c r="M361" s="2951">
        <v>544975</v>
      </c>
      <c r="N361" s="2951">
        <v>544975</v>
      </c>
      <c r="O361" s="2952">
        <v>544975</v>
      </c>
      <c r="P361" s="2953">
        <v>544975</v>
      </c>
      <c r="Q361" s="2951">
        <v>544975</v>
      </c>
      <c r="R361" s="2954">
        <v>44277</v>
      </c>
      <c r="S361" s="2954">
        <v>44279</v>
      </c>
      <c r="T361" s="2954">
        <v>44368</v>
      </c>
      <c r="U361" s="2954">
        <v>44368</v>
      </c>
      <c r="V361" s="2948" t="s">
        <v>950</v>
      </c>
      <c r="W361" s="2944">
        <f t="shared" si="0"/>
        <v>17317.286304416899</v>
      </c>
    </row>
    <row r="362" spans="1:23" s="2944" customFormat="1" ht="46.8">
      <c r="A362" s="2948">
        <v>361</v>
      </c>
      <c r="B362" s="2948" t="s">
        <v>635</v>
      </c>
      <c r="C362" s="2948" t="s">
        <v>636</v>
      </c>
      <c r="D362" s="2948" t="s">
        <v>1025</v>
      </c>
      <c r="E362" s="2948" t="s">
        <v>729</v>
      </c>
      <c r="F362" s="2948" t="s">
        <v>1082</v>
      </c>
      <c r="G362" s="2948" t="s">
        <v>640</v>
      </c>
      <c r="H362" s="2948" t="s">
        <v>1026</v>
      </c>
      <c r="I362" s="2948" t="s">
        <v>1027</v>
      </c>
      <c r="J362" s="2948" t="s">
        <v>643</v>
      </c>
      <c r="K362" s="2950">
        <v>31.47</v>
      </c>
      <c r="L362" s="2950">
        <v>13.25</v>
      </c>
      <c r="M362" s="2951">
        <v>544975</v>
      </c>
      <c r="N362" s="2951">
        <v>544975</v>
      </c>
      <c r="O362" s="2952">
        <v>544975</v>
      </c>
      <c r="P362" s="2953">
        <v>544975</v>
      </c>
      <c r="Q362" s="2951">
        <v>544975</v>
      </c>
      <c r="R362" s="2954">
        <v>44277</v>
      </c>
      <c r="S362" s="2954">
        <v>44279</v>
      </c>
      <c r="T362" s="2954">
        <v>44359</v>
      </c>
      <c r="U362" s="2954">
        <v>44359</v>
      </c>
      <c r="V362" s="2948" t="s">
        <v>964</v>
      </c>
      <c r="W362" s="2944">
        <f t="shared" si="0"/>
        <v>17317.286304416899</v>
      </c>
    </row>
    <row r="363" spans="1:23" s="2944" customFormat="1" ht="46.8">
      <c r="A363" s="2948">
        <v>362</v>
      </c>
      <c r="B363" s="2948" t="s">
        <v>635</v>
      </c>
      <c r="C363" s="2948" t="s">
        <v>636</v>
      </c>
      <c r="D363" s="2948" t="s">
        <v>1025</v>
      </c>
      <c r="E363" s="2948" t="s">
        <v>729</v>
      </c>
      <c r="F363" s="2948" t="s">
        <v>1083</v>
      </c>
      <c r="G363" s="2948" t="s">
        <v>640</v>
      </c>
      <c r="H363" s="2948" t="s">
        <v>1026</v>
      </c>
      <c r="I363" s="2948" t="s">
        <v>1027</v>
      </c>
      <c r="J363" s="2948" t="s">
        <v>643</v>
      </c>
      <c r="K363" s="2950">
        <v>31.47</v>
      </c>
      <c r="L363" s="2950">
        <v>13.25</v>
      </c>
      <c r="M363" s="2951">
        <v>544975</v>
      </c>
      <c r="N363" s="2951">
        <v>544975</v>
      </c>
      <c r="O363" s="2952">
        <v>544975</v>
      </c>
      <c r="P363" s="2953">
        <v>544975</v>
      </c>
      <c r="Q363" s="2951">
        <v>544975</v>
      </c>
      <c r="R363" s="2948"/>
      <c r="S363" s="2954">
        <v>44782.415914351899</v>
      </c>
      <c r="T363" s="2954">
        <v>44785</v>
      </c>
      <c r="U363" s="2954">
        <v>44785</v>
      </c>
      <c r="V363" s="2948" t="s">
        <v>895</v>
      </c>
      <c r="W363" s="2944">
        <f t="shared" si="0"/>
        <v>17317.286304416899</v>
      </c>
    </row>
    <row r="364" spans="1:23" s="2944" customFormat="1" ht="46.8">
      <c r="A364" s="2948">
        <v>363</v>
      </c>
      <c r="B364" s="2948" t="s">
        <v>635</v>
      </c>
      <c r="C364" s="2948" t="s">
        <v>636</v>
      </c>
      <c r="D364" s="2948" t="s">
        <v>1025</v>
      </c>
      <c r="E364" s="2948" t="s">
        <v>729</v>
      </c>
      <c r="F364" s="2948" t="s">
        <v>1084</v>
      </c>
      <c r="G364" s="2948" t="s">
        <v>640</v>
      </c>
      <c r="H364" s="2948" t="s">
        <v>1026</v>
      </c>
      <c r="I364" s="2948" t="s">
        <v>1027</v>
      </c>
      <c r="J364" s="2948" t="s">
        <v>643</v>
      </c>
      <c r="K364" s="2950">
        <v>31.47</v>
      </c>
      <c r="L364" s="2950">
        <v>13.25</v>
      </c>
      <c r="M364" s="2951">
        <v>544975</v>
      </c>
      <c r="N364" s="2951">
        <v>544975</v>
      </c>
      <c r="O364" s="2952">
        <v>544975</v>
      </c>
      <c r="P364" s="2953">
        <v>544975</v>
      </c>
      <c r="Q364" s="2951">
        <v>544975</v>
      </c>
      <c r="R364" s="2954">
        <v>45046</v>
      </c>
      <c r="S364" s="2954">
        <v>45046</v>
      </c>
      <c r="T364" s="2954">
        <v>45046</v>
      </c>
      <c r="U364" s="2954">
        <v>45017</v>
      </c>
      <c r="V364" s="2948" t="s">
        <v>935</v>
      </c>
      <c r="W364" s="2944">
        <f t="shared" si="0"/>
        <v>17317.286304416899</v>
      </c>
    </row>
    <row r="365" spans="1:23" s="2944" customFormat="1" ht="46.8">
      <c r="A365" s="2948">
        <v>364</v>
      </c>
      <c r="B365" s="2948" t="s">
        <v>635</v>
      </c>
      <c r="C365" s="2948" t="s">
        <v>636</v>
      </c>
      <c r="D365" s="2948" t="s">
        <v>1025</v>
      </c>
      <c r="E365" s="2948" t="s">
        <v>729</v>
      </c>
      <c r="F365" s="2948" t="s">
        <v>1085</v>
      </c>
      <c r="G365" s="2948" t="s">
        <v>640</v>
      </c>
      <c r="H365" s="2948" t="s">
        <v>1026</v>
      </c>
      <c r="I365" s="2948" t="s">
        <v>1027</v>
      </c>
      <c r="J365" s="2948" t="s">
        <v>643</v>
      </c>
      <c r="K365" s="2950">
        <v>31.47</v>
      </c>
      <c r="L365" s="2950">
        <v>13.25</v>
      </c>
      <c r="M365" s="2951">
        <v>544975</v>
      </c>
      <c r="N365" s="2951">
        <v>544975</v>
      </c>
      <c r="O365" s="2952">
        <v>544975</v>
      </c>
      <c r="P365" s="2953">
        <v>544975</v>
      </c>
      <c r="Q365" s="2951">
        <v>544975</v>
      </c>
      <c r="R365" s="2954">
        <v>44998</v>
      </c>
      <c r="S365" s="2954">
        <v>44998</v>
      </c>
      <c r="T365" s="2954">
        <v>44998</v>
      </c>
      <c r="U365" s="2954">
        <v>44978</v>
      </c>
      <c r="V365" s="2948" t="s">
        <v>963</v>
      </c>
      <c r="W365" s="2944">
        <f t="shared" si="0"/>
        <v>17317.286304416899</v>
      </c>
    </row>
    <row r="366" spans="1:23" s="2944" customFormat="1" ht="46.8">
      <c r="A366" s="2948">
        <v>365</v>
      </c>
      <c r="B366" s="2948" t="s">
        <v>635</v>
      </c>
      <c r="C366" s="2948" t="s">
        <v>636</v>
      </c>
      <c r="D366" s="2948" t="s">
        <v>1025</v>
      </c>
      <c r="E366" s="2948" t="s">
        <v>729</v>
      </c>
      <c r="F366" s="2948" t="s">
        <v>1086</v>
      </c>
      <c r="G366" s="2948" t="s">
        <v>640</v>
      </c>
      <c r="H366" s="2948" t="s">
        <v>1026</v>
      </c>
      <c r="I366" s="2948" t="s">
        <v>1027</v>
      </c>
      <c r="J366" s="2948" t="s">
        <v>643</v>
      </c>
      <c r="K366" s="2950">
        <v>31.47</v>
      </c>
      <c r="L366" s="2950">
        <v>13.25</v>
      </c>
      <c r="M366" s="2951">
        <v>544975</v>
      </c>
      <c r="N366" s="2951">
        <v>544975</v>
      </c>
      <c r="O366" s="2952">
        <v>544975</v>
      </c>
      <c r="P366" s="2953">
        <v>544975</v>
      </c>
      <c r="Q366" s="2951">
        <v>544975</v>
      </c>
      <c r="R366" s="2954">
        <v>44278</v>
      </c>
      <c r="S366" s="2954">
        <v>44279</v>
      </c>
      <c r="T366" s="2954">
        <v>44387</v>
      </c>
      <c r="U366" s="2954">
        <v>44387</v>
      </c>
      <c r="V366" s="2948" t="s">
        <v>946</v>
      </c>
      <c r="W366" s="2944">
        <f t="shared" si="0"/>
        <v>17317.286304416899</v>
      </c>
    </row>
    <row r="367" spans="1:23" s="2944" customFormat="1" ht="46.8">
      <c r="A367" s="2948">
        <v>366</v>
      </c>
      <c r="B367" s="2948" t="s">
        <v>635</v>
      </c>
      <c r="C367" s="2948" t="s">
        <v>636</v>
      </c>
      <c r="D367" s="2948" t="s">
        <v>1025</v>
      </c>
      <c r="E367" s="2948" t="s">
        <v>729</v>
      </c>
      <c r="F367" s="2948" t="s">
        <v>1087</v>
      </c>
      <c r="G367" s="2948" t="s">
        <v>640</v>
      </c>
      <c r="H367" s="2948" t="s">
        <v>1026</v>
      </c>
      <c r="I367" s="2948" t="s">
        <v>1027</v>
      </c>
      <c r="J367" s="2948" t="s">
        <v>643</v>
      </c>
      <c r="K367" s="2950">
        <v>31.47</v>
      </c>
      <c r="L367" s="2950">
        <v>13.25</v>
      </c>
      <c r="M367" s="2951">
        <v>544975</v>
      </c>
      <c r="N367" s="2951">
        <v>544975</v>
      </c>
      <c r="O367" s="2952">
        <v>544975</v>
      </c>
      <c r="P367" s="2953">
        <v>544975</v>
      </c>
      <c r="Q367" s="2951">
        <v>544975</v>
      </c>
      <c r="R367" s="2954">
        <v>44278</v>
      </c>
      <c r="S367" s="2954">
        <v>44279</v>
      </c>
      <c r="T367" s="2954">
        <v>44576</v>
      </c>
      <c r="U367" s="2954">
        <v>44576</v>
      </c>
      <c r="V367" s="2948" t="s">
        <v>1013</v>
      </c>
      <c r="W367" s="2944">
        <f t="shared" si="0"/>
        <v>17317.286304416899</v>
      </c>
    </row>
    <row r="368" spans="1:23" s="2944" customFormat="1" ht="46.8">
      <c r="A368" s="2948">
        <v>367</v>
      </c>
      <c r="B368" s="2948" t="s">
        <v>635</v>
      </c>
      <c r="C368" s="2948" t="s">
        <v>636</v>
      </c>
      <c r="D368" s="2948" t="s">
        <v>1025</v>
      </c>
      <c r="E368" s="2948" t="s">
        <v>729</v>
      </c>
      <c r="F368" s="2948" t="s">
        <v>1088</v>
      </c>
      <c r="G368" s="2948" t="s">
        <v>640</v>
      </c>
      <c r="H368" s="2948" t="s">
        <v>1026</v>
      </c>
      <c r="I368" s="2948" t="s">
        <v>1027</v>
      </c>
      <c r="J368" s="2948" t="s">
        <v>643</v>
      </c>
      <c r="K368" s="2950">
        <v>31.47</v>
      </c>
      <c r="L368" s="2950">
        <v>13.25</v>
      </c>
      <c r="M368" s="2951">
        <v>544975</v>
      </c>
      <c r="N368" s="2951">
        <v>544975</v>
      </c>
      <c r="O368" s="2952">
        <v>517726</v>
      </c>
      <c r="P368" s="2953">
        <v>517726</v>
      </c>
      <c r="Q368" s="2951">
        <v>517726</v>
      </c>
      <c r="R368" s="2954">
        <v>44305</v>
      </c>
      <c r="S368" s="2954">
        <v>44305</v>
      </c>
      <c r="T368" s="2954">
        <v>44392</v>
      </c>
      <c r="U368" s="2954">
        <v>44392</v>
      </c>
      <c r="V368" s="2948" t="s">
        <v>1003</v>
      </c>
      <c r="W368" s="2944">
        <f t="shared" si="0"/>
        <v>16451.414045122299</v>
      </c>
    </row>
    <row r="369" spans="1:23" s="2944" customFormat="1" ht="46.8">
      <c r="A369" s="2948">
        <v>368</v>
      </c>
      <c r="B369" s="2948" t="s">
        <v>635</v>
      </c>
      <c r="C369" s="2948" t="s">
        <v>636</v>
      </c>
      <c r="D369" s="2948" t="s">
        <v>1025</v>
      </c>
      <c r="E369" s="2948" t="s">
        <v>729</v>
      </c>
      <c r="F369" s="2948" t="s">
        <v>1089</v>
      </c>
      <c r="G369" s="2948" t="s">
        <v>640</v>
      </c>
      <c r="H369" s="2948" t="s">
        <v>1026</v>
      </c>
      <c r="I369" s="2948" t="s">
        <v>1027</v>
      </c>
      <c r="J369" s="2948" t="s">
        <v>643</v>
      </c>
      <c r="K369" s="2950">
        <v>31.47</v>
      </c>
      <c r="L369" s="2950">
        <v>13.25</v>
      </c>
      <c r="M369" s="2951">
        <v>544975</v>
      </c>
      <c r="N369" s="2951">
        <v>544975</v>
      </c>
      <c r="O369" s="2952">
        <v>544975</v>
      </c>
      <c r="P369" s="2953">
        <v>544975</v>
      </c>
      <c r="Q369" s="2951">
        <v>544975</v>
      </c>
      <c r="R369" s="2954">
        <v>44277</v>
      </c>
      <c r="S369" s="2954">
        <v>44279</v>
      </c>
      <c r="T369" s="2954">
        <v>44355</v>
      </c>
      <c r="U369" s="2954">
        <v>44355</v>
      </c>
      <c r="V369" s="2948" t="s">
        <v>654</v>
      </c>
      <c r="W369" s="2944">
        <f t="shared" si="0"/>
        <v>17317.286304416899</v>
      </c>
    </row>
    <row r="370" spans="1:23" s="2944" customFormat="1" ht="46.8">
      <c r="A370" s="2948">
        <v>369</v>
      </c>
      <c r="B370" s="2948" t="s">
        <v>635</v>
      </c>
      <c r="C370" s="2948" t="s">
        <v>636</v>
      </c>
      <c r="D370" s="2948" t="s">
        <v>1025</v>
      </c>
      <c r="E370" s="2948" t="s">
        <v>729</v>
      </c>
      <c r="F370" s="2948" t="s">
        <v>1090</v>
      </c>
      <c r="G370" s="2948" t="s">
        <v>640</v>
      </c>
      <c r="H370" s="2948" t="s">
        <v>1026</v>
      </c>
      <c r="I370" s="2948" t="s">
        <v>1027</v>
      </c>
      <c r="J370" s="2948" t="s">
        <v>643</v>
      </c>
      <c r="K370" s="2950">
        <v>31.47</v>
      </c>
      <c r="L370" s="2950">
        <v>13.25</v>
      </c>
      <c r="M370" s="2951">
        <v>544975</v>
      </c>
      <c r="N370" s="2951">
        <v>544975</v>
      </c>
      <c r="O370" s="2952">
        <v>544975</v>
      </c>
      <c r="P370" s="2953">
        <v>544975</v>
      </c>
      <c r="Q370" s="2951">
        <v>544975</v>
      </c>
      <c r="R370" s="2954">
        <v>44277</v>
      </c>
      <c r="S370" s="2954">
        <v>44279</v>
      </c>
      <c r="T370" s="2954">
        <v>44529</v>
      </c>
      <c r="U370" s="2954">
        <v>44529</v>
      </c>
      <c r="V370" s="2948" t="s">
        <v>674</v>
      </c>
      <c r="W370" s="2944">
        <f t="shared" si="0"/>
        <v>17317.286304416899</v>
      </c>
    </row>
    <row r="371" spans="1:23" s="2944" customFormat="1" ht="46.8">
      <c r="A371" s="2948">
        <v>370</v>
      </c>
      <c r="B371" s="2948" t="s">
        <v>635</v>
      </c>
      <c r="C371" s="2948" t="s">
        <v>636</v>
      </c>
      <c r="D371" s="2948" t="s">
        <v>1025</v>
      </c>
      <c r="E371" s="2948" t="s">
        <v>729</v>
      </c>
      <c r="F371" s="2948" t="s">
        <v>1091</v>
      </c>
      <c r="G371" s="2948" t="s">
        <v>640</v>
      </c>
      <c r="H371" s="2948" t="s">
        <v>1026</v>
      </c>
      <c r="I371" s="2948" t="s">
        <v>1027</v>
      </c>
      <c r="J371" s="2948" t="s">
        <v>643</v>
      </c>
      <c r="K371" s="2950">
        <v>31.47</v>
      </c>
      <c r="L371" s="2950">
        <v>13.25</v>
      </c>
      <c r="M371" s="2951">
        <v>544975</v>
      </c>
      <c r="N371" s="2951">
        <v>544975</v>
      </c>
      <c r="O371" s="2952">
        <v>517726</v>
      </c>
      <c r="P371" s="2953">
        <v>517726</v>
      </c>
      <c r="Q371" s="2951">
        <v>517726</v>
      </c>
      <c r="R371" s="2954">
        <v>44735</v>
      </c>
      <c r="S371" s="2954">
        <v>44741</v>
      </c>
      <c r="T371" s="2954">
        <v>44757</v>
      </c>
      <c r="U371" s="2954">
        <v>44757</v>
      </c>
      <c r="V371" s="2948" t="s">
        <v>1018</v>
      </c>
      <c r="W371" s="2944">
        <f t="shared" si="0"/>
        <v>16451.414045122299</v>
      </c>
    </row>
    <row r="372" spans="1:23" s="2944" customFormat="1" ht="46.8" hidden="1">
      <c r="A372" s="2948">
        <v>371</v>
      </c>
      <c r="B372" s="2948" t="s">
        <v>635</v>
      </c>
      <c r="C372" s="2948" t="s">
        <v>636</v>
      </c>
      <c r="D372" s="2948" t="s">
        <v>1025</v>
      </c>
      <c r="E372" s="2948" t="s">
        <v>729</v>
      </c>
      <c r="F372" s="2948" t="s">
        <v>1092</v>
      </c>
      <c r="G372" s="2948" t="s">
        <v>1041</v>
      </c>
      <c r="H372" s="2948" t="s">
        <v>1026</v>
      </c>
      <c r="I372" s="2948" t="s">
        <v>1027</v>
      </c>
      <c r="J372" s="2948" t="s">
        <v>643</v>
      </c>
      <c r="K372" s="2950">
        <v>31.47</v>
      </c>
      <c r="L372" s="2950">
        <v>13.25</v>
      </c>
      <c r="M372" s="2951">
        <v>0</v>
      </c>
      <c r="N372" s="2951">
        <v>0</v>
      </c>
      <c r="O372" s="2955"/>
      <c r="P372" s="2948"/>
      <c r="Q372" s="2951">
        <v>0</v>
      </c>
      <c r="R372" s="2948"/>
      <c r="S372" s="2948"/>
      <c r="T372" s="2948"/>
      <c r="U372" s="2948"/>
      <c r="V372" s="2948"/>
      <c r="W372" s="2944">
        <f t="shared" si="0"/>
        <v>0</v>
      </c>
    </row>
    <row r="373" spans="1:23" s="2944" customFormat="1" ht="46.8">
      <c r="A373" s="2948">
        <v>372</v>
      </c>
      <c r="B373" s="2948" t="s">
        <v>635</v>
      </c>
      <c r="C373" s="2948" t="s">
        <v>636</v>
      </c>
      <c r="D373" s="2948" t="s">
        <v>1025</v>
      </c>
      <c r="E373" s="2948" t="s">
        <v>729</v>
      </c>
      <c r="F373" s="2948" t="s">
        <v>1093</v>
      </c>
      <c r="G373" s="2948" t="s">
        <v>640</v>
      </c>
      <c r="H373" s="2948" t="s">
        <v>1026</v>
      </c>
      <c r="I373" s="2948" t="s">
        <v>1027</v>
      </c>
      <c r="J373" s="2948" t="s">
        <v>643</v>
      </c>
      <c r="K373" s="2950">
        <v>31.47</v>
      </c>
      <c r="L373" s="2950">
        <v>13.25</v>
      </c>
      <c r="M373" s="2951">
        <v>544975</v>
      </c>
      <c r="N373" s="2951">
        <v>544975</v>
      </c>
      <c r="O373" s="2952">
        <v>544975</v>
      </c>
      <c r="P373" s="2953">
        <v>544975</v>
      </c>
      <c r="Q373" s="2951">
        <v>544975</v>
      </c>
      <c r="R373" s="2954">
        <v>44309</v>
      </c>
      <c r="S373" s="2954">
        <v>44341</v>
      </c>
      <c r="T373" s="2954">
        <v>44375</v>
      </c>
      <c r="U373" s="2954">
        <v>44375</v>
      </c>
      <c r="V373" s="2948" t="s">
        <v>702</v>
      </c>
      <c r="W373" s="2944">
        <f t="shared" si="0"/>
        <v>17317.286304416899</v>
      </c>
    </row>
    <row r="374" spans="1:23" s="2944" customFormat="1" ht="46.8" hidden="1">
      <c r="A374" s="2948">
        <v>373</v>
      </c>
      <c r="B374" s="2948" t="s">
        <v>635</v>
      </c>
      <c r="C374" s="2948" t="s">
        <v>636</v>
      </c>
      <c r="D374" s="2948" t="s">
        <v>1025</v>
      </c>
      <c r="E374" s="2948" t="s">
        <v>729</v>
      </c>
      <c r="F374" s="2948" t="s">
        <v>1094</v>
      </c>
      <c r="G374" s="2948" t="s">
        <v>1041</v>
      </c>
      <c r="H374" s="2948" t="s">
        <v>1031</v>
      </c>
      <c r="I374" s="2948" t="s">
        <v>1027</v>
      </c>
      <c r="J374" s="2948" t="s">
        <v>643</v>
      </c>
      <c r="K374" s="2950">
        <v>26.72</v>
      </c>
      <c r="L374" s="2950">
        <v>11.25</v>
      </c>
      <c r="M374" s="2951">
        <v>0</v>
      </c>
      <c r="N374" s="2951">
        <v>0</v>
      </c>
      <c r="O374" s="2955"/>
      <c r="P374" s="2948"/>
      <c r="Q374" s="2951">
        <v>0</v>
      </c>
      <c r="R374" s="2948"/>
      <c r="S374" s="2948"/>
      <c r="T374" s="2948"/>
      <c r="U374" s="2948"/>
      <c r="V374" s="2948"/>
      <c r="W374" s="2944">
        <f t="shared" si="0"/>
        <v>0</v>
      </c>
    </row>
    <row r="375" spans="1:23" s="2944" customFormat="1" ht="46.8">
      <c r="A375" s="2948">
        <v>374</v>
      </c>
      <c r="B375" s="2948" t="s">
        <v>635</v>
      </c>
      <c r="C375" s="2948" t="s">
        <v>636</v>
      </c>
      <c r="D375" s="2948" t="s">
        <v>1025</v>
      </c>
      <c r="E375" s="2948" t="s">
        <v>729</v>
      </c>
      <c r="F375" s="2948" t="s">
        <v>1095</v>
      </c>
      <c r="G375" s="2948" t="s">
        <v>640</v>
      </c>
      <c r="H375" s="2948" t="s">
        <v>1026</v>
      </c>
      <c r="I375" s="2948" t="s">
        <v>1027</v>
      </c>
      <c r="J375" s="2948" t="s">
        <v>643</v>
      </c>
      <c r="K375" s="2950">
        <v>31.47</v>
      </c>
      <c r="L375" s="2950">
        <v>13.25</v>
      </c>
      <c r="M375" s="2951">
        <v>544975</v>
      </c>
      <c r="N375" s="2951">
        <v>544975</v>
      </c>
      <c r="O375" s="2952">
        <v>544975</v>
      </c>
      <c r="P375" s="2953">
        <v>544975</v>
      </c>
      <c r="Q375" s="2951">
        <v>544975</v>
      </c>
      <c r="R375" s="2954">
        <v>44428</v>
      </c>
      <c r="S375" s="2954">
        <v>44429</v>
      </c>
      <c r="T375" s="2954">
        <v>44429</v>
      </c>
      <c r="U375" s="2954">
        <v>44429</v>
      </c>
      <c r="V375" s="2948" t="s">
        <v>1001</v>
      </c>
      <c r="W375" s="2944">
        <f t="shared" si="0"/>
        <v>17317.286304416899</v>
      </c>
    </row>
    <row r="376" spans="1:23" s="2944" customFormat="1" ht="46.8" hidden="1">
      <c r="A376" s="2948">
        <v>375</v>
      </c>
      <c r="B376" s="2948" t="s">
        <v>635</v>
      </c>
      <c r="C376" s="2948" t="s">
        <v>636</v>
      </c>
      <c r="D376" s="2948" t="s">
        <v>1025</v>
      </c>
      <c r="E376" s="2948" t="s">
        <v>729</v>
      </c>
      <c r="F376" s="2948" t="s">
        <v>1096</v>
      </c>
      <c r="G376" s="2948" t="s">
        <v>1035</v>
      </c>
      <c r="H376" s="2948" t="s">
        <v>1026</v>
      </c>
      <c r="I376" s="2948" t="s">
        <v>1027</v>
      </c>
      <c r="J376" s="2948" t="s">
        <v>643</v>
      </c>
      <c r="K376" s="2950">
        <v>31.47</v>
      </c>
      <c r="L376" s="2950">
        <v>13.25</v>
      </c>
      <c r="M376" s="2951">
        <v>544975</v>
      </c>
      <c r="N376" s="2951">
        <v>544975</v>
      </c>
      <c r="O376" s="2955"/>
      <c r="P376" s="2948"/>
      <c r="Q376" s="2951">
        <v>0</v>
      </c>
      <c r="R376" s="2948"/>
      <c r="S376" s="2948"/>
      <c r="T376" s="2948"/>
      <c r="U376" s="2948"/>
      <c r="V376" s="2948"/>
      <c r="W376" s="2944">
        <f t="shared" ref="W376:W439" si="1">O376/K376</f>
        <v>0</v>
      </c>
    </row>
    <row r="377" spans="1:23" s="2944" customFormat="1" ht="46.8">
      <c r="A377" s="2948">
        <v>376</v>
      </c>
      <c r="B377" s="2948" t="s">
        <v>635</v>
      </c>
      <c r="C377" s="2948" t="s">
        <v>636</v>
      </c>
      <c r="D377" s="2948" t="s">
        <v>1025</v>
      </c>
      <c r="E377" s="2948" t="s">
        <v>729</v>
      </c>
      <c r="F377" s="2948" t="s">
        <v>1097</v>
      </c>
      <c r="G377" s="2948" t="s">
        <v>640</v>
      </c>
      <c r="H377" s="2948" t="s">
        <v>1026</v>
      </c>
      <c r="I377" s="2948" t="s">
        <v>1027</v>
      </c>
      <c r="J377" s="2948" t="s">
        <v>643</v>
      </c>
      <c r="K377" s="2950">
        <v>31.47</v>
      </c>
      <c r="L377" s="2950">
        <v>13.25</v>
      </c>
      <c r="M377" s="2951">
        <v>544975</v>
      </c>
      <c r="N377" s="2951">
        <v>544975</v>
      </c>
      <c r="O377" s="2952">
        <v>544975</v>
      </c>
      <c r="P377" s="2953">
        <v>544975</v>
      </c>
      <c r="Q377" s="2951">
        <v>544975</v>
      </c>
      <c r="R377" s="2954">
        <v>44284</v>
      </c>
      <c r="S377" s="2954">
        <v>44284</v>
      </c>
      <c r="T377" s="2954">
        <v>44492</v>
      </c>
      <c r="U377" s="2954">
        <v>44492</v>
      </c>
      <c r="V377" s="2948" t="s">
        <v>690</v>
      </c>
      <c r="W377" s="2944">
        <f t="shared" si="1"/>
        <v>17317.286304416899</v>
      </c>
    </row>
    <row r="378" spans="1:23" s="2944" customFormat="1" ht="46.8">
      <c r="A378" s="2948">
        <v>377</v>
      </c>
      <c r="B378" s="2948" t="s">
        <v>635</v>
      </c>
      <c r="C378" s="2948" t="s">
        <v>636</v>
      </c>
      <c r="D378" s="2948" t="s">
        <v>1025</v>
      </c>
      <c r="E378" s="2948" t="s">
        <v>729</v>
      </c>
      <c r="F378" s="2948" t="s">
        <v>1098</v>
      </c>
      <c r="G378" s="2948" t="s">
        <v>640</v>
      </c>
      <c r="H378" s="2948" t="s">
        <v>1026</v>
      </c>
      <c r="I378" s="2948" t="s">
        <v>1027</v>
      </c>
      <c r="J378" s="2948" t="s">
        <v>643</v>
      </c>
      <c r="K378" s="2950">
        <v>31.47</v>
      </c>
      <c r="L378" s="2950">
        <v>13.25</v>
      </c>
      <c r="M378" s="2951">
        <v>544975</v>
      </c>
      <c r="N378" s="2951">
        <v>544975</v>
      </c>
      <c r="O378" s="2952">
        <v>544975</v>
      </c>
      <c r="P378" s="2953">
        <v>544975</v>
      </c>
      <c r="Q378" s="2951">
        <v>544975</v>
      </c>
      <c r="R378" s="2954">
        <v>45046</v>
      </c>
      <c r="S378" s="2954">
        <v>45046</v>
      </c>
      <c r="T378" s="2954">
        <v>45097</v>
      </c>
      <c r="U378" s="2954">
        <v>45097</v>
      </c>
      <c r="V378" s="2948" t="s">
        <v>969</v>
      </c>
      <c r="W378" s="2944">
        <f t="shared" si="1"/>
        <v>17317.286304416899</v>
      </c>
    </row>
    <row r="379" spans="1:23" s="2944" customFormat="1" ht="46.8">
      <c r="A379" s="2948">
        <v>378</v>
      </c>
      <c r="B379" s="2948" t="s">
        <v>635</v>
      </c>
      <c r="C379" s="2948" t="s">
        <v>636</v>
      </c>
      <c r="D379" s="2948" t="s">
        <v>1025</v>
      </c>
      <c r="E379" s="2948" t="s">
        <v>729</v>
      </c>
      <c r="F379" s="2948" t="s">
        <v>1099</v>
      </c>
      <c r="G379" s="2948" t="s">
        <v>640</v>
      </c>
      <c r="H379" s="2948" t="s">
        <v>1026</v>
      </c>
      <c r="I379" s="2948" t="s">
        <v>1027</v>
      </c>
      <c r="J379" s="2948" t="s">
        <v>643</v>
      </c>
      <c r="K379" s="2950">
        <v>31.47</v>
      </c>
      <c r="L379" s="2950">
        <v>13.25</v>
      </c>
      <c r="M379" s="2951">
        <v>544975</v>
      </c>
      <c r="N379" s="2951">
        <v>544975</v>
      </c>
      <c r="O379" s="2952">
        <v>544975</v>
      </c>
      <c r="P379" s="2953">
        <v>544975</v>
      </c>
      <c r="Q379" s="2951">
        <v>544975</v>
      </c>
      <c r="R379" s="2954">
        <v>45278</v>
      </c>
      <c r="S379" s="2954">
        <v>45281</v>
      </c>
      <c r="T379" s="2954">
        <v>45281</v>
      </c>
      <c r="U379" s="2954">
        <v>45281</v>
      </c>
      <c r="V379" s="2948" t="s">
        <v>789</v>
      </c>
      <c r="W379" s="2944">
        <f t="shared" si="1"/>
        <v>17317.286304416899</v>
      </c>
    </row>
    <row r="380" spans="1:23" s="2944" customFormat="1" ht="46.8">
      <c r="A380" s="2948">
        <v>379</v>
      </c>
      <c r="B380" s="2948" t="s">
        <v>635</v>
      </c>
      <c r="C380" s="2948" t="s">
        <v>636</v>
      </c>
      <c r="D380" s="2948" t="s">
        <v>1025</v>
      </c>
      <c r="E380" s="2948" t="s">
        <v>729</v>
      </c>
      <c r="F380" s="2948" t="s">
        <v>1100</v>
      </c>
      <c r="G380" s="2948" t="s">
        <v>640</v>
      </c>
      <c r="H380" s="2948" t="s">
        <v>1026</v>
      </c>
      <c r="I380" s="2948" t="s">
        <v>1027</v>
      </c>
      <c r="J380" s="2948" t="s">
        <v>643</v>
      </c>
      <c r="K380" s="2950">
        <v>31.47</v>
      </c>
      <c r="L380" s="2950">
        <v>13.25</v>
      </c>
      <c r="M380" s="2951">
        <v>544975</v>
      </c>
      <c r="N380" s="2951">
        <v>544975</v>
      </c>
      <c r="O380" s="2952">
        <v>544975</v>
      </c>
      <c r="P380" s="2953">
        <v>544975</v>
      </c>
      <c r="Q380" s="2951">
        <v>544975</v>
      </c>
      <c r="R380" s="2954">
        <v>44312</v>
      </c>
      <c r="S380" s="2954">
        <v>44316</v>
      </c>
      <c r="T380" s="2954">
        <v>44390</v>
      </c>
      <c r="U380" s="2954">
        <v>44388</v>
      </c>
      <c r="V380" s="2948" t="s">
        <v>666</v>
      </c>
      <c r="W380" s="2944">
        <f t="shared" si="1"/>
        <v>17317.286304416899</v>
      </c>
    </row>
    <row r="381" spans="1:23" s="2944" customFormat="1" ht="46.8">
      <c r="A381" s="2948">
        <v>380</v>
      </c>
      <c r="B381" s="2948" t="s">
        <v>635</v>
      </c>
      <c r="C381" s="2948" t="s">
        <v>636</v>
      </c>
      <c r="D381" s="2948" t="s">
        <v>1025</v>
      </c>
      <c r="E381" s="2948" t="s">
        <v>729</v>
      </c>
      <c r="F381" s="2948" t="s">
        <v>1101</v>
      </c>
      <c r="G381" s="2948" t="s">
        <v>640</v>
      </c>
      <c r="H381" s="2948" t="s">
        <v>1026</v>
      </c>
      <c r="I381" s="2948" t="s">
        <v>1027</v>
      </c>
      <c r="J381" s="2948" t="s">
        <v>643</v>
      </c>
      <c r="K381" s="2950">
        <v>31.47</v>
      </c>
      <c r="L381" s="2950">
        <v>13.25</v>
      </c>
      <c r="M381" s="2951">
        <v>544975</v>
      </c>
      <c r="N381" s="2951">
        <v>544975</v>
      </c>
      <c r="O381" s="2952">
        <v>544975</v>
      </c>
      <c r="P381" s="2953">
        <v>544975</v>
      </c>
      <c r="Q381" s="2951">
        <v>544975</v>
      </c>
      <c r="R381" s="2954">
        <v>44340</v>
      </c>
      <c r="S381" s="2954">
        <v>44342</v>
      </c>
      <c r="T381" s="2954">
        <v>44408</v>
      </c>
      <c r="U381" s="2954">
        <v>44408</v>
      </c>
      <c r="V381" s="2948" t="s">
        <v>704</v>
      </c>
      <c r="W381" s="2944">
        <f t="shared" si="1"/>
        <v>17317.286304416899</v>
      </c>
    </row>
    <row r="382" spans="1:23" s="2944" customFormat="1" ht="46.8">
      <c r="A382" s="2948">
        <v>381</v>
      </c>
      <c r="B382" s="2948" t="s">
        <v>635</v>
      </c>
      <c r="C382" s="2948" t="s">
        <v>636</v>
      </c>
      <c r="D382" s="2948" t="s">
        <v>1025</v>
      </c>
      <c r="E382" s="2948" t="s">
        <v>729</v>
      </c>
      <c r="F382" s="2948" t="s">
        <v>1102</v>
      </c>
      <c r="G382" s="2948" t="s">
        <v>640</v>
      </c>
      <c r="H382" s="2948" t="s">
        <v>1026</v>
      </c>
      <c r="I382" s="2948" t="s">
        <v>1027</v>
      </c>
      <c r="J382" s="2948" t="s">
        <v>643</v>
      </c>
      <c r="K382" s="2950">
        <v>31.47</v>
      </c>
      <c r="L382" s="2950">
        <v>13.25</v>
      </c>
      <c r="M382" s="2951">
        <v>544975</v>
      </c>
      <c r="N382" s="2951">
        <v>544975</v>
      </c>
      <c r="O382" s="2952">
        <v>544975</v>
      </c>
      <c r="P382" s="2953">
        <v>544975</v>
      </c>
      <c r="Q382" s="2951">
        <v>544975</v>
      </c>
      <c r="R382" s="2954">
        <v>44340</v>
      </c>
      <c r="S382" s="2954">
        <v>44342</v>
      </c>
      <c r="T382" s="2954">
        <v>44408</v>
      </c>
      <c r="U382" s="2954">
        <v>44408</v>
      </c>
      <c r="V382" s="2948" t="s">
        <v>704</v>
      </c>
      <c r="W382" s="2944">
        <f t="shared" si="1"/>
        <v>17317.286304416899</v>
      </c>
    </row>
    <row r="383" spans="1:23" s="2944" customFormat="1" ht="46.8" hidden="1">
      <c r="A383" s="2948">
        <v>382</v>
      </c>
      <c r="B383" s="2948" t="s">
        <v>635</v>
      </c>
      <c r="C383" s="2948" t="s">
        <v>636</v>
      </c>
      <c r="D383" s="2948" t="s">
        <v>1025</v>
      </c>
      <c r="E383" s="2948" t="s">
        <v>729</v>
      </c>
      <c r="F383" s="2948" t="s">
        <v>1103</v>
      </c>
      <c r="G383" s="2948" t="s">
        <v>1041</v>
      </c>
      <c r="H383" s="2948" t="s">
        <v>1031</v>
      </c>
      <c r="I383" s="2948" t="s">
        <v>1027</v>
      </c>
      <c r="J383" s="2948" t="s">
        <v>643</v>
      </c>
      <c r="K383" s="2950">
        <v>26.72</v>
      </c>
      <c r="L383" s="2950">
        <v>11.25</v>
      </c>
      <c r="M383" s="2951">
        <v>0</v>
      </c>
      <c r="N383" s="2951">
        <v>0</v>
      </c>
      <c r="O383" s="2955"/>
      <c r="P383" s="2948"/>
      <c r="Q383" s="2951">
        <v>0</v>
      </c>
      <c r="R383" s="2948"/>
      <c r="S383" s="2948"/>
      <c r="T383" s="2948"/>
      <c r="U383" s="2948"/>
      <c r="V383" s="2948"/>
      <c r="W383" s="2944">
        <f t="shared" si="1"/>
        <v>0</v>
      </c>
    </row>
    <row r="384" spans="1:23" s="2944" customFormat="1" ht="46.8">
      <c r="A384" s="2948">
        <v>383</v>
      </c>
      <c r="B384" s="2948" t="s">
        <v>635</v>
      </c>
      <c r="C384" s="2948" t="s">
        <v>636</v>
      </c>
      <c r="D384" s="2948" t="s">
        <v>1025</v>
      </c>
      <c r="E384" s="2948" t="s">
        <v>729</v>
      </c>
      <c r="F384" s="2948" t="s">
        <v>1104</v>
      </c>
      <c r="G384" s="2948" t="s">
        <v>640</v>
      </c>
      <c r="H384" s="2948" t="s">
        <v>1026</v>
      </c>
      <c r="I384" s="2948" t="s">
        <v>1027</v>
      </c>
      <c r="J384" s="2948" t="s">
        <v>643</v>
      </c>
      <c r="K384" s="2950">
        <v>31.47</v>
      </c>
      <c r="L384" s="2950">
        <v>13.25</v>
      </c>
      <c r="M384" s="2951">
        <v>544975</v>
      </c>
      <c r="N384" s="2951">
        <v>544975</v>
      </c>
      <c r="O384" s="2952">
        <v>544975</v>
      </c>
      <c r="P384" s="2953">
        <v>544975</v>
      </c>
      <c r="Q384" s="2951">
        <v>544975</v>
      </c>
      <c r="R384" s="2954">
        <v>44735</v>
      </c>
      <c r="S384" s="2954">
        <v>44736</v>
      </c>
      <c r="T384" s="2954">
        <v>44757</v>
      </c>
      <c r="U384" s="2954">
        <v>44757</v>
      </c>
      <c r="V384" s="2948" t="s">
        <v>797</v>
      </c>
      <c r="W384" s="2944">
        <f t="shared" si="1"/>
        <v>17317.286304416899</v>
      </c>
    </row>
    <row r="385" spans="1:23" s="2944" customFormat="1" ht="46.8">
      <c r="A385" s="2948">
        <v>384</v>
      </c>
      <c r="B385" s="2948" t="s">
        <v>635</v>
      </c>
      <c r="C385" s="2948" t="s">
        <v>636</v>
      </c>
      <c r="D385" s="2948" t="s">
        <v>1025</v>
      </c>
      <c r="E385" s="2948" t="s">
        <v>729</v>
      </c>
      <c r="F385" s="2948" t="s">
        <v>1105</v>
      </c>
      <c r="G385" s="2948" t="s">
        <v>640</v>
      </c>
      <c r="H385" s="2948" t="s">
        <v>1026</v>
      </c>
      <c r="I385" s="2948" t="s">
        <v>1027</v>
      </c>
      <c r="J385" s="2948" t="s">
        <v>643</v>
      </c>
      <c r="K385" s="2950">
        <v>31.47</v>
      </c>
      <c r="L385" s="2950">
        <v>13.25</v>
      </c>
      <c r="M385" s="2951">
        <v>544975</v>
      </c>
      <c r="N385" s="2951">
        <v>544975</v>
      </c>
      <c r="O385" s="2952">
        <v>517726</v>
      </c>
      <c r="P385" s="2953">
        <v>517726</v>
      </c>
      <c r="Q385" s="2951">
        <v>517726</v>
      </c>
      <c r="R385" s="2954">
        <v>44279</v>
      </c>
      <c r="S385" s="2954">
        <v>44279</v>
      </c>
      <c r="T385" s="2954">
        <v>44529</v>
      </c>
      <c r="U385" s="2954">
        <v>44529</v>
      </c>
      <c r="V385" s="2948" t="s">
        <v>763</v>
      </c>
      <c r="W385" s="2944">
        <f t="shared" si="1"/>
        <v>16451.414045122299</v>
      </c>
    </row>
    <row r="386" spans="1:23" s="2944" customFormat="1" ht="46.8">
      <c r="A386" s="2948">
        <v>385</v>
      </c>
      <c r="B386" s="2948" t="s">
        <v>635</v>
      </c>
      <c r="C386" s="2948" t="s">
        <v>636</v>
      </c>
      <c r="D386" s="2948" t="s">
        <v>1025</v>
      </c>
      <c r="E386" s="2948" t="s">
        <v>729</v>
      </c>
      <c r="F386" s="2948" t="s">
        <v>1106</v>
      </c>
      <c r="G386" s="2948" t="s">
        <v>640</v>
      </c>
      <c r="H386" s="2948" t="s">
        <v>1026</v>
      </c>
      <c r="I386" s="2948" t="s">
        <v>1027</v>
      </c>
      <c r="J386" s="2948" t="s">
        <v>643</v>
      </c>
      <c r="K386" s="2950">
        <v>31.47</v>
      </c>
      <c r="L386" s="2950">
        <v>13.25</v>
      </c>
      <c r="M386" s="2951">
        <v>544975</v>
      </c>
      <c r="N386" s="2951">
        <v>544975</v>
      </c>
      <c r="O386" s="2952">
        <v>544975</v>
      </c>
      <c r="P386" s="2953">
        <v>544975</v>
      </c>
      <c r="Q386" s="2951">
        <v>544975</v>
      </c>
      <c r="R386" s="2954">
        <v>44274</v>
      </c>
      <c r="S386" s="2954">
        <v>44277</v>
      </c>
      <c r="T386" s="2954">
        <v>44337</v>
      </c>
      <c r="U386" s="2954">
        <v>44337</v>
      </c>
      <c r="V386" s="2948" t="s">
        <v>757</v>
      </c>
      <c r="W386" s="2944">
        <f t="shared" si="1"/>
        <v>17317.286304416899</v>
      </c>
    </row>
    <row r="387" spans="1:23" s="2944" customFormat="1" ht="46.8">
      <c r="A387" s="2948">
        <v>386</v>
      </c>
      <c r="B387" s="2948" t="s">
        <v>635</v>
      </c>
      <c r="C387" s="2948" t="s">
        <v>636</v>
      </c>
      <c r="D387" s="2948" t="s">
        <v>1025</v>
      </c>
      <c r="E387" s="2948" t="s">
        <v>729</v>
      </c>
      <c r="F387" s="2948" t="s">
        <v>1107</v>
      </c>
      <c r="G387" s="2948" t="s">
        <v>640</v>
      </c>
      <c r="H387" s="2948" t="s">
        <v>1026</v>
      </c>
      <c r="I387" s="2948" t="s">
        <v>1027</v>
      </c>
      <c r="J387" s="2948" t="s">
        <v>643</v>
      </c>
      <c r="K387" s="2950">
        <v>31.47</v>
      </c>
      <c r="L387" s="2950">
        <v>13.25</v>
      </c>
      <c r="M387" s="2951">
        <v>544975</v>
      </c>
      <c r="N387" s="2951">
        <v>544975</v>
      </c>
      <c r="O387" s="2952">
        <v>544975</v>
      </c>
      <c r="P387" s="2953">
        <v>544975</v>
      </c>
      <c r="Q387" s="2951">
        <v>544975</v>
      </c>
      <c r="R387" s="2954">
        <v>44277</v>
      </c>
      <c r="S387" s="2954">
        <v>44278</v>
      </c>
      <c r="T387" s="2954">
        <v>44376</v>
      </c>
      <c r="U387" s="2954">
        <v>44376</v>
      </c>
      <c r="V387" s="2948" t="s">
        <v>753</v>
      </c>
      <c r="W387" s="2944">
        <f t="shared" si="1"/>
        <v>17317.286304416899</v>
      </c>
    </row>
    <row r="388" spans="1:23" s="2944" customFormat="1" ht="46.8">
      <c r="A388" s="2948">
        <v>387</v>
      </c>
      <c r="B388" s="2948" t="s">
        <v>635</v>
      </c>
      <c r="C388" s="2948" t="s">
        <v>636</v>
      </c>
      <c r="D388" s="2948" t="s">
        <v>1025</v>
      </c>
      <c r="E388" s="2948" t="s">
        <v>729</v>
      </c>
      <c r="F388" s="2948" t="s">
        <v>1108</v>
      </c>
      <c r="G388" s="2948" t="s">
        <v>640</v>
      </c>
      <c r="H388" s="2948" t="s">
        <v>1026</v>
      </c>
      <c r="I388" s="2948" t="s">
        <v>1027</v>
      </c>
      <c r="J388" s="2948" t="s">
        <v>643</v>
      </c>
      <c r="K388" s="2950">
        <v>31.47</v>
      </c>
      <c r="L388" s="2950">
        <v>13.25</v>
      </c>
      <c r="M388" s="2951">
        <v>544975</v>
      </c>
      <c r="N388" s="2951">
        <v>544975</v>
      </c>
      <c r="O388" s="2952">
        <v>544975</v>
      </c>
      <c r="P388" s="2953">
        <v>544975</v>
      </c>
      <c r="Q388" s="2951">
        <v>544975</v>
      </c>
      <c r="R388" s="2954">
        <v>44735</v>
      </c>
      <c r="S388" s="2954">
        <v>44737</v>
      </c>
      <c r="T388" s="2954">
        <v>44772</v>
      </c>
      <c r="U388" s="2954">
        <v>44772</v>
      </c>
      <c r="V388" s="2948" t="s">
        <v>737</v>
      </c>
      <c r="W388" s="2944">
        <f t="shared" si="1"/>
        <v>17317.286304416899</v>
      </c>
    </row>
    <row r="389" spans="1:23" s="2944" customFormat="1" ht="46.8">
      <c r="A389" s="2948">
        <v>388</v>
      </c>
      <c r="B389" s="2948" t="s">
        <v>635</v>
      </c>
      <c r="C389" s="2948" t="s">
        <v>636</v>
      </c>
      <c r="D389" s="2948" t="s">
        <v>1025</v>
      </c>
      <c r="E389" s="2948" t="s">
        <v>729</v>
      </c>
      <c r="F389" s="2948" t="s">
        <v>1109</v>
      </c>
      <c r="G389" s="2948" t="s">
        <v>640</v>
      </c>
      <c r="H389" s="2948" t="s">
        <v>1026</v>
      </c>
      <c r="I389" s="2948" t="s">
        <v>1027</v>
      </c>
      <c r="J389" s="2948" t="s">
        <v>643</v>
      </c>
      <c r="K389" s="2950">
        <v>31.47</v>
      </c>
      <c r="L389" s="2950">
        <v>13.25</v>
      </c>
      <c r="M389" s="2951">
        <v>544975</v>
      </c>
      <c r="N389" s="2951">
        <v>544975</v>
      </c>
      <c r="O389" s="2952">
        <v>544975</v>
      </c>
      <c r="P389" s="2953">
        <v>544975</v>
      </c>
      <c r="Q389" s="2951">
        <v>544975</v>
      </c>
      <c r="R389" s="2954">
        <v>44735</v>
      </c>
      <c r="S389" s="2954">
        <v>44737</v>
      </c>
      <c r="T389" s="2954">
        <v>44762</v>
      </c>
      <c r="U389" s="2954">
        <v>44762</v>
      </c>
      <c r="V389" s="2948" t="s">
        <v>744</v>
      </c>
      <c r="W389" s="2944">
        <f t="shared" si="1"/>
        <v>17317.286304416899</v>
      </c>
    </row>
    <row r="390" spans="1:23" s="2944" customFormat="1" ht="46.8">
      <c r="A390" s="2948">
        <v>389</v>
      </c>
      <c r="B390" s="2948" t="s">
        <v>635</v>
      </c>
      <c r="C390" s="2948" t="s">
        <v>636</v>
      </c>
      <c r="D390" s="2948" t="s">
        <v>1025</v>
      </c>
      <c r="E390" s="2948" t="s">
        <v>729</v>
      </c>
      <c r="F390" s="2948" t="s">
        <v>1110</v>
      </c>
      <c r="G390" s="2948" t="s">
        <v>640</v>
      </c>
      <c r="H390" s="2948" t="s">
        <v>1026</v>
      </c>
      <c r="I390" s="2948" t="s">
        <v>1027</v>
      </c>
      <c r="J390" s="2948" t="s">
        <v>643</v>
      </c>
      <c r="K390" s="2950">
        <v>31.47</v>
      </c>
      <c r="L390" s="2950">
        <v>13.25</v>
      </c>
      <c r="M390" s="2951">
        <v>544975</v>
      </c>
      <c r="N390" s="2951">
        <v>544975</v>
      </c>
      <c r="O390" s="2952">
        <v>544975</v>
      </c>
      <c r="P390" s="2953">
        <v>544975</v>
      </c>
      <c r="Q390" s="2951">
        <v>544975</v>
      </c>
      <c r="R390" s="2948"/>
      <c r="S390" s="2954">
        <v>44300.511874999997</v>
      </c>
      <c r="T390" s="2954">
        <v>44781</v>
      </c>
      <c r="U390" s="2954">
        <v>44781</v>
      </c>
      <c r="V390" s="2948" t="s">
        <v>686</v>
      </c>
      <c r="W390" s="2944">
        <f t="shared" si="1"/>
        <v>17317.286304416899</v>
      </c>
    </row>
    <row r="391" spans="1:23" s="2944" customFormat="1" ht="46.8">
      <c r="A391" s="2948">
        <v>390</v>
      </c>
      <c r="B391" s="2948" t="s">
        <v>635</v>
      </c>
      <c r="C391" s="2948" t="s">
        <v>636</v>
      </c>
      <c r="D391" s="2948" t="s">
        <v>1025</v>
      </c>
      <c r="E391" s="2948" t="s">
        <v>729</v>
      </c>
      <c r="F391" s="2948" t="s">
        <v>1111</v>
      </c>
      <c r="G391" s="2948" t="s">
        <v>640</v>
      </c>
      <c r="H391" s="2948" t="s">
        <v>1026</v>
      </c>
      <c r="I391" s="2948" t="s">
        <v>1027</v>
      </c>
      <c r="J391" s="2948" t="s">
        <v>643</v>
      </c>
      <c r="K391" s="2950">
        <v>31.47</v>
      </c>
      <c r="L391" s="2950">
        <v>13.25</v>
      </c>
      <c r="M391" s="2951">
        <v>544975</v>
      </c>
      <c r="N391" s="2951">
        <v>544975</v>
      </c>
      <c r="O391" s="2952">
        <v>544975</v>
      </c>
      <c r="P391" s="2953">
        <v>544975</v>
      </c>
      <c r="Q391" s="2951">
        <v>544975</v>
      </c>
      <c r="R391" s="2954">
        <v>44736</v>
      </c>
      <c r="S391" s="2954">
        <v>44737</v>
      </c>
      <c r="T391" s="2954">
        <v>44747</v>
      </c>
      <c r="U391" s="2954">
        <v>44747</v>
      </c>
      <c r="V391" s="2948" t="s">
        <v>1015</v>
      </c>
      <c r="W391" s="2944">
        <f t="shared" si="1"/>
        <v>17317.286304416899</v>
      </c>
    </row>
    <row r="392" spans="1:23" s="2944" customFormat="1" ht="46.8">
      <c r="A392" s="2948">
        <v>391</v>
      </c>
      <c r="B392" s="2948" t="s">
        <v>635</v>
      </c>
      <c r="C392" s="2948" t="s">
        <v>636</v>
      </c>
      <c r="D392" s="2948" t="s">
        <v>1025</v>
      </c>
      <c r="E392" s="2948" t="s">
        <v>729</v>
      </c>
      <c r="F392" s="2948" t="s">
        <v>1112</v>
      </c>
      <c r="G392" s="2948" t="s">
        <v>640</v>
      </c>
      <c r="H392" s="2948" t="s">
        <v>1026</v>
      </c>
      <c r="I392" s="2948" t="s">
        <v>1027</v>
      </c>
      <c r="J392" s="2948" t="s">
        <v>643</v>
      </c>
      <c r="K392" s="2950">
        <v>31.47</v>
      </c>
      <c r="L392" s="2950">
        <v>13.25</v>
      </c>
      <c r="M392" s="2951">
        <v>544975</v>
      </c>
      <c r="N392" s="2951">
        <v>544975</v>
      </c>
      <c r="O392" s="2952">
        <v>544975</v>
      </c>
      <c r="P392" s="2953">
        <v>544975</v>
      </c>
      <c r="Q392" s="2951">
        <v>544975</v>
      </c>
      <c r="R392" s="2954">
        <v>44735</v>
      </c>
      <c r="S392" s="2954">
        <v>44737</v>
      </c>
      <c r="T392" s="2954">
        <v>44755</v>
      </c>
      <c r="U392" s="2954">
        <v>44755</v>
      </c>
      <c r="V392" s="2948" t="s">
        <v>996</v>
      </c>
      <c r="W392" s="2944">
        <f t="shared" si="1"/>
        <v>17317.286304416899</v>
      </c>
    </row>
    <row r="393" spans="1:23" s="2944" customFormat="1" ht="46.8">
      <c r="A393" s="2948">
        <v>392</v>
      </c>
      <c r="B393" s="2948" t="s">
        <v>635</v>
      </c>
      <c r="C393" s="2948" t="s">
        <v>636</v>
      </c>
      <c r="D393" s="2948" t="s">
        <v>1025</v>
      </c>
      <c r="E393" s="2948" t="s">
        <v>729</v>
      </c>
      <c r="F393" s="2948" t="s">
        <v>1113</v>
      </c>
      <c r="G393" s="2948" t="s">
        <v>640</v>
      </c>
      <c r="H393" s="2948" t="s">
        <v>1026</v>
      </c>
      <c r="I393" s="2948" t="s">
        <v>1027</v>
      </c>
      <c r="J393" s="2948" t="s">
        <v>643</v>
      </c>
      <c r="K393" s="2950">
        <v>31.47</v>
      </c>
      <c r="L393" s="2950">
        <v>13.25</v>
      </c>
      <c r="M393" s="2951">
        <v>544975</v>
      </c>
      <c r="N393" s="2951">
        <v>544975</v>
      </c>
      <c r="O393" s="2952">
        <v>544975</v>
      </c>
      <c r="P393" s="2953">
        <v>544975</v>
      </c>
      <c r="Q393" s="2951">
        <v>544975</v>
      </c>
      <c r="R393" s="2954">
        <v>44939</v>
      </c>
      <c r="S393" s="2954">
        <v>44939</v>
      </c>
      <c r="T393" s="2948"/>
      <c r="U393" s="2948"/>
      <c r="V393" s="2948" t="s">
        <v>839</v>
      </c>
      <c r="W393" s="2944">
        <f t="shared" si="1"/>
        <v>17317.286304416899</v>
      </c>
    </row>
    <row r="394" spans="1:23" s="2944" customFormat="1" ht="46.8">
      <c r="A394" s="2948">
        <v>393</v>
      </c>
      <c r="B394" s="2948" t="s">
        <v>635</v>
      </c>
      <c r="C394" s="2948" t="s">
        <v>636</v>
      </c>
      <c r="D394" s="2948" t="s">
        <v>1025</v>
      </c>
      <c r="E394" s="2948" t="s">
        <v>729</v>
      </c>
      <c r="F394" s="2948" t="s">
        <v>1114</v>
      </c>
      <c r="G394" s="2948" t="s">
        <v>640</v>
      </c>
      <c r="H394" s="2948" t="s">
        <v>1026</v>
      </c>
      <c r="I394" s="2948" t="s">
        <v>1027</v>
      </c>
      <c r="J394" s="2948" t="s">
        <v>643</v>
      </c>
      <c r="K394" s="2950">
        <v>31.47</v>
      </c>
      <c r="L394" s="2950">
        <v>13.25</v>
      </c>
      <c r="M394" s="2951">
        <v>544975</v>
      </c>
      <c r="N394" s="2951">
        <v>544975</v>
      </c>
      <c r="O394" s="2952">
        <v>544975</v>
      </c>
      <c r="P394" s="2953">
        <v>544975</v>
      </c>
      <c r="Q394" s="2951">
        <v>544975</v>
      </c>
      <c r="R394" s="2954">
        <v>44750</v>
      </c>
      <c r="S394" s="2954">
        <v>44762</v>
      </c>
      <c r="T394" s="2954">
        <v>44762</v>
      </c>
      <c r="U394" s="2954">
        <v>44762</v>
      </c>
      <c r="V394" s="2948" t="s">
        <v>1002</v>
      </c>
      <c r="W394" s="2944">
        <f t="shared" si="1"/>
        <v>17317.286304416899</v>
      </c>
    </row>
    <row r="395" spans="1:23" s="2944" customFormat="1" ht="46.8">
      <c r="A395" s="2948">
        <v>394</v>
      </c>
      <c r="B395" s="2948" t="s">
        <v>635</v>
      </c>
      <c r="C395" s="2948" t="s">
        <v>636</v>
      </c>
      <c r="D395" s="2948" t="s">
        <v>1025</v>
      </c>
      <c r="E395" s="2948" t="s">
        <v>729</v>
      </c>
      <c r="F395" s="2948" t="s">
        <v>1115</v>
      </c>
      <c r="G395" s="2948" t="s">
        <v>640</v>
      </c>
      <c r="H395" s="2948" t="s">
        <v>1026</v>
      </c>
      <c r="I395" s="2948" t="s">
        <v>1027</v>
      </c>
      <c r="J395" s="2948" t="s">
        <v>643</v>
      </c>
      <c r="K395" s="2950">
        <v>31.47</v>
      </c>
      <c r="L395" s="2950">
        <v>13.25</v>
      </c>
      <c r="M395" s="2951">
        <v>544975</v>
      </c>
      <c r="N395" s="2951">
        <v>544975</v>
      </c>
      <c r="O395" s="2952">
        <v>544975</v>
      </c>
      <c r="P395" s="2953">
        <v>544975</v>
      </c>
      <c r="Q395" s="2951">
        <v>544975</v>
      </c>
      <c r="R395" s="2954">
        <v>44735</v>
      </c>
      <c r="S395" s="2954">
        <v>44737</v>
      </c>
      <c r="T395" s="2954">
        <v>44761</v>
      </c>
      <c r="U395" s="2954">
        <v>44761</v>
      </c>
      <c r="V395" s="2948" t="s">
        <v>945</v>
      </c>
      <c r="W395" s="2944">
        <f t="shared" si="1"/>
        <v>17317.286304416899</v>
      </c>
    </row>
    <row r="396" spans="1:23" s="2944" customFormat="1" ht="46.8">
      <c r="A396" s="2948">
        <v>395</v>
      </c>
      <c r="B396" s="2948" t="s">
        <v>635</v>
      </c>
      <c r="C396" s="2948" t="s">
        <v>636</v>
      </c>
      <c r="D396" s="2948" t="s">
        <v>1025</v>
      </c>
      <c r="E396" s="2948" t="s">
        <v>729</v>
      </c>
      <c r="F396" s="2948" t="s">
        <v>1116</v>
      </c>
      <c r="G396" s="2948" t="s">
        <v>640</v>
      </c>
      <c r="H396" s="2948" t="s">
        <v>1042</v>
      </c>
      <c r="I396" s="2948" t="s">
        <v>1027</v>
      </c>
      <c r="J396" s="2948" t="s">
        <v>643</v>
      </c>
      <c r="K396" s="2950">
        <v>35.630000000000003</v>
      </c>
      <c r="L396" s="2950">
        <v>15</v>
      </c>
      <c r="M396" s="2951">
        <v>544975</v>
      </c>
      <c r="N396" s="2951">
        <v>544975</v>
      </c>
      <c r="O396" s="2952">
        <v>544975</v>
      </c>
      <c r="P396" s="2953">
        <v>544975</v>
      </c>
      <c r="Q396" s="2951">
        <v>544975</v>
      </c>
      <c r="R396" s="2954">
        <v>45288</v>
      </c>
      <c r="S396" s="2954">
        <v>45288</v>
      </c>
      <c r="T396" s="2948"/>
      <c r="U396" s="2948"/>
      <c r="V396" s="2948" t="s">
        <v>1117</v>
      </c>
      <c r="W396" s="2944">
        <f t="shared" si="1"/>
        <v>15295.397137243899</v>
      </c>
    </row>
    <row r="397" spans="1:23" s="2944" customFormat="1" ht="46.8">
      <c r="A397" s="2948">
        <v>396</v>
      </c>
      <c r="B397" s="2948" t="s">
        <v>635</v>
      </c>
      <c r="C397" s="2948" t="s">
        <v>636</v>
      </c>
      <c r="D397" s="2948" t="s">
        <v>1025</v>
      </c>
      <c r="E397" s="2948" t="s">
        <v>729</v>
      </c>
      <c r="F397" s="2948" t="s">
        <v>1118</v>
      </c>
      <c r="G397" s="2948" t="s">
        <v>640</v>
      </c>
      <c r="H397" s="2948" t="s">
        <v>1026</v>
      </c>
      <c r="I397" s="2948" t="s">
        <v>1027</v>
      </c>
      <c r="J397" s="2948" t="s">
        <v>643</v>
      </c>
      <c r="K397" s="2950">
        <v>31.47</v>
      </c>
      <c r="L397" s="2950">
        <v>13.25</v>
      </c>
      <c r="M397" s="2951">
        <v>544975</v>
      </c>
      <c r="N397" s="2951">
        <v>544975</v>
      </c>
      <c r="O397" s="2952">
        <v>517726</v>
      </c>
      <c r="P397" s="2953">
        <v>517726</v>
      </c>
      <c r="Q397" s="2951">
        <v>517726</v>
      </c>
      <c r="R397" s="2954">
        <v>44735</v>
      </c>
      <c r="S397" s="2954">
        <v>44737</v>
      </c>
      <c r="T397" s="2954">
        <v>44855</v>
      </c>
      <c r="U397" s="2954">
        <v>44855</v>
      </c>
      <c r="V397" s="2948" t="s">
        <v>788</v>
      </c>
      <c r="W397" s="2944">
        <f t="shared" si="1"/>
        <v>16451.414045122299</v>
      </c>
    </row>
    <row r="398" spans="1:23" s="2944" customFormat="1" ht="46.8">
      <c r="A398" s="2948">
        <v>397</v>
      </c>
      <c r="B398" s="2948" t="s">
        <v>635</v>
      </c>
      <c r="C398" s="2948" t="s">
        <v>636</v>
      </c>
      <c r="D398" s="2948" t="s">
        <v>1025</v>
      </c>
      <c r="E398" s="2948" t="s">
        <v>729</v>
      </c>
      <c r="F398" s="2948" t="s">
        <v>1119</v>
      </c>
      <c r="G398" s="2948" t="s">
        <v>640</v>
      </c>
      <c r="H398" s="2948" t="s">
        <v>1026</v>
      </c>
      <c r="I398" s="2948" t="s">
        <v>1027</v>
      </c>
      <c r="J398" s="2948" t="s">
        <v>643</v>
      </c>
      <c r="K398" s="2950">
        <v>31.47</v>
      </c>
      <c r="L398" s="2950">
        <v>13.25</v>
      </c>
      <c r="M398" s="2951">
        <v>544975</v>
      </c>
      <c r="N398" s="2951">
        <v>544975</v>
      </c>
      <c r="O398" s="2952">
        <v>544975</v>
      </c>
      <c r="P398" s="2953">
        <v>544975</v>
      </c>
      <c r="Q398" s="2951">
        <v>544975</v>
      </c>
      <c r="R398" s="2954">
        <v>44324</v>
      </c>
      <c r="S398" s="2954">
        <v>44325</v>
      </c>
      <c r="T398" s="2954">
        <v>44359</v>
      </c>
      <c r="U398" s="2954">
        <v>44359</v>
      </c>
      <c r="V398" s="2948" t="s">
        <v>913</v>
      </c>
      <c r="W398" s="2944">
        <f t="shared" si="1"/>
        <v>17317.286304416899</v>
      </c>
    </row>
    <row r="399" spans="1:23" s="2944" customFormat="1" ht="46.8">
      <c r="A399" s="2948">
        <v>398</v>
      </c>
      <c r="B399" s="2948" t="s">
        <v>635</v>
      </c>
      <c r="C399" s="2948" t="s">
        <v>636</v>
      </c>
      <c r="D399" s="2948" t="s">
        <v>1025</v>
      </c>
      <c r="E399" s="2948" t="s">
        <v>729</v>
      </c>
      <c r="F399" s="2948" t="s">
        <v>1120</v>
      </c>
      <c r="G399" s="2948" t="s">
        <v>640</v>
      </c>
      <c r="H399" s="2948" t="s">
        <v>1026</v>
      </c>
      <c r="I399" s="2948" t="s">
        <v>1027</v>
      </c>
      <c r="J399" s="2948" t="s">
        <v>643</v>
      </c>
      <c r="K399" s="2950">
        <v>31.47</v>
      </c>
      <c r="L399" s="2950">
        <v>13.25</v>
      </c>
      <c r="M399" s="2951">
        <v>544975</v>
      </c>
      <c r="N399" s="2951">
        <v>544975</v>
      </c>
      <c r="O399" s="2952">
        <v>544975</v>
      </c>
      <c r="P399" s="2953">
        <v>544975</v>
      </c>
      <c r="Q399" s="2951">
        <v>544975</v>
      </c>
      <c r="R399" s="2954">
        <v>44306</v>
      </c>
      <c r="S399" s="2954">
        <v>44307</v>
      </c>
      <c r="T399" s="2954">
        <v>44422</v>
      </c>
      <c r="U399" s="2954">
        <v>44422</v>
      </c>
      <c r="V399" s="2948" t="s">
        <v>746</v>
      </c>
      <c r="W399" s="2944">
        <f t="shared" si="1"/>
        <v>17317.286304416899</v>
      </c>
    </row>
    <row r="400" spans="1:23" s="2944" customFormat="1" ht="46.8">
      <c r="A400" s="2948">
        <v>399</v>
      </c>
      <c r="B400" s="2948" t="s">
        <v>635</v>
      </c>
      <c r="C400" s="2948" t="s">
        <v>636</v>
      </c>
      <c r="D400" s="2948" t="s">
        <v>1025</v>
      </c>
      <c r="E400" s="2948" t="s">
        <v>729</v>
      </c>
      <c r="F400" s="2948" t="s">
        <v>1121</v>
      </c>
      <c r="G400" s="2948" t="s">
        <v>640</v>
      </c>
      <c r="H400" s="2948" t="s">
        <v>1026</v>
      </c>
      <c r="I400" s="2948" t="s">
        <v>1027</v>
      </c>
      <c r="J400" s="2948" t="s">
        <v>643</v>
      </c>
      <c r="K400" s="2950">
        <v>31.47</v>
      </c>
      <c r="L400" s="2950">
        <v>13.25</v>
      </c>
      <c r="M400" s="2951">
        <v>544975</v>
      </c>
      <c r="N400" s="2951">
        <v>544975</v>
      </c>
      <c r="O400" s="2952">
        <v>544975</v>
      </c>
      <c r="P400" s="2953">
        <v>544975</v>
      </c>
      <c r="Q400" s="2951">
        <v>544975</v>
      </c>
      <c r="R400" s="2954">
        <v>44736</v>
      </c>
      <c r="S400" s="2954">
        <v>44737</v>
      </c>
      <c r="T400" s="2954">
        <v>44746</v>
      </c>
      <c r="U400" s="2954">
        <v>44746</v>
      </c>
      <c r="V400" s="2948" t="s">
        <v>1011</v>
      </c>
      <c r="W400" s="2944">
        <f t="shared" si="1"/>
        <v>17317.286304416899</v>
      </c>
    </row>
    <row r="401" spans="1:23" s="2944" customFormat="1" ht="46.8">
      <c r="A401" s="2948">
        <v>400</v>
      </c>
      <c r="B401" s="2948" t="s">
        <v>635</v>
      </c>
      <c r="C401" s="2948" t="s">
        <v>636</v>
      </c>
      <c r="D401" s="2948" t="s">
        <v>1025</v>
      </c>
      <c r="E401" s="2948" t="s">
        <v>729</v>
      </c>
      <c r="F401" s="2948" t="s">
        <v>1122</v>
      </c>
      <c r="G401" s="2948" t="s">
        <v>640</v>
      </c>
      <c r="H401" s="2948" t="s">
        <v>1026</v>
      </c>
      <c r="I401" s="2948" t="s">
        <v>1027</v>
      </c>
      <c r="J401" s="2948" t="s">
        <v>643</v>
      </c>
      <c r="K401" s="2950">
        <v>31.47</v>
      </c>
      <c r="L401" s="2950">
        <v>13.25</v>
      </c>
      <c r="M401" s="2951">
        <v>544975</v>
      </c>
      <c r="N401" s="2951">
        <v>544975</v>
      </c>
      <c r="O401" s="2952">
        <v>544975</v>
      </c>
      <c r="P401" s="2953">
        <v>544975</v>
      </c>
      <c r="Q401" s="2951">
        <v>544975</v>
      </c>
      <c r="R401" s="2954">
        <v>44277</v>
      </c>
      <c r="S401" s="2954">
        <v>44279</v>
      </c>
      <c r="T401" s="2954">
        <v>44392</v>
      </c>
      <c r="U401" s="2954">
        <v>44392</v>
      </c>
      <c r="V401" s="2948" t="s">
        <v>830</v>
      </c>
      <c r="W401" s="2944">
        <f t="shared" si="1"/>
        <v>17317.286304416899</v>
      </c>
    </row>
    <row r="402" spans="1:23" s="2944" customFormat="1" ht="46.8">
      <c r="A402" s="2948">
        <v>401</v>
      </c>
      <c r="B402" s="2948" t="s">
        <v>635</v>
      </c>
      <c r="C402" s="2948" t="s">
        <v>636</v>
      </c>
      <c r="D402" s="2948" t="s">
        <v>1025</v>
      </c>
      <c r="E402" s="2948" t="s">
        <v>729</v>
      </c>
      <c r="F402" s="2948" t="s">
        <v>1123</v>
      </c>
      <c r="G402" s="2948" t="s">
        <v>640</v>
      </c>
      <c r="H402" s="2948" t="s">
        <v>1026</v>
      </c>
      <c r="I402" s="2948" t="s">
        <v>1027</v>
      </c>
      <c r="J402" s="2948" t="s">
        <v>643</v>
      </c>
      <c r="K402" s="2950">
        <v>31.47</v>
      </c>
      <c r="L402" s="2950">
        <v>13.25</v>
      </c>
      <c r="M402" s="2951">
        <v>544975</v>
      </c>
      <c r="N402" s="2951">
        <v>544975</v>
      </c>
      <c r="O402" s="2952">
        <v>544975</v>
      </c>
      <c r="P402" s="2953">
        <v>544975</v>
      </c>
      <c r="Q402" s="2951">
        <v>544975</v>
      </c>
      <c r="R402" s="2954">
        <v>44274</v>
      </c>
      <c r="S402" s="2954">
        <v>44277</v>
      </c>
      <c r="T402" s="2954">
        <v>44368</v>
      </c>
      <c r="U402" s="2954">
        <v>44368</v>
      </c>
      <c r="V402" s="2948" t="s">
        <v>812</v>
      </c>
      <c r="W402" s="2944">
        <f t="shared" si="1"/>
        <v>17317.286304416899</v>
      </c>
    </row>
    <row r="403" spans="1:23" s="2944" customFormat="1" ht="46.8">
      <c r="A403" s="2948">
        <v>402</v>
      </c>
      <c r="B403" s="2948" t="s">
        <v>635</v>
      </c>
      <c r="C403" s="2948" t="s">
        <v>636</v>
      </c>
      <c r="D403" s="2948" t="s">
        <v>1025</v>
      </c>
      <c r="E403" s="2948" t="s">
        <v>729</v>
      </c>
      <c r="F403" s="2948" t="s">
        <v>1124</v>
      </c>
      <c r="G403" s="2948" t="s">
        <v>640</v>
      </c>
      <c r="H403" s="2948" t="s">
        <v>1026</v>
      </c>
      <c r="I403" s="2948" t="s">
        <v>1027</v>
      </c>
      <c r="J403" s="2948" t="s">
        <v>643</v>
      </c>
      <c r="K403" s="2950">
        <v>31.47</v>
      </c>
      <c r="L403" s="2950">
        <v>13.25</v>
      </c>
      <c r="M403" s="2951">
        <v>544975</v>
      </c>
      <c r="N403" s="2951">
        <v>544975</v>
      </c>
      <c r="O403" s="2952">
        <v>517726</v>
      </c>
      <c r="P403" s="2953">
        <v>517726</v>
      </c>
      <c r="Q403" s="2951">
        <v>517726</v>
      </c>
      <c r="R403" s="2954">
        <v>44736</v>
      </c>
      <c r="S403" s="2954">
        <v>44737</v>
      </c>
      <c r="T403" s="2954">
        <v>44756</v>
      </c>
      <c r="U403" s="2954">
        <v>44756</v>
      </c>
      <c r="V403" s="2948" t="s">
        <v>899</v>
      </c>
      <c r="W403" s="2944">
        <f t="shared" si="1"/>
        <v>16451.414045122299</v>
      </c>
    </row>
    <row r="404" spans="1:23" s="2944" customFormat="1" ht="46.8">
      <c r="A404" s="2948">
        <v>403</v>
      </c>
      <c r="B404" s="2948" t="s">
        <v>635</v>
      </c>
      <c r="C404" s="2948" t="s">
        <v>636</v>
      </c>
      <c r="D404" s="2948" t="s">
        <v>1025</v>
      </c>
      <c r="E404" s="2948" t="s">
        <v>729</v>
      </c>
      <c r="F404" s="2948" t="s">
        <v>1125</v>
      </c>
      <c r="G404" s="2948" t="s">
        <v>640</v>
      </c>
      <c r="H404" s="2948" t="s">
        <v>1026</v>
      </c>
      <c r="I404" s="2948" t="s">
        <v>1027</v>
      </c>
      <c r="J404" s="2948" t="s">
        <v>643</v>
      </c>
      <c r="K404" s="2950">
        <v>31.47</v>
      </c>
      <c r="L404" s="2950">
        <v>13.25</v>
      </c>
      <c r="M404" s="2951">
        <v>544975</v>
      </c>
      <c r="N404" s="2951">
        <v>544975</v>
      </c>
      <c r="O404" s="2952">
        <v>544975</v>
      </c>
      <c r="P404" s="2953">
        <v>544975</v>
      </c>
      <c r="Q404" s="2951">
        <v>544975</v>
      </c>
      <c r="R404" s="2954">
        <v>44278</v>
      </c>
      <c r="S404" s="2954">
        <v>44279</v>
      </c>
      <c r="T404" s="2954">
        <v>44386</v>
      </c>
      <c r="U404" s="2954">
        <v>44386</v>
      </c>
      <c r="V404" s="2948" t="s">
        <v>818</v>
      </c>
      <c r="W404" s="2944">
        <f t="shared" si="1"/>
        <v>17317.286304416899</v>
      </c>
    </row>
    <row r="405" spans="1:23" s="2944" customFormat="1" ht="46.8">
      <c r="A405" s="2948">
        <v>404</v>
      </c>
      <c r="B405" s="2948" t="s">
        <v>635</v>
      </c>
      <c r="C405" s="2948" t="s">
        <v>636</v>
      </c>
      <c r="D405" s="2948" t="s">
        <v>1025</v>
      </c>
      <c r="E405" s="2948" t="s">
        <v>729</v>
      </c>
      <c r="F405" s="2948" t="s">
        <v>1126</v>
      </c>
      <c r="G405" s="2948" t="s">
        <v>640</v>
      </c>
      <c r="H405" s="2948" t="s">
        <v>1026</v>
      </c>
      <c r="I405" s="2948" t="s">
        <v>1027</v>
      </c>
      <c r="J405" s="2948" t="s">
        <v>643</v>
      </c>
      <c r="K405" s="2950">
        <v>31.47</v>
      </c>
      <c r="L405" s="2950">
        <v>13.25</v>
      </c>
      <c r="M405" s="2951">
        <v>544975</v>
      </c>
      <c r="N405" s="2951">
        <v>544975</v>
      </c>
      <c r="O405" s="2952">
        <v>544975</v>
      </c>
      <c r="P405" s="2953">
        <v>544975</v>
      </c>
      <c r="Q405" s="2951">
        <v>544975</v>
      </c>
      <c r="R405" s="2954">
        <v>44277</v>
      </c>
      <c r="S405" s="2954">
        <v>44279</v>
      </c>
      <c r="T405" s="2954">
        <v>44497</v>
      </c>
      <c r="U405" s="2954">
        <v>44494</v>
      </c>
      <c r="V405" s="2948" t="s">
        <v>814</v>
      </c>
      <c r="W405" s="2944">
        <f t="shared" si="1"/>
        <v>17317.286304416899</v>
      </c>
    </row>
    <row r="406" spans="1:23" s="2944" customFormat="1" ht="46.8">
      <c r="A406" s="2948">
        <v>405</v>
      </c>
      <c r="B406" s="2948" t="s">
        <v>635</v>
      </c>
      <c r="C406" s="2948" t="s">
        <v>636</v>
      </c>
      <c r="D406" s="2948" t="s">
        <v>1025</v>
      </c>
      <c r="E406" s="2948" t="s">
        <v>729</v>
      </c>
      <c r="F406" s="2948" t="s">
        <v>1127</v>
      </c>
      <c r="G406" s="2948" t="s">
        <v>640</v>
      </c>
      <c r="H406" s="2948" t="s">
        <v>1026</v>
      </c>
      <c r="I406" s="2948" t="s">
        <v>1027</v>
      </c>
      <c r="J406" s="2948" t="s">
        <v>643</v>
      </c>
      <c r="K406" s="2950">
        <v>31.47</v>
      </c>
      <c r="L406" s="2950">
        <v>13.25</v>
      </c>
      <c r="M406" s="2951">
        <v>544975</v>
      </c>
      <c r="N406" s="2951">
        <v>544975</v>
      </c>
      <c r="O406" s="2952">
        <v>544975</v>
      </c>
      <c r="P406" s="2953">
        <v>544975</v>
      </c>
      <c r="Q406" s="2951">
        <v>544975</v>
      </c>
      <c r="R406" s="2954">
        <v>44557</v>
      </c>
      <c r="S406" s="2954">
        <v>44561</v>
      </c>
      <c r="T406" s="2954">
        <v>44567</v>
      </c>
      <c r="U406" s="2954">
        <v>44567</v>
      </c>
      <c r="V406" s="2948" t="s">
        <v>799</v>
      </c>
      <c r="W406" s="2944">
        <f t="shared" si="1"/>
        <v>17317.286304416899</v>
      </c>
    </row>
    <row r="407" spans="1:23" s="2944" customFormat="1" ht="46.8">
      <c r="A407" s="2948">
        <v>406</v>
      </c>
      <c r="B407" s="2948" t="s">
        <v>635</v>
      </c>
      <c r="C407" s="2948" t="s">
        <v>636</v>
      </c>
      <c r="D407" s="2948" t="s">
        <v>1025</v>
      </c>
      <c r="E407" s="2948" t="s">
        <v>729</v>
      </c>
      <c r="F407" s="2948" t="s">
        <v>1128</v>
      </c>
      <c r="G407" s="2948" t="s">
        <v>640</v>
      </c>
      <c r="H407" s="2948" t="s">
        <v>1026</v>
      </c>
      <c r="I407" s="2948" t="s">
        <v>1027</v>
      </c>
      <c r="J407" s="2948" t="s">
        <v>643</v>
      </c>
      <c r="K407" s="2950">
        <v>31.47</v>
      </c>
      <c r="L407" s="2950">
        <v>13.25</v>
      </c>
      <c r="M407" s="2951">
        <v>544975</v>
      </c>
      <c r="N407" s="2951">
        <v>544975</v>
      </c>
      <c r="O407" s="2952">
        <v>544975</v>
      </c>
      <c r="P407" s="2953">
        <v>544975</v>
      </c>
      <c r="Q407" s="2951">
        <v>544975</v>
      </c>
      <c r="R407" s="2954">
        <v>44277</v>
      </c>
      <c r="S407" s="2954">
        <v>44279</v>
      </c>
      <c r="T407" s="2954">
        <v>44391</v>
      </c>
      <c r="U407" s="2954">
        <v>44391</v>
      </c>
      <c r="V407" s="2948" t="s">
        <v>809</v>
      </c>
      <c r="W407" s="2944">
        <f t="shared" si="1"/>
        <v>17317.286304416899</v>
      </c>
    </row>
    <row r="408" spans="1:23" s="2944" customFormat="1" ht="46.8">
      <c r="A408" s="2948">
        <v>407</v>
      </c>
      <c r="B408" s="2948" t="s">
        <v>635</v>
      </c>
      <c r="C408" s="2948" t="s">
        <v>636</v>
      </c>
      <c r="D408" s="2948" t="s">
        <v>1025</v>
      </c>
      <c r="E408" s="2948" t="s">
        <v>729</v>
      </c>
      <c r="F408" s="2948" t="s">
        <v>1129</v>
      </c>
      <c r="G408" s="2948" t="s">
        <v>640</v>
      </c>
      <c r="H408" s="2948" t="s">
        <v>1026</v>
      </c>
      <c r="I408" s="2948" t="s">
        <v>1027</v>
      </c>
      <c r="J408" s="2948" t="s">
        <v>643</v>
      </c>
      <c r="K408" s="2950">
        <v>31.47</v>
      </c>
      <c r="L408" s="2950">
        <v>13.25</v>
      </c>
      <c r="M408" s="2951">
        <v>544975</v>
      </c>
      <c r="N408" s="2951">
        <v>544975</v>
      </c>
      <c r="O408" s="2952">
        <v>544975</v>
      </c>
      <c r="P408" s="2953">
        <v>544975</v>
      </c>
      <c r="Q408" s="2951">
        <v>544975</v>
      </c>
      <c r="R408" s="2954">
        <v>44278</v>
      </c>
      <c r="S408" s="2954">
        <v>44279</v>
      </c>
      <c r="T408" s="2954">
        <v>44386</v>
      </c>
      <c r="U408" s="2954">
        <v>44386</v>
      </c>
      <c r="V408" s="2948" t="s">
        <v>815</v>
      </c>
      <c r="W408" s="2944">
        <f t="shared" si="1"/>
        <v>17317.286304416899</v>
      </c>
    </row>
    <row r="409" spans="1:23" s="2944" customFormat="1" ht="46.8">
      <c r="A409" s="2948">
        <v>408</v>
      </c>
      <c r="B409" s="2948" t="s">
        <v>635</v>
      </c>
      <c r="C409" s="2948" t="s">
        <v>636</v>
      </c>
      <c r="D409" s="2948" t="s">
        <v>1025</v>
      </c>
      <c r="E409" s="2948" t="s">
        <v>729</v>
      </c>
      <c r="F409" s="2948" t="s">
        <v>1130</v>
      </c>
      <c r="G409" s="2948" t="s">
        <v>640</v>
      </c>
      <c r="H409" s="2948" t="s">
        <v>1026</v>
      </c>
      <c r="I409" s="2948" t="s">
        <v>1027</v>
      </c>
      <c r="J409" s="2948" t="s">
        <v>643</v>
      </c>
      <c r="K409" s="2950">
        <v>31.47</v>
      </c>
      <c r="L409" s="2950">
        <v>13.25</v>
      </c>
      <c r="M409" s="2951">
        <v>544975</v>
      </c>
      <c r="N409" s="2951">
        <v>544975</v>
      </c>
      <c r="O409" s="2952">
        <v>544975</v>
      </c>
      <c r="P409" s="2953">
        <v>544975</v>
      </c>
      <c r="Q409" s="2951">
        <v>544975</v>
      </c>
      <c r="R409" s="2954">
        <v>44278</v>
      </c>
      <c r="S409" s="2954">
        <v>44279</v>
      </c>
      <c r="T409" s="2954">
        <v>44391</v>
      </c>
      <c r="U409" s="2954">
        <v>44391</v>
      </c>
      <c r="V409" s="2948" t="s">
        <v>787</v>
      </c>
      <c r="W409" s="2944">
        <f t="shared" si="1"/>
        <v>17317.286304416899</v>
      </c>
    </row>
    <row r="410" spans="1:23" s="2944" customFormat="1" ht="46.8">
      <c r="A410" s="2948">
        <v>409</v>
      </c>
      <c r="B410" s="2948" t="s">
        <v>635</v>
      </c>
      <c r="C410" s="2948" t="s">
        <v>636</v>
      </c>
      <c r="D410" s="2948" t="s">
        <v>1025</v>
      </c>
      <c r="E410" s="2948" t="s">
        <v>729</v>
      </c>
      <c r="F410" s="2948" t="s">
        <v>1131</v>
      </c>
      <c r="G410" s="2948" t="s">
        <v>640</v>
      </c>
      <c r="H410" s="2948" t="s">
        <v>1026</v>
      </c>
      <c r="I410" s="2948" t="s">
        <v>1027</v>
      </c>
      <c r="J410" s="2948" t="s">
        <v>643</v>
      </c>
      <c r="K410" s="2950">
        <v>31.47</v>
      </c>
      <c r="L410" s="2950">
        <v>13.25</v>
      </c>
      <c r="M410" s="2951">
        <v>544975</v>
      </c>
      <c r="N410" s="2951">
        <v>544975</v>
      </c>
      <c r="O410" s="2952">
        <v>517726</v>
      </c>
      <c r="P410" s="2953">
        <v>517726</v>
      </c>
      <c r="Q410" s="2951">
        <v>517726</v>
      </c>
      <c r="R410" s="2954">
        <v>44279</v>
      </c>
      <c r="S410" s="2954">
        <v>44279</v>
      </c>
      <c r="T410" s="2954">
        <v>44454</v>
      </c>
      <c r="U410" s="2954">
        <v>44454</v>
      </c>
      <c r="V410" s="2948" t="s">
        <v>798</v>
      </c>
      <c r="W410" s="2944">
        <f t="shared" si="1"/>
        <v>16451.414045122299</v>
      </c>
    </row>
    <row r="411" spans="1:23" s="2944" customFormat="1" ht="46.8">
      <c r="A411" s="2948">
        <v>410</v>
      </c>
      <c r="B411" s="2948" t="s">
        <v>635</v>
      </c>
      <c r="C411" s="2948" t="s">
        <v>636</v>
      </c>
      <c r="D411" s="2948" t="s">
        <v>1025</v>
      </c>
      <c r="E411" s="2948" t="s">
        <v>729</v>
      </c>
      <c r="F411" s="2948" t="s">
        <v>1132</v>
      </c>
      <c r="G411" s="2948" t="s">
        <v>640</v>
      </c>
      <c r="H411" s="2948" t="s">
        <v>1026</v>
      </c>
      <c r="I411" s="2948" t="s">
        <v>1027</v>
      </c>
      <c r="J411" s="2948" t="s">
        <v>643</v>
      </c>
      <c r="K411" s="2950">
        <v>31.47</v>
      </c>
      <c r="L411" s="2950">
        <v>13.25</v>
      </c>
      <c r="M411" s="2951">
        <v>544975</v>
      </c>
      <c r="N411" s="2951">
        <v>544975</v>
      </c>
      <c r="O411" s="2952">
        <v>544975</v>
      </c>
      <c r="P411" s="2953">
        <v>544975</v>
      </c>
      <c r="Q411" s="2951">
        <v>544975</v>
      </c>
      <c r="R411" s="2954">
        <v>44278</v>
      </c>
      <c r="S411" s="2954">
        <v>44279</v>
      </c>
      <c r="T411" s="2954">
        <v>44386</v>
      </c>
      <c r="U411" s="2954">
        <v>44386</v>
      </c>
      <c r="V411" s="2948" t="s">
        <v>816</v>
      </c>
      <c r="W411" s="2944">
        <f t="shared" si="1"/>
        <v>17317.286304416899</v>
      </c>
    </row>
    <row r="412" spans="1:23" s="2944" customFormat="1" ht="46.8">
      <c r="A412" s="2948">
        <v>411</v>
      </c>
      <c r="B412" s="2948" t="s">
        <v>635</v>
      </c>
      <c r="C412" s="2948" t="s">
        <v>636</v>
      </c>
      <c r="D412" s="2948" t="s">
        <v>1025</v>
      </c>
      <c r="E412" s="2948" t="s">
        <v>729</v>
      </c>
      <c r="F412" s="2948" t="s">
        <v>687</v>
      </c>
      <c r="G412" s="2948" t="s">
        <v>640</v>
      </c>
      <c r="H412" s="2948" t="s">
        <v>1026</v>
      </c>
      <c r="I412" s="2948" t="s">
        <v>1027</v>
      </c>
      <c r="J412" s="2948" t="s">
        <v>643</v>
      </c>
      <c r="K412" s="2950">
        <v>31.47</v>
      </c>
      <c r="L412" s="2950">
        <v>13.25</v>
      </c>
      <c r="M412" s="2951">
        <v>544975</v>
      </c>
      <c r="N412" s="2951">
        <v>544975</v>
      </c>
      <c r="O412" s="2952">
        <v>544975</v>
      </c>
      <c r="P412" s="2953">
        <v>544975</v>
      </c>
      <c r="Q412" s="2951">
        <v>544975</v>
      </c>
      <c r="R412" s="2954">
        <v>44734</v>
      </c>
      <c r="S412" s="2954">
        <v>44737</v>
      </c>
      <c r="T412" s="2954">
        <v>44868</v>
      </c>
      <c r="U412" s="2954">
        <v>44868</v>
      </c>
      <c r="V412" s="2948" t="s">
        <v>783</v>
      </c>
      <c r="W412" s="2944">
        <f t="shared" si="1"/>
        <v>17317.286304416899</v>
      </c>
    </row>
    <row r="413" spans="1:23" s="2944" customFormat="1" ht="46.8">
      <c r="A413" s="2948">
        <v>412</v>
      </c>
      <c r="B413" s="2948" t="s">
        <v>635</v>
      </c>
      <c r="C413" s="2948" t="s">
        <v>636</v>
      </c>
      <c r="D413" s="2948" t="s">
        <v>1025</v>
      </c>
      <c r="E413" s="2948" t="s">
        <v>729</v>
      </c>
      <c r="F413" s="2948" t="s">
        <v>685</v>
      </c>
      <c r="G413" s="2948" t="s">
        <v>640</v>
      </c>
      <c r="H413" s="2948" t="s">
        <v>1026</v>
      </c>
      <c r="I413" s="2948" t="s">
        <v>1027</v>
      </c>
      <c r="J413" s="2948" t="s">
        <v>643</v>
      </c>
      <c r="K413" s="2950">
        <v>31.47</v>
      </c>
      <c r="L413" s="2950">
        <v>13.25</v>
      </c>
      <c r="M413" s="2951">
        <v>544975</v>
      </c>
      <c r="N413" s="2951">
        <v>544975</v>
      </c>
      <c r="O413" s="2952">
        <v>544975</v>
      </c>
      <c r="P413" s="2953">
        <v>544975</v>
      </c>
      <c r="Q413" s="2951">
        <v>544975</v>
      </c>
      <c r="R413" s="2954">
        <v>44735</v>
      </c>
      <c r="S413" s="2954">
        <v>44736</v>
      </c>
      <c r="T413" s="2954">
        <v>44762</v>
      </c>
      <c r="U413" s="2954">
        <v>44762</v>
      </c>
      <c r="V413" s="2948" t="s">
        <v>755</v>
      </c>
      <c r="W413" s="2944">
        <f t="shared" si="1"/>
        <v>17317.286304416899</v>
      </c>
    </row>
    <row r="414" spans="1:23" s="2944" customFormat="1" ht="46.8">
      <c r="A414" s="2948">
        <v>413</v>
      </c>
      <c r="B414" s="2948" t="s">
        <v>635</v>
      </c>
      <c r="C414" s="2948" t="s">
        <v>636</v>
      </c>
      <c r="D414" s="2948" t="s">
        <v>1025</v>
      </c>
      <c r="E414" s="2948" t="s">
        <v>729</v>
      </c>
      <c r="F414" s="2948" t="s">
        <v>1133</v>
      </c>
      <c r="G414" s="2948" t="s">
        <v>640</v>
      </c>
      <c r="H414" s="2948" t="s">
        <v>1026</v>
      </c>
      <c r="I414" s="2948" t="s">
        <v>1027</v>
      </c>
      <c r="J414" s="2948" t="s">
        <v>643</v>
      </c>
      <c r="K414" s="2950">
        <v>31.47</v>
      </c>
      <c r="L414" s="2950">
        <v>13.25</v>
      </c>
      <c r="M414" s="2951">
        <v>544975</v>
      </c>
      <c r="N414" s="2951">
        <v>544975</v>
      </c>
      <c r="O414" s="2952">
        <v>544975</v>
      </c>
      <c r="P414" s="2953">
        <v>544975</v>
      </c>
      <c r="Q414" s="2951">
        <v>544975</v>
      </c>
      <c r="R414" s="2954">
        <v>44277</v>
      </c>
      <c r="S414" s="2954">
        <v>44279</v>
      </c>
      <c r="T414" s="2954">
        <v>44356</v>
      </c>
      <c r="U414" s="2954">
        <v>44356</v>
      </c>
      <c r="V414" s="2948" t="s">
        <v>736</v>
      </c>
      <c r="W414" s="2944">
        <f t="shared" si="1"/>
        <v>17317.286304416899</v>
      </c>
    </row>
    <row r="415" spans="1:23" s="2944" customFormat="1" ht="46.8">
      <c r="A415" s="2948">
        <v>414</v>
      </c>
      <c r="B415" s="2948" t="s">
        <v>635</v>
      </c>
      <c r="C415" s="2948" t="s">
        <v>636</v>
      </c>
      <c r="D415" s="2948" t="s">
        <v>1025</v>
      </c>
      <c r="E415" s="2948" t="s">
        <v>729</v>
      </c>
      <c r="F415" s="2948" t="s">
        <v>1134</v>
      </c>
      <c r="G415" s="2948" t="s">
        <v>640</v>
      </c>
      <c r="H415" s="2948" t="s">
        <v>1026</v>
      </c>
      <c r="I415" s="2948" t="s">
        <v>1027</v>
      </c>
      <c r="J415" s="2948" t="s">
        <v>643</v>
      </c>
      <c r="K415" s="2950">
        <v>31.47</v>
      </c>
      <c r="L415" s="2950">
        <v>13.25</v>
      </c>
      <c r="M415" s="2951">
        <v>544975</v>
      </c>
      <c r="N415" s="2951">
        <v>544975</v>
      </c>
      <c r="O415" s="2952">
        <v>544975</v>
      </c>
      <c r="P415" s="2953">
        <v>544975</v>
      </c>
      <c r="Q415" s="2951">
        <v>544975</v>
      </c>
      <c r="R415" s="2954">
        <v>44278</v>
      </c>
      <c r="S415" s="2954">
        <v>44279</v>
      </c>
      <c r="T415" s="2954">
        <v>44388</v>
      </c>
      <c r="U415" s="2954">
        <v>44388</v>
      </c>
      <c r="V415" s="2948" t="s">
        <v>765</v>
      </c>
      <c r="W415" s="2944">
        <f t="shared" si="1"/>
        <v>17317.286304416899</v>
      </c>
    </row>
    <row r="416" spans="1:23" s="2944" customFormat="1" ht="46.8">
      <c r="A416" s="2948">
        <v>415</v>
      </c>
      <c r="B416" s="2948" t="s">
        <v>635</v>
      </c>
      <c r="C416" s="2948" t="s">
        <v>636</v>
      </c>
      <c r="D416" s="2948" t="s">
        <v>1025</v>
      </c>
      <c r="E416" s="2948" t="s">
        <v>729</v>
      </c>
      <c r="F416" s="2948" t="s">
        <v>1135</v>
      </c>
      <c r="G416" s="2948" t="s">
        <v>640</v>
      </c>
      <c r="H416" s="2948" t="s">
        <v>1026</v>
      </c>
      <c r="I416" s="2948" t="s">
        <v>1027</v>
      </c>
      <c r="J416" s="2948" t="s">
        <v>643</v>
      </c>
      <c r="K416" s="2950">
        <v>31.47</v>
      </c>
      <c r="L416" s="2950">
        <v>13.25</v>
      </c>
      <c r="M416" s="2951">
        <v>544975</v>
      </c>
      <c r="N416" s="2951">
        <v>544975</v>
      </c>
      <c r="O416" s="2952">
        <v>544975</v>
      </c>
      <c r="P416" s="2953">
        <v>544975</v>
      </c>
      <c r="Q416" s="2951">
        <v>544975</v>
      </c>
      <c r="R416" s="2954">
        <v>44278</v>
      </c>
      <c r="S416" s="2954">
        <v>44279</v>
      </c>
      <c r="T416" s="2954">
        <v>44391</v>
      </c>
      <c r="U416" s="2954">
        <v>44391</v>
      </c>
      <c r="V416" s="2948" t="s">
        <v>750</v>
      </c>
      <c r="W416" s="2944">
        <f t="shared" si="1"/>
        <v>17317.286304416899</v>
      </c>
    </row>
    <row r="417" spans="1:23" s="2944" customFormat="1" ht="46.8">
      <c r="A417" s="2948">
        <v>416</v>
      </c>
      <c r="B417" s="2948" t="s">
        <v>635</v>
      </c>
      <c r="C417" s="2948" t="s">
        <v>636</v>
      </c>
      <c r="D417" s="2948" t="s">
        <v>1025</v>
      </c>
      <c r="E417" s="2948" t="s">
        <v>729</v>
      </c>
      <c r="F417" s="2948" t="s">
        <v>1136</v>
      </c>
      <c r="G417" s="2948" t="s">
        <v>640</v>
      </c>
      <c r="H417" s="2948" t="s">
        <v>1026</v>
      </c>
      <c r="I417" s="2948" t="s">
        <v>1027</v>
      </c>
      <c r="J417" s="2948" t="s">
        <v>643</v>
      </c>
      <c r="K417" s="2950">
        <v>31.47</v>
      </c>
      <c r="L417" s="2950">
        <v>13.25</v>
      </c>
      <c r="M417" s="2951">
        <v>544975</v>
      </c>
      <c r="N417" s="2951">
        <v>544975</v>
      </c>
      <c r="O417" s="2952">
        <v>544975</v>
      </c>
      <c r="P417" s="2953">
        <v>544975</v>
      </c>
      <c r="Q417" s="2951">
        <v>544975</v>
      </c>
      <c r="R417" s="2954">
        <v>44277</v>
      </c>
      <c r="S417" s="2954">
        <v>44279</v>
      </c>
      <c r="T417" s="2954">
        <v>44368</v>
      </c>
      <c r="U417" s="2954">
        <v>44368</v>
      </c>
      <c r="V417" s="2948" t="s">
        <v>752</v>
      </c>
      <c r="W417" s="2944">
        <f t="shared" si="1"/>
        <v>17317.286304416899</v>
      </c>
    </row>
    <row r="418" spans="1:23" s="2944" customFormat="1" ht="46.8">
      <c r="A418" s="2948">
        <v>417</v>
      </c>
      <c r="B418" s="2948" t="s">
        <v>635</v>
      </c>
      <c r="C418" s="2948" t="s">
        <v>636</v>
      </c>
      <c r="D418" s="2948" t="s">
        <v>1025</v>
      </c>
      <c r="E418" s="2948" t="s">
        <v>729</v>
      </c>
      <c r="F418" s="2948" t="s">
        <v>1137</v>
      </c>
      <c r="G418" s="2948" t="s">
        <v>640</v>
      </c>
      <c r="H418" s="2948" t="s">
        <v>1026</v>
      </c>
      <c r="I418" s="2948" t="s">
        <v>1027</v>
      </c>
      <c r="J418" s="2948" t="s">
        <v>643</v>
      </c>
      <c r="K418" s="2950">
        <v>31.47</v>
      </c>
      <c r="L418" s="2950">
        <v>13.25</v>
      </c>
      <c r="M418" s="2951">
        <v>544975</v>
      </c>
      <c r="N418" s="2951">
        <v>544975</v>
      </c>
      <c r="O418" s="2952">
        <v>544975</v>
      </c>
      <c r="P418" s="2953">
        <v>544975</v>
      </c>
      <c r="Q418" s="2951">
        <v>544975</v>
      </c>
      <c r="R418" s="2954">
        <v>44278</v>
      </c>
      <c r="S418" s="2954">
        <v>44279</v>
      </c>
      <c r="T418" s="2954">
        <v>44387</v>
      </c>
      <c r="U418" s="2954">
        <v>44387</v>
      </c>
      <c r="V418" s="2948" t="s">
        <v>771</v>
      </c>
      <c r="W418" s="2944">
        <f t="shared" si="1"/>
        <v>17317.286304416899</v>
      </c>
    </row>
    <row r="419" spans="1:23" s="2944" customFormat="1" ht="46.8">
      <c r="A419" s="2948">
        <v>418</v>
      </c>
      <c r="B419" s="2948" t="s">
        <v>635</v>
      </c>
      <c r="C419" s="2948" t="s">
        <v>636</v>
      </c>
      <c r="D419" s="2948" t="s">
        <v>1025</v>
      </c>
      <c r="E419" s="2948" t="s">
        <v>729</v>
      </c>
      <c r="F419" s="2948" t="s">
        <v>1138</v>
      </c>
      <c r="G419" s="2948" t="s">
        <v>640</v>
      </c>
      <c r="H419" s="2948" t="s">
        <v>1026</v>
      </c>
      <c r="I419" s="2948" t="s">
        <v>1027</v>
      </c>
      <c r="J419" s="2948" t="s">
        <v>643</v>
      </c>
      <c r="K419" s="2950">
        <v>31.47</v>
      </c>
      <c r="L419" s="2950">
        <v>13.25</v>
      </c>
      <c r="M419" s="2951">
        <v>544975</v>
      </c>
      <c r="N419" s="2951">
        <v>544975</v>
      </c>
      <c r="O419" s="2952">
        <v>544975</v>
      </c>
      <c r="P419" s="2953">
        <v>544975</v>
      </c>
      <c r="Q419" s="2951">
        <v>544975</v>
      </c>
      <c r="R419" s="2954">
        <v>44278</v>
      </c>
      <c r="S419" s="2954">
        <v>44279</v>
      </c>
      <c r="T419" s="2954">
        <v>44757</v>
      </c>
      <c r="U419" s="2954">
        <v>44757</v>
      </c>
      <c r="V419" s="2948" t="s">
        <v>748</v>
      </c>
      <c r="W419" s="2944">
        <f t="shared" si="1"/>
        <v>17317.286304416899</v>
      </c>
    </row>
    <row r="420" spans="1:23" s="2944" customFormat="1" ht="46.8">
      <c r="A420" s="2948">
        <v>419</v>
      </c>
      <c r="B420" s="2948" t="s">
        <v>635</v>
      </c>
      <c r="C420" s="2948" t="s">
        <v>636</v>
      </c>
      <c r="D420" s="2948" t="s">
        <v>1025</v>
      </c>
      <c r="E420" s="2948" t="s">
        <v>729</v>
      </c>
      <c r="F420" s="2948" t="s">
        <v>1139</v>
      </c>
      <c r="G420" s="2948" t="s">
        <v>640</v>
      </c>
      <c r="H420" s="2948" t="s">
        <v>1026</v>
      </c>
      <c r="I420" s="2948" t="s">
        <v>1027</v>
      </c>
      <c r="J420" s="2948" t="s">
        <v>643</v>
      </c>
      <c r="K420" s="2950">
        <v>31.47</v>
      </c>
      <c r="L420" s="2950">
        <v>13.25</v>
      </c>
      <c r="M420" s="2951">
        <v>544975</v>
      </c>
      <c r="N420" s="2951">
        <v>544975</v>
      </c>
      <c r="O420" s="2952">
        <v>544975</v>
      </c>
      <c r="P420" s="2953">
        <v>544975</v>
      </c>
      <c r="Q420" s="2951">
        <v>544975</v>
      </c>
      <c r="R420" s="2954">
        <v>44278</v>
      </c>
      <c r="S420" s="2954">
        <v>44279</v>
      </c>
      <c r="T420" s="2954">
        <v>44405</v>
      </c>
      <c r="U420" s="2954">
        <v>44405</v>
      </c>
      <c r="V420" s="2948" t="s">
        <v>790</v>
      </c>
      <c r="W420" s="2944">
        <f t="shared" si="1"/>
        <v>17317.286304416899</v>
      </c>
    </row>
    <row r="421" spans="1:23" s="2944" customFormat="1" ht="46.8">
      <c r="A421" s="2948">
        <v>420</v>
      </c>
      <c r="B421" s="2948" t="s">
        <v>635</v>
      </c>
      <c r="C421" s="2948" t="s">
        <v>636</v>
      </c>
      <c r="D421" s="2948" t="s">
        <v>1025</v>
      </c>
      <c r="E421" s="2948" t="s">
        <v>729</v>
      </c>
      <c r="F421" s="2948" t="s">
        <v>1140</v>
      </c>
      <c r="G421" s="2948" t="s">
        <v>640</v>
      </c>
      <c r="H421" s="2948" t="s">
        <v>1026</v>
      </c>
      <c r="I421" s="2948" t="s">
        <v>1027</v>
      </c>
      <c r="J421" s="2948" t="s">
        <v>643</v>
      </c>
      <c r="K421" s="2950">
        <v>31.47</v>
      </c>
      <c r="L421" s="2950">
        <v>13.25</v>
      </c>
      <c r="M421" s="2951">
        <v>544975</v>
      </c>
      <c r="N421" s="2951">
        <v>544975</v>
      </c>
      <c r="O421" s="2952">
        <v>544975</v>
      </c>
      <c r="P421" s="2953">
        <v>544975</v>
      </c>
      <c r="Q421" s="2951">
        <v>544975</v>
      </c>
      <c r="R421" s="2954">
        <v>44277</v>
      </c>
      <c r="S421" s="2954">
        <v>44279</v>
      </c>
      <c r="T421" s="2954">
        <v>44368</v>
      </c>
      <c r="U421" s="2954">
        <v>44368</v>
      </c>
      <c r="V421" s="2948" t="s">
        <v>740</v>
      </c>
      <c r="W421" s="2944">
        <f t="shared" si="1"/>
        <v>17317.286304416899</v>
      </c>
    </row>
    <row r="422" spans="1:23" s="2944" customFormat="1" ht="46.8">
      <c r="A422" s="2948">
        <v>421</v>
      </c>
      <c r="B422" s="2948" t="s">
        <v>635</v>
      </c>
      <c r="C422" s="2948" t="s">
        <v>636</v>
      </c>
      <c r="D422" s="2948" t="s">
        <v>1025</v>
      </c>
      <c r="E422" s="2948" t="s">
        <v>729</v>
      </c>
      <c r="F422" s="2948" t="s">
        <v>1141</v>
      </c>
      <c r="G422" s="2948" t="s">
        <v>640</v>
      </c>
      <c r="H422" s="2948" t="s">
        <v>1026</v>
      </c>
      <c r="I422" s="2948" t="s">
        <v>1027</v>
      </c>
      <c r="J422" s="2948" t="s">
        <v>643</v>
      </c>
      <c r="K422" s="2950">
        <v>31.47</v>
      </c>
      <c r="L422" s="2950">
        <v>13.25</v>
      </c>
      <c r="M422" s="2951">
        <v>544975</v>
      </c>
      <c r="N422" s="2951">
        <v>544975</v>
      </c>
      <c r="O422" s="2952">
        <v>544975</v>
      </c>
      <c r="P422" s="2953">
        <v>544975</v>
      </c>
      <c r="Q422" s="2951">
        <v>544975</v>
      </c>
      <c r="R422" s="2954">
        <v>44736</v>
      </c>
      <c r="S422" s="2954">
        <v>44737</v>
      </c>
      <c r="T422" s="2954">
        <v>44756</v>
      </c>
      <c r="U422" s="2954">
        <v>44756</v>
      </c>
      <c r="V422" s="2948" t="s">
        <v>842</v>
      </c>
      <c r="W422" s="2944">
        <f t="shared" si="1"/>
        <v>17317.286304416899</v>
      </c>
    </row>
    <row r="423" spans="1:23" s="2944" customFormat="1" ht="46.8">
      <c r="A423" s="2948">
        <v>422</v>
      </c>
      <c r="B423" s="2948" t="s">
        <v>635</v>
      </c>
      <c r="C423" s="2948" t="s">
        <v>636</v>
      </c>
      <c r="D423" s="2948" t="s">
        <v>1025</v>
      </c>
      <c r="E423" s="2948" t="s">
        <v>729</v>
      </c>
      <c r="F423" s="2948" t="s">
        <v>1142</v>
      </c>
      <c r="G423" s="2948" t="s">
        <v>640</v>
      </c>
      <c r="H423" s="2948" t="s">
        <v>1026</v>
      </c>
      <c r="I423" s="2948" t="s">
        <v>1027</v>
      </c>
      <c r="J423" s="2948" t="s">
        <v>643</v>
      </c>
      <c r="K423" s="2950">
        <v>31.47</v>
      </c>
      <c r="L423" s="2950">
        <v>13.25</v>
      </c>
      <c r="M423" s="2951">
        <v>544975</v>
      </c>
      <c r="N423" s="2951">
        <v>544975</v>
      </c>
      <c r="O423" s="2952">
        <v>544975</v>
      </c>
      <c r="P423" s="2953">
        <v>544975</v>
      </c>
      <c r="Q423" s="2951">
        <v>544975</v>
      </c>
      <c r="R423" s="2954">
        <v>44274</v>
      </c>
      <c r="S423" s="2954">
        <v>44277</v>
      </c>
      <c r="T423" s="2948"/>
      <c r="U423" s="2948"/>
      <c r="V423" s="2948" t="s">
        <v>1143</v>
      </c>
      <c r="W423" s="2944">
        <f t="shared" si="1"/>
        <v>17317.286304416899</v>
      </c>
    </row>
    <row r="424" spans="1:23" s="2944" customFormat="1" ht="46.8">
      <c r="A424" s="2948">
        <v>423</v>
      </c>
      <c r="B424" s="2948" t="s">
        <v>635</v>
      </c>
      <c r="C424" s="2948" t="s">
        <v>636</v>
      </c>
      <c r="D424" s="2948" t="s">
        <v>1025</v>
      </c>
      <c r="E424" s="2948" t="s">
        <v>729</v>
      </c>
      <c r="F424" s="2948" t="s">
        <v>1144</v>
      </c>
      <c r="G424" s="2948" t="s">
        <v>640</v>
      </c>
      <c r="H424" s="2948" t="s">
        <v>1026</v>
      </c>
      <c r="I424" s="2948" t="s">
        <v>1027</v>
      </c>
      <c r="J424" s="2948" t="s">
        <v>643</v>
      </c>
      <c r="K424" s="2950">
        <v>31.47</v>
      </c>
      <c r="L424" s="2950">
        <v>13.25</v>
      </c>
      <c r="M424" s="2951">
        <v>544975</v>
      </c>
      <c r="N424" s="2951">
        <v>544975</v>
      </c>
      <c r="O424" s="2952">
        <v>544975</v>
      </c>
      <c r="P424" s="2953">
        <v>544975</v>
      </c>
      <c r="Q424" s="2951">
        <v>544975</v>
      </c>
      <c r="R424" s="2954">
        <v>44284.428680555597</v>
      </c>
      <c r="S424" s="2954">
        <v>44288</v>
      </c>
      <c r="T424" s="2954">
        <v>44641</v>
      </c>
      <c r="U424" s="2954">
        <v>44641</v>
      </c>
      <c r="V424" s="2948" t="s">
        <v>780</v>
      </c>
      <c r="W424" s="2944">
        <f t="shared" si="1"/>
        <v>17317.286304416899</v>
      </c>
    </row>
    <row r="425" spans="1:23" s="2944" customFormat="1" ht="46.8">
      <c r="A425" s="2948">
        <v>424</v>
      </c>
      <c r="B425" s="2948" t="s">
        <v>635</v>
      </c>
      <c r="C425" s="2948" t="s">
        <v>636</v>
      </c>
      <c r="D425" s="2948" t="s">
        <v>1025</v>
      </c>
      <c r="E425" s="2948" t="s">
        <v>729</v>
      </c>
      <c r="F425" s="2948" t="s">
        <v>1145</v>
      </c>
      <c r="G425" s="2948" t="s">
        <v>640</v>
      </c>
      <c r="H425" s="2948" t="s">
        <v>1026</v>
      </c>
      <c r="I425" s="2948" t="s">
        <v>1027</v>
      </c>
      <c r="J425" s="2948" t="s">
        <v>643</v>
      </c>
      <c r="K425" s="2950">
        <v>31.47</v>
      </c>
      <c r="L425" s="2950">
        <v>13.25</v>
      </c>
      <c r="M425" s="2951">
        <v>544975</v>
      </c>
      <c r="N425" s="2951">
        <v>544975</v>
      </c>
      <c r="O425" s="2952">
        <v>544975</v>
      </c>
      <c r="P425" s="2953">
        <v>544975</v>
      </c>
      <c r="Q425" s="2951">
        <v>544975</v>
      </c>
      <c r="R425" s="2954">
        <v>44278</v>
      </c>
      <c r="S425" s="2954">
        <v>44279</v>
      </c>
      <c r="T425" s="2954">
        <v>44388</v>
      </c>
      <c r="U425" s="2954">
        <v>44388</v>
      </c>
      <c r="V425" s="2948" t="s">
        <v>794</v>
      </c>
      <c r="W425" s="2944">
        <f t="shared" si="1"/>
        <v>17317.286304416899</v>
      </c>
    </row>
    <row r="426" spans="1:23" s="2944" customFormat="1" ht="46.8">
      <c r="A426" s="2948">
        <v>425</v>
      </c>
      <c r="B426" s="2948" t="s">
        <v>635</v>
      </c>
      <c r="C426" s="2948" t="s">
        <v>636</v>
      </c>
      <c r="D426" s="2948" t="s">
        <v>1025</v>
      </c>
      <c r="E426" s="2948" t="s">
        <v>729</v>
      </c>
      <c r="F426" s="2948" t="s">
        <v>1146</v>
      </c>
      <c r="G426" s="2948" t="s">
        <v>640</v>
      </c>
      <c r="H426" s="2948" t="s">
        <v>1026</v>
      </c>
      <c r="I426" s="2948" t="s">
        <v>1027</v>
      </c>
      <c r="J426" s="2948" t="s">
        <v>643</v>
      </c>
      <c r="K426" s="2950">
        <v>31.47</v>
      </c>
      <c r="L426" s="2950">
        <v>13.25</v>
      </c>
      <c r="M426" s="2951">
        <v>544975</v>
      </c>
      <c r="N426" s="2951">
        <v>544975</v>
      </c>
      <c r="O426" s="2952">
        <v>544975</v>
      </c>
      <c r="P426" s="2953">
        <v>544975</v>
      </c>
      <c r="Q426" s="2951">
        <v>544975</v>
      </c>
      <c r="R426" s="2954">
        <v>44434</v>
      </c>
      <c r="S426" s="2954">
        <v>44434</v>
      </c>
      <c r="T426" s="2954">
        <v>44434</v>
      </c>
      <c r="U426" s="2954">
        <v>44434</v>
      </c>
      <c r="V426" s="2948" t="s">
        <v>774</v>
      </c>
      <c r="W426" s="2944">
        <f t="shared" si="1"/>
        <v>17317.286304416899</v>
      </c>
    </row>
    <row r="427" spans="1:23" s="2944" customFormat="1" ht="46.8" hidden="1">
      <c r="A427" s="2948">
        <v>426</v>
      </c>
      <c r="B427" s="2948" t="s">
        <v>635</v>
      </c>
      <c r="C427" s="2948" t="s">
        <v>636</v>
      </c>
      <c r="D427" s="2948" t="s">
        <v>1025</v>
      </c>
      <c r="E427" s="2948" t="s">
        <v>729</v>
      </c>
      <c r="F427" s="2948" t="s">
        <v>1147</v>
      </c>
      <c r="G427" s="2948" t="s">
        <v>1041</v>
      </c>
      <c r="H427" s="2948" t="s">
        <v>1026</v>
      </c>
      <c r="I427" s="2948" t="s">
        <v>1027</v>
      </c>
      <c r="J427" s="2948" t="s">
        <v>643</v>
      </c>
      <c r="K427" s="2950">
        <v>31.47</v>
      </c>
      <c r="L427" s="2950">
        <v>13.25</v>
      </c>
      <c r="M427" s="2951">
        <v>0</v>
      </c>
      <c r="N427" s="2951">
        <v>0</v>
      </c>
      <c r="O427" s="2955"/>
      <c r="P427" s="2948"/>
      <c r="Q427" s="2951">
        <v>0</v>
      </c>
      <c r="R427" s="2948"/>
      <c r="S427" s="2948"/>
      <c r="T427" s="2948"/>
      <c r="U427" s="2948"/>
      <c r="V427" s="2948"/>
      <c r="W427" s="2944">
        <f t="shared" si="1"/>
        <v>0</v>
      </c>
    </row>
    <row r="428" spans="1:23" s="2944" customFormat="1" ht="46.8">
      <c r="A428" s="2948">
        <v>427</v>
      </c>
      <c r="B428" s="2948" t="s">
        <v>635</v>
      </c>
      <c r="C428" s="2948" t="s">
        <v>636</v>
      </c>
      <c r="D428" s="2948" t="s">
        <v>1025</v>
      </c>
      <c r="E428" s="2948" t="s">
        <v>729</v>
      </c>
      <c r="F428" s="2948" t="s">
        <v>1148</v>
      </c>
      <c r="G428" s="2948" t="s">
        <v>640</v>
      </c>
      <c r="H428" s="2948" t="s">
        <v>1149</v>
      </c>
      <c r="I428" s="2948" t="s">
        <v>1027</v>
      </c>
      <c r="J428" s="2948" t="s">
        <v>643</v>
      </c>
      <c r="K428" s="2950">
        <v>62.94</v>
      </c>
      <c r="L428" s="2950">
        <v>26.5</v>
      </c>
      <c r="M428" s="2951">
        <v>681218</v>
      </c>
      <c r="N428" s="2951">
        <v>681218</v>
      </c>
      <c r="O428" s="2952">
        <v>681218</v>
      </c>
      <c r="P428" s="2953">
        <v>681218</v>
      </c>
      <c r="Q428" s="2951">
        <v>681218</v>
      </c>
      <c r="R428" s="2954">
        <v>44277</v>
      </c>
      <c r="S428" s="2954">
        <v>44279</v>
      </c>
      <c r="T428" s="2954">
        <v>44423</v>
      </c>
      <c r="U428" s="2954">
        <v>44423</v>
      </c>
      <c r="V428" s="2948" t="s">
        <v>785</v>
      </c>
      <c r="W428" s="2944">
        <f t="shared" si="1"/>
        <v>10823.29202415</v>
      </c>
    </row>
    <row r="429" spans="1:23" s="2944" customFormat="1" ht="46.8">
      <c r="A429" s="2948">
        <v>428</v>
      </c>
      <c r="B429" s="2948" t="s">
        <v>635</v>
      </c>
      <c r="C429" s="2948" t="s">
        <v>636</v>
      </c>
      <c r="D429" s="2948" t="s">
        <v>1025</v>
      </c>
      <c r="E429" s="2948" t="s">
        <v>729</v>
      </c>
      <c r="F429" s="2948" t="s">
        <v>1150</v>
      </c>
      <c r="G429" s="2948" t="s">
        <v>640</v>
      </c>
      <c r="H429" s="2948" t="s">
        <v>1149</v>
      </c>
      <c r="I429" s="2948" t="s">
        <v>1027</v>
      </c>
      <c r="J429" s="2948" t="s">
        <v>643</v>
      </c>
      <c r="K429" s="2950">
        <v>62.94</v>
      </c>
      <c r="L429" s="2950">
        <v>26.5</v>
      </c>
      <c r="M429" s="2951">
        <v>681218</v>
      </c>
      <c r="N429" s="2951">
        <v>681218</v>
      </c>
      <c r="O429" s="2952">
        <v>681218</v>
      </c>
      <c r="P429" s="2953">
        <v>681218</v>
      </c>
      <c r="Q429" s="2951">
        <v>681218</v>
      </c>
      <c r="R429" s="2954">
        <v>44274</v>
      </c>
      <c r="S429" s="2954">
        <v>44279</v>
      </c>
      <c r="T429" s="2954">
        <v>44388</v>
      </c>
      <c r="U429" s="2954">
        <v>44388</v>
      </c>
      <c r="V429" s="2948" t="s">
        <v>803</v>
      </c>
      <c r="W429" s="2944">
        <f t="shared" si="1"/>
        <v>10823.29202415</v>
      </c>
    </row>
    <row r="430" spans="1:23" s="2944" customFormat="1" ht="46.8">
      <c r="A430" s="2948">
        <v>429</v>
      </c>
      <c r="B430" s="2948" t="s">
        <v>635</v>
      </c>
      <c r="C430" s="2948" t="s">
        <v>636</v>
      </c>
      <c r="D430" s="2948" t="s">
        <v>1025</v>
      </c>
      <c r="E430" s="2948" t="s">
        <v>729</v>
      </c>
      <c r="F430" s="2948" t="s">
        <v>1151</v>
      </c>
      <c r="G430" s="2948" t="s">
        <v>640</v>
      </c>
      <c r="H430" s="2948" t="s">
        <v>1149</v>
      </c>
      <c r="I430" s="2948" t="s">
        <v>1027</v>
      </c>
      <c r="J430" s="2948" t="s">
        <v>643</v>
      </c>
      <c r="K430" s="2950">
        <v>62.94</v>
      </c>
      <c r="L430" s="2950">
        <v>26.5</v>
      </c>
      <c r="M430" s="2951">
        <v>681218</v>
      </c>
      <c r="N430" s="2951">
        <v>681218</v>
      </c>
      <c r="O430" s="2952">
        <v>681218</v>
      </c>
      <c r="P430" s="2953">
        <v>681218</v>
      </c>
      <c r="Q430" s="2951">
        <v>681218</v>
      </c>
      <c r="R430" s="2954">
        <v>44277</v>
      </c>
      <c r="S430" s="2954">
        <v>44279</v>
      </c>
      <c r="T430" s="2954">
        <v>44357</v>
      </c>
      <c r="U430" s="2954">
        <v>44357</v>
      </c>
      <c r="V430" s="2948" t="s">
        <v>832</v>
      </c>
      <c r="W430" s="2944">
        <f t="shared" si="1"/>
        <v>10823.29202415</v>
      </c>
    </row>
    <row r="431" spans="1:23" s="2944" customFormat="1" ht="46.8" hidden="1">
      <c r="A431" s="2948">
        <v>430</v>
      </c>
      <c r="B431" s="2948" t="s">
        <v>635</v>
      </c>
      <c r="C431" s="2948" t="s">
        <v>636</v>
      </c>
      <c r="D431" s="2948" t="s">
        <v>1025</v>
      </c>
      <c r="E431" s="2948" t="s">
        <v>729</v>
      </c>
      <c r="F431" s="2948" t="s">
        <v>1152</v>
      </c>
      <c r="G431" s="2948" t="s">
        <v>1041</v>
      </c>
      <c r="H431" s="2948" t="s">
        <v>1149</v>
      </c>
      <c r="I431" s="2948" t="s">
        <v>1027</v>
      </c>
      <c r="J431" s="2948" t="s">
        <v>643</v>
      </c>
      <c r="K431" s="2950">
        <v>62.94</v>
      </c>
      <c r="L431" s="2950">
        <v>26.5</v>
      </c>
      <c r="M431" s="2951">
        <v>0</v>
      </c>
      <c r="N431" s="2951">
        <v>0</v>
      </c>
      <c r="O431" s="2955"/>
      <c r="P431" s="2948"/>
      <c r="Q431" s="2951">
        <v>0</v>
      </c>
      <c r="R431" s="2948"/>
      <c r="S431" s="2948"/>
      <c r="T431" s="2948"/>
      <c r="U431" s="2948"/>
      <c r="V431" s="2948"/>
      <c r="W431" s="2944">
        <f t="shared" si="1"/>
        <v>0</v>
      </c>
    </row>
    <row r="432" spans="1:23" s="2944" customFormat="1" ht="46.8">
      <c r="A432" s="2948">
        <v>431</v>
      </c>
      <c r="B432" s="2948" t="s">
        <v>635</v>
      </c>
      <c r="C432" s="2948" t="s">
        <v>636</v>
      </c>
      <c r="D432" s="2948" t="s">
        <v>1025</v>
      </c>
      <c r="E432" s="2948" t="s">
        <v>729</v>
      </c>
      <c r="F432" s="2948" t="s">
        <v>1153</v>
      </c>
      <c r="G432" s="2948" t="s">
        <v>640</v>
      </c>
      <c r="H432" s="2948" t="s">
        <v>1026</v>
      </c>
      <c r="I432" s="2948" t="s">
        <v>1027</v>
      </c>
      <c r="J432" s="2948" t="s">
        <v>643</v>
      </c>
      <c r="K432" s="2950">
        <v>31.47</v>
      </c>
      <c r="L432" s="2950">
        <v>13.25</v>
      </c>
      <c r="M432" s="2951">
        <v>544975</v>
      </c>
      <c r="N432" s="2951">
        <v>544975</v>
      </c>
      <c r="O432" s="2952">
        <v>517726</v>
      </c>
      <c r="P432" s="2953">
        <v>517726</v>
      </c>
      <c r="Q432" s="2951">
        <v>517726</v>
      </c>
      <c r="R432" s="2954">
        <v>44734</v>
      </c>
      <c r="S432" s="2954">
        <v>44737</v>
      </c>
      <c r="T432" s="2954">
        <v>44741</v>
      </c>
      <c r="U432" s="2954">
        <v>44741</v>
      </c>
      <c r="V432" s="2948" t="s">
        <v>792</v>
      </c>
      <c r="W432" s="2944">
        <f t="shared" si="1"/>
        <v>16451.414045122299</v>
      </c>
    </row>
    <row r="433" spans="1:23" s="2944" customFormat="1" ht="46.8">
      <c r="A433" s="2948">
        <v>432</v>
      </c>
      <c r="B433" s="2948" t="s">
        <v>635</v>
      </c>
      <c r="C433" s="2948" t="s">
        <v>636</v>
      </c>
      <c r="D433" s="2948" t="s">
        <v>1025</v>
      </c>
      <c r="E433" s="2948" t="s">
        <v>729</v>
      </c>
      <c r="F433" s="2948" t="s">
        <v>1154</v>
      </c>
      <c r="G433" s="2948" t="s">
        <v>640</v>
      </c>
      <c r="H433" s="2948" t="s">
        <v>1026</v>
      </c>
      <c r="I433" s="2948" t="s">
        <v>1027</v>
      </c>
      <c r="J433" s="2948" t="s">
        <v>643</v>
      </c>
      <c r="K433" s="2950">
        <v>31.47</v>
      </c>
      <c r="L433" s="2950">
        <v>13.25</v>
      </c>
      <c r="M433" s="2951">
        <v>544975</v>
      </c>
      <c r="N433" s="2951">
        <v>544975</v>
      </c>
      <c r="O433" s="2952">
        <v>544975</v>
      </c>
      <c r="P433" s="2953">
        <v>544975</v>
      </c>
      <c r="Q433" s="2951">
        <v>544975</v>
      </c>
      <c r="R433" s="2954">
        <v>44736</v>
      </c>
      <c r="S433" s="2954">
        <v>44737</v>
      </c>
      <c r="T433" s="2954">
        <v>44762</v>
      </c>
      <c r="U433" s="2954">
        <v>44762</v>
      </c>
      <c r="V433" s="2948" t="s">
        <v>845</v>
      </c>
      <c r="W433" s="2944">
        <f t="shared" si="1"/>
        <v>17317.286304416899</v>
      </c>
    </row>
    <row r="434" spans="1:23" s="2944" customFormat="1" ht="46.8">
      <c r="A434" s="2948">
        <v>433</v>
      </c>
      <c r="B434" s="2948" t="s">
        <v>635</v>
      </c>
      <c r="C434" s="2948" t="s">
        <v>636</v>
      </c>
      <c r="D434" s="2948" t="s">
        <v>1025</v>
      </c>
      <c r="E434" s="2948" t="s">
        <v>729</v>
      </c>
      <c r="F434" s="2948" t="s">
        <v>1155</v>
      </c>
      <c r="G434" s="2948" t="s">
        <v>640</v>
      </c>
      <c r="H434" s="2948" t="s">
        <v>1026</v>
      </c>
      <c r="I434" s="2948" t="s">
        <v>1027</v>
      </c>
      <c r="J434" s="2948" t="s">
        <v>643</v>
      </c>
      <c r="K434" s="2950">
        <v>31.47</v>
      </c>
      <c r="L434" s="2950">
        <v>13.25</v>
      </c>
      <c r="M434" s="2951">
        <v>544975</v>
      </c>
      <c r="N434" s="2951">
        <v>544975</v>
      </c>
      <c r="O434" s="2952">
        <v>544975</v>
      </c>
      <c r="P434" s="2953">
        <v>544975</v>
      </c>
      <c r="Q434" s="2951">
        <v>544975</v>
      </c>
      <c r="R434" s="2954">
        <v>44277</v>
      </c>
      <c r="S434" s="2954">
        <v>44279</v>
      </c>
      <c r="T434" s="2954">
        <v>44425</v>
      </c>
      <c r="U434" s="2954">
        <v>44425</v>
      </c>
      <c r="V434" s="2948" t="s">
        <v>817</v>
      </c>
      <c r="W434" s="2944">
        <f t="shared" si="1"/>
        <v>17317.286304416899</v>
      </c>
    </row>
    <row r="435" spans="1:23" s="2944" customFormat="1" ht="46.8">
      <c r="A435" s="2948">
        <v>434</v>
      </c>
      <c r="B435" s="2948" t="s">
        <v>635</v>
      </c>
      <c r="C435" s="2948" t="s">
        <v>636</v>
      </c>
      <c r="D435" s="2948" t="s">
        <v>1025</v>
      </c>
      <c r="E435" s="2948" t="s">
        <v>729</v>
      </c>
      <c r="F435" s="2948" t="s">
        <v>1156</v>
      </c>
      <c r="G435" s="2948" t="s">
        <v>640</v>
      </c>
      <c r="H435" s="2948" t="s">
        <v>1026</v>
      </c>
      <c r="I435" s="2948" t="s">
        <v>1027</v>
      </c>
      <c r="J435" s="2948" t="s">
        <v>643</v>
      </c>
      <c r="K435" s="2950">
        <v>31.47</v>
      </c>
      <c r="L435" s="2950">
        <v>13.25</v>
      </c>
      <c r="M435" s="2951">
        <v>544975</v>
      </c>
      <c r="N435" s="2951">
        <v>544975</v>
      </c>
      <c r="O435" s="2952">
        <v>544975</v>
      </c>
      <c r="P435" s="2953">
        <v>544975</v>
      </c>
      <c r="Q435" s="2951">
        <v>544975</v>
      </c>
      <c r="R435" s="2954">
        <v>44278</v>
      </c>
      <c r="S435" s="2954">
        <v>44279</v>
      </c>
      <c r="T435" s="2954">
        <v>44386</v>
      </c>
      <c r="U435" s="2954">
        <v>44386</v>
      </c>
      <c r="V435" s="2948" t="s">
        <v>806</v>
      </c>
      <c r="W435" s="2944">
        <f t="shared" si="1"/>
        <v>17317.286304416899</v>
      </c>
    </row>
    <row r="436" spans="1:23" s="2944" customFormat="1" ht="46.8">
      <c r="A436" s="2948">
        <v>435</v>
      </c>
      <c r="B436" s="2948" t="s">
        <v>635</v>
      </c>
      <c r="C436" s="2948" t="s">
        <v>636</v>
      </c>
      <c r="D436" s="2948" t="s">
        <v>1025</v>
      </c>
      <c r="E436" s="2948" t="s">
        <v>729</v>
      </c>
      <c r="F436" s="2948" t="s">
        <v>1157</v>
      </c>
      <c r="G436" s="2948" t="s">
        <v>640</v>
      </c>
      <c r="H436" s="2948" t="s">
        <v>1026</v>
      </c>
      <c r="I436" s="2948" t="s">
        <v>1027</v>
      </c>
      <c r="J436" s="2948" t="s">
        <v>643</v>
      </c>
      <c r="K436" s="2950">
        <v>31.47</v>
      </c>
      <c r="L436" s="2950">
        <v>13.25</v>
      </c>
      <c r="M436" s="2951">
        <v>544975</v>
      </c>
      <c r="N436" s="2951">
        <v>544975</v>
      </c>
      <c r="O436" s="2952">
        <v>544975</v>
      </c>
      <c r="P436" s="2953">
        <v>544975</v>
      </c>
      <c r="Q436" s="2951">
        <v>544975</v>
      </c>
      <c r="R436" s="2954">
        <v>44736</v>
      </c>
      <c r="S436" s="2954">
        <v>44737</v>
      </c>
      <c r="T436" s="2954">
        <v>44757</v>
      </c>
      <c r="U436" s="2954">
        <v>44757</v>
      </c>
      <c r="V436" s="2948" t="s">
        <v>848</v>
      </c>
      <c r="W436" s="2944">
        <f t="shared" si="1"/>
        <v>17317.286304416899</v>
      </c>
    </row>
    <row r="437" spans="1:23" s="2944" customFormat="1" ht="46.8">
      <c r="A437" s="2948">
        <v>436</v>
      </c>
      <c r="B437" s="2948" t="s">
        <v>635</v>
      </c>
      <c r="C437" s="2948" t="s">
        <v>636</v>
      </c>
      <c r="D437" s="2948" t="s">
        <v>1025</v>
      </c>
      <c r="E437" s="2948" t="s">
        <v>729</v>
      </c>
      <c r="F437" s="2948" t="s">
        <v>1158</v>
      </c>
      <c r="G437" s="2948" t="s">
        <v>640</v>
      </c>
      <c r="H437" s="2948" t="s">
        <v>1026</v>
      </c>
      <c r="I437" s="2948" t="s">
        <v>1027</v>
      </c>
      <c r="J437" s="2948" t="s">
        <v>643</v>
      </c>
      <c r="K437" s="2950">
        <v>31.47</v>
      </c>
      <c r="L437" s="2950">
        <v>13.25</v>
      </c>
      <c r="M437" s="2951">
        <v>544975</v>
      </c>
      <c r="N437" s="2951">
        <v>544975</v>
      </c>
      <c r="O437" s="2952">
        <v>544975</v>
      </c>
      <c r="P437" s="2953">
        <v>544975</v>
      </c>
      <c r="Q437" s="2951">
        <v>544975</v>
      </c>
      <c r="R437" s="2954">
        <v>44736</v>
      </c>
      <c r="S437" s="2954">
        <v>44737</v>
      </c>
      <c r="T437" s="2954">
        <v>44757</v>
      </c>
      <c r="U437" s="2954">
        <v>44757</v>
      </c>
      <c r="V437" s="2948" t="s">
        <v>847</v>
      </c>
      <c r="W437" s="2944">
        <f t="shared" si="1"/>
        <v>17317.286304416899</v>
      </c>
    </row>
    <row r="438" spans="1:23" s="2944" customFormat="1" ht="46.8">
      <c r="A438" s="2948">
        <v>437</v>
      </c>
      <c r="B438" s="2948" t="s">
        <v>635</v>
      </c>
      <c r="C438" s="2948" t="s">
        <v>636</v>
      </c>
      <c r="D438" s="2948" t="s">
        <v>1025</v>
      </c>
      <c r="E438" s="2948" t="s">
        <v>729</v>
      </c>
      <c r="F438" s="2948" t="s">
        <v>1159</v>
      </c>
      <c r="G438" s="2948" t="s">
        <v>640</v>
      </c>
      <c r="H438" s="2948" t="s">
        <v>1149</v>
      </c>
      <c r="I438" s="2948" t="s">
        <v>1027</v>
      </c>
      <c r="J438" s="2948" t="s">
        <v>643</v>
      </c>
      <c r="K438" s="2950">
        <v>62.94</v>
      </c>
      <c r="L438" s="2950">
        <v>26.5</v>
      </c>
      <c r="M438" s="2951">
        <v>681218</v>
      </c>
      <c r="N438" s="2951">
        <v>681218</v>
      </c>
      <c r="O438" s="2952">
        <v>681218</v>
      </c>
      <c r="P438" s="2953">
        <v>681218</v>
      </c>
      <c r="Q438" s="2951">
        <v>681218</v>
      </c>
      <c r="R438" s="2954">
        <v>44278</v>
      </c>
      <c r="S438" s="2954">
        <v>44279</v>
      </c>
      <c r="T438" s="2954">
        <v>44351</v>
      </c>
      <c r="U438" s="2954">
        <v>44351</v>
      </c>
      <c r="V438" s="2948" t="s">
        <v>836</v>
      </c>
      <c r="W438" s="2944">
        <f t="shared" si="1"/>
        <v>10823.29202415</v>
      </c>
    </row>
    <row r="439" spans="1:23" s="2944" customFormat="1" ht="46.8">
      <c r="A439" s="2948">
        <v>438</v>
      </c>
      <c r="B439" s="2948" t="s">
        <v>635</v>
      </c>
      <c r="C439" s="2948" t="s">
        <v>636</v>
      </c>
      <c r="D439" s="2948" t="s">
        <v>1025</v>
      </c>
      <c r="E439" s="2948" t="s">
        <v>729</v>
      </c>
      <c r="F439" s="2948" t="s">
        <v>1160</v>
      </c>
      <c r="G439" s="2948" t="s">
        <v>640</v>
      </c>
      <c r="H439" s="2948" t="s">
        <v>1026</v>
      </c>
      <c r="I439" s="2948" t="s">
        <v>1027</v>
      </c>
      <c r="J439" s="2948" t="s">
        <v>643</v>
      </c>
      <c r="K439" s="2950">
        <v>31.47</v>
      </c>
      <c r="L439" s="2950">
        <v>13.25</v>
      </c>
      <c r="M439" s="2951">
        <v>544975</v>
      </c>
      <c r="N439" s="2951">
        <v>544975</v>
      </c>
      <c r="O439" s="2952">
        <v>544975</v>
      </c>
      <c r="P439" s="2953">
        <v>544975</v>
      </c>
      <c r="Q439" s="2951">
        <v>544975</v>
      </c>
      <c r="R439" s="2954">
        <v>44277</v>
      </c>
      <c r="S439" s="2954">
        <v>44279</v>
      </c>
      <c r="T439" s="2954">
        <v>44529</v>
      </c>
      <c r="U439" s="2954">
        <v>44529</v>
      </c>
      <c r="V439" s="2948" t="s">
        <v>842</v>
      </c>
      <c r="W439" s="2944">
        <f t="shared" si="1"/>
        <v>17317.286304416899</v>
      </c>
    </row>
    <row r="440" spans="1:23" s="2944" customFormat="1" ht="46.8">
      <c r="A440" s="2948">
        <v>439</v>
      </c>
      <c r="B440" s="2948" t="s">
        <v>635</v>
      </c>
      <c r="C440" s="2948" t="s">
        <v>636</v>
      </c>
      <c r="D440" s="2948" t="s">
        <v>1025</v>
      </c>
      <c r="E440" s="2948" t="s">
        <v>729</v>
      </c>
      <c r="F440" s="2948" t="s">
        <v>1161</v>
      </c>
      <c r="G440" s="2948" t="s">
        <v>640</v>
      </c>
      <c r="H440" s="2948" t="s">
        <v>1026</v>
      </c>
      <c r="I440" s="2948" t="s">
        <v>1027</v>
      </c>
      <c r="J440" s="2948" t="s">
        <v>643</v>
      </c>
      <c r="K440" s="2950">
        <v>31.47</v>
      </c>
      <c r="L440" s="2950">
        <v>13.25</v>
      </c>
      <c r="M440" s="2951">
        <v>544975</v>
      </c>
      <c r="N440" s="2951">
        <v>544975</v>
      </c>
      <c r="O440" s="2952">
        <v>544975</v>
      </c>
      <c r="P440" s="2953">
        <v>544975</v>
      </c>
      <c r="Q440" s="2951">
        <v>544975</v>
      </c>
      <c r="R440" s="2954">
        <v>44298</v>
      </c>
      <c r="S440" s="2954">
        <v>44309</v>
      </c>
      <c r="T440" s="2954">
        <v>44449</v>
      </c>
      <c r="U440" s="2954">
        <v>44449</v>
      </c>
      <c r="V440" s="2948" t="s">
        <v>834</v>
      </c>
      <c r="W440" s="2944">
        <f t="shared" ref="W440:W503" si="2">O440/K440</f>
        <v>17317.286304416899</v>
      </c>
    </row>
    <row r="441" spans="1:23" s="2944" customFormat="1" ht="46.8">
      <c r="A441" s="2948">
        <v>440</v>
      </c>
      <c r="B441" s="2948" t="s">
        <v>635</v>
      </c>
      <c r="C441" s="2948" t="s">
        <v>636</v>
      </c>
      <c r="D441" s="2948" t="s">
        <v>1025</v>
      </c>
      <c r="E441" s="2948" t="s">
        <v>729</v>
      </c>
      <c r="F441" s="2948" t="s">
        <v>1162</v>
      </c>
      <c r="G441" s="2948" t="s">
        <v>640</v>
      </c>
      <c r="H441" s="2948" t="s">
        <v>1026</v>
      </c>
      <c r="I441" s="2948" t="s">
        <v>1027</v>
      </c>
      <c r="J441" s="2948" t="s">
        <v>643</v>
      </c>
      <c r="K441" s="2950">
        <v>31.47</v>
      </c>
      <c r="L441" s="2950">
        <v>13.25</v>
      </c>
      <c r="M441" s="2951">
        <v>544975</v>
      </c>
      <c r="N441" s="2951">
        <v>544975</v>
      </c>
      <c r="O441" s="2952">
        <v>544975</v>
      </c>
      <c r="P441" s="2953">
        <v>544975</v>
      </c>
      <c r="Q441" s="2951">
        <v>544975</v>
      </c>
      <c r="R441" s="2954">
        <v>44278</v>
      </c>
      <c r="S441" s="2954">
        <v>44279</v>
      </c>
      <c r="T441" s="2954">
        <v>44386</v>
      </c>
      <c r="U441" s="2954">
        <v>44386</v>
      </c>
      <c r="V441" s="2948" t="s">
        <v>837</v>
      </c>
      <c r="W441" s="2944">
        <f t="shared" si="2"/>
        <v>17317.286304416899</v>
      </c>
    </row>
    <row r="442" spans="1:23" s="2944" customFormat="1" ht="46.8">
      <c r="A442" s="2948">
        <v>441</v>
      </c>
      <c r="B442" s="2948" t="s">
        <v>635</v>
      </c>
      <c r="C442" s="2948" t="s">
        <v>636</v>
      </c>
      <c r="D442" s="2948" t="s">
        <v>1025</v>
      </c>
      <c r="E442" s="2948" t="s">
        <v>729</v>
      </c>
      <c r="F442" s="2948" t="s">
        <v>1163</v>
      </c>
      <c r="G442" s="2948" t="s">
        <v>640</v>
      </c>
      <c r="H442" s="2948" t="s">
        <v>1026</v>
      </c>
      <c r="I442" s="2948" t="s">
        <v>1027</v>
      </c>
      <c r="J442" s="2948" t="s">
        <v>643</v>
      </c>
      <c r="K442" s="2950">
        <v>31.47</v>
      </c>
      <c r="L442" s="2950">
        <v>13.25</v>
      </c>
      <c r="M442" s="2951">
        <v>544975</v>
      </c>
      <c r="N442" s="2951">
        <v>544975</v>
      </c>
      <c r="O442" s="2952">
        <v>544975</v>
      </c>
      <c r="P442" s="2953">
        <v>544975</v>
      </c>
      <c r="Q442" s="2951">
        <v>544975</v>
      </c>
      <c r="R442" s="2954">
        <v>44735</v>
      </c>
      <c r="S442" s="2954">
        <v>44737</v>
      </c>
      <c r="T442" s="2954">
        <v>44762</v>
      </c>
      <c r="U442" s="2954">
        <v>44762</v>
      </c>
      <c r="V442" s="2948" t="s">
        <v>1164</v>
      </c>
      <c r="W442" s="2944">
        <f t="shared" si="2"/>
        <v>17317.286304416899</v>
      </c>
    </row>
    <row r="443" spans="1:23" s="2944" customFormat="1" ht="46.8">
      <c r="A443" s="2948">
        <v>442</v>
      </c>
      <c r="B443" s="2948" t="s">
        <v>635</v>
      </c>
      <c r="C443" s="2948" t="s">
        <v>636</v>
      </c>
      <c r="D443" s="2948" t="s">
        <v>1025</v>
      </c>
      <c r="E443" s="2948" t="s">
        <v>729</v>
      </c>
      <c r="F443" s="2948" t="s">
        <v>1165</v>
      </c>
      <c r="G443" s="2948" t="s">
        <v>640</v>
      </c>
      <c r="H443" s="2948" t="s">
        <v>1026</v>
      </c>
      <c r="I443" s="2948" t="s">
        <v>1027</v>
      </c>
      <c r="J443" s="2948" t="s">
        <v>643</v>
      </c>
      <c r="K443" s="2950">
        <v>31.47</v>
      </c>
      <c r="L443" s="2950">
        <v>13.25</v>
      </c>
      <c r="M443" s="2951">
        <v>544975</v>
      </c>
      <c r="N443" s="2951">
        <v>544975</v>
      </c>
      <c r="O443" s="2952">
        <v>544975</v>
      </c>
      <c r="P443" s="2953">
        <v>544975</v>
      </c>
      <c r="Q443" s="2951">
        <v>544975</v>
      </c>
      <c r="R443" s="2954">
        <v>44278</v>
      </c>
      <c r="S443" s="2954">
        <v>44279</v>
      </c>
      <c r="T443" s="2954">
        <v>44388</v>
      </c>
      <c r="U443" s="2954">
        <v>44388</v>
      </c>
      <c r="V443" s="2948" t="s">
        <v>828</v>
      </c>
      <c r="W443" s="2944">
        <f t="shared" si="2"/>
        <v>17317.286304416899</v>
      </c>
    </row>
    <row r="444" spans="1:23" s="2944" customFormat="1" ht="46.8" hidden="1">
      <c r="A444" s="2948">
        <v>443</v>
      </c>
      <c r="B444" s="2948" t="s">
        <v>635</v>
      </c>
      <c r="C444" s="2948" t="s">
        <v>636</v>
      </c>
      <c r="D444" s="2948" t="s">
        <v>1025</v>
      </c>
      <c r="E444" s="2948" t="s">
        <v>729</v>
      </c>
      <c r="F444" s="2948" t="s">
        <v>1166</v>
      </c>
      <c r="G444" s="2948" t="s">
        <v>1041</v>
      </c>
      <c r="H444" s="2948" t="s">
        <v>1026</v>
      </c>
      <c r="I444" s="2948" t="s">
        <v>1027</v>
      </c>
      <c r="J444" s="2948" t="s">
        <v>643</v>
      </c>
      <c r="K444" s="2950">
        <v>31.47</v>
      </c>
      <c r="L444" s="2950">
        <v>13.25</v>
      </c>
      <c r="M444" s="2951">
        <v>0</v>
      </c>
      <c r="N444" s="2951">
        <v>0</v>
      </c>
      <c r="O444" s="2955"/>
      <c r="P444" s="2948"/>
      <c r="Q444" s="2951">
        <v>0</v>
      </c>
      <c r="R444" s="2948"/>
      <c r="S444" s="2948"/>
      <c r="T444" s="2948"/>
      <c r="U444" s="2948"/>
      <c r="V444" s="2948"/>
      <c r="W444" s="2944">
        <f t="shared" si="2"/>
        <v>0</v>
      </c>
    </row>
    <row r="445" spans="1:23" s="2944" customFormat="1" ht="46.8" hidden="1">
      <c r="A445" s="2948">
        <v>444</v>
      </c>
      <c r="B445" s="2948" t="s">
        <v>635</v>
      </c>
      <c r="C445" s="2948" t="s">
        <v>636</v>
      </c>
      <c r="D445" s="2948" t="s">
        <v>1025</v>
      </c>
      <c r="E445" s="2948" t="s">
        <v>729</v>
      </c>
      <c r="F445" s="2948" t="s">
        <v>1167</v>
      </c>
      <c r="G445" s="2948" t="s">
        <v>1041</v>
      </c>
      <c r="H445" s="2948" t="s">
        <v>1026</v>
      </c>
      <c r="I445" s="2948" t="s">
        <v>1027</v>
      </c>
      <c r="J445" s="2948" t="s">
        <v>643</v>
      </c>
      <c r="K445" s="2950">
        <v>31.47</v>
      </c>
      <c r="L445" s="2950">
        <v>13.25</v>
      </c>
      <c r="M445" s="2951">
        <v>0</v>
      </c>
      <c r="N445" s="2951">
        <v>0</v>
      </c>
      <c r="O445" s="2955"/>
      <c r="P445" s="2948"/>
      <c r="Q445" s="2951">
        <v>0</v>
      </c>
      <c r="R445" s="2948"/>
      <c r="S445" s="2948"/>
      <c r="T445" s="2948"/>
      <c r="U445" s="2948"/>
      <c r="V445" s="2948"/>
      <c r="W445" s="2944">
        <f t="shared" si="2"/>
        <v>0</v>
      </c>
    </row>
    <row r="446" spans="1:23" s="2944" customFormat="1" ht="46.8" hidden="1">
      <c r="A446" s="2948">
        <v>445</v>
      </c>
      <c r="B446" s="2948" t="s">
        <v>635</v>
      </c>
      <c r="C446" s="2948" t="s">
        <v>636</v>
      </c>
      <c r="D446" s="2948" t="s">
        <v>1025</v>
      </c>
      <c r="E446" s="2948" t="s">
        <v>729</v>
      </c>
      <c r="F446" s="2948" t="s">
        <v>1168</v>
      </c>
      <c r="G446" s="2948" t="s">
        <v>1041</v>
      </c>
      <c r="H446" s="2948" t="s">
        <v>1026</v>
      </c>
      <c r="I446" s="2948" t="s">
        <v>1027</v>
      </c>
      <c r="J446" s="2948" t="s">
        <v>643</v>
      </c>
      <c r="K446" s="2950">
        <v>31.47</v>
      </c>
      <c r="L446" s="2950">
        <v>13.25</v>
      </c>
      <c r="M446" s="2951">
        <v>0</v>
      </c>
      <c r="N446" s="2951">
        <v>0</v>
      </c>
      <c r="O446" s="2955"/>
      <c r="P446" s="2948"/>
      <c r="Q446" s="2951">
        <v>0</v>
      </c>
      <c r="R446" s="2948"/>
      <c r="S446" s="2948"/>
      <c r="T446" s="2948"/>
      <c r="U446" s="2948"/>
      <c r="V446" s="2948"/>
      <c r="W446" s="2944">
        <f t="shared" si="2"/>
        <v>0</v>
      </c>
    </row>
    <row r="447" spans="1:23" s="2944" customFormat="1" ht="46.8">
      <c r="A447" s="2948">
        <v>446</v>
      </c>
      <c r="B447" s="2948" t="s">
        <v>635</v>
      </c>
      <c r="C447" s="2948" t="s">
        <v>636</v>
      </c>
      <c r="D447" s="2948" t="s">
        <v>1025</v>
      </c>
      <c r="E447" s="2948" t="s">
        <v>729</v>
      </c>
      <c r="F447" s="2948" t="s">
        <v>1169</v>
      </c>
      <c r="G447" s="2948" t="s">
        <v>640</v>
      </c>
      <c r="H447" s="2948" t="s">
        <v>1026</v>
      </c>
      <c r="I447" s="2948" t="s">
        <v>1027</v>
      </c>
      <c r="J447" s="2948" t="s">
        <v>643</v>
      </c>
      <c r="K447" s="2950">
        <v>31.47</v>
      </c>
      <c r="L447" s="2950">
        <v>13.25</v>
      </c>
      <c r="M447" s="2951">
        <v>544975</v>
      </c>
      <c r="N447" s="2951">
        <v>544975</v>
      </c>
      <c r="O447" s="2952">
        <v>544975</v>
      </c>
      <c r="P447" s="2953">
        <v>544975</v>
      </c>
      <c r="Q447" s="2951">
        <v>544975</v>
      </c>
      <c r="R447" s="2954">
        <v>44277</v>
      </c>
      <c r="S447" s="2954">
        <v>44279</v>
      </c>
      <c r="T447" s="2954">
        <v>44375</v>
      </c>
      <c r="U447" s="2954">
        <v>44375</v>
      </c>
      <c r="V447" s="2948" t="s">
        <v>840</v>
      </c>
      <c r="W447" s="2944">
        <f t="shared" si="2"/>
        <v>17317.286304416899</v>
      </c>
    </row>
    <row r="448" spans="1:23" s="2944" customFormat="1" ht="46.8">
      <c r="A448" s="2948">
        <v>447</v>
      </c>
      <c r="B448" s="2948" t="s">
        <v>635</v>
      </c>
      <c r="C448" s="2948" t="s">
        <v>636</v>
      </c>
      <c r="D448" s="2948" t="s">
        <v>1025</v>
      </c>
      <c r="E448" s="2948" t="s">
        <v>729</v>
      </c>
      <c r="F448" s="2948" t="s">
        <v>1170</v>
      </c>
      <c r="G448" s="2948" t="s">
        <v>640</v>
      </c>
      <c r="H448" s="2948" t="s">
        <v>1026</v>
      </c>
      <c r="I448" s="2948" t="s">
        <v>1027</v>
      </c>
      <c r="J448" s="2948" t="s">
        <v>643</v>
      </c>
      <c r="K448" s="2950">
        <v>31.47</v>
      </c>
      <c r="L448" s="2950">
        <v>13.25</v>
      </c>
      <c r="M448" s="2951">
        <v>544975</v>
      </c>
      <c r="N448" s="2951">
        <v>544975</v>
      </c>
      <c r="O448" s="2952">
        <v>544975</v>
      </c>
      <c r="P448" s="2953">
        <v>544975</v>
      </c>
      <c r="Q448" s="2951">
        <v>544975</v>
      </c>
      <c r="R448" s="2954">
        <v>44341</v>
      </c>
      <c r="S448" s="2954">
        <v>44377</v>
      </c>
      <c r="T448" s="2954">
        <v>44498</v>
      </c>
      <c r="U448" s="2954">
        <v>44498</v>
      </c>
      <c r="V448" s="2948" t="s">
        <v>825</v>
      </c>
      <c r="W448" s="2944">
        <f t="shared" si="2"/>
        <v>17317.286304416899</v>
      </c>
    </row>
    <row r="449" spans="1:23" s="2944" customFormat="1" ht="46.8">
      <c r="A449" s="2948">
        <v>448</v>
      </c>
      <c r="B449" s="2948" t="s">
        <v>635</v>
      </c>
      <c r="C449" s="2948" t="s">
        <v>636</v>
      </c>
      <c r="D449" s="2948" t="s">
        <v>1025</v>
      </c>
      <c r="E449" s="2948" t="s">
        <v>729</v>
      </c>
      <c r="F449" s="2948" t="s">
        <v>1171</v>
      </c>
      <c r="G449" s="2948" t="s">
        <v>640</v>
      </c>
      <c r="H449" s="2948" t="s">
        <v>1026</v>
      </c>
      <c r="I449" s="2948" t="s">
        <v>1027</v>
      </c>
      <c r="J449" s="2948" t="s">
        <v>643</v>
      </c>
      <c r="K449" s="2950">
        <v>31.47</v>
      </c>
      <c r="L449" s="2950">
        <v>13.25</v>
      </c>
      <c r="M449" s="2951">
        <v>544975</v>
      </c>
      <c r="N449" s="2951">
        <v>544975</v>
      </c>
      <c r="O449" s="2952">
        <v>544975</v>
      </c>
      <c r="P449" s="2953">
        <v>544975</v>
      </c>
      <c r="Q449" s="2951">
        <v>544975</v>
      </c>
      <c r="R449" s="2954">
        <v>44278</v>
      </c>
      <c r="S449" s="2954">
        <v>44279</v>
      </c>
      <c r="T449" s="2954">
        <v>44393</v>
      </c>
      <c r="U449" s="2954">
        <v>44393</v>
      </c>
      <c r="V449" s="2948" t="s">
        <v>841</v>
      </c>
      <c r="W449" s="2944">
        <f t="shared" si="2"/>
        <v>17317.286304416899</v>
      </c>
    </row>
    <row r="450" spans="1:23" s="2944" customFormat="1" ht="46.8">
      <c r="A450" s="2948">
        <v>449</v>
      </c>
      <c r="B450" s="2948" t="s">
        <v>635</v>
      </c>
      <c r="C450" s="2948" t="s">
        <v>636</v>
      </c>
      <c r="D450" s="2948" t="s">
        <v>1025</v>
      </c>
      <c r="E450" s="2948" t="s">
        <v>729</v>
      </c>
      <c r="F450" s="2948" t="s">
        <v>1172</v>
      </c>
      <c r="G450" s="2948" t="s">
        <v>640</v>
      </c>
      <c r="H450" s="2948" t="s">
        <v>1026</v>
      </c>
      <c r="I450" s="2948" t="s">
        <v>1027</v>
      </c>
      <c r="J450" s="2948" t="s">
        <v>643</v>
      </c>
      <c r="K450" s="2950">
        <v>31.47</v>
      </c>
      <c r="L450" s="2950">
        <v>13.25</v>
      </c>
      <c r="M450" s="2951">
        <v>544975</v>
      </c>
      <c r="N450" s="2951">
        <v>544975</v>
      </c>
      <c r="O450" s="2952">
        <v>544975</v>
      </c>
      <c r="P450" s="2953">
        <v>544975</v>
      </c>
      <c r="Q450" s="2951">
        <v>544975</v>
      </c>
      <c r="R450" s="2954">
        <v>44278</v>
      </c>
      <c r="S450" s="2954">
        <v>44279</v>
      </c>
      <c r="T450" s="2954">
        <v>44390</v>
      </c>
      <c r="U450" s="2954">
        <v>44390</v>
      </c>
      <c r="V450" s="2948" t="s">
        <v>1173</v>
      </c>
      <c r="W450" s="2944">
        <f t="shared" si="2"/>
        <v>17317.286304416899</v>
      </c>
    </row>
    <row r="451" spans="1:23" s="2944" customFormat="1" ht="46.8">
      <c r="A451" s="2948">
        <v>450</v>
      </c>
      <c r="B451" s="2948" t="s">
        <v>635</v>
      </c>
      <c r="C451" s="2948" t="s">
        <v>636</v>
      </c>
      <c r="D451" s="2948" t="s">
        <v>1025</v>
      </c>
      <c r="E451" s="2948" t="s">
        <v>729</v>
      </c>
      <c r="F451" s="2948" t="s">
        <v>1174</v>
      </c>
      <c r="G451" s="2948" t="s">
        <v>640</v>
      </c>
      <c r="H451" s="2948" t="s">
        <v>1026</v>
      </c>
      <c r="I451" s="2948" t="s">
        <v>1027</v>
      </c>
      <c r="J451" s="2948" t="s">
        <v>643</v>
      </c>
      <c r="K451" s="2950">
        <v>31.47</v>
      </c>
      <c r="L451" s="2950">
        <v>13.25</v>
      </c>
      <c r="M451" s="2951">
        <v>544975</v>
      </c>
      <c r="N451" s="2951">
        <v>544975</v>
      </c>
      <c r="O451" s="2952">
        <v>517726</v>
      </c>
      <c r="P451" s="2953">
        <v>517726</v>
      </c>
      <c r="Q451" s="2951">
        <v>517726</v>
      </c>
      <c r="R451" s="2954">
        <v>44587</v>
      </c>
      <c r="S451" s="2954">
        <v>44648</v>
      </c>
      <c r="T451" s="2954">
        <v>44736</v>
      </c>
      <c r="U451" s="2954">
        <v>44736</v>
      </c>
      <c r="V451" s="2948" t="s">
        <v>960</v>
      </c>
      <c r="W451" s="2944">
        <f t="shared" si="2"/>
        <v>16451.414045122299</v>
      </c>
    </row>
    <row r="452" spans="1:23" s="2944" customFormat="1" ht="46.8">
      <c r="A452" s="2948">
        <v>451</v>
      </c>
      <c r="B452" s="2948" t="s">
        <v>635</v>
      </c>
      <c r="C452" s="2948" t="s">
        <v>636</v>
      </c>
      <c r="D452" s="2948" t="s">
        <v>1025</v>
      </c>
      <c r="E452" s="2948" t="s">
        <v>729</v>
      </c>
      <c r="F452" s="2948" t="s">
        <v>1175</v>
      </c>
      <c r="G452" s="2948" t="s">
        <v>640</v>
      </c>
      <c r="H452" s="2948" t="s">
        <v>1026</v>
      </c>
      <c r="I452" s="2948" t="s">
        <v>1027</v>
      </c>
      <c r="J452" s="2948" t="s">
        <v>643</v>
      </c>
      <c r="K452" s="2950">
        <v>31.47</v>
      </c>
      <c r="L452" s="2950">
        <v>13.25</v>
      </c>
      <c r="M452" s="2951">
        <v>544975</v>
      </c>
      <c r="N452" s="2951">
        <v>544975</v>
      </c>
      <c r="O452" s="2952">
        <v>544975</v>
      </c>
      <c r="P452" s="2953">
        <v>544975</v>
      </c>
      <c r="Q452" s="2951">
        <v>544975</v>
      </c>
      <c r="R452" s="2954">
        <v>44278</v>
      </c>
      <c r="S452" s="2954">
        <v>44279</v>
      </c>
      <c r="T452" s="2954">
        <v>44391</v>
      </c>
      <c r="U452" s="2954">
        <v>44391</v>
      </c>
      <c r="V452" s="2948" t="s">
        <v>847</v>
      </c>
      <c r="W452" s="2944">
        <f t="shared" si="2"/>
        <v>17317.286304416899</v>
      </c>
    </row>
    <row r="453" spans="1:23" s="2944" customFormat="1" ht="46.8" hidden="1">
      <c r="A453" s="2948">
        <v>452</v>
      </c>
      <c r="B453" s="2948" t="s">
        <v>635</v>
      </c>
      <c r="C453" s="2948" t="s">
        <v>636</v>
      </c>
      <c r="D453" s="2948" t="s">
        <v>1025</v>
      </c>
      <c r="E453" s="2948" t="s">
        <v>729</v>
      </c>
      <c r="F453" s="2948" t="s">
        <v>1176</v>
      </c>
      <c r="G453" s="2948" t="s">
        <v>1041</v>
      </c>
      <c r="H453" s="2948" t="s">
        <v>1026</v>
      </c>
      <c r="I453" s="2948" t="s">
        <v>1027</v>
      </c>
      <c r="J453" s="2948" t="s">
        <v>643</v>
      </c>
      <c r="K453" s="2950">
        <v>31.47</v>
      </c>
      <c r="L453" s="2950">
        <v>13.25</v>
      </c>
      <c r="M453" s="2951">
        <v>0</v>
      </c>
      <c r="N453" s="2951">
        <v>0</v>
      </c>
      <c r="O453" s="2955"/>
      <c r="P453" s="2948"/>
      <c r="Q453" s="2951">
        <v>0</v>
      </c>
      <c r="R453" s="2948"/>
      <c r="S453" s="2948"/>
      <c r="T453" s="2948"/>
      <c r="U453" s="2948"/>
      <c r="V453" s="2948"/>
      <c r="W453" s="2944">
        <f t="shared" si="2"/>
        <v>0</v>
      </c>
    </row>
    <row r="454" spans="1:23" s="2944" customFormat="1" ht="46.8">
      <c r="A454" s="2948">
        <v>453</v>
      </c>
      <c r="B454" s="2948" t="s">
        <v>635</v>
      </c>
      <c r="C454" s="2948" t="s">
        <v>636</v>
      </c>
      <c r="D454" s="2948" t="s">
        <v>1025</v>
      </c>
      <c r="E454" s="2948" t="s">
        <v>729</v>
      </c>
      <c r="F454" s="2948" t="s">
        <v>1177</v>
      </c>
      <c r="G454" s="2948" t="s">
        <v>640</v>
      </c>
      <c r="H454" s="2948" t="s">
        <v>1026</v>
      </c>
      <c r="I454" s="2948" t="s">
        <v>1027</v>
      </c>
      <c r="J454" s="2948" t="s">
        <v>643</v>
      </c>
      <c r="K454" s="2950">
        <v>31.47</v>
      </c>
      <c r="L454" s="2950">
        <v>13.25</v>
      </c>
      <c r="M454" s="2951">
        <v>544975</v>
      </c>
      <c r="N454" s="2951">
        <v>544975</v>
      </c>
      <c r="O454" s="2952">
        <v>544975</v>
      </c>
      <c r="P454" s="2953">
        <v>544975</v>
      </c>
      <c r="Q454" s="2951">
        <v>544975</v>
      </c>
      <c r="R454" s="2954">
        <v>44278</v>
      </c>
      <c r="S454" s="2954">
        <v>44279</v>
      </c>
      <c r="T454" s="2954">
        <v>44388</v>
      </c>
      <c r="U454" s="2954">
        <v>44388</v>
      </c>
      <c r="V454" s="2948" t="s">
        <v>843</v>
      </c>
      <c r="W454" s="2944">
        <f t="shared" si="2"/>
        <v>17317.286304416899</v>
      </c>
    </row>
    <row r="455" spans="1:23" s="2944" customFormat="1" ht="46.8">
      <c r="A455" s="2948">
        <v>454</v>
      </c>
      <c r="B455" s="2948" t="s">
        <v>635</v>
      </c>
      <c r="C455" s="2948" t="s">
        <v>636</v>
      </c>
      <c r="D455" s="2948" t="s">
        <v>1025</v>
      </c>
      <c r="E455" s="2948" t="s">
        <v>729</v>
      </c>
      <c r="F455" s="2948" t="s">
        <v>1178</v>
      </c>
      <c r="G455" s="2948" t="s">
        <v>640</v>
      </c>
      <c r="H455" s="2948" t="s">
        <v>1026</v>
      </c>
      <c r="I455" s="2948" t="s">
        <v>1027</v>
      </c>
      <c r="J455" s="2948" t="s">
        <v>643</v>
      </c>
      <c r="K455" s="2950">
        <v>31.47</v>
      </c>
      <c r="L455" s="2950">
        <v>13.25</v>
      </c>
      <c r="M455" s="2951">
        <v>544975</v>
      </c>
      <c r="N455" s="2951">
        <v>544975</v>
      </c>
      <c r="O455" s="2952">
        <v>544975</v>
      </c>
      <c r="P455" s="2953">
        <v>544975</v>
      </c>
      <c r="Q455" s="2951">
        <v>544975</v>
      </c>
      <c r="R455" s="2954">
        <v>44327</v>
      </c>
      <c r="S455" s="2954">
        <v>44342</v>
      </c>
      <c r="T455" s="2954">
        <v>44379</v>
      </c>
      <c r="U455" s="2954">
        <v>44379</v>
      </c>
      <c r="V455" s="2948" t="s">
        <v>953</v>
      </c>
      <c r="W455" s="2944">
        <f t="shared" si="2"/>
        <v>17317.286304416899</v>
      </c>
    </row>
    <row r="456" spans="1:23" s="2944" customFormat="1" ht="46.8">
      <c r="A456" s="2948">
        <v>455</v>
      </c>
      <c r="B456" s="2948" t="s">
        <v>635</v>
      </c>
      <c r="C456" s="2948" t="s">
        <v>636</v>
      </c>
      <c r="D456" s="2948" t="s">
        <v>1025</v>
      </c>
      <c r="E456" s="2948" t="s">
        <v>729</v>
      </c>
      <c r="F456" s="2948" t="s">
        <v>1179</v>
      </c>
      <c r="G456" s="2948" t="s">
        <v>640</v>
      </c>
      <c r="H456" s="2948" t="s">
        <v>1026</v>
      </c>
      <c r="I456" s="2948" t="s">
        <v>1027</v>
      </c>
      <c r="J456" s="2948" t="s">
        <v>643</v>
      </c>
      <c r="K456" s="2950">
        <v>31.47</v>
      </c>
      <c r="L456" s="2950">
        <v>13.25</v>
      </c>
      <c r="M456" s="2951">
        <v>544975</v>
      </c>
      <c r="N456" s="2951">
        <v>544975</v>
      </c>
      <c r="O456" s="2952">
        <v>544975</v>
      </c>
      <c r="P456" s="2953">
        <v>544975</v>
      </c>
      <c r="Q456" s="2951">
        <v>544975</v>
      </c>
      <c r="R456" s="2954">
        <v>44490</v>
      </c>
      <c r="S456" s="2954">
        <v>44490</v>
      </c>
      <c r="T456" s="2954">
        <v>44490</v>
      </c>
      <c r="U456" s="2954">
        <v>44490</v>
      </c>
      <c r="V456" s="2948" t="s">
        <v>990</v>
      </c>
      <c r="W456" s="2944">
        <f t="shared" si="2"/>
        <v>17317.286304416899</v>
      </c>
    </row>
    <row r="457" spans="1:23" s="2944" customFormat="1" ht="46.8">
      <c r="A457" s="2948">
        <v>456</v>
      </c>
      <c r="B457" s="2948" t="s">
        <v>635</v>
      </c>
      <c r="C457" s="2948" t="s">
        <v>636</v>
      </c>
      <c r="D457" s="2948" t="s">
        <v>1025</v>
      </c>
      <c r="E457" s="2948" t="s">
        <v>729</v>
      </c>
      <c r="F457" s="2948" t="s">
        <v>1180</v>
      </c>
      <c r="G457" s="2948" t="s">
        <v>640</v>
      </c>
      <c r="H457" s="2948" t="s">
        <v>1026</v>
      </c>
      <c r="I457" s="2948" t="s">
        <v>1027</v>
      </c>
      <c r="J457" s="2948" t="s">
        <v>643</v>
      </c>
      <c r="K457" s="2950">
        <v>31.47</v>
      </c>
      <c r="L457" s="2950">
        <v>13.25</v>
      </c>
      <c r="M457" s="2951">
        <v>544975</v>
      </c>
      <c r="N457" s="2951">
        <v>544975</v>
      </c>
      <c r="O457" s="2952">
        <v>544975</v>
      </c>
      <c r="P457" s="2953">
        <v>544975</v>
      </c>
      <c r="Q457" s="2951">
        <v>544975</v>
      </c>
      <c r="R457" s="2954">
        <v>44278</v>
      </c>
      <c r="S457" s="2954">
        <v>44279</v>
      </c>
      <c r="T457" s="2954">
        <v>44374</v>
      </c>
      <c r="U457" s="2954">
        <v>44374</v>
      </c>
      <c r="V457" s="2948" t="s">
        <v>848</v>
      </c>
      <c r="W457" s="2944">
        <f t="shared" si="2"/>
        <v>17317.286304416899</v>
      </c>
    </row>
    <row r="458" spans="1:23" s="2944" customFormat="1" ht="46.8">
      <c r="A458" s="2948">
        <v>457</v>
      </c>
      <c r="B458" s="2948" t="s">
        <v>635</v>
      </c>
      <c r="C458" s="2948" t="s">
        <v>636</v>
      </c>
      <c r="D458" s="2948" t="s">
        <v>1025</v>
      </c>
      <c r="E458" s="2948" t="s">
        <v>729</v>
      </c>
      <c r="F458" s="2948" t="s">
        <v>1181</v>
      </c>
      <c r="G458" s="2948" t="s">
        <v>640</v>
      </c>
      <c r="H458" s="2948" t="s">
        <v>1026</v>
      </c>
      <c r="I458" s="2948" t="s">
        <v>1027</v>
      </c>
      <c r="J458" s="2948" t="s">
        <v>643</v>
      </c>
      <c r="K458" s="2950">
        <v>31.47</v>
      </c>
      <c r="L458" s="2950">
        <v>13.25</v>
      </c>
      <c r="M458" s="2951">
        <v>544975</v>
      </c>
      <c r="N458" s="2951">
        <v>544975</v>
      </c>
      <c r="O458" s="2952">
        <v>544975</v>
      </c>
      <c r="P458" s="2953">
        <v>544975</v>
      </c>
      <c r="Q458" s="2951">
        <v>544975</v>
      </c>
      <c r="R458" s="2954">
        <v>44330</v>
      </c>
      <c r="S458" s="2954">
        <v>44360</v>
      </c>
      <c r="T458" s="2954">
        <v>44360</v>
      </c>
      <c r="U458" s="2954">
        <v>44360</v>
      </c>
      <c r="V458" s="2948" t="s">
        <v>850</v>
      </c>
      <c r="W458" s="2944">
        <f t="shared" si="2"/>
        <v>17317.286304416899</v>
      </c>
    </row>
    <row r="459" spans="1:23" s="2944" customFormat="1" ht="46.8">
      <c r="A459" s="2948">
        <v>458</v>
      </c>
      <c r="B459" s="2948" t="s">
        <v>635</v>
      </c>
      <c r="C459" s="2948" t="s">
        <v>636</v>
      </c>
      <c r="D459" s="2948" t="s">
        <v>1025</v>
      </c>
      <c r="E459" s="2948" t="s">
        <v>729</v>
      </c>
      <c r="F459" s="2948" t="s">
        <v>1182</v>
      </c>
      <c r="G459" s="2948" t="s">
        <v>640</v>
      </c>
      <c r="H459" s="2948" t="s">
        <v>1026</v>
      </c>
      <c r="I459" s="2948" t="s">
        <v>1027</v>
      </c>
      <c r="J459" s="2948" t="s">
        <v>643</v>
      </c>
      <c r="K459" s="2950">
        <v>31.47</v>
      </c>
      <c r="L459" s="2950">
        <v>13.25</v>
      </c>
      <c r="M459" s="2951">
        <v>544975</v>
      </c>
      <c r="N459" s="2951">
        <v>544975</v>
      </c>
      <c r="O459" s="2952">
        <v>544975</v>
      </c>
      <c r="P459" s="2953">
        <v>544975</v>
      </c>
      <c r="Q459" s="2951">
        <v>544975</v>
      </c>
      <c r="R459" s="2954">
        <v>44329</v>
      </c>
      <c r="S459" s="2954">
        <v>44377</v>
      </c>
      <c r="T459" s="2954">
        <v>44391</v>
      </c>
      <c r="U459" s="2954">
        <v>44391</v>
      </c>
      <c r="V459" s="2948" t="s">
        <v>943</v>
      </c>
      <c r="W459" s="2944">
        <f t="shared" si="2"/>
        <v>17317.286304416899</v>
      </c>
    </row>
    <row r="460" spans="1:23" s="2944" customFormat="1" ht="46.8">
      <c r="A460" s="2948">
        <v>459</v>
      </c>
      <c r="B460" s="2948" t="s">
        <v>635</v>
      </c>
      <c r="C460" s="2948" t="s">
        <v>636</v>
      </c>
      <c r="D460" s="2948" t="s">
        <v>1025</v>
      </c>
      <c r="E460" s="2948" t="s">
        <v>729</v>
      </c>
      <c r="F460" s="2948" t="s">
        <v>1183</v>
      </c>
      <c r="G460" s="2948" t="s">
        <v>640</v>
      </c>
      <c r="H460" s="2948" t="s">
        <v>1026</v>
      </c>
      <c r="I460" s="2948" t="s">
        <v>1027</v>
      </c>
      <c r="J460" s="2948" t="s">
        <v>643</v>
      </c>
      <c r="K460" s="2950">
        <v>31.47</v>
      </c>
      <c r="L460" s="2950">
        <v>13.25</v>
      </c>
      <c r="M460" s="2951">
        <v>544975</v>
      </c>
      <c r="N460" s="2951">
        <v>544975</v>
      </c>
      <c r="O460" s="2952">
        <v>544975</v>
      </c>
      <c r="P460" s="2953">
        <v>544975</v>
      </c>
      <c r="Q460" s="2951">
        <v>544975</v>
      </c>
      <c r="R460" s="2954">
        <v>44280</v>
      </c>
      <c r="S460" s="2954">
        <v>44282</v>
      </c>
      <c r="T460" s="2954">
        <v>44376</v>
      </c>
      <c r="U460" s="2954">
        <v>44376</v>
      </c>
      <c r="V460" s="2948" t="s">
        <v>962</v>
      </c>
      <c r="W460" s="2944">
        <f t="shared" si="2"/>
        <v>17317.286304416899</v>
      </c>
    </row>
    <row r="461" spans="1:23" s="2944" customFormat="1" ht="46.8">
      <c r="A461" s="2948">
        <v>460</v>
      </c>
      <c r="B461" s="2948" t="s">
        <v>635</v>
      </c>
      <c r="C461" s="2948" t="s">
        <v>636</v>
      </c>
      <c r="D461" s="2948" t="s">
        <v>1025</v>
      </c>
      <c r="E461" s="2948" t="s">
        <v>729</v>
      </c>
      <c r="F461" s="2948" t="s">
        <v>1184</v>
      </c>
      <c r="G461" s="2948" t="s">
        <v>640</v>
      </c>
      <c r="H461" s="2948" t="s">
        <v>1026</v>
      </c>
      <c r="I461" s="2948" t="s">
        <v>1027</v>
      </c>
      <c r="J461" s="2948" t="s">
        <v>643</v>
      </c>
      <c r="K461" s="2950">
        <v>31.47</v>
      </c>
      <c r="L461" s="2950">
        <v>13.25</v>
      </c>
      <c r="M461" s="2951">
        <v>544975</v>
      </c>
      <c r="N461" s="2951">
        <v>544975</v>
      </c>
      <c r="O461" s="2952">
        <v>544975</v>
      </c>
      <c r="P461" s="2953">
        <v>544975</v>
      </c>
      <c r="Q461" s="2951">
        <v>544975</v>
      </c>
      <c r="R461" s="2954">
        <v>44278</v>
      </c>
      <c r="S461" s="2954">
        <v>44279</v>
      </c>
      <c r="T461" s="2954">
        <v>44388</v>
      </c>
      <c r="U461" s="2954">
        <v>44388</v>
      </c>
      <c r="V461" s="2948" t="s">
        <v>845</v>
      </c>
      <c r="W461" s="2944">
        <f t="shared" si="2"/>
        <v>17317.286304416899</v>
      </c>
    </row>
    <row r="462" spans="1:23" s="2944" customFormat="1" ht="46.8">
      <c r="A462" s="2948">
        <v>461</v>
      </c>
      <c r="B462" s="2948" t="s">
        <v>635</v>
      </c>
      <c r="C462" s="2948" t="s">
        <v>636</v>
      </c>
      <c r="D462" s="2948" t="s">
        <v>1025</v>
      </c>
      <c r="E462" s="2948" t="s">
        <v>729</v>
      </c>
      <c r="F462" s="2948" t="s">
        <v>1185</v>
      </c>
      <c r="G462" s="2948" t="s">
        <v>640</v>
      </c>
      <c r="H462" s="2948" t="s">
        <v>1026</v>
      </c>
      <c r="I462" s="2948" t="s">
        <v>1027</v>
      </c>
      <c r="J462" s="2948" t="s">
        <v>643</v>
      </c>
      <c r="K462" s="2950">
        <v>31.47</v>
      </c>
      <c r="L462" s="2950">
        <v>13.25</v>
      </c>
      <c r="M462" s="2951">
        <v>544975</v>
      </c>
      <c r="N462" s="2951">
        <v>544975</v>
      </c>
      <c r="O462" s="2952">
        <v>544975</v>
      </c>
      <c r="P462" s="2953">
        <v>544975</v>
      </c>
      <c r="Q462" s="2951">
        <v>544975</v>
      </c>
      <c r="R462" s="2954">
        <v>44735</v>
      </c>
      <c r="S462" s="2954">
        <v>44737</v>
      </c>
      <c r="T462" s="2954">
        <v>44756</v>
      </c>
      <c r="U462" s="2954">
        <v>44756</v>
      </c>
      <c r="V462" s="2948" t="s">
        <v>963</v>
      </c>
      <c r="W462" s="2944">
        <f t="shared" si="2"/>
        <v>17317.286304416899</v>
      </c>
    </row>
    <row r="463" spans="1:23" s="2944" customFormat="1" ht="46.8" hidden="1">
      <c r="A463" s="2948">
        <v>462</v>
      </c>
      <c r="B463" s="2948" t="s">
        <v>635</v>
      </c>
      <c r="C463" s="2948" t="s">
        <v>636</v>
      </c>
      <c r="D463" s="2948" t="s">
        <v>1025</v>
      </c>
      <c r="E463" s="2948" t="s">
        <v>729</v>
      </c>
      <c r="F463" s="2948" t="s">
        <v>1186</v>
      </c>
      <c r="G463" s="2948" t="s">
        <v>1041</v>
      </c>
      <c r="H463" s="2948" t="s">
        <v>1026</v>
      </c>
      <c r="I463" s="2948" t="s">
        <v>1027</v>
      </c>
      <c r="J463" s="2948" t="s">
        <v>643</v>
      </c>
      <c r="K463" s="2950">
        <v>31.47</v>
      </c>
      <c r="L463" s="2950">
        <v>13.25</v>
      </c>
      <c r="M463" s="2951">
        <v>544975</v>
      </c>
      <c r="N463" s="2951">
        <v>544975</v>
      </c>
      <c r="O463" s="2955"/>
      <c r="P463" s="2948"/>
      <c r="Q463" s="2951">
        <v>0</v>
      </c>
      <c r="R463" s="2948"/>
      <c r="S463" s="2948"/>
      <c r="T463" s="2948"/>
      <c r="U463" s="2948"/>
      <c r="V463" s="2948"/>
      <c r="W463" s="2944">
        <f t="shared" si="2"/>
        <v>0</v>
      </c>
    </row>
    <row r="464" spans="1:23" s="2944" customFormat="1" ht="46.8">
      <c r="A464" s="2948">
        <v>463</v>
      </c>
      <c r="B464" s="2948" t="s">
        <v>635</v>
      </c>
      <c r="C464" s="2948" t="s">
        <v>636</v>
      </c>
      <c r="D464" s="2948" t="s">
        <v>1025</v>
      </c>
      <c r="E464" s="2948" t="s">
        <v>729</v>
      </c>
      <c r="F464" s="2948" t="s">
        <v>1187</v>
      </c>
      <c r="G464" s="2948" t="s">
        <v>640</v>
      </c>
      <c r="H464" s="2948" t="s">
        <v>1026</v>
      </c>
      <c r="I464" s="2948" t="s">
        <v>1027</v>
      </c>
      <c r="J464" s="2948" t="s">
        <v>643</v>
      </c>
      <c r="K464" s="2950">
        <v>31.47</v>
      </c>
      <c r="L464" s="2950">
        <v>13.25</v>
      </c>
      <c r="M464" s="2951">
        <v>544975</v>
      </c>
      <c r="N464" s="2951">
        <v>544975</v>
      </c>
      <c r="O464" s="2952">
        <v>544975</v>
      </c>
      <c r="P464" s="2953">
        <v>544975</v>
      </c>
      <c r="Q464" s="2951">
        <v>544975</v>
      </c>
      <c r="R464" s="2954">
        <v>44273</v>
      </c>
      <c r="S464" s="2954">
        <v>44277</v>
      </c>
      <c r="T464" s="2954">
        <v>44375</v>
      </c>
      <c r="U464" s="2954">
        <v>44375</v>
      </c>
      <c r="V464" s="2948" t="s">
        <v>952</v>
      </c>
      <c r="W464" s="2944">
        <f t="shared" si="2"/>
        <v>17317.286304416899</v>
      </c>
    </row>
    <row r="465" spans="1:23" s="2944" customFormat="1" ht="46.8">
      <c r="A465" s="2948">
        <v>464</v>
      </c>
      <c r="B465" s="2948" t="s">
        <v>635</v>
      </c>
      <c r="C465" s="2948" t="s">
        <v>636</v>
      </c>
      <c r="D465" s="2948" t="s">
        <v>1025</v>
      </c>
      <c r="E465" s="2948" t="s">
        <v>729</v>
      </c>
      <c r="F465" s="2948" t="s">
        <v>1188</v>
      </c>
      <c r="G465" s="2948" t="s">
        <v>640</v>
      </c>
      <c r="H465" s="2948" t="s">
        <v>1026</v>
      </c>
      <c r="I465" s="2948" t="s">
        <v>1027</v>
      </c>
      <c r="J465" s="2948" t="s">
        <v>643</v>
      </c>
      <c r="K465" s="2950">
        <v>31.47</v>
      </c>
      <c r="L465" s="2950">
        <v>13.25</v>
      </c>
      <c r="M465" s="2951">
        <v>544975</v>
      </c>
      <c r="N465" s="2951">
        <v>544975</v>
      </c>
      <c r="O465" s="2952">
        <v>544975</v>
      </c>
      <c r="P465" s="2953">
        <v>544975</v>
      </c>
      <c r="Q465" s="2951">
        <v>544975</v>
      </c>
      <c r="R465" s="2954">
        <v>44277</v>
      </c>
      <c r="S465" s="2954">
        <v>44279</v>
      </c>
      <c r="T465" s="2954">
        <v>44351</v>
      </c>
      <c r="U465" s="2954">
        <v>44351</v>
      </c>
      <c r="V465" s="2948" t="s">
        <v>938</v>
      </c>
      <c r="W465" s="2944">
        <f t="shared" si="2"/>
        <v>17317.286304416899</v>
      </c>
    </row>
    <row r="466" spans="1:23" s="2944" customFormat="1" ht="46.8">
      <c r="A466" s="2948">
        <v>465</v>
      </c>
      <c r="B466" s="2948" t="s">
        <v>635</v>
      </c>
      <c r="C466" s="2948" t="s">
        <v>636</v>
      </c>
      <c r="D466" s="2948" t="s">
        <v>1025</v>
      </c>
      <c r="E466" s="2948" t="s">
        <v>729</v>
      </c>
      <c r="F466" s="2948" t="s">
        <v>1189</v>
      </c>
      <c r="G466" s="2948" t="s">
        <v>640</v>
      </c>
      <c r="H466" s="2948" t="s">
        <v>1026</v>
      </c>
      <c r="I466" s="2948" t="s">
        <v>1027</v>
      </c>
      <c r="J466" s="2948" t="s">
        <v>643</v>
      </c>
      <c r="K466" s="2950">
        <v>31.47</v>
      </c>
      <c r="L466" s="2950">
        <v>13.25</v>
      </c>
      <c r="M466" s="2951">
        <v>544975</v>
      </c>
      <c r="N466" s="2951">
        <v>544975</v>
      </c>
      <c r="O466" s="2952">
        <v>544975</v>
      </c>
      <c r="P466" s="2953">
        <v>544975</v>
      </c>
      <c r="Q466" s="2951">
        <v>544975</v>
      </c>
      <c r="R466" s="2954">
        <v>44278</v>
      </c>
      <c r="S466" s="2954">
        <v>44279</v>
      </c>
      <c r="T466" s="2954">
        <v>44422</v>
      </c>
      <c r="U466" s="2954">
        <v>44422</v>
      </c>
      <c r="V466" s="2948" t="s">
        <v>930</v>
      </c>
      <c r="W466" s="2944">
        <f t="shared" si="2"/>
        <v>17317.286304416899</v>
      </c>
    </row>
    <row r="467" spans="1:23" s="2944" customFormat="1" ht="46.8">
      <c r="A467" s="2948">
        <v>466</v>
      </c>
      <c r="B467" s="2948" t="s">
        <v>635</v>
      </c>
      <c r="C467" s="2948" t="s">
        <v>636</v>
      </c>
      <c r="D467" s="2948" t="s">
        <v>1025</v>
      </c>
      <c r="E467" s="2948" t="s">
        <v>729</v>
      </c>
      <c r="F467" s="2948" t="s">
        <v>1190</v>
      </c>
      <c r="G467" s="2948" t="s">
        <v>640</v>
      </c>
      <c r="H467" s="2948" t="s">
        <v>1026</v>
      </c>
      <c r="I467" s="2948" t="s">
        <v>1027</v>
      </c>
      <c r="J467" s="2948" t="s">
        <v>643</v>
      </c>
      <c r="K467" s="2950">
        <v>31.47</v>
      </c>
      <c r="L467" s="2950">
        <v>13.25</v>
      </c>
      <c r="M467" s="2951">
        <v>544975</v>
      </c>
      <c r="N467" s="2951">
        <v>544975</v>
      </c>
      <c r="O467" s="2952">
        <v>544975</v>
      </c>
      <c r="P467" s="2953">
        <v>544975</v>
      </c>
      <c r="Q467" s="2951">
        <v>544975</v>
      </c>
      <c r="R467" s="2954">
        <v>44277</v>
      </c>
      <c r="S467" s="2954">
        <v>44279</v>
      </c>
      <c r="T467" s="2954">
        <v>44355</v>
      </c>
      <c r="U467" s="2954">
        <v>44355</v>
      </c>
      <c r="V467" s="2948" t="s">
        <v>925</v>
      </c>
      <c r="W467" s="2944">
        <f t="shared" si="2"/>
        <v>17317.286304416899</v>
      </c>
    </row>
    <row r="468" spans="1:23" s="2944" customFormat="1" ht="46.8">
      <c r="A468" s="2948">
        <v>467</v>
      </c>
      <c r="B468" s="2948" t="s">
        <v>635</v>
      </c>
      <c r="C468" s="2948" t="s">
        <v>636</v>
      </c>
      <c r="D468" s="2948" t="s">
        <v>1025</v>
      </c>
      <c r="E468" s="2948" t="s">
        <v>729</v>
      </c>
      <c r="F468" s="2948" t="s">
        <v>1191</v>
      </c>
      <c r="G468" s="2948" t="s">
        <v>640</v>
      </c>
      <c r="H468" s="2948" t="s">
        <v>1026</v>
      </c>
      <c r="I468" s="2948" t="s">
        <v>1027</v>
      </c>
      <c r="J468" s="2948" t="s">
        <v>643</v>
      </c>
      <c r="K468" s="2950">
        <v>31.47</v>
      </c>
      <c r="L468" s="2950">
        <v>13.25</v>
      </c>
      <c r="M468" s="2951">
        <v>544975</v>
      </c>
      <c r="N468" s="2951">
        <v>544975</v>
      </c>
      <c r="O468" s="2952">
        <v>544975</v>
      </c>
      <c r="P468" s="2953">
        <v>544975</v>
      </c>
      <c r="Q468" s="2951">
        <v>544975</v>
      </c>
      <c r="R468" s="2954">
        <v>44631.427384259303</v>
      </c>
      <c r="S468" s="2954">
        <v>44680</v>
      </c>
      <c r="T468" s="2954">
        <v>44781</v>
      </c>
      <c r="U468" s="2954">
        <v>44781</v>
      </c>
      <c r="V468" s="2948" t="s">
        <v>939</v>
      </c>
      <c r="W468" s="2944">
        <f t="shared" si="2"/>
        <v>17317.286304416899</v>
      </c>
    </row>
    <row r="469" spans="1:23" s="2944" customFormat="1" ht="46.8">
      <c r="A469" s="2948">
        <v>468</v>
      </c>
      <c r="B469" s="2948" t="s">
        <v>635</v>
      </c>
      <c r="C469" s="2948" t="s">
        <v>636</v>
      </c>
      <c r="D469" s="2948" t="s">
        <v>1025</v>
      </c>
      <c r="E469" s="2948" t="s">
        <v>729</v>
      </c>
      <c r="F469" s="2948" t="s">
        <v>1192</v>
      </c>
      <c r="G469" s="2948" t="s">
        <v>640</v>
      </c>
      <c r="H469" s="2948" t="s">
        <v>1149</v>
      </c>
      <c r="I469" s="2948" t="s">
        <v>1027</v>
      </c>
      <c r="J469" s="2948" t="s">
        <v>643</v>
      </c>
      <c r="K469" s="2950">
        <v>62.94</v>
      </c>
      <c r="L469" s="2950">
        <v>26.5</v>
      </c>
      <c r="M469" s="2951">
        <v>681218</v>
      </c>
      <c r="N469" s="2951">
        <v>681218</v>
      </c>
      <c r="O469" s="2952">
        <v>681218</v>
      </c>
      <c r="P469" s="2953">
        <v>681218</v>
      </c>
      <c r="Q469" s="2951">
        <v>681218</v>
      </c>
      <c r="R469" s="2954">
        <v>44277</v>
      </c>
      <c r="S469" s="2954">
        <v>44279</v>
      </c>
      <c r="T469" s="2954">
        <v>44375</v>
      </c>
      <c r="U469" s="2954">
        <v>44375</v>
      </c>
      <c r="V469" s="2948" t="s">
        <v>936</v>
      </c>
      <c r="W469" s="2944">
        <f t="shared" si="2"/>
        <v>10823.29202415</v>
      </c>
    </row>
    <row r="470" spans="1:23" s="2944" customFormat="1" ht="46.8">
      <c r="A470" s="2948">
        <v>469</v>
      </c>
      <c r="B470" s="2948" t="s">
        <v>635</v>
      </c>
      <c r="C470" s="2948" t="s">
        <v>636</v>
      </c>
      <c r="D470" s="2948" t="s">
        <v>1025</v>
      </c>
      <c r="E470" s="2948" t="s">
        <v>729</v>
      </c>
      <c r="F470" s="2948" t="s">
        <v>1193</v>
      </c>
      <c r="G470" s="2948" t="s">
        <v>640</v>
      </c>
      <c r="H470" s="2948" t="s">
        <v>1149</v>
      </c>
      <c r="I470" s="2948" t="s">
        <v>1027</v>
      </c>
      <c r="J470" s="2948" t="s">
        <v>643</v>
      </c>
      <c r="K470" s="2950">
        <v>62.94</v>
      </c>
      <c r="L470" s="2950">
        <v>26.5</v>
      </c>
      <c r="M470" s="2951">
        <v>681218</v>
      </c>
      <c r="N470" s="2951">
        <v>681218</v>
      </c>
      <c r="O470" s="2952">
        <v>681218</v>
      </c>
      <c r="P470" s="2953">
        <v>681218</v>
      </c>
      <c r="Q470" s="2951">
        <v>681218</v>
      </c>
      <c r="R470" s="2954">
        <v>45071</v>
      </c>
      <c r="S470" s="2954">
        <v>45071</v>
      </c>
      <c r="T470" s="2954">
        <v>45071</v>
      </c>
      <c r="U470" s="2954">
        <v>45071</v>
      </c>
      <c r="V470" s="2948" t="s">
        <v>984</v>
      </c>
      <c r="W470" s="2944">
        <f t="shared" si="2"/>
        <v>10823.29202415</v>
      </c>
    </row>
    <row r="471" spans="1:23" s="2944" customFormat="1" ht="46.8">
      <c r="A471" s="2948">
        <v>470</v>
      </c>
      <c r="B471" s="2948" t="s">
        <v>635</v>
      </c>
      <c r="C471" s="2948" t="s">
        <v>636</v>
      </c>
      <c r="D471" s="2948" t="s">
        <v>1025</v>
      </c>
      <c r="E471" s="2948" t="s">
        <v>729</v>
      </c>
      <c r="F471" s="2948" t="s">
        <v>1194</v>
      </c>
      <c r="G471" s="2948" t="s">
        <v>640</v>
      </c>
      <c r="H471" s="2948" t="s">
        <v>1026</v>
      </c>
      <c r="I471" s="2948" t="s">
        <v>1027</v>
      </c>
      <c r="J471" s="2948" t="s">
        <v>643</v>
      </c>
      <c r="K471" s="2950">
        <v>31.47</v>
      </c>
      <c r="L471" s="2950">
        <v>13.25</v>
      </c>
      <c r="M471" s="2951">
        <v>544975</v>
      </c>
      <c r="N471" s="2951">
        <v>544975</v>
      </c>
      <c r="O471" s="2952">
        <v>544975</v>
      </c>
      <c r="P471" s="2953">
        <v>544975</v>
      </c>
      <c r="Q471" s="2951">
        <v>544975</v>
      </c>
      <c r="R471" s="2954">
        <v>44278</v>
      </c>
      <c r="S471" s="2954">
        <v>44279</v>
      </c>
      <c r="T471" s="2954">
        <v>44391</v>
      </c>
      <c r="U471" s="2954">
        <v>44391</v>
      </c>
      <c r="V471" s="2948" t="s">
        <v>967</v>
      </c>
      <c r="W471" s="2944">
        <f t="shared" si="2"/>
        <v>17317.286304416899</v>
      </c>
    </row>
    <row r="472" spans="1:23" s="2944" customFormat="1" ht="46.8">
      <c r="A472" s="2948">
        <v>471</v>
      </c>
      <c r="B472" s="2948" t="s">
        <v>635</v>
      </c>
      <c r="C472" s="2948" t="s">
        <v>636</v>
      </c>
      <c r="D472" s="2948" t="s">
        <v>1025</v>
      </c>
      <c r="E472" s="2948" t="s">
        <v>729</v>
      </c>
      <c r="F472" s="2948" t="s">
        <v>1195</v>
      </c>
      <c r="G472" s="2948" t="s">
        <v>640</v>
      </c>
      <c r="H472" s="2948" t="s">
        <v>1026</v>
      </c>
      <c r="I472" s="2948" t="s">
        <v>1027</v>
      </c>
      <c r="J472" s="2948" t="s">
        <v>643</v>
      </c>
      <c r="K472" s="2950">
        <v>31.47</v>
      </c>
      <c r="L472" s="2950">
        <v>13.25</v>
      </c>
      <c r="M472" s="2951">
        <v>544975</v>
      </c>
      <c r="N472" s="2951">
        <v>544975</v>
      </c>
      <c r="O472" s="2952">
        <v>544975</v>
      </c>
      <c r="P472" s="2953">
        <v>544975</v>
      </c>
      <c r="Q472" s="2951">
        <v>544975</v>
      </c>
      <c r="R472" s="2954">
        <v>44278</v>
      </c>
      <c r="S472" s="2954">
        <v>44279</v>
      </c>
      <c r="T472" s="2954">
        <v>44757</v>
      </c>
      <c r="U472" s="2954">
        <v>44757</v>
      </c>
      <c r="V472" s="2948" t="s">
        <v>1016</v>
      </c>
      <c r="W472" s="2944">
        <f t="shared" si="2"/>
        <v>17317.286304416899</v>
      </c>
    </row>
    <row r="473" spans="1:23" s="2944" customFormat="1" ht="46.8">
      <c r="A473" s="2948">
        <v>472</v>
      </c>
      <c r="B473" s="2948" t="s">
        <v>635</v>
      </c>
      <c r="C473" s="2948" t="s">
        <v>636</v>
      </c>
      <c r="D473" s="2948" t="s">
        <v>1025</v>
      </c>
      <c r="E473" s="2948" t="s">
        <v>729</v>
      </c>
      <c r="F473" s="2948" t="s">
        <v>1196</v>
      </c>
      <c r="G473" s="2948" t="s">
        <v>640</v>
      </c>
      <c r="H473" s="2948" t="s">
        <v>1026</v>
      </c>
      <c r="I473" s="2948" t="s">
        <v>1027</v>
      </c>
      <c r="J473" s="2948" t="s">
        <v>643</v>
      </c>
      <c r="K473" s="2950">
        <v>31.47</v>
      </c>
      <c r="L473" s="2950">
        <v>13.25</v>
      </c>
      <c r="M473" s="2951">
        <v>544975</v>
      </c>
      <c r="N473" s="2951">
        <v>544975</v>
      </c>
      <c r="O473" s="2952">
        <v>544975</v>
      </c>
      <c r="P473" s="2953">
        <v>544975</v>
      </c>
      <c r="Q473" s="2951">
        <v>544975</v>
      </c>
      <c r="R473" s="2954">
        <v>44277</v>
      </c>
      <c r="S473" s="2954">
        <v>44278</v>
      </c>
      <c r="T473" s="2954">
        <v>44399</v>
      </c>
      <c r="U473" s="2954">
        <v>44399</v>
      </c>
      <c r="V473" s="2948" t="s">
        <v>940</v>
      </c>
      <c r="W473" s="2944">
        <f t="shared" si="2"/>
        <v>17317.286304416899</v>
      </c>
    </row>
    <row r="474" spans="1:23" s="2944" customFormat="1" ht="46.8">
      <c r="A474" s="2948">
        <v>473</v>
      </c>
      <c r="B474" s="2948" t="s">
        <v>635</v>
      </c>
      <c r="C474" s="2948" t="s">
        <v>636</v>
      </c>
      <c r="D474" s="2948" t="s">
        <v>1025</v>
      </c>
      <c r="E474" s="2948" t="s">
        <v>729</v>
      </c>
      <c r="F474" s="2948" t="s">
        <v>1197</v>
      </c>
      <c r="G474" s="2948" t="s">
        <v>640</v>
      </c>
      <c r="H474" s="2948" t="s">
        <v>1026</v>
      </c>
      <c r="I474" s="2948" t="s">
        <v>1027</v>
      </c>
      <c r="J474" s="2948" t="s">
        <v>643</v>
      </c>
      <c r="K474" s="2950">
        <v>31.47</v>
      </c>
      <c r="L474" s="2950">
        <v>13.25</v>
      </c>
      <c r="M474" s="2951">
        <v>544975</v>
      </c>
      <c r="N474" s="2951">
        <v>544975</v>
      </c>
      <c r="O474" s="2952">
        <v>544975</v>
      </c>
      <c r="P474" s="2953">
        <v>544975</v>
      </c>
      <c r="Q474" s="2951">
        <v>544975</v>
      </c>
      <c r="R474" s="2954">
        <v>44278</v>
      </c>
      <c r="S474" s="2954">
        <v>44279</v>
      </c>
      <c r="T474" s="2954">
        <v>44386</v>
      </c>
      <c r="U474" s="2954">
        <v>44386</v>
      </c>
      <c r="V474" s="2948" t="s">
        <v>944</v>
      </c>
      <c r="W474" s="2944">
        <f t="shared" si="2"/>
        <v>17317.286304416899</v>
      </c>
    </row>
    <row r="475" spans="1:23" s="2944" customFormat="1" ht="46.8">
      <c r="A475" s="2948">
        <v>474</v>
      </c>
      <c r="B475" s="2948" t="s">
        <v>635</v>
      </c>
      <c r="C475" s="2948" t="s">
        <v>636</v>
      </c>
      <c r="D475" s="2948" t="s">
        <v>1025</v>
      </c>
      <c r="E475" s="2948" t="s">
        <v>729</v>
      </c>
      <c r="F475" s="2948" t="s">
        <v>1198</v>
      </c>
      <c r="G475" s="2948" t="s">
        <v>640</v>
      </c>
      <c r="H475" s="2948" t="s">
        <v>1026</v>
      </c>
      <c r="I475" s="2948" t="s">
        <v>1027</v>
      </c>
      <c r="J475" s="2948" t="s">
        <v>643</v>
      </c>
      <c r="K475" s="2950">
        <v>31.47</v>
      </c>
      <c r="L475" s="2950">
        <v>13.25</v>
      </c>
      <c r="M475" s="2951">
        <v>544975</v>
      </c>
      <c r="N475" s="2951">
        <v>544975</v>
      </c>
      <c r="O475" s="2952">
        <v>544975</v>
      </c>
      <c r="P475" s="2953">
        <v>544975</v>
      </c>
      <c r="Q475" s="2951">
        <v>544975</v>
      </c>
      <c r="R475" s="2954">
        <v>44277</v>
      </c>
      <c r="S475" s="2954">
        <v>44279</v>
      </c>
      <c r="T475" s="2954">
        <v>44355</v>
      </c>
      <c r="U475" s="2954">
        <v>44355</v>
      </c>
      <c r="V475" s="2948" t="s">
        <v>948</v>
      </c>
      <c r="W475" s="2944">
        <f t="shared" si="2"/>
        <v>17317.286304416899</v>
      </c>
    </row>
    <row r="476" spans="1:23" s="2944" customFormat="1" ht="46.8" hidden="1">
      <c r="A476" s="2948">
        <v>475</v>
      </c>
      <c r="B476" s="2948" t="s">
        <v>635</v>
      </c>
      <c r="C476" s="2948" t="s">
        <v>636</v>
      </c>
      <c r="D476" s="2948" t="s">
        <v>1025</v>
      </c>
      <c r="E476" s="2948" t="s">
        <v>729</v>
      </c>
      <c r="F476" s="2948" t="s">
        <v>1199</v>
      </c>
      <c r="G476" s="2948" t="s">
        <v>1041</v>
      </c>
      <c r="H476" s="2948" t="s">
        <v>1026</v>
      </c>
      <c r="I476" s="2948" t="s">
        <v>1027</v>
      </c>
      <c r="J476" s="2948" t="s">
        <v>643</v>
      </c>
      <c r="K476" s="2950">
        <v>31.47</v>
      </c>
      <c r="L476" s="2950">
        <v>13.25</v>
      </c>
      <c r="M476" s="2951">
        <v>0</v>
      </c>
      <c r="N476" s="2951">
        <v>0</v>
      </c>
      <c r="O476" s="2955"/>
      <c r="P476" s="2948"/>
      <c r="Q476" s="2951">
        <v>0</v>
      </c>
      <c r="R476" s="2948"/>
      <c r="S476" s="2948"/>
      <c r="T476" s="2948"/>
      <c r="U476" s="2948"/>
      <c r="V476" s="2948"/>
      <c r="W476" s="2944">
        <f t="shared" si="2"/>
        <v>0</v>
      </c>
    </row>
    <row r="477" spans="1:23" s="2944" customFormat="1" ht="46.8" hidden="1">
      <c r="A477" s="2948">
        <v>476</v>
      </c>
      <c r="B477" s="2948" t="s">
        <v>635</v>
      </c>
      <c r="C477" s="2948" t="s">
        <v>636</v>
      </c>
      <c r="D477" s="2948" t="s">
        <v>1025</v>
      </c>
      <c r="E477" s="2948" t="s">
        <v>729</v>
      </c>
      <c r="F477" s="2948" t="s">
        <v>1200</v>
      </c>
      <c r="G477" s="2948" t="s">
        <v>1041</v>
      </c>
      <c r="H477" s="2948" t="s">
        <v>1031</v>
      </c>
      <c r="I477" s="2948" t="s">
        <v>1027</v>
      </c>
      <c r="J477" s="2948" t="s">
        <v>643</v>
      </c>
      <c r="K477" s="2950">
        <v>26.72</v>
      </c>
      <c r="L477" s="2950">
        <v>11.25</v>
      </c>
      <c r="M477" s="2951">
        <v>0</v>
      </c>
      <c r="N477" s="2951">
        <v>0</v>
      </c>
      <c r="O477" s="2955"/>
      <c r="P477" s="2948"/>
      <c r="Q477" s="2951">
        <v>0</v>
      </c>
      <c r="R477" s="2948"/>
      <c r="S477" s="2948"/>
      <c r="T477" s="2948"/>
      <c r="U477" s="2948"/>
      <c r="V477" s="2948"/>
      <c r="W477" s="2944">
        <f t="shared" si="2"/>
        <v>0</v>
      </c>
    </row>
    <row r="478" spans="1:23" s="2944" customFormat="1" ht="46.8">
      <c r="A478" s="2948">
        <v>477</v>
      </c>
      <c r="B478" s="2948" t="s">
        <v>635</v>
      </c>
      <c r="C478" s="2948" t="s">
        <v>636</v>
      </c>
      <c r="D478" s="2948" t="s">
        <v>1025</v>
      </c>
      <c r="E478" s="2948" t="s">
        <v>729</v>
      </c>
      <c r="F478" s="2948" t="s">
        <v>1201</v>
      </c>
      <c r="G478" s="2948" t="s">
        <v>640</v>
      </c>
      <c r="H478" s="2948" t="s">
        <v>1026</v>
      </c>
      <c r="I478" s="2948" t="s">
        <v>1027</v>
      </c>
      <c r="J478" s="2948" t="s">
        <v>643</v>
      </c>
      <c r="K478" s="2950">
        <v>31.47</v>
      </c>
      <c r="L478" s="2950">
        <v>13.25</v>
      </c>
      <c r="M478" s="2951">
        <v>544975</v>
      </c>
      <c r="N478" s="2951">
        <v>544975</v>
      </c>
      <c r="O478" s="2952">
        <v>544975</v>
      </c>
      <c r="P478" s="2953">
        <v>544975</v>
      </c>
      <c r="Q478" s="2951">
        <v>544975</v>
      </c>
      <c r="R478" s="2954">
        <v>44278</v>
      </c>
      <c r="S478" s="2954">
        <v>44279</v>
      </c>
      <c r="T478" s="2954">
        <v>44812</v>
      </c>
      <c r="U478" s="2954">
        <v>44811</v>
      </c>
      <c r="V478" s="2948" t="s">
        <v>997</v>
      </c>
      <c r="W478" s="2944">
        <f t="shared" si="2"/>
        <v>17317.286304416899</v>
      </c>
    </row>
    <row r="479" spans="1:23" s="2944" customFormat="1" ht="46.8">
      <c r="A479" s="2948">
        <v>478</v>
      </c>
      <c r="B479" s="2948" t="s">
        <v>635</v>
      </c>
      <c r="C479" s="2948" t="s">
        <v>636</v>
      </c>
      <c r="D479" s="2948" t="s">
        <v>1025</v>
      </c>
      <c r="E479" s="2948" t="s">
        <v>729</v>
      </c>
      <c r="F479" s="2948" t="s">
        <v>1202</v>
      </c>
      <c r="G479" s="2948" t="s">
        <v>640</v>
      </c>
      <c r="H479" s="2948" t="s">
        <v>1026</v>
      </c>
      <c r="I479" s="2948" t="s">
        <v>1027</v>
      </c>
      <c r="J479" s="2948" t="s">
        <v>643</v>
      </c>
      <c r="K479" s="2950">
        <v>31.47</v>
      </c>
      <c r="L479" s="2950">
        <v>13.25</v>
      </c>
      <c r="M479" s="2951">
        <v>544975</v>
      </c>
      <c r="N479" s="2951">
        <v>544975</v>
      </c>
      <c r="O479" s="2952">
        <v>544975</v>
      </c>
      <c r="P479" s="2953">
        <v>544975</v>
      </c>
      <c r="Q479" s="2951">
        <v>544975</v>
      </c>
      <c r="R479" s="2954">
        <v>44278</v>
      </c>
      <c r="S479" s="2954">
        <v>44279</v>
      </c>
      <c r="T479" s="2954">
        <v>44388</v>
      </c>
      <c r="U479" s="2954">
        <v>44388</v>
      </c>
      <c r="V479" s="2948" t="s">
        <v>958</v>
      </c>
      <c r="W479" s="2944">
        <f t="shared" si="2"/>
        <v>17317.286304416899</v>
      </c>
    </row>
    <row r="480" spans="1:23" s="2944" customFormat="1" ht="46.8">
      <c r="A480" s="2948">
        <v>479</v>
      </c>
      <c r="B480" s="2948" t="s">
        <v>635</v>
      </c>
      <c r="C480" s="2948" t="s">
        <v>636</v>
      </c>
      <c r="D480" s="2948" t="s">
        <v>1025</v>
      </c>
      <c r="E480" s="2948" t="s">
        <v>729</v>
      </c>
      <c r="F480" s="2948" t="s">
        <v>1203</v>
      </c>
      <c r="G480" s="2948" t="s">
        <v>640</v>
      </c>
      <c r="H480" s="2948" t="s">
        <v>1026</v>
      </c>
      <c r="I480" s="2948" t="s">
        <v>1027</v>
      </c>
      <c r="J480" s="2948" t="s">
        <v>643</v>
      </c>
      <c r="K480" s="2950">
        <v>31.47</v>
      </c>
      <c r="L480" s="2950">
        <v>13.25</v>
      </c>
      <c r="M480" s="2951">
        <v>544975</v>
      </c>
      <c r="N480" s="2951">
        <v>544975</v>
      </c>
      <c r="O480" s="2952">
        <v>544975</v>
      </c>
      <c r="P480" s="2953">
        <v>544975</v>
      </c>
      <c r="Q480" s="2951">
        <v>544975</v>
      </c>
      <c r="R480" s="2954">
        <v>44274</v>
      </c>
      <c r="S480" s="2954">
        <v>44279</v>
      </c>
      <c r="T480" s="2954">
        <v>44394</v>
      </c>
      <c r="U480" s="2954">
        <v>44394</v>
      </c>
      <c r="V480" s="2948" t="s">
        <v>1020</v>
      </c>
      <c r="W480" s="2944">
        <f t="shared" si="2"/>
        <v>17317.286304416899</v>
      </c>
    </row>
    <row r="481" spans="1:23" s="2944" customFormat="1" ht="46.8">
      <c r="A481" s="2948">
        <v>480</v>
      </c>
      <c r="B481" s="2948" t="s">
        <v>635</v>
      </c>
      <c r="C481" s="2948" t="s">
        <v>636</v>
      </c>
      <c r="D481" s="2948" t="s">
        <v>1025</v>
      </c>
      <c r="E481" s="2948" t="s">
        <v>729</v>
      </c>
      <c r="F481" s="2948" t="s">
        <v>1204</v>
      </c>
      <c r="G481" s="2948" t="s">
        <v>640</v>
      </c>
      <c r="H481" s="2948" t="s">
        <v>1026</v>
      </c>
      <c r="I481" s="2948" t="s">
        <v>1027</v>
      </c>
      <c r="J481" s="2948" t="s">
        <v>643</v>
      </c>
      <c r="K481" s="2950">
        <v>31.47</v>
      </c>
      <c r="L481" s="2950">
        <v>13.25</v>
      </c>
      <c r="M481" s="2951">
        <v>544975</v>
      </c>
      <c r="N481" s="2951">
        <v>544975</v>
      </c>
      <c r="O481" s="2952">
        <v>517726</v>
      </c>
      <c r="P481" s="2953">
        <v>517726</v>
      </c>
      <c r="Q481" s="2951">
        <v>517726</v>
      </c>
      <c r="R481" s="2948"/>
      <c r="S481" s="2954">
        <v>44738</v>
      </c>
      <c r="T481" s="2948"/>
      <c r="U481" s="2948"/>
      <c r="V481" s="2948" t="s">
        <v>1019</v>
      </c>
      <c r="W481" s="2944">
        <f t="shared" si="2"/>
        <v>16451.414045122299</v>
      </c>
    </row>
    <row r="482" spans="1:23" s="2944" customFormat="1" ht="46.8">
      <c r="A482" s="2948">
        <v>481</v>
      </c>
      <c r="B482" s="2948" t="s">
        <v>635</v>
      </c>
      <c r="C482" s="2948" t="s">
        <v>636</v>
      </c>
      <c r="D482" s="2948" t="s">
        <v>1025</v>
      </c>
      <c r="E482" s="2948" t="s">
        <v>729</v>
      </c>
      <c r="F482" s="2948" t="s">
        <v>1205</v>
      </c>
      <c r="G482" s="2948" t="s">
        <v>640</v>
      </c>
      <c r="H482" s="2948" t="s">
        <v>1026</v>
      </c>
      <c r="I482" s="2948" t="s">
        <v>1027</v>
      </c>
      <c r="J482" s="2948" t="s">
        <v>643</v>
      </c>
      <c r="K482" s="2950">
        <v>31.47</v>
      </c>
      <c r="L482" s="2950">
        <v>13.25</v>
      </c>
      <c r="M482" s="2951">
        <v>544975</v>
      </c>
      <c r="N482" s="2951">
        <v>544975</v>
      </c>
      <c r="O482" s="2952">
        <v>544975</v>
      </c>
      <c r="P482" s="2953">
        <v>544975</v>
      </c>
      <c r="Q482" s="2951">
        <v>544975</v>
      </c>
      <c r="R482" s="2954">
        <v>44278</v>
      </c>
      <c r="S482" s="2954">
        <v>44279</v>
      </c>
      <c r="T482" s="2954">
        <v>44781</v>
      </c>
      <c r="U482" s="2954">
        <v>44781</v>
      </c>
      <c r="V482" s="2948" t="s">
        <v>1002</v>
      </c>
      <c r="W482" s="2944">
        <f t="shared" si="2"/>
        <v>17317.286304416899</v>
      </c>
    </row>
    <row r="483" spans="1:23" s="2944" customFormat="1" ht="46.8">
      <c r="A483" s="2948">
        <v>482</v>
      </c>
      <c r="B483" s="2948" t="s">
        <v>635</v>
      </c>
      <c r="C483" s="2948" t="s">
        <v>636</v>
      </c>
      <c r="D483" s="2948" t="s">
        <v>1025</v>
      </c>
      <c r="E483" s="2948" t="s">
        <v>729</v>
      </c>
      <c r="F483" s="2948" t="s">
        <v>1206</v>
      </c>
      <c r="G483" s="2948" t="s">
        <v>640</v>
      </c>
      <c r="H483" s="2948" t="s">
        <v>1026</v>
      </c>
      <c r="I483" s="2948" t="s">
        <v>1027</v>
      </c>
      <c r="J483" s="2948" t="s">
        <v>643</v>
      </c>
      <c r="K483" s="2950">
        <v>31.47</v>
      </c>
      <c r="L483" s="2950">
        <v>13.25</v>
      </c>
      <c r="M483" s="2951">
        <v>544975</v>
      </c>
      <c r="N483" s="2951">
        <v>544975</v>
      </c>
      <c r="O483" s="2952">
        <v>544975</v>
      </c>
      <c r="P483" s="2953">
        <v>544975</v>
      </c>
      <c r="Q483" s="2951">
        <v>544975</v>
      </c>
      <c r="R483" s="2954">
        <v>44874</v>
      </c>
      <c r="S483" s="2954">
        <v>44874</v>
      </c>
      <c r="T483" s="2954">
        <v>44874</v>
      </c>
      <c r="U483" s="2954">
        <v>44874</v>
      </c>
      <c r="V483" s="2948" t="s">
        <v>941</v>
      </c>
      <c r="W483" s="2944">
        <f t="shared" si="2"/>
        <v>17317.286304416899</v>
      </c>
    </row>
    <row r="484" spans="1:23" s="2944" customFormat="1" ht="46.8">
      <c r="A484" s="2948">
        <v>483</v>
      </c>
      <c r="B484" s="2948" t="s">
        <v>635</v>
      </c>
      <c r="C484" s="2948" t="s">
        <v>636</v>
      </c>
      <c r="D484" s="2948" t="s">
        <v>1025</v>
      </c>
      <c r="E484" s="2948" t="s">
        <v>729</v>
      </c>
      <c r="F484" s="2948" t="s">
        <v>1207</v>
      </c>
      <c r="G484" s="2948" t="s">
        <v>640</v>
      </c>
      <c r="H484" s="2948" t="s">
        <v>1026</v>
      </c>
      <c r="I484" s="2948" t="s">
        <v>1027</v>
      </c>
      <c r="J484" s="2948" t="s">
        <v>643</v>
      </c>
      <c r="K484" s="2950">
        <v>31.47</v>
      </c>
      <c r="L484" s="2950">
        <v>13.25</v>
      </c>
      <c r="M484" s="2951">
        <v>544975</v>
      </c>
      <c r="N484" s="2951">
        <v>544975</v>
      </c>
      <c r="O484" s="2952">
        <v>544975</v>
      </c>
      <c r="P484" s="2953">
        <v>544975</v>
      </c>
      <c r="Q484" s="2951">
        <v>544975</v>
      </c>
      <c r="R484" s="2954">
        <v>44277</v>
      </c>
      <c r="S484" s="2954">
        <v>44279</v>
      </c>
      <c r="T484" s="2954">
        <v>44422</v>
      </c>
      <c r="U484" s="2954">
        <v>44422</v>
      </c>
      <c r="V484" s="2948" t="s">
        <v>1015</v>
      </c>
      <c r="W484" s="2944">
        <f t="shared" si="2"/>
        <v>17317.286304416899</v>
      </c>
    </row>
    <row r="485" spans="1:23" s="2944" customFormat="1" ht="46.8">
      <c r="A485" s="2948">
        <v>484</v>
      </c>
      <c r="B485" s="2948" t="s">
        <v>635</v>
      </c>
      <c r="C485" s="2948" t="s">
        <v>636</v>
      </c>
      <c r="D485" s="2948" t="s">
        <v>1025</v>
      </c>
      <c r="E485" s="2948" t="s">
        <v>729</v>
      </c>
      <c r="F485" s="2948" t="s">
        <v>1208</v>
      </c>
      <c r="G485" s="2948" t="s">
        <v>640</v>
      </c>
      <c r="H485" s="2948" t="s">
        <v>1026</v>
      </c>
      <c r="I485" s="2948" t="s">
        <v>1027</v>
      </c>
      <c r="J485" s="2948" t="s">
        <v>643</v>
      </c>
      <c r="K485" s="2950">
        <v>31.47</v>
      </c>
      <c r="L485" s="2950">
        <v>13.25</v>
      </c>
      <c r="M485" s="2951">
        <v>544975</v>
      </c>
      <c r="N485" s="2951">
        <v>544975</v>
      </c>
      <c r="O485" s="2952">
        <v>544975</v>
      </c>
      <c r="P485" s="2953">
        <v>544975</v>
      </c>
      <c r="Q485" s="2951">
        <v>544975</v>
      </c>
      <c r="R485" s="2954">
        <v>44735</v>
      </c>
      <c r="S485" s="2954">
        <v>44737</v>
      </c>
      <c r="T485" s="2954">
        <v>44739</v>
      </c>
      <c r="U485" s="2954">
        <v>44739</v>
      </c>
      <c r="V485" s="2948" t="s">
        <v>995</v>
      </c>
      <c r="W485" s="2944">
        <f t="shared" si="2"/>
        <v>17317.286304416899</v>
      </c>
    </row>
    <row r="486" spans="1:23" s="2944" customFormat="1" ht="46.8" hidden="1">
      <c r="A486" s="2948">
        <v>485</v>
      </c>
      <c r="B486" s="2948" t="s">
        <v>635</v>
      </c>
      <c r="C486" s="2948" t="s">
        <v>636</v>
      </c>
      <c r="D486" s="2948" t="s">
        <v>1025</v>
      </c>
      <c r="E486" s="2948" t="s">
        <v>729</v>
      </c>
      <c r="F486" s="2948" t="s">
        <v>1209</v>
      </c>
      <c r="G486" s="2948" t="s">
        <v>1041</v>
      </c>
      <c r="H486" s="2948" t="s">
        <v>1026</v>
      </c>
      <c r="I486" s="2948" t="s">
        <v>1027</v>
      </c>
      <c r="J486" s="2948" t="s">
        <v>643</v>
      </c>
      <c r="K486" s="2950">
        <v>31.47</v>
      </c>
      <c r="L486" s="2950">
        <v>13.25</v>
      </c>
      <c r="M486" s="2951">
        <v>0</v>
      </c>
      <c r="N486" s="2951">
        <v>0</v>
      </c>
      <c r="O486" s="2955"/>
      <c r="P486" s="2948"/>
      <c r="Q486" s="2951">
        <v>0</v>
      </c>
      <c r="R486" s="2948"/>
      <c r="S486" s="2948"/>
      <c r="T486" s="2948"/>
      <c r="U486" s="2948"/>
      <c r="V486" s="2948"/>
      <c r="W486" s="2944">
        <f t="shared" si="2"/>
        <v>0</v>
      </c>
    </row>
    <row r="487" spans="1:23" s="2944" customFormat="1" ht="46.8">
      <c r="A487" s="2948">
        <v>486</v>
      </c>
      <c r="B487" s="2948" t="s">
        <v>635</v>
      </c>
      <c r="C487" s="2948" t="s">
        <v>636</v>
      </c>
      <c r="D487" s="2948" t="s">
        <v>1025</v>
      </c>
      <c r="E487" s="2948" t="s">
        <v>729</v>
      </c>
      <c r="F487" s="2948" t="s">
        <v>1210</v>
      </c>
      <c r="G487" s="2948" t="s">
        <v>640</v>
      </c>
      <c r="H487" s="2948" t="s">
        <v>1026</v>
      </c>
      <c r="I487" s="2948" t="s">
        <v>1027</v>
      </c>
      <c r="J487" s="2948" t="s">
        <v>643</v>
      </c>
      <c r="K487" s="2950">
        <v>31.47</v>
      </c>
      <c r="L487" s="2950">
        <v>13.25</v>
      </c>
      <c r="M487" s="2951">
        <v>544975</v>
      </c>
      <c r="N487" s="2951">
        <v>544975</v>
      </c>
      <c r="O487" s="2952">
        <v>544975</v>
      </c>
      <c r="P487" s="2953">
        <v>544975</v>
      </c>
      <c r="Q487" s="2951">
        <v>544975</v>
      </c>
      <c r="R487" s="2954">
        <v>45104</v>
      </c>
      <c r="S487" s="2954">
        <v>45104</v>
      </c>
      <c r="T487" s="2948"/>
      <c r="U487" s="2948"/>
      <c r="V487" s="2948" t="s">
        <v>988</v>
      </c>
      <c r="W487" s="2944">
        <f t="shared" si="2"/>
        <v>17317.286304416899</v>
      </c>
    </row>
    <row r="488" spans="1:23" s="2944" customFormat="1" ht="46.8">
      <c r="A488" s="2948">
        <v>487</v>
      </c>
      <c r="B488" s="2948" t="s">
        <v>635</v>
      </c>
      <c r="C488" s="2948" t="s">
        <v>636</v>
      </c>
      <c r="D488" s="2948" t="s">
        <v>1025</v>
      </c>
      <c r="E488" s="2948" t="s">
        <v>729</v>
      </c>
      <c r="F488" s="2948" t="s">
        <v>1211</v>
      </c>
      <c r="G488" s="2948" t="s">
        <v>640</v>
      </c>
      <c r="H488" s="2948" t="s">
        <v>1026</v>
      </c>
      <c r="I488" s="2948" t="s">
        <v>1027</v>
      </c>
      <c r="J488" s="2948" t="s">
        <v>643</v>
      </c>
      <c r="K488" s="2950">
        <v>31.47</v>
      </c>
      <c r="L488" s="2950">
        <v>13.25</v>
      </c>
      <c r="M488" s="2951">
        <v>544975</v>
      </c>
      <c r="N488" s="2951">
        <v>544975</v>
      </c>
      <c r="O488" s="2952">
        <v>544975</v>
      </c>
      <c r="P488" s="2953">
        <v>544975</v>
      </c>
      <c r="Q488" s="2951">
        <v>544975</v>
      </c>
      <c r="R488" s="2954">
        <v>44280</v>
      </c>
      <c r="S488" s="2954">
        <v>44282</v>
      </c>
      <c r="T488" s="2954">
        <v>44424</v>
      </c>
      <c r="U488" s="2954">
        <v>44424</v>
      </c>
      <c r="V488" s="2948" t="s">
        <v>1011</v>
      </c>
      <c r="W488" s="2944">
        <f t="shared" si="2"/>
        <v>17317.286304416899</v>
      </c>
    </row>
    <row r="489" spans="1:23" s="2944" customFormat="1" ht="46.8" hidden="1">
      <c r="A489" s="2948">
        <v>488</v>
      </c>
      <c r="B489" s="2948" t="s">
        <v>635</v>
      </c>
      <c r="C489" s="2948" t="s">
        <v>636</v>
      </c>
      <c r="D489" s="2948" t="s">
        <v>1025</v>
      </c>
      <c r="E489" s="2948" t="s">
        <v>729</v>
      </c>
      <c r="F489" s="2948" t="s">
        <v>1212</v>
      </c>
      <c r="G489" s="2948" t="s">
        <v>1041</v>
      </c>
      <c r="H489" s="2948" t="s">
        <v>1026</v>
      </c>
      <c r="I489" s="2948" t="s">
        <v>1027</v>
      </c>
      <c r="J489" s="2948" t="s">
        <v>643</v>
      </c>
      <c r="K489" s="2950">
        <v>31.47</v>
      </c>
      <c r="L489" s="2950">
        <v>13.25</v>
      </c>
      <c r="M489" s="2951">
        <v>0</v>
      </c>
      <c r="N489" s="2951">
        <v>0</v>
      </c>
      <c r="O489" s="2955"/>
      <c r="P489" s="2948"/>
      <c r="Q489" s="2951">
        <v>0</v>
      </c>
      <c r="R489" s="2948"/>
      <c r="S489" s="2948"/>
      <c r="T489" s="2948"/>
      <c r="U489" s="2948"/>
      <c r="V489" s="2948"/>
      <c r="W489" s="2944">
        <f t="shared" si="2"/>
        <v>0</v>
      </c>
    </row>
    <row r="490" spans="1:23" s="2944" customFormat="1" ht="46.8">
      <c r="A490" s="2948">
        <v>489</v>
      </c>
      <c r="B490" s="2948" t="s">
        <v>635</v>
      </c>
      <c r="C490" s="2948" t="s">
        <v>636</v>
      </c>
      <c r="D490" s="2948" t="s">
        <v>1025</v>
      </c>
      <c r="E490" s="2948" t="s">
        <v>729</v>
      </c>
      <c r="F490" s="2948" t="s">
        <v>1213</v>
      </c>
      <c r="G490" s="2948" t="s">
        <v>640</v>
      </c>
      <c r="H490" s="2948" t="s">
        <v>1026</v>
      </c>
      <c r="I490" s="2948" t="s">
        <v>1027</v>
      </c>
      <c r="J490" s="2948" t="s">
        <v>643</v>
      </c>
      <c r="K490" s="2950">
        <v>31.47</v>
      </c>
      <c r="L490" s="2950">
        <v>13.25</v>
      </c>
      <c r="M490" s="2951">
        <v>544975</v>
      </c>
      <c r="N490" s="2951">
        <v>544975</v>
      </c>
      <c r="O490" s="2952">
        <v>517726</v>
      </c>
      <c r="P490" s="2953">
        <v>517726</v>
      </c>
      <c r="Q490" s="2951">
        <v>517726</v>
      </c>
      <c r="R490" s="2954">
        <v>44305</v>
      </c>
      <c r="S490" s="2954">
        <v>44305</v>
      </c>
      <c r="T490" s="2954">
        <v>44392</v>
      </c>
      <c r="U490" s="2954">
        <v>44392</v>
      </c>
      <c r="V490" s="2948" t="s">
        <v>1003</v>
      </c>
      <c r="W490" s="2944">
        <f t="shared" si="2"/>
        <v>16451.414045122299</v>
      </c>
    </row>
    <row r="491" spans="1:23" s="2944" customFormat="1" ht="46.8">
      <c r="A491" s="2948">
        <v>490</v>
      </c>
      <c r="B491" s="2948" t="s">
        <v>635</v>
      </c>
      <c r="C491" s="2948" t="s">
        <v>636</v>
      </c>
      <c r="D491" s="2948" t="s">
        <v>1025</v>
      </c>
      <c r="E491" s="2948" t="s">
        <v>729</v>
      </c>
      <c r="F491" s="2948" t="s">
        <v>1214</v>
      </c>
      <c r="G491" s="2948" t="s">
        <v>640</v>
      </c>
      <c r="H491" s="2948" t="s">
        <v>1026</v>
      </c>
      <c r="I491" s="2948" t="s">
        <v>1027</v>
      </c>
      <c r="J491" s="2948" t="s">
        <v>643</v>
      </c>
      <c r="K491" s="2950">
        <v>31.47</v>
      </c>
      <c r="L491" s="2950">
        <v>13.25</v>
      </c>
      <c r="M491" s="2951">
        <v>544975</v>
      </c>
      <c r="N491" s="2951">
        <v>544975</v>
      </c>
      <c r="O491" s="2952">
        <v>544975</v>
      </c>
      <c r="P491" s="2953">
        <v>544975</v>
      </c>
      <c r="Q491" s="2951">
        <v>544975</v>
      </c>
      <c r="R491" s="2954">
        <v>44277</v>
      </c>
      <c r="S491" s="2954">
        <v>44279</v>
      </c>
      <c r="T491" s="2954">
        <v>44357</v>
      </c>
      <c r="U491" s="2954">
        <v>44357</v>
      </c>
      <c r="V491" s="2948" t="s">
        <v>844</v>
      </c>
      <c r="W491" s="2944">
        <f t="shared" si="2"/>
        <v>17317.286304416899</v>
      </c>
    </row>
    <row r="492" spans="1:23" s="2944" customFormat="1" ht="46.8">
      <c r="A492" s="2948">
        <v>491</v>
      </c>
      <c r="B492" s="2948" t="s">
        <v>635</v>
      </c>
      <c r="C492" s="2948" t="s">
        <v>636</v>
      </c>
      <c r="D492" s="2948" t="s">
        <v>1025</v>
      </c>
      <c r="E492" s="2948" t="s">
        <v>729</v>
      </c>
      <c r="F492" s="2948" t="s">
        <v>1215</v>
      </c>
      <c r="G492" s="2948" t="s">
        <v>640</v>
      </c>
      <c r="H492" s="2948" t="s">
        <v>1026</v>
      </c>
      <c r="I492" s="2948" t="s">
        <v>1027</v>
      </c>
      <c r="J492" s="2948" t="s">
        <v>643</v>
      </c>
      <c r="K492" s="2950">
        <v>31.47</v>
      </c>
      <c r="L492" s="2950">
        <v>13.25</v>
      </c>
      <c r="M492" s="2951">
        <v>544975</v>
      </c>
      <c r="N492" s="2951">
        <v>544975</v>
      </c>
      <c r="O492" s="2952">
        <v>544975</v>
      </c>
      <c r="P492" s="2953">
        <v>544975</v>
      </c>
      <c r="Q492" s="2951">
        <v>544975</v>
      </c>
      <c r="R492" s="2954">
        <v>44277</v>
      </c>
      <c r="S492" s="2954">
        <v>44279</v>
      </c>
      <c r="T492" s="2954">
        <v>44529</v>
      </c>
      <c r="U492" s="2954">
        <v>44529</v>
      </c>
      <c r="V492" s="2948" t="s">
        <v>662</v>
      </c>
      <c r="W492" s="2944">
        <f t="shared" si="2"/>
        <v>17317.286304416899</v>
      </c>
    </row>
    <row r="493" spans="1:23" s="2944" customFormat="1" ht="46.8">
      <c r="A493" s="2948">
        <v>492</v>
      </c>
      <c r="B493" s="2948" t="s">
        <v>635</v>
      </c>
      <c r="C493" s="2948" t="s">
        <v>636</v>
      </c>
      <c r="D493" s="2948" t="s">
        <v>1025</v>
      </c>
      <c r="E493" s="2948" t="s">
        <v>729</v>
      </c>
      <c r="F493" s="2948" t="s">
        <v>1216</v>
      </c>
      <c r="G493" s="2948" t="s">
        <v>640</v>
      </c>
      <c r="H493" s="2948" t="s">
        <v>1026</v>
      </c>
      <c r="I493" s="2948" t="s">
        <v>1027</v>
      </c>
      <c r="J493" s="2948" t="s">
        <v>643</v>
      </c>
      <c r="K493" s="2950">
        <v>31.47</v>
      </c>
      <c r="L493" s="2950">
        <v>13.25</v>
      </c>
      <c r="M493" s="2951">
        <v>544975</v>
      </c>
      <c r="N493" s="2951">
        <v>544975</v>
      </c>
      <c r="O493" s="2952">
        <v>544975</v>
      </c>
      <c r="P493" s="2953">
        <v>544975</v>
      </c>
      <c r="Q493" s="2951">
        <v>544975</v>
      </c>
      <c r="R493" s="2954">
        <v>44282</v>
      </c>
      <c r="S493" s="2954">
        <v>44284</v>
      </c>
      <c r="T493" s="2948"/>
      <c r="U493" s="2948"/>
      <c r="V493" s="2948" t="s">
        <v>1006</v>
      </c>
      <c r="W493" s="2944">
        <f t="shared" si="2"/>
        <v>17317.286304416899</v>
      </c>
    </row>
    <row r="494" spans="1:23" s="2944" customFormat="1" ht="46.8">
      <c r="A494" s="2948">
        <v>493</v>
      </c>
      <c r="B494" s="2948" t="s">
        <v>635</v>
      </c>
      <c r="C494" s="2948" t="s">
        <v>636</v>
      </c>
      <c r="D494" s="2948" t="s">
        <v>1025</v>
      </c>
      <c r="E494" s="2948" t="s">
        <v>729</v>
      </c>
      <c r="F494" s="2948" t="s">
        <v>1217</v>
      </c>
      <c r="G494" s="2948" t="s">
        <v>640</v>
      </c>
      <c r="H494" s="2948" t="s">
        <v>1026</v>
      </c>
      <c r="I494" s="2948" t="s">
        <v>1027</v>
      </c>
      <c r="J494" s="2948" t="s">
        <v>643</v>
      </c>
      <c r="K494" s="2950">
        <v>31.47</v>
      </c>
      <c r="L494" s="2950">
        <v>13.25</v>
      </c>
      <c r="M494" s="2951">
        <v>544975</v>
      </c>
      <c r="N494" s="2951">
        <v>544975</v>
      </c>
      <c r="O494" s="2952">
        <v>544975</v>
      </c>
      <c r="P494" s="2953">
        <v>544975</v>
      </c>
      <c r="Q494" s="2951">
        <v>544975</v>
      </c>
      <c r="R494" s="2954">
        <v>44735</v>
      </c>
      <c r="S494" s="2954">
        <v>44736</v>
      </c>
      <c r="T494" s="2954">
        <v>44757</v>
      </c>
      <c r="U494" s="2954">
        <v>44757</v>
      </c>
      <c r="V494" s="2948" t="s">
        <v>905</v>
      </c>
      <c r="W494" s="2944">
        <f t="shared" si="2"/>
        <v>17317.286304416899</v>
      </c>
    </row>
    <row r="495" spans="1:23" s="2944" customFormat="1" ht="46.8">
      <c r="A495" s="2948">
        <v>494</v>
      </c>
      <c r="B495" s="2948" t="s">
        <v>635</v>
      </c>
      <c r="C495" s="2948" t="s">
        <v>636</v>
      </c>
      <c r="D495" s="2948" t="s">
        <v>1025</v>
      </c>
      <c r="E495" s="2948" t="s">
        <v>729</v>
      </c>
      <c r="F495" s="2948" t="s">
        <v>1218</v>
      </c>
      <c r="G495" s="2948" t="s">
        <v>640</v>
      </c>
      <c r="H495" s="2948" t="s">
        <v>1026</v>
      </c>
      <c r="I495" s="2948" t="s">
        <v>1027</v>
      </c>
      <c r="J495" s="2948" t="s">
        <v>643</v>
      </c>
      <c r="K495" s="2950">
        <v>31.47</v>
      </c>
      <c r="L495" s="2950">
        <v>13.25</v>
      </c>
      <c r="M495" s="2951">
        <v>544975</v>
      </c>
      <c r="N495" s="2951">
        <v>544975</v>
      </c>
      <c r="O495" s="2952">
        <v>544975</v>
      </c>
      <c r="P495" s="2953">
        <v>544975</v>
      </c>
      <c r="Q495" s="2951">
        <v>544975</v>
      </c>
      <c r="R495" s="2954">
        <v>44273</v>
      </c>
      <c r="S495" s="2954">
        <v>44277</v>
      </c>
      <c r="T495" s="2954">
        <v>44330</v>
      </c>
      <c r="U495" s="2954">
        <v>44330</v>
      </c>
      <c r="V495" s="2948" t="s">
        <v>1010</v>
      </c>
      <c r="W495" s="2944">
        <f t="shared" si="2"/>
        <v>17317.286304416899</v>
      </c>
    </row>
    <row r="496" spans="1:23" s="2944" customFormat="1" ht="46.8">
      <c r="A496" s="2948">
        <v>495</v>
      </c>
      <c r="B496" s="2948" t="s">
        <v>635</v>
      </c>
      <c r="C496" s="2948" t="s">
        <v>636</v>
      </c>
      <c r="D496" s="2948" t="s">
        <v>1025</v>
      </c>
      <c r="E496" s="2948" t="s">
        <v>729</v>
      </c>
      <c r="F496" s="2948" t="s">
        <v>1219</v>
      </c>
      <c r="G496" s="2948" t="s">
        <v>640</v>
      </c>
      <c r="H496" s="2948" t="s">
        <v>1026</v>
      </c>
      <c r="I496" s="2948" t="s">
        <v>1027</v>
      </c>
      <c r="J496" s="2948" t="s">
        <v>643</v>
      </c>
      <c r="K496" s="2950">
        <v>31.47</v>
      </c>
      <c r="L496" s="2950">
        <v>13.25</v>
      </c>
      <c r="M496" s="2951">
        <v>544975</v>
      </c>
      <c r="N496" s="2951">
        <v>544975</v>
      </c>
      <c r="O496" s="2952">
        <v>544975</v>
      </c>
      <c r="P496" s="2953">
        <v>544975</v>
      </c>
      <c r="Q496" s="2951">
        <v>544975</v>
      </c>
      <c r="R496" s="2954">
        <v>44274</v>
      </c>
      <c r="S496" s="2954">
        <v>44277</v>
      </c>
      <c r="T496" s="2954">
        <v>44376</v>
      </c>
      <c r="U496" s="2954">
        <v>44376</v>
      </c>
      <c r="V496" s="2948" t="s">
        <v>660</v>
      </c>
      <c r="W496" s="2944">
        <f t="shared" si="2"/>
        <v>17317.286304416899</v>
      </c>
    </row>
    <row r="497" spans="1:23" s="2944" customFormat="1" ht="46.8">
      <c r="A497" s="2948">
        <v>496</v>
      </c>
      <c r="B497" s="2948" t="s">
        <v>635</v>
      </c>
      <c r="C497" s="2948" t="s">
        <v>636</v>
      </c>
      <c r="D497" s="2948" t="s">
        <v>1025</v>
      </c>
      <c r="E497" s="2948" t="s">
        <v>729</v>
      </c>
      <c r="F497" s="2948" t="s">
        <v>1220</v>
      </c>
      <c r="G497" s="2948" t="s">
        <v>640</v>
      </c>
      <c r="H497" s="2948" t="s">
        <v>1026</v>
      </c>
      <c r="I497" s="2948" t="s">
        <v>1027</v>
      </c>
      <c r="J497" s="2948" t="s">
        <v>643</v>
      </c>
      <c r="K497" s="2950">
        <v>31.47</v>
      </c>
      <c r="L497" s="2950">
        <v>13.25</v>
      </c>
      <c r="M497" s="2951">
        <v>544975</v>
      </c>
      <c r="N497" s="2951">
        <v>544975</v>
      </c>
      <c r="O497" s="2952">
        <v>544975</v>
      </c>
      <c r="P497" s="2953">
        <v>544975</v>
      </c>
      <c r="Q497" s="2951">
        <v>544975</v>
      </c>
      <c r="R497" s="2954">
        <v>44277</v>
      </c>
      <c r="S497" s="2954">
        <v>44279</v>
      </c>
      <c r="T497" s="2954">
        <v>44400</v>
      </c>
      <c r="U497" s="2954">
        <v>44400</v>
      </c>
      <c r="V497" s="2948" t="s">
        <v>1017</v>
      </c>
      <c r="W497" s="2944">
        <f t="shared" si="2"/>
        <v>17317.286304416899</v>
      </c>
    </row>
    <row r="498" spans="1:23" s="2944" customFormat="1" ht="46.8">
      <c r="A498" s="2948">
        <v>497</v>
      </c>
      <c r="B498" s="2948" t="s">
        <v>635</v>
      </c>
      <c r="C498" s="2948" t="s">
        <v>636</v>
      </c>
      <c r="D498" s="2948" t="s">
        <v>1025</v>
      </c>
      <c r="E498" s="2948" t="s">
        <v>729</v>
      </c>
      <c r="F498" s="2948" t="s">
        <v>1221</v>
      </c>
      <c r="G498" s="2948" t="s">
        <v>640</v>
      </c>
      <c r="H498" s="2948" t="s">
        <v>1026</v>
      </c>
      <c r="I498" s="2948" t="s">
        <v>1027</v>
      </c>
      <c r="J498" s="2948" t="s">
        <v>643</v>
      </c>
      <c r="K498" s="2950">
        <v>31.47</v>
      </c>
      <c r="L498" s="2950">
        <v>13.25</v>
      </c>
      <c r="M498" s="2951">
        <v>544975</v>
      </c>
      <c r="N498" s="2951">
        <v>544975</v>
      </c>
      <c r="O498" s="2952">
        <v>544975</v>
      </c>
      <c r="P498" s="2953">
        <v>544975</v>
      </c>
      <c r="Q498" s="2951">
        <v>544975</v>
      </c>
      <c r="R498" s="2954">
        <v>44279</v>
      </c>
      <c r="S498" s="2954">
        <v>44279</v>
      </c>
      <c r="T498" s="2954">
        <v>44531</v>
      </c>
      <c r="U498" s="2954">
        <v>44531</v>
      </c>
      <c r="V498" s="2948" t="s">
        <v>725</v>
      </c>
      <c r="W498" s="2944">
        <f t="shared" si="2"/>
        <v>17317.286304416899</v>
      </c>
    </row>
    <row r="499" spans="1:23" s="2944" customFormat="1" ht="46.8">
      <c r="A499" s="2948">
        <v>498</v>
      </c>
      <c r="B499" s="2948" t="s">
        <v>635</v>
      </c>
      <c r="C499" s="2948" t="s">
        <v>636</v>
      </c>
      <c r="D499" s="2948" t="s">
        <v>1025</v>
      </c>
      <c r="E499" s="2948" t="s">
        <v>729</v>
      </c>
      <c r="F499" s="2948" t="s">
        <v>1222</v>
      </c>
      <c r="G499" s="2948" t="s">
        <v>640</v>
      </c>
      <c r="H499" s="2948" t="s">
        <v>1026</v>
      </c>
      <c r="I499" s="2948" t="s">
        <v>1027</v>
      </c>
      <c r="J499" s="2948" t="s">
        <v>643</v>
      </c>
      <c r="K499" s="2950">
        <v>31.47</v>
      </c>
      <c r="L499" s="2950">
        <v>13.25</v>
      </c>
      <c r="M499" s="2951">
        <v>544975</v>
      </c>
      <c r="N499" s="2951">
        <v>544975</v>
      </c>
      <c r="O499" s="2952">
        <v>544975</v>
      </c>
      <c r="P499" s="2953">
        <v>544975</v>
      </c>
      <c r="Q499" s="2951">
        <v>544975</v>
      </c>
      <c r="R499" s="2948"/>
      <c r="S499" s="2954">
        <v>44314</v>
      </c>
      <c r="T499" s="2954">
        <v>44567</v>
      </c>
      <c r="U499" s="2954">
        <v>44567</v>
      </c>
      <c r="V499" s="2948" t="s">
        <v>1000</v>
      </c>
      <c r="W499" s="2944">
        <f t="shared" si="2"/>
        <v>17317.286304416899</v>
      </c>
    </row>
    <row r="500" spans="1:23" s="2944" customFormat="1" ht="46.8">
      <c r="A500" s="2948">
        <v>499</v>
      </c>
      <c r="B500" s="2948" t="s">
        <v>635</v>
      </c>
      <c r="C500" s="2948" t="s">
        <v>636</v>
      </c>
      <c r="D500" s="2948" t="s">
        <v>1025</v>
      </c>
      <c r="E500" s="2948" t="s">
        <v>729</v>
      </c>
      <c r="F500" s="2948" t="s">
        <v>1223</v>
      </c>
      <c r="G500" s="2948" t="s">
        <v>640</v>
      </c>
      <c r="H500" s="2948" t="s">
        <v>1026</v>
      </c>
      <c r="I500" s="2948" t="s">
        <v>1027</v>
      </c>
      <c r="J500" s="2948" t="s">
        <v>643</v>
      </c>
      <c r="K500" s="2950">
        <v>31.47</v>
      </c>
      <c r="L500" s="2950">
        <v>13.25</v>
      </c>
      <c r="M500" s="2951">
        <v>544975</v>
      </c>
      <c r="N500" s="2951">
        <v>544975</v>
      </c>
      <c r="O500" s="2952">
        <v>544975</v>
      </c>
      <c r="P500" s="2953">
        <v>544975</v>
      </c>
      <c r="Q500" s="2951">
        <v>544975</v>
      </c>
      <c r="R500" s="2954">
        <v>44288</v>
      </c>
      <c r="S500" s="2954">
        <v>44288</v>
      </c>
      <c r="T500" s="2954">
        <v>44376</v>
      </c>
      <c r="U500" s="2954">
        <v>44376</v>
      </c>
      <c r="V500" s="2948" t="s">
        <v>999</v>
      </c>
      <c r="W500" s="2944">
        <f t="shared" si="2"/>
        <v>17317.286304416899</v>
      </c>
    </row>
    <row r="501" spans="1:23" s="2944" customFormat="1" ht="46.8">
      <c r="A501" s="2948">
        <v>500</v>
      </c>
      <c r="B501" s="2948" t="s">
        <v>635</v>
      </c>
      <c r="C501" s="2948" t="s">
        <v>636</v>
      </c>
      <c r="D501" s="2948" t="s">
        <v>1025</v>
      </c>
      <c r="E501" s="2948" t="s">
        <v>729</v>
      </c>
      <c r="F501" s="2948" t="s">
        <v>1224</v>
      </c>
      <c r="G501" s="2948" t="s">
        <v>640</v>
      </c>
      <c r="H501" s="2948" t="s">
        <v>1026</v>
      </c>
      <c r="I501" s="2948" t="s">
        <v>1027</v>
      </c>
      <c r="J501" s="2948" t="s">
        <v>643</v>
      </c>
      <c r="K501" s="2950">
        <v>31.47</v>
      </c>
      <c r="L501" s="2950">
        <v>13.25</v>
      </c>
      <c r="M501" s="2951">
        <v>544975</v>
      </c>
      <c r="N501" s="2951">
        <v>544975</v>
      </c>
      <c r="O501" s="2952">
        <v>544975</v>
      </c>
      <c r="P501" s="2953">
        <v>544975</v>
      </c>
      <c r="Q501" s="2951">
        <v>544975</v>
      </c>
      <c r="R501" s="2954">
        <v>44279</v>
      </c>
      <c r="S501" s="2954">
        <v>44316</v>
      </c>
      <c r="T501" s="2954">
        <v>44743</v>
      </c>
      <c r="U501" s="2954">
        <v>44743</v>
      </c>
      <c r="V501" s="2948" t="s">
        <v>1023</v>
      </c>
      <c r="W501" s="2944">
        <f t="shared" si="2"/>
        <v>17317.286304416899</v>
      </c>
    </row>
    <row r="502" spans="1:23" s="2944" customFormat="1" ht="46.8">
      <c r="A502" s="2948">
        <v>501</v>
      </c>
      <c r="B502" s="2948" t="s">
        <v>635</v>
      </c>
      <c r="C502" s="2948" t="s">
        <v>636</v>
      </c>
      <c r="D502" s="2948" t="s">
        <v>1025</v>
      </c>
      <c r="E502" s="2948" t="s">
        <v>729</v>
      </c>
      <c r="F502" s="2948" t="s">
        <v>1225</v>
      </c>
      <c r="G502" s="2948" t="s">
        <v>640</v>
      </c>
      <c r="H502" s="2948" t="s">
        <v>1026</v>
      </c>
      <c r="I502" s="2948" t="s">
        <v>1027</v>
      </c>
      <c r="J502" s="2948" t="s">
        <v>643</v>
      </c>
      <c r="K502" s="2950">
        <v>31.47</v>
      </c>
      <c r="L502" s="2950">
        <v>13.25</v>
      </c>
      <c r="M502" s="2951">
        <v>544975</v>
      </c>
      <c r="N502" s="2951">
        <v>544975</v>
      </c>
      <c r="O502" s="2952">
        <v>544975</v>
      </c>
      <c r="P502" s="2953">
        <v>544975</v>
      </c>
      <c r="Q502" s="2951">
        <v>544975</v>
      </c>
      <c r="R502" s="2954">
        <v>45104</v>
      </c>
      <c r="S502" s="2954">
        <v>45104</v>
      </c>
      <c r="T502" s="2948"/>
      <c r="U502" s="2948"/>
      <c r="V502" s="2948" t="s">
        <v>988</v>
      </c>
      <c r="W502" s="2944">
        <f t="shared" si="2"/>
        <v>17317.286304416899</v>
      </c>
    </row>
    <row r="503" spans="1:23" s="2944" customFormat="1" ht="46.8">
      <c r="A503" s="2948">
        <v>502</v>
      </c>
      <c r="B503" s="2948" t="s">
        <v>635</v>
      </c>
      <c r="C503" s="2948" t="s">
        <v>636</v>
      </c>
      <c r="D503" s="2948" t="s">
        <v>1025</v>
      </c>
      <c r="E503" s="2948" t="s">
        <v>729</v>
      </c>
      <c r="F503" s="2948" t="s">
        <v>1226</v>
      </c>
      <c r="G503" s="2948" t="s">
        <v>640</v>
      </c>
      <c r="H503" s="2948" t="s">
        <v>1026</v>
      </c>
      <c r="I503" s="2948" t="s">
        <v>1027</v>
      </c>
      <c r="J503" s="2948" t="s">
        <v>643</v>
      </c>
      <c r="K503" s="2950">
        <v>31.47</v>
      </c>
      <c r="L503" s="2950">
        <v>13.25</v>
      </c>
      <c r="M503" s="2951">
        <v>544975</v>
      </c>
      <c r="N503" s="2951">
        <v>544975</v>
      </c>
      <c r="O503" s="2952">
        <v>544975</v>
      </c>
      <c r="P503" s="2953">
        <v>544975</v>
      </c>
      <c r="Q503" s="2951">
        <v>544975</v>
      </c>
      <c r="R503" s="2954">
        <v>44735</v>
      </c>
      <c r="S503" s="2954">
        <v>44737</v>
      </c>
      <c r="T503" s="2954">
        <v>44747</v>
      </c>
      <c r="U503" s="2954">
        <v>44747</v>
      </c>
      <c r="V503" s="2948" t="s">
        <v>986</v>
      </c>
      <c r="W503" s="2944">
        <f t="shared" si="2"/>
        <v>17317.286304416899</v>
      </c>
    </row>
    <row r="504" spans="1:23" s="2944" customFormat="1" ht="46.8">
      <c r="A504" s="2948">
        <v>503</v>
      </c>
      <c r="B504" s="2948" t="s">
        <v>635</v>
      </c>
      <c r="C504" s="2948" t="s">
        <v>636</v>
      </c>
      <c r="D504" s="2948" t="s">
        <v>1025</v>
      </c>
      <c r="E504" s="2948" t="s">
        <v>729</v>
      </c>
      <c r="F504" s="2948" t="s">
        <v>1227</v>
      </c>
      <c r="G504" s="2948" t="s">
        <v>640</v>
      </c>
      <c r="H504" s="2948" t="s">
        <v>1026</v>
      </c>
      <c r="I504" s="2948" t="s">
        <v>1027</v>
      </c>
      <c r="J504" s="2948" t="s">
        <v>643</v>
      </c>
      <c r="K504" s="2950">
        <v>31.47</v>
      </c>
      <c r="L504" s="2950">
        <v>13.25</v>
      </c>
      <c r="M504" s="2951">
        <v>544975</v>
      </c>
      <c r="N504" s="2951">
        <v>544975</v>
      </c>
      <c r="O504" s="2952">
        <v>544975</v>
      </c>
      <c r="P504" s="2953">
        <v>544975</v>
      </c>
      <c r="Q504" s="2951">
        <v>544975</v>
      </c>
      <c r="R504" s="2954">
        <v>44273</v>
      </c>
      <c r="S504" s="2954">
        <v>44277</v>
      </c>
      <c r="T504" s="2954">
        <v>44330</v>
      </c>
      <c r="U504" s="2954">
        <v>44330</v>
      </c>
      <c r="V504" s="2948" t="s">
        <v>998</v>
      </c>
      <c r="W504" s="2944">
        <f t="shared" ref="W504:W555" si="3">O504/K504</f>
        <v>17317.286304416899</v>
      </c>
    </row>
    <row r="505" spans="1:23" s="2944" customFormat="1" ht="46.8">
      <c r="A505" s="2948">
        <v>504</v>
      </c>
      <c r="B505" s="2948" t="s">
        <v>635</v>
      </c>
      <c r="C505" s="2948" t="s">
        <v>636</v>
      </c>
      <c r="D505" s="2948" t="s">
        <v>1025</v>
      </c>
      <c r="E505" s="2948" t="s">
        <v>729</v>
      </c>
      <c r="F505" s="2948" t="s">
        <v>1228</v>
      </c>
      <c r="G505" s="2948" t="s">
        <v>640</v>
      </c>
      <c r="H505" s="2948" t="s">
        <v>1026</v>
      </c>
      <c r="I505" s="2948" t="s">
        <v>1027</v>
      </c>
      <c r="J505" s="2948" t="s">
        <v>643</v>
      </c>
      <c r="K505" s="2950">
        <v>31.47</v>
      </c>
      <c r="L505" s="2950">
        <v>13.25</v>
      </c>
      <c r="M505" s="2951">
        <v>544975</v>
      </c>
      <c r="N505" s="2951">
        <v>544975</v>
      </c>
      <c r="O505" s="2952">
        <v>544975</v>
      </c>
      <c r="P505" s="2953">
        <v>544975</v>
      </c>
      <c r="Q505" s="2951">
        <v>544975</v>
      </c>
      <c r="R505" s="2954">
        <v>44278</v>
      </c>
      <c r="S505" s="2954">
        <v>44279</v>
      </c>
      <c r="T505" s="2954">
        <v>44757</v>
      </c>
      <c r="U505" s="2954">
        <v>44757</v>
      </c>
      <c r="V505" s="2948" t="s">
        <v>1013</v>
      </c>
      <c r="W505" s="2944">
        <f t="shared" si="3"/>
        <v>17317.286304416899</v>
      </c>
    </row>
    <row r="506" spans="1:23" s="2944" customFormat="1" ht="46.8">
      <c r="A506" s="2948">
        <v>505</v>
      </c>
      <c r="B506" s="2948" t="s">
        <v>635</v>
      </c>
      <c r="C506" s="2948" t="s">
        <v>636</v>
      </c>
      <c r="D506" s="2948" t="s">
        <v>1025</v>
      </c>
      <c r="E506" s="2948" t="s">
        <v>729</v>
      </c>
      <c r="F506" s="2948" t="s">
        <v>1229</v>
      </c>
      <c r="G506" s="2948" t="s">
        <v>640</v>
      </c>
      <c r="H506" s="2948" t="s">
        <v>1026</v>
      </c>
      <c r="I506" s="2948" t="s">
        <v>1027</v>
      </c>
      <c r="J506" s="2948" t="s">
        <v>643</v>
      </c>
      <c r="K506" s="2950">
        <v>31.47</v>
      </c>
      <c r="L506" s="2950">
        <v>13.25</v>
      </c>
      <c r="M506" s="2951">
        <v>544975</v>
      </c>
      <c r="N506" s="2951">
        <v>544975</v>
      </c>
      <c r="O506" s="2952">
        <v>544975</v>
      </c>
      <c r="P506" s="2953">
        <v>544975</v>
      </c>
      <c r="Q506" s="2951">
        <v>544975</v>
      </c>
      <c r="R506" s="2954">
        <v>44277</v>
      </c>
      <c r="S506" s="2954">
        <v>44279</v>
      </c>
      <c r="T506" s="2954">
        <v>44370</v>
      </c>
      <c r="U506" s="2954">
        <v>44370</v>
      </c>
      <c r="V506" s="2948" t="s">
        <v>1007</v>
      </c>
      <c r="W506" s="2944">
        <f t="shared" si="3"/>
        <v>17317.286304416899</v>
      </c>
    </row>
    <row r="507" spans="1:23" s="2944" customFormat="1" ht="46.8">
      <c r="A507" s="2948">
        <v>506</v>
      </c>
      <c r="B507" s="2948" t="s">
        <v>635</v>
      </c>
      <c r="C507" s="2948" t="s">
        <v>636</v>
      </c>
      <c r="D507" s="2948" t="s">
        <v>1025</v>
      </c>
      <c r="E507" s="2948" t="s">
        <v>729</v>
      </c>
      <c r="F507" s="2948" t="s">
        <v>1230</v>
      </c>
      <c r="G507" s="2948" t="s">
        <v>640</v>
      </c>
      <c r="H507" s="2948" t="s">
        <v>1026</v>
      </c>
      <c r="I507" s="2948" t="s">
        <v>1027</v>
      </c>
      <c r="J507" s="2948" t="s">
        <v>643</v>
      </c>
      <c r="K507" s="2950">
        <v>31.47</v>
      </c>
      <c r="L507" s="2950">
        <v>13.25</v>
      </c>
      <c r="M507" s="2951">
        <v>544975</v>
      </c>
      <c r="N507" s="2951">
        <v>544975</v>
      </c>
      <c r="O507" s="2952">
        <v>544975</v>
      </c>
      <c r="P507" s="2953">
        <v>544975</v>
      </c>
      <c r="Q507" s="2951">
        <v>544975</v>
      </c>
      <c r="R507" s="2954">
        <v>44277</v>
      </c>
      <c r="S507" s="2954">
        <v>44278</v>
      </c>
      <c r="T507" s="2954">
        <v>44404</v>
      </c>
      <c r="U507" s="2954">
        <v>44404</v>
      </c>
      <c r="V507" s="2948" t="s">
        <v>1009</v>
      </c>
      <c r="W507" s="2944">
        <f t="shared" si="3"/>
        <v>17317.286304416899</v>
      </c>
    </row>
    <row r="508" spans="1:23" s="2944" customFormat="1" ht="46.8">
      <c r="A508" s="2948">
        <v>507</v>
      </c>
      <c r="B508" s="2948" t="s">
        <v>635</v>
      </c>
      <c r="C508" s="2948" t="s">
        <v>636</v>
      </c>
      <c r="D508" s="2948" t="s">
        <v>1025</v>
      </c>
      <c r="E508" s="2948" t="s">
        <v>729</v>
      </c>
      <c r="F508" s="2948" t="s">
        <v>1231</v>
      </c>
      <c r="G508" s="2948" t="s">
        <v>640</v>
      </c>
      <c r="H508" s="2948" t="s">
        <v>1026</v>
      </c>
      <c r="I508" s="2948" t="s">
        <v>1027</v>
      </c>
      <c r="J508" s="2948" t="s">
        <v>643</v>
      </c>
      <c r="K508" s="2950">
        <v>31.47</v>
      </c>
      <c r="L508" s="2950">
        <v>13.25</v>
      </c>
      <c r="M508" s="2951">
        <v>544975</v>
      </c>
      <c r="N508" s="2951">
        <v>544975</v>
      </c>
      <c r="O508" s="2952">
        <v>544975</v>
      </c>
      <c r="P508" s="2953">
        <v>544975</v>
      </c>
      <c r="Q508" s="2951">
        <v>544975</v>
      </c>
      <c r="R508" s="2954">
        <v>44278</v>
      </c>
      <c r="S508" s="2954">
        <v>44279</v>
      </c>
      <c r="T508" s="2954">
        <v>44393</v>
      </c>
      <c r="U508" s="2954">
        <v>44393</v>
      </c>
      <c r="V508" s="2948" t="s">
        <v>664</v>
      </c>
      <c r="W508" s="2944">
        <f t="shared" si="3"/>
        <v>17317.286304416899</v>
      </c>
    </row>
    <row r="509" spans="1:23" s="2944" customFormat="1" ht="46.8">
      <c r="A509" s="2948">
        <v>508</v>
      </c>
      <c r="B509" s="2948" t="s">
        <v>635</v>
      </c>
      <c r="C509" s="2948" t="s">
        <v>636</v>
      </c>
      <c r="D509" s="2948" t="s">
        <v>1025</v>
      </c>
      <c r="E509" s="2948" t="s">
        <v>729</v>
      </c>
      <c r="F509" s="2948" t="s">
        <v>1232</v>
      </c>
      <c r="G509" s="2948" t="s">
        <v>640</v>
      </c>
      <c r="H509" s="2948" t="s">
        <v>1026</v>
      </c>
      <c r="I509" s="2948" t="s">
        <v>1027</v>
      </c>
      <c r="J509" s="2948" t="s">
        <v>643</v>
      </c>
      <c r="K509" s="2950">
        <v>31.47</v>
      </c>
      <c r="L509" s="2950">
        <v>13.25</v>
      </c>
      <c r="M509" s="2951">
        <v>544975</v>
      </c>
      <c r="N509" s="2951">
        <v>544975</v>
      </c>
      <c r="O509" s="2952">
        <v>544975</v>
      </c>
      <c r="P509" s="2953">
        <v>544975</v>
      </c>
      <c r="Q509" s="2951">
        <v>544975</v>
      </c>
      <c r="R509" s="2954">
        <v>44278</v>
      </c>
      <c r="S509" s="2954">
        <v>44279</v>
      </c>
      <c r="T509" s="2954">
        <v>44388</v>
      </c>
      <c r="U509" s="2954">
        <v>44388</v>
      </c>
      <c r="V509" s="2948" t="s">
        <v>1233</v>
      </c>
      <c r="W509" s="2944">
        <f t="shared" si="3"/>
        <v>17317.286304416899</v>
      </c>
    </row>
    <row r="510" spans="1:23" s="2944" customFormat="1" ht="46.8">
      <c r="A510" s="2948">
        <v>509</v>
      </c>
      <c r="B510" s="2948" t="s">
        <v>635</v>
      </c>
      <c r="C510" s="2948" t="s">
        <v>636</v>
      </c>
      <c r="D510" s="2948" t="s">
        <v>1025</v>
      </c>
      <c r="E510" s="2948" t="s">
        <v>729</v>
      </c>
      <c r="F510" s="2948" t="s">
        <v>1234</v>
      </c>
      <c r="G510" s="2948" t="s">
        <v>640</v>
      </c>
      <c r="H510" s="2948" t="s">
        <v>1026</v>
      </c>
      <c r="I510" s="2948" t="s">
        <v>1027</v>
      </c>
      <c r="J510" s="2948" t="s">
        <v>643</v>
      </c>
      <c r="K510" s="2950">
        <v>31.47</v>
      </c>
      <c r="L510" s="2950">
        <v>13.25</v>
      </c>
      <c r="M510" s="2951">
        <v>544975</v>
      </c>
      <c r="N510" s="2951">
        <v>544975</v>
      </c>
      <c r="O510" s="2952">
        <v>544975</v>
      </c>
      <c r="P510" s="2953">
        <v>544975</v>
      </c>
      <c r="Q510" s="2951">
        <v>544975</v>
      </c>
      <c r="R510" s="2954">
        <v>44278</v>
      </c>
      <c r="S510" s="2954">
        <v>44279</v>
      </c>
      <c r="T510" s="2954">
        <v>44757</v>
      </c>
      <c r="U510" s="2954">
        <v>44757</v>
      </c>
      <c r="V510" s="2948" t="s">
        <v>711</v>
      </c>
      <c r="W510" s="2944">
        <f t="shared" si="3"/>
        <v>17317.286304416899</v>
      </c>
    </row>
    <row r="511" spans="1:23" s="2944" customFormat="1" ht="46.8">
      <c r="A511" s="2948">
        <v>510</v>
      </c>
      <c r="B511" s="2948" t="s">
        <v>635</v>
      </c>
      <c r="C511" s="2948" t="s">
        <v>636</v>
      </c>
      <c r="D511" s="2948" t="s">
        <v>1025</v>
      </c>
      <c r="E511" s="2948" t="s">
        <v>729</v>
      </c>
      <c r="F511" s="2948" t="s">
        <v>1235</v>
      </c>
      <c r="G511" s="2948" t="s">
        <v>640</v>
      </c>
      <c r="H511" s="2948" t="s">
        <v>1026</v>
      </c>
      <c r="I511" s="2948" t="s">
        <v>1027</v>
      </c>
      <c r="J511" s="2948" t="s">
        <v>643</v>
      </c>
      <c r="K511" s="2950">
        <v>31.47</v>
      </c>
      <c r="L511" s="2950">
        <v>13.25</v>
      </c>
      <c r="M511" s="2951">
        <v>544975</v>
      </c>
      <c r="N511" s="2951">
        <v>544975</v>
      </c>
      <c r="O511" s="2952">
        <v>544975</v>
      </c>
      <c r="P511" s="2953">
        <v>544975</v>
      </c>
      <c r="Q511" s="2951">
        <v>544975</v>
      </c>
      <c r="R511" s="2954">
        <v>44278</v>
      </c>
      <c r="S511" s="2954">
        <v>44279</v>
      </c>
      <c r="T511" s="2954">
        <v>44386</v>
      </c>
      <c r="U511" s="2954">
        <v>44386</v>
      </c>
      <c r="V511" s="2948" t="s">
        <v>709</v>
      </c>
      <c r="W511" s="2944">
        <f t="shared" si="3"/>
        <v>17317.286304416899</v>
      </c>
    </row>
    <row r="512" spans="1:23" s="2944" customFormat="1" ht="46.8">
      <c r="A512" s="2948">
        <v>511</v>
      </c>
      <c r="B512" s="2948" t="s">
        <v>635</v>
      </c>
      <c r="C512" s="2948" t="s">
        <v>636</v>
      </c>
      <c r="D512" s="2948" t="s">
        <v>1025</v>
      </c>
      <c r="E512" s="2948" t="s">
        <v>729</v>
      </c>
      <c r="F512" s="2948" t="s">
        <v>691</v>
      </c>
      <c r="G512" s="2948" t="s">
        <v>640</v>
      </c>
      <c r="H512" s="2948" t="s">
        <v>1026</v>
      </c>
      <c r="I512" s="2948" t="s">
        <v>1027</v>
      </c>
      <c r="J512" s="2948" t="s">
        <v>643</v>
      </c>
      <c r="K512" s="2950">
        <v>31.47</v>
      </c>
      <c r="L512" s="2950">
        <v>13.25</v>
      </c>
      <c r="M512" s="2951">
        <v>544975</v>
      </c>
      <c r="N512" s="2951">
        <v>544975</v>
      </c>
      <c r="O512" s="2952">
        <v>544975</v>
      </c>
      <c r="P512" s="2953">
        <v>544975</v>
      </c>
      <c r="Q512" s="2951">
        <v>544975</v>
      </c>
      <c r="R512" s="2954">
        <v>44736</v>
      </c>
      <c r="S512" s="2954">
        <v>44739</v>
      </c>
      <c r="T512" s="2954">
        <v>44795</v>
      </c>
      <c r="U512" s="2954">
        <v>44795</v>
      </c>
      <c r="V512" s="2948" t="s">
        <v>893</v>
      </c>
      <c r="W512" s="2944">
        <f t="shared" si="3"/>
        <v>17317.286304416899</v>
      </c>
    </row>
    <row r="513" spans="1:23" s="2944" customFormat="1" ht="46.8">
      <c r="A513" s="2948">
        <v>512</v>
      </c>
      <c r="B513" s="2948" t="s">
        <v>635</v>
      </c>
      <c r="C513" s="2948" t="s">
        <v>636</v>
      </c>
      <c r="D513" s="2948" t="s">
        <v>1025</v>
      </c>
      <c r="E513" s="2948" t="s">
        <v>729</v>
      </c>
      <c r="F513" s="2948" t="s">
        <v>689</v>
      </c>
      <c r="G513" s="2948" t="s">
        <v>640</v>
      </c>
      <c r="H513" s="2948" t="s">
        <v>1026</v>
      </c>
      <c r="I513" s="2948" t="s">
        <v>1027</v>
      </c>
      <c r="J513" s="2948" t="s">
        <v>643</v>
      </c>
      <c r="K513" s="2950">
        <v>31.47</v>
      </c>
      <c r="L513" s="2950">
        <v>13.25</v>
      </c>
      <c r="M513" s="2951">
        <v>544975</v>
      </c>
      <c r="N513" s="2951">
        <v>544975</v>
      </c>
      <c r="O513" s="2952">
        <v>544975</v>
      </c>
      <c r="P513" s="2953">
        <v>544975</v>
      </c>
      <c r="Q513" s="2951">
        <v>544975</v>
      </c>
      <c r="R513" s="2954">
        <v>44277</v>
      </c>
      <c r="S513" s="2954">
        <v>44279</v>
      </c>
      <c r="T513" s="2954">
        <v>44425</v>
      </c>
      <c r="U513" s="2954">
        <v>44425</v>
      </c>
      <c r="V513" s="2948" t="s">
        <v>875</v>
      </c>
      <c r="W513" s="2944">
        <f t="shared" si="3"/>
        <v>17317.286304416899</v>
      </c>
    </row>
    <row r="514" spans="1:23" s="2944" customFormat="1" ht="46.8">
      <c r="A514" s="2948">
        <v>513</v>
      </c>
      <c r="B514" s="2948" t="s">
        <v>635</v>
      </c>
      <c r="C514" s="2948" t="s">
        <v>636</v>
      </c>
      <c r="D514" s="2948" t="s">
        <v>1025</v>
      </c>
      <c r="E514" s="2948" t="s">
        <v>729</v>
      </c>
      <c r="F514" s="2948" t="s">
        <v>1236</v>
      </c>
      <c r="G514" s="2948" t="s">
        <v>640</v>
      </c>
      <c r="H514" s="2948" t="s">
        <v>1026</v>
      </c>
      <c r="I514" s="2948" t="s">
        <v>1027</v>
      </c>
      <c r="J514" s="2948" t="s">
        <v>643</v>
      </c>
      <c r="K514" s="2950">
        <v>31.47</v>
      </c>
      <c r="L514" s="2950">
        <v>13.25</v>
      </c>
      <c r="M514" s="2951">
        <v>544975</v>
      </c>
      <c r="N514" s="2951">
        <v>544975</v>
      </c>
      <c r="O514" s="2952">
        <v>544975</v>
      </c>
      <c r="P514" s="2953">
        <v>544975</v>
      </c>
      <c r="Q514" s="2951">
        <v>544975</v>
      </c>
      <c r="R514" s="2954">
        <v>44277</v>
      </c>
      <c r="S514" s="2954">
        <v>44279</v>
      </c>
      <c r="T514" s="2954">
        <v>44368</v>
      </c>
      <c r="U514" s="2954">
        <v>44368</v>
      </c>
      <c r="V514" s="2948" t="s">
        <v>716</v>
      </c>
      <c r="W514" s="2944">
        <f t="shared" si="3"/>
        <v>17317.286304416899</v>
      </c>
    </row>
    <row r="515" spans="1:23" s="2944" customFormat="1" ht="46.8">
      <c r="A515" s="2948">
        <v>514</v>
      </c>
      <c r="B515" s="2948" t="s">
        <v>635</v>
      </c>
      <c r="C515" s="2948" t="s">
        <v>636</v>
      </c>
      <c r="D515" s="2948" t="s">
        <v>1025</v>
      </c>
      <c r="E515" s="2948" t="s">
        <v>729</v>
      </c>
      <c r="F515" s="2948" t="s">
        <v>1237</v>
      </c>
      <c r="G515" s="2948" t="s">
        <v>640</v>
      </c>
      <c r="H515" s="2948" t="s">
        <v>1026</v>
      </c>
      <c r="I515" s="2948" t="s">
        <v>1027</v>
      </c>
      <c r="J515" s="2948" t="s">
        <v>643</v>
      </c>
      <c r="K515" s="2950">
        <v>31.47</v>
      </c>
      <c r="L515" s="2950">
        <v>13.25</v>
      </c>
      <c r="M515" s="2951">
        <v>544975</v>
      </c>
      <c r="N515" s="2951">
        <v>544975</v>
      </c>
      <c r="O515" s="2952">
        <v>544975</v>
      </c>
      <c r="P515" s="2953">
        <v>544975</v>
      </c>
      <c r="Q515" s="2951">
        <v>544975</v>
      </c>
      <c r="R515" s="2954">
        <v>44277</v>
      </c>
      <c r="S515" s="2954">
        <v>44279</v>
      </c>
      <c r="T515" s="2954">
        <v>44376</v>
      </c>
      <c r="U515" s="2954">
        <v>44376</v>
      </c>
      <c r="V515" s="2948" t="s">
        <v>911</v>
      </c>
      <c r="W515" s="2944">
        <f t="shared" si="3"/>
        <v>17317.286304416899</v>
      </c>
    </row>
    <row r="516" spans="1:23" s="2944" customFormat="1" ht="46.8">
      <c r="A516" s="2948">
        <v>515</v>
      </c>
      <c r="B516" s="2948" t="s">
        <v>635</v>
      </c>
      <c r="C516" s="2948" t="s">
        <v>636</v>
      </c>
      <c r="D516" s="2948" t="s">
        <v>1025</v>
      </c>
      <c r="E516" s="2948" t="s">
        <v>729</v>
      </c>
      <c r="F516" s="2948" t="s">
        <v>1238</v>
      </c>
      <c r="G516" s="2948" t="s">
        <v>640</v>
      </c>
      <c r="H516" s="2948" t="s">
        <v>1026</v>
      </c>
      <c r="I516" s="2948" t="s">
        <v>1027</v>
      </c>
      <c r="J516" s="2948" t="s">
        <v>643</v>
      </c>
      <c r="K516" s="2950">
        <v>31.47</v>
      </c>
      <c r="L516" s="2950">
        <v>13.25</v>
      </c>
      <c r="M516" s="2951">
        <v>544975</v>
      </c>
      <c r="N516" s="2951">
        <v>544975</v>
      </c>
      <c r="O516" s="2952">
        <v>544975</v>
      </c>
      <c r="P516" s="2953">
        <v>544975</v>
      </c>
      <c r="Q516" s="2951">
        <v>544975</v>
      </c>
      <c r="R516" s="2954">
        <v>44278</v>
      </c>
      <c r="S516" s="2954">
        <v>44279</v>
      </c>
      <c r="T516" s="2954">
        <v>44391</v>
      </c>
      <c r="U516" s="2954">
        <v>44391</v>
      </c>
      <c r="V516" s="2948" t="s">
        <v>903</v>
      </c>
      <c r="W516" s="2944">
        <f t="shared" si="3"/>
        <v>17317.286304416899</v>
      </c>
    </row>
    <row r="517" spans="1:23" s="2944" customFormat="1" ht="46.8">
      <c r="A517" s="2948">
        <v>516</v>
      </c>
      <c r="B517" s="2948" t="s">
        <v>635</v>
      </c>
      <c r="C517" s="2948" t="s">
        <v>636</v>
      </c>
      <c r="D517" s="2948" t="s">
        <v>1025</v>
      </c>
      <c r="E517" s="2948" t="s">
        <v>729</v>
      </c>
      <c r="F517" s="2948" t="s">
        <v>1239</v>
      </c>
      <c r="G517" s="2948" t="s">
        <v>640</v>
      </c>
      <c r="H517" s="2948" t="s">
        <v>1026</v>
      </c>
      <c r="I517" s="2948" t="s">
        <v>1027</v>
      </c>
      <c r="J517" s="2948" t="s">
        <v>643</v>
      </c>
      <c r="K517" s="2950">
        <v>31.47</v>
      </c>
      <c r="L517" s="2950">
        <v>13.25</v>
      </c>
      <c r="M517" s="2951">
        <v>544975</v>
      </c>
      <c r="N517" s="2951">
        <v>544975</v>
      </c>
      <c r="O517" s="2952">
        <v>544975</v>
      </c>
      <c r="P517" s="2953">
        <v>544975</v>
      </c>
      <c r="Q517" s="2951">
        <v>544975</v>
      </c>
      <c r="R517" s="2954">
        <v>44278</v>
      </c>
      <c r="S517" s="2954">
        <v>44279</v>
      </c>
      <c r="T517" s="2954">
        <v>44391</v>
      </c>
      <c r="U517" s="2954">
        <v>44391</v>
      </c>
      <c r="V517" s="2948" t="s">
        <v>873</v>
      </c>
      <c r="W517" s="2944">
        <f t="shared" si="3"/>
        <v>17317.286304416899</v>
      </c>
    </row>
    <row r="518" spans="1:23" s="2944" customFormat="1" ht="46.8">
      <c r="A518" s="2948">
        <v>517</v>
      </c>
      <c r="B518" s="2948" t="s">
        <v>635</v>
      </c>
      <c r="C518" s="2948" t="s">
        <v>636</v>
      </c>
      <c r="D518" s="2948" t="s">
        <v>1025</v>
      </c>
      <c r="E518" s="2948" t="s">
        <v>729</v>
      </c>
      <c r="F518" s="2948" t="s">
        <v>1240</v>
      </c>
      <c r="G518" s="2948" t="s">
        <v>640</v>
      </c>
      <c r="H518" s="2948" t="s">
        <v>1026</v>
      </c>
      <c r="I518" s="2948" t="s">
        <v>1027</v>
      </c>
      <c r="J518" s="2948" t="s">
        <v>643</v>
      </c>
      <c r="K518" s="2950">
        <v>31.47</v>
      </c>
      <c r="L518" s="2950">
        <v>13.25</v>
      </c>
      <c r="M518" s="2951">
        <v>544975</v>
      </c>
      <c r="N518" s="2951">
        <v>544975</v>
      </c>
      <c r="O518" s="2952">
        <v>544975</v>
      </c>
      <c r="P518" s="2953">
        <v>544975</v>
      </c>
      <c r="Q518" s="2951">
        <v>544975</v>
      </c>
      <c r="R518" s="2948"/>
      <c r="S518" s="2954">
        <v>44284.390277777798</v>
      </c>
      <c r="T518" s="2954">
        <v>44559</v>
      </c>
      <c r="U518" s="2954">
        <v>44559</v>
      </c>
      <c r="V518" s="2948" t="s">
        <v>884</v>
      </c>
      <c r="W518" s="2944">
        <f t="shared" si="3"/>
        <v>17317.286304416899</v>
      </c>
    </row>
    <row r="519" spans="1:23" s="2944" customFormat="1" ht="46.8">
      <c r="A519" s="2948">
        <v>518</v>
      </c>
      <c r="B519" s="2948" t="s">
        <v>635</v>
      </c>
      <c r="C519" s="2948" t="s">
        <v>636</v>
      </c>
      <c r="D519" s="2948" t="s">
        <v>1025</v>
      </c>
      <c r="E519" s="2948" t="s">
        <v>729</v>
      </c>
      <c r="F519" s="2948" t="s">
        <v>1241</v>
      </c>
      <c r="G519" s="2948" t="s">
        <v>640</v>
      </c>
      <c r="H519" s="2948" t="s">
        <v>1026</v>
      </c>
      <c r="I519" s="2948" t="s">
        <v>1027</v>
      </c>
      <c r="J519" s="2948" t="s">
        <v>643</v>
      </c>
      <c r="K519" s="2950">
        <v>31.47</v>
      </c>
      <c r="L519" s="2950">
        <v>13.25</v>
      </c>
      <c r="M519" s="2951">
        <v>544975</v>
      </c>
      <c r="N519" s="2951">
        <v>544975</v>
      </c>
      <c r="O519" s="2952">
        <v>517726</v>
      </c>
      <c r="P519" s="2953">
        <v>517726</v>
      </c>
      <c r="Q519" s="2951">
        <v>517726</v>
      </c>
      <c r="R519" s="2954">
        <v>44734</v>
      </c>
      <c r="S519" s="2954">
        <v>44737</v>
      </c>
      <c r="T519" s="2954">
        <v>44741</v>
      </c>
      <c r="U519" s="2954">
        <v>44741</v>
      </c>
      <c r="V519" s="2948" t="s">
        <v>907</v>
      </c>
      <c r="W519" s="2944">
        <f t="shared" si="3"/>
        <v>16451.414045122299</v>
      </c>
    </row>
    <row r="520" spans="1:23" s="2944" customFormat="1" ht="46.8">
      <c r="A520" s="2948">
        <v>519</v>
      </c>
      <c r="B520" s="2948" t="s">
        <v>635</v>
      </c>
      <c r="C520" s="2948" t="s">
        <v>636</v>
      </c>
      <c r="D520" s="2948" t="s">
        <v>1025</v>
      </c>
      <c r="E520" s="2948" t="s">
        <v>729</v>
      </c>
      <c r="F520" s="2948" t="s">
        <v>1242</v>
      </c>
      <c r="G520" s="2948" t="s">
        <v>640</v>
      </c>
      <c r="H520" s="2948" t="s">
        <v>1026</v>
      </c>
      <c r="I520" s="2948" t="s">
        <v>1027</v>
      </c>
      <c r="J520" s="2948" t="s">
        <v>643</v>
      </c>
      <c r="K520" s="2950">
        <v>31.47</v>
      </c>
      <c r="L520" s="2950">
        <v>13.25</v>
      </c>
      <c r="M520" s="2951">
        <v>544975</v>
      </c>
      <c r="N520" s="2951">
        <v>544975</v>
      </c>
      <c r="O520" s="2952">
        <v>544975</v>
      </c>
      <c r="P520" s="2953">
        <v>544975</v>
      </c>
      <c r="Q520" s="2951">
        <v>544975</v>
      </c>
      <c r="R520" s="2954">
        <v>44420</v>
      </c>
      <c r="S520" s="2954">
        <v>44420</v>
      </c>
      <c r="T520" s="2954">
        <v>44429</v>
      </c>
      <c r="U520" s="2954">
        <v>44429</v>
      </c>
      <c r="V520" s="2948" t="s">
        <v>1001</v>
      </c>
      <c r="W520" s="2944">
        <f t="shared" si="3"/>
        <v>17317.286304416899</v>
      </c>
    </row>
    <row r="521" spans="1:23" s="2944" customFormat="1" ht="46.8" hidden="1">
      <c r="A521" s="2948">
        <v>520</v>
      </c>
      <c r="B521" s="2948" t="s">
        <v>635</v>
      </c>
      <c r="C521" s="2948" t="s">
        <v>636</v>
      </c>
      <c r="D521" s="2948" t="s">
        <v>1025</v>
      </c>
      <c r="E521" s="2948" t="s">
        <v>729</v>
      </c>
      <c r="F521" s="2948" t="s">
        <v>1243</v>
      </c>
      <c r="G521" s="2948" t="s">
        <v>1035</v>
      </c>
      <c r="H521" s="2948" t="s">
        <v>1031</v>
      </c>
      <c r="I521" s="2948" t="s">
        <v>1027</v>
      </c>
      <c r="J521" s="2948" t="s">
        <v>643</v>
      </c>
      <c r="K521" s="2950">
        <v>26.72</v>
      </c>
      <c r="L521" s="2950">
        <v>11.25</v>
      </c>
      <c r="M521" s="2951">
        <v>544974</v>
      </c>
      <c r="N521" s="2951">
        <v>544974</v>
      </c>
      <c r="O521" s="2955"/>
      <c r="P521" s="2948"/>
      <c r="Q521" s="2951">
        <v>0</v>
      </c>
      <c r="R521" s="2948"/>
      <c r="S521" s="2948"/>
      <c r="T521" s="2948"/>
      <c r="U521" s="2948"/>
      <c r="V521" s="2948"/>
      <c r="W521" s="2944">
        <f t="shared" si="3"/>
        <v>0</v>
      </c>
    </row>
    <row r="522" spans="1:23" s="2944" customFormat="1" ht="46.8" hidden="1">
      <c r="A522" s="2948">
        <v>521</v>
      </c>
      <c r="B522" s="2948" t="s">
        <v>635</v>
      </c>
      <c r="C522" s="2948" t="s">
        <v>636</v>
      </c>
      <c r="D522" s="2948" t="s">
        <v>1025</v>
      </c>
      <c r="E522" s="2948" t="s">
        <v>729</v>
      </c>
      <c r="F522" s="2948" t="s">
        <v>1244</v>
      </c>
      <c r="G522" s="2948" t="s">
        <v>1035</v>
      </c>
      <c r="H522" s="2948" t="s">
        <v>1031</v>
      </c>
      <c r="I522" s="2948" t="s">
        <v>1027</v>
      </c>
      <c r="J522" s="2948" t="s">
        <v>643</v>
      </c>
      <c r="K522" s="2950">
        <v>26.72</v>
      </c>
      <c r="L522" s="2950">
        <v>11.25</v>
      </c>
      <c r="M522" s="2951">
        <v>544974</v>
      </c>
      <c r="N522" s="2951">
        <v>544974</v>
      </c>
      <c r="O522" s="2955"/>
      <c r="P522" s="2948"/>
      <c r="Q522" s="2951">
        <v>0</v>
      </c>
      <c r="R522" s="2948"/>
      <c r="S522" s="2948"/>
      <c r="T522" s="2948"/>
      <c r="U522" s="2948"/>
      <c r="V522" s="2948"/>
      <c r="W522" s="2944">
        <f t="shared" si="3"/>
        <v>0</v>
      </c>
    </row>
    <row r="523" spans="1:23" s="2944" customFormat="1" ht="46.8">
      <c r="A523" s="2948">
        <v>522</v>
      </c>
      <c r="B523" s="2948" t="s">
        <v>635</v>
      </c>
      <c r="C523" s="2948" t="s">
        <v>636</v>
      </c>
      <c r="D523" s="2948" t="s">
        <v>1025</v>
      </c>
      <c r="E523" s="2948" t="s">
        <v>729</v>
      </c>
      <c r="F523" s="2948" t="s">
        <v>1245</v>
      </c>
      <c r="G523" s="2948" t="s">
        <v>640</v>
      </c>
      <c r="H523" s="2948" t="s">
        <v>1026</v>
      </c>
      <c r="I523" s="2948" t="s">
        <v>1027</v>
      </c>
      <c r="J523" s="2948" t="s">
        <v>643</v>
      </c>
      <c r="K523" s="2950">
        <v>31.47</v>
      </c>
      <c r="L523" s="2950">
        <v>13.25</v>
      </c>
      <c r="M523" s="2951">
        <v>544975</v>
      </c>
      <c r="N523" s="2951">
        <v>544975</v>
      </c>
      <c r="O523" s="2952">
        <v>544975</v>
      </c>
      <c r="P523" s="2953">
        <v>544975</v>
      </c>
      <c r="Q523" s="2951">
        <v>544975</v>
      </c>
      <c r="R523" s="2954">
        <v>45288</v>
      </c>
      <c r="S523" s="2954">
        <v>45288</v>
      </c>
      <c r="T523" s="2948"/>
      <c r="U523" s="2948"/>
      <c r="V523" s="2948" t="s">
        <v>1117</v>
      </c>
      <c r="W523" s="2944">
        <f t="shared" si="3"/>
        <v>17317.286304416899</v>
      </c>
    </row>
    <row r="524" spans="1:23" s="2944" customFormat="1" ht="46.8">
      <c r="A524" s="2948">
        <v>523</v>
      </c>
      <c r="B524" s="2948" t="s">
        <v>635</v>
      </c>
      <c r="C524" s="2948" t="s">
        <v>636</v>
      </c>
      <c r="D524" s="2948" t="s">
        <v>1025</v>
      </c>
      <c r="E524" s="2948" t="s">
        <v>729</v>
      </c>
      <c r="F524" s="2948" t="s">
        <v>1246</v>
      </c>
      <c r="G524" s="2948" t="s">
        <v>640</v>
      </c>
      <c r="H524" s="2948" t="s">
        <v>1026</v>
      </c>
      <c r="I524" s="2948" t="s">
        <v>1027</v>
      </c>
      <c r="J524" s="2948" t="s">
        <v>643</v>
      </c>
      <c r="K524" s="2950">
        <v>31.47</v>
      </c>
      <c r="L524" s="2950">
        <v>13.25</v>
      </c>
      <c r="M524" s="2951">
        <v>544975</v>
      </c>
      <c r="N524" s="2951">
        <v>544975</v>
      </c>
      <c r="O524" s="2952">
        <v>544975</v>
      </c>
      <c r="P524" s="2953">
        <v>544975</v>
      </c>
      <c r="Q524" s="2951">
        <v>544975</v>
      </c>
      <c r="R524" s="2954">
        <v>45288</v>
      </c>
      <c r="S524" s="2954">
        <v>45288</v>
      </c>
      <c r="T524" s="2948"/>
      <c r="U524" s="2948"/>
      <c r="V524" s="2948" t="s">
        <v>1117</v>
      </c>
      <c r="W524" s="2944">
        <f t="shared" si="3"/>
        <v>17317.286304416899</v>
      </c>
    </row>
    <row r="525" spans="1:23" s="2944" customFormat="1" ht="46.8">
      <c r="A525" s="2948">
        <v>524</v>
      </c>
      <c r="B525" s="2948" t="s">
        <v>635</v>
      </c>
      <c r="C525" s="2948" t="s">
        <v>636</v>
      </c>
      <c r="D525" s="2948" t="s">
        <v>1025</v>
      </c>
      <c r="E525" s="2948" t="s">
        <v>729</v>
      </c>
      <c r="F525" s="2948" t="s">
        <v>900</v>
      </c>
      <c r="G525" s="2948" t="s">
        <v>640</v>
      </c>
      <c r="H525" s="2948" t="s">
        <v>1026</v>
      </c>
      <c r="I525" s="2948" t="s">
        <v>1027</v>
      </c>
      <c r="J525" s="2948" t="s">
        <v>643</v>
      </c>
      <c r="K525" s="2950">
        <v>31.47</v>
      </c>
      <c r="L525" s="2950">
        <v>13.25</v>
      </c>
      <c r="M525" s="2951">
        <v>544975</v>
      </c>
      <c r="N525" s="2951">
        <v>544975</v>
      </c>
      <c r="O525" s="2952">
        <v>544975</v>
      </c>
      <c r="P525" s="2953">
        <v>544975</v>
      </c>
      <c r="Q525" s="2951">
        <v>544975</v>
      </c>
      <c r="R525" s="2954">
        <v>45103</v>
      </c>
      <c r="S525" s="2954">
        <v>45103</v>
      </c>
      <c r="T525" s="2954">
        <v>45103</v>
      </c>
      <c r="U525" s="2954">
        <v>45103</v>
      </c>
      <c r="V525" s="2948" t="s">
        <v>810</v>
      </c>
      <c r="W525" s="2944">
        <f t="shared" si="3"/>
        <v>17317.286304416899</v>
      </c>
    </row>
    <row r="526" spans="1:23" s="2944" customFormat="1" ht="46.8">
      <c r="A526" s="2948">
        <v>525</v>
      </c>
      <c r="B526" s="2948" t="s">
        <v>635</v>
      </c>
      <c r="C526" s="2948" t="s">
        <v>636</v>
      </c>
      <c r="D526" s="2948" t="s">
        <v>1025</v>
      </c>
      <c r="E526" s="2948" t="s">
        <v>729</v>
      </c>
      <c r="F526" s="2948" t="s">
        <v>898</v>
      </c>
      <c r="G526" s="2948" t="s">
        <v>640</v>
      </c>
      <c r="H526" s="2948" t="s">
        <v>1026</v>
      </c>
      <c r="I526" s="2948" t="s">
        <v>1027</v>
      </c>
      <c r="J526" s="2948" t="s">
        <v>643</v>
      </c>
      <c r="K526" s="2950">
        <v>31.47</v>
      </c>
      <c r="L526" s="2950">
        <v>13.25</v>
      </c>
      <c r="M526" s="2951">
        <v>544975</v>
      </c>
      <c r="N526" s="2951">
        <v>544975</v>
      </c>
      <c r="O526" s="2952">
        <v>544975</v>
      </c>
      <c r="P526" s="2953">
        <v>544975</v>
      </c>
      <c r="Q526" s="2951">
        <v>544975</v>
      </c>
      <c r="R526" s="2954">
        <v>45093</v>
      </c>
      <c r="S526" s="2954">
        <v>45094</v>
      </c>
      <c r="T526" s="2954">
        <v>45102</v>
      </c>
      <c r="U526" s="2954">
        <v>45102</v>
      </c>
      <c r="V526" s="2948" t="s">
        <v>959</v>
      </c>
      <c r="W526" s="2944">
        <f t="shared" si="3"/>
        <v>17317.286304416899</v>
      </c>
    </row>
    <row r="527" spans="1:23" s="2944" customFormat="1" ht="46.8">
      <c r="A527" s="2948">
        <v>526</v>
      </c>
      <c r="B527" s="2948" t="s">
        <v>635</v>
      </c>
      <c r="C527" s="2948" t="s">
        <v>636</v>
      </c>
      <c r="D527" s="2948" t="s">
        <v>1025</v>
      </c>
      <c r="E527" s="2948" t="s">
        <v>729</v>
      </c>
      <c r="F527" s="2948" t="s">
        <v>1247</v>
      </c>
      <c r="G527" s="2948" t="s">
        <v>640</v>
      </c>
      <c r="H527" s="2948" t="s">
        <v>1026</v>
      </c>
      <c r="I527" s="2948" t="s">
        <v>1027</v>
      </c>
      <c r="J527" s="2948" t="s">
        <v>643</v>
      </c>
      <c r="K527" s="2950">
        <v>31.47</v>
      </c>
      <c r="L527" s="2950">
        <v>13.25</v>
      </c>
      <c r="M527" s="2951">
        <v>544975</v>
      </c>
      <c r="N527" s="2951">
        <v>544975</v>
      </c>
      <c r="O527" s="2952">
        <v>544975</v>
      </c>
      <c r="P527" s="2953">
        <v>544975</v>
      </c>
      <c r="Q527" s="2951">
        <v>544975</v>
      </c>
      <c r="R527" s="2954">
        <v>45044</v>
      </c>
      <c r="S527" s="2954">
        <v>45044</v>
      </c>
      <c r="T527" s="2954">
        <v>45050</v>
      </c>
      <c r="U527" s="2954">
        <v>45050</v>
      </c>
      <c r="V527" s="2948" t="s">
        <v>786</v>
      </c>
      <c r="W527" s="2944">
        <f t="shared" si="3"/>
        <v>17317.286304416899</v>
      </c>
    </row>
    <row r="528" spans="1:23" s="2944" customFormat="1" ht="46.8">
      <c r="A528" s="2948">
        <v>527</v>
      </c>
      <c r="B528" s="2948" t="s">
        <v>635</v>
      </c>
      <c r="C528" s="2948" t="s">
        <v>636</v>
      </c>
      <c r="D528" s="2948" t="s">
        <v>1025</v>
      </c>
      <c r="E528" s="2948" t="s">
        <v>729</v>
      </c>
      <c r="F528" s="2948" t="s">
        <v>1248</v>
      </c>
      <c r="G528" s="2948" t="s">
        <v>640</v>
      </c>
      <c r="H528" s="2948" t="s">
        <v>1026</v>
      </c>
      <c r="I528" s="2948" t="s">
        <v>1027</v>
      </c>
      <c r="J528" s="2948" t="s">
        <v>643</v>
      </c>
      <c r="K528" s="2950">
        <v>31.47</v>
      </c>
      <c r="L528" s="2950">
        <v>13.25</v>
      </c>
      <c r="M528" s="2951">
        <v>544975</v>
      </c>
      <c r="N528" s="2951">
        <v>544975</v>
      </c>
      <c r="O528" s="2952">
        <v>544975</v>
      </c>
      <c r="P528" s="2953">
        <v>544975</v>
      </c>
      <c r="Q528" s="2951">
        <v>544975</v>
      </c>
      <c r="R528" s="2954">
        <v>45042</v>
      </c>
      <c r="S528" s="2954">
        <v>45042</v>
      </c>
      <c r="T528" s="2954">
        <v>45050</v>
      </c>
      <c r="U528" s="2954">
        <v>45050</v>
      </c>
      <c r="V528" s="2948" t="s">
        <v>833</v>
      </c>
      <c r="W528" s="2944">
        <f t="shared" si="3"/>
        <v>17317.286304416899</v>
      </c>
    </row>
    <row r="529" spans="1:23" s="2944" customFormat="1" ht="46.8">
      <c r="A529" s="2948">
        <v>528</v>
      </c>
      <c r="B529" s="2948" t="s">
        <v>635</v>
      </c>
      <c r="C529" s="2948" t="s">
        <v>636</v>
      </c>
      <c r="D529" s="2948" t="s">
        <v>1025</v>
      </c>
      <c r="E529" s="2948" t="s">
        <v>729</v>
      </c>
      <c r="F529" s="2948" t="s">
        <v>1249</v>
      </c>
      <c r="G529" s="2948" t="s">
        <v>640</v>
      </c>
      <c r="H529" s="2948" t="s">
        <v>1026</v>
      </c>
      <c r="I529" s="2948" t="s">
        <v>1027</v>
      </c>
      <c r="J529" s="2948" t="s">
        <v>643</v>
      </c>
      <c r="K529" s="2950">
        <v>31.47</v>
      </c>
      <c r="L529" s="2950">
        <v>13.25</v>
      </c>
      <c r="M529" s="2951">
        <v>544975</v>
      </c>
      <c r="N529" s="2951">
        <v>544975</v>
      </c>
      <c r="O529" s="2952">
        <v>544975</v>
      </c>
      <c r="P529" s="2953">
        <v>544975</v>
      </c>
      <c r="Q529" s="2951">
        <v>544975</v>
      </c>
      <c r="R529" s="2954">
        <v>45046</v>
      </c>
      <c r="S529" s="2954">
        <v>45046</v>
      </c>
      <c r="T529" s="2954">
        <v>45140</v>
      </c>
      <c r="U529" s="2954">
        <v>45140</v>
      </c>
      <c r="V529" s="2948" t="s">
        <v>776</v>
      </c>
      <c r="W529" s="2944">
        <f t="shared" si="3"/>
        <v>17317.286304416899</v>
      </c>
    </row>
    <row r="530" spans="1:23" s="2944" customFormat="1" ht="46.8">
      <c r="A530" s="2948">
        <v>529</v>
      </c>
      <c r="B530" s="2948" t="s">
        <v>635</v>
      </c>
      <c r="C530" s="2948" t="s">
        <v>636</v>
      </c>
      <c r="D530" s="2948" t="s">
        <v>1025</v>
      </c>
      <c r="E530" s="2948" t="s">
        <v>729</v>
      </c>
      <c r="F530" s="2948" t="s">
        <v>1250</v>
      </c>
      <c r="G530" s="2948" t="s">
        <v>640</v>
      </c>
      <c r="H530" s="2948" t="s">
        <v>1026</v>
      </c>
      <c r="I530" s="2948" t="s">
        <v>1027</v>
      </c>
      <c r="J530" s="2948" t="s">
        <v>643</v>
      </c>
      <c r="K530" s="2950">
        <v>31.47</v>
      </c>
      <c r="L530" s="2950">
        <v>13.25</v>
      </c>
      <c r="M530" s="2951">
        <v>544975</v>
      </c>
      <c r="N530" s="2951">
        <v>544975</v>
      </c>
      <c r="O530" s="2952">
        <v>544975</v>
      </c>
      <c r="P530" s="2953">
        <v>544975</v>
      </c>
      <c r="Q530" s="2951">
        <v>544975</v>
      </c>
      <c r="R530" s="2954">
        <v>45159</v>
      </c>
      <c r="S530" s="2954">
        <v>45285</v>
      </c>
      <c r="T530" s="2948"/>
      <c r="U530" s="2948"/>
      <c r="V530" s="2948" t="s">
        <v>751</v>
      </c>
      <c r="W530" s="2944">
        <f t="shared" si="3"/>
        <v>17317.286304416899</v>
      </c>
    </row>
    <row r="531" spans="1:23" s="2944" customFormat="1" ht="46.8">
      <c r="A531" s="2948">
        <v>530</v>
      </c>
      <c r="B531" s="2948" t="s">
        <v>635</v>
      </c>
      <c r="C531" s="2948" t="s">
        <v>636</v>
      </c>
      <c r="D531" s="2948" t="s">
        <v>1025</v>
      </c>
      <c r="E531" s="2948" t="s">
        <v>729</v>
      </c>
      <c r="F531" s="2948" t="s">
        <v>1251</v>
      </c>
      <c r="G531" s="2948" t="s">
        <v>640</v>
      </c>
      <c r="H531" s="2948" t="s">
        <v>1026</v>
      </c>
      <c r="I531" s="2948" t="s">
        <v>1027</v>
      </c>
      <c r="J531" s="2948" t="s">
        <v>643</v>
      </c>
      <c r="K531" s="2950">
        <v>31.47</v>
      </c>
      <c r="L531" s="2950">
        <v>13.25</v>
      </c>
      <c r="M531" s="2951">
        <v>544975</v>
      </c>
      <c r="N531" s="2951">
        <v>544975</v>
      </c>
      <c r="O531" s="2952">
        <v>544975</v>
      </c>
      <c r="P531" s="2953">
        <v>544975</v>
      </c>
      <c r="Q531" s="2951">
        <v>544975</v>
      </c>
      <c r="R531" s="2954">
        <v>44736</v>
      </c>
      <c r="S531" s="2954">
        <v>44737</v>
      </c>
      <c r="T531" s="2954">
        <v>44866</v>
      </c>
      <c r="U531" s="2954">
        <v>44866</v>
      </c>
      <c r="V531" s="2948" t="s">
        <v>814</v>
      </c>
      <c r="W531" s="2944">
        <f t="shared" si="3"/>
        <v>17317.286304416899</v>
      </c>
    </row>
    <row r="532" spans="1:23" s="2944" customFormat="1" ht="46.8">
      <c r="A532" s="2948">
        <v>531</v>
      </c>
      <c r="B532" s="2948" t="s">
        <v>635</v>
      </c>
      <c r="C532" s="2948" t="s">
        <v>636</v>
      </c>
      <c r="D532" s="2948" t="s">
        <v>1025</v>
      </c>
      <c r="E532" s="2948" t="s">
        <v>729</v>
      </c>
      <c r="F532" s="2948" t="s">
        <v>1252</v>
      </c>
      <c r="G532" s="2948" t="s">
        <v>640</v>
      </c>
      <c r="H532" s="2948" t="s">
        <v>1026</v>
      </c>
      <c r="I532" s="2948" t="s">
        <v>1027</v>
      </c>
      <c r="J532" s="2948" t="s">
        <v>643</v>
      </c>
      <c r="K532" s="2950">
        <v>31.47</v>
      </c>
      <c r="L532" s="2950">
        <v>13.25</v>
      </c>
      <c r="M532" s="2951">
        <v>544975</v>
      </c>
      <c r="N532" s="2951">
        <v>544975</v>
      </c>
      <c r="O532" s="2952">
        <v>544975</v>
      </c>
      <c r="P532" s="2953">
        <v>544975</v>
      </c>
      <c r="Q532" s="2951">
        <v>544975</v>
      </c>
      <c r="R532" s="2954">
        <v>44736</v>
      </c>
      <c r="S532" s="2954">
        <v>44737</v>
      </c>
      <c r="T532" s="2954">
        <v>44757</v>
      </c>
      <c r="U532" s="2954">
        <v>44757</v>
      </c>
      <c r="V532" s="2948" t="s">
        <v>816</v>
      </c>
      <c r="W532" s="2944">
        <f t="shared" si="3"/>
        <v>17317.286304416899</v>
      </c>
    </row>
    <row r="533" spans="1:23" s="2944" customFormat="1" ht="46.8">
      <c r="A533" s="2948">
        <v>532</v>
      </c>
      <c r="B533" s="2948" t="s">
        <v>635</v>
      </c>
      <c r="C533" s="2948" t="s">
        <v>636</v>
      </c>
      <c r="D533" s="2948" t="s">
        <v>1025</v>
      </c>
      <c r="E533" s="2948" t="s">
        <v>729</v>
      </c>
      <c r="F533" s="2948" t="s">
        <v>1253</v>
      </c>
      <c r="G533" s="2948" t="s">
        <v>640</v>
      </c>
      <c r="H533" s="2948" t="s">
        <v>1026</v>
      </c>
      <c r="I533" s="2948" t="s">
        <v>1027</v>
      </c>
      <c r="J533" s="2948" t="s">
        <v>643</v>
      </c>
      <c r="K533" s="2950">
        <v>31.47</v>
      </c>
      <c r="L533" s="2950">
        <v>13.25</v>
      </c>
      <c r="M533" s="2951">
        <v>544975</v>
      </c>
      <c r="N533" s="2951">
        <v>544975</v>
      </c>
      <c r="O533" s="2952">
        <v>544975</v>
      </c>
      <c r="P533" s="2953">
        <v>544975</v>
      </c>
      <c r="Q533" s="2951">
        <v>544975</v>
      </c>
      <c r="R533" s="2954">
        <v>44736</v>
      </c>
      <c r="S533" s="2954">
        <v>44737</v>
      </c>
      <c r="T533" s="2954">
        <v>44757</v>
      </c>
      <c r="U533" s="2954">
        <v>44757</v>
      </c>
      <c r="V533" s="2948" t="s">
        <v>943</v>
      </c>
      <c r="W533" s="2944">
        <f t="shared" si="3"/>
        <v>17317.286304416899</v>
      </c>
    </row>
    <row r="534" spans="1:23" s="2944" customFormat="1" ht="46.8">
      <c r="A534" s="2948">
        <v>533</v>
      </c>
      <c r="B534" s="2948" t="s">
        <v>635</v>
      </c>
      <c r="C534" s="2948" t="s">
        <v>636</v>
      </c>
      <c r="D534" s="2948" t="s">
        <v>1025</v>
      </c>
      <c r="E534" s="2948" t="s">
        <v>729</v>
      </c>
      <c r="F534" s="2948" t="s">
        <v>1254</v>
      </c>
      <c r="G534" s="2948" t="s">
        <v>640</v>
      </c>
      <c r="H534" s="2948" t="s">
        <v>1026</v>
      </c>
      <c r="I534" s="2948" t="s">
        <v>1027</v>
      </c>
      <c r="J534" s="2948" t="s">
        <v>643</v>
      </c>
      <c r="K534" s="2950">
        <v>31.47</v>
      </c>
      <c r="L534" s="2950">
        <v>13.25</v>
      </c>
      <c r="M534" s="2951">
        <v>544975</v>
      </c>
      <c r="N534" s="2951">
        <v>544975</v>
      </c>
      <c r="O534" s="2952">
        <v>544975</v>
      </c>
      <c r="P534" s="2953">
        <v>544975</v>
      </c>
      <c r="Q534" s="2951">
        <v>544975</v>
      </c>
      <c r="R534" s="2954">
        <v>44734</v>
      </c>
      <c r="S534" s="2954">
        <v>44737</v>
      </c>
      <c r="T534" s="2954">
        <v>44767</v>
      </c>
      <c r="U534" s="2954">
        <v>44767</v>
      </c>
      <c r="V534" s="2948" t="s">
        <v>779</v>
      </c>
      <c r="W534" s="2944">
        <f t="shared" si="3"/>
        <v>17317.286304416899</v>
      </c>
    </row>
    <row r="535" spans="1:23" s="2944" customFormat="1" ht="46.8">
      <c r="A535" s="2948">
        <v>534</v>
      </c>
      <c r="B535" s="2948" t="s">
        <v>635</v>
      </c>
      <c r="C535" s="2948" t="s">
        <v>636</v>
      </c>
      <c r="D535" s="2948" t="s">
        <v>1025</v>
      </c>
      <c r="E535" s="2948" t="s">
        <v>729</v>
      </c>
      <c r="F535" s="2948" t="s">
        <v>1255</v>
      </c>
      <c r="G535" s="2948" t="s">
        <v>640</v>
      </c>
      <c r="H535" s="2948" t="s">
        <v>1026</v>
      </c>
      <c r="I535" s="2948" t="s">
        <v>1027</v>
      </c>
      <c r="J535" s="2948" t="s">
        <v>643</v>
      </c>
      <c r="K535" s="2950">
        <v>31.47</v>
      </c>
      <c r="L535" s="2950">
        <v>13.25</v>
      </c>
      <c r="M535" s="2951">
        <v>544975</v>
      </c>
      <c r="N535" s="2951">
        <v>544975</v>
      </c>
      <c r="O535" s="2952">
        <v>544975</v>
      </c>
      <c r="P535" s="2953">
        <v>544975</v>
      </c>
      <c r="Q535" s="2951">
        <v>544975</v>
      </c>
      <c r="R535" s="2948"/>
      <c r="S535" s="2954">
        <v>44739</v>
      </c>
      <c r="T535" s="2954">
        <v>44757</v>
      </c>
      <c r="U535" s="2954">
        <v>44757</v>
      </c>
      <c r="V535" s="2948" t="s">
        <v>738</v>
      </c>
      <c r="W535" s="2944">
        <f t="shared" si="3"/>
        <v>17317.286304416899</v>
      </c>
    </row>
    <row r="536" spans="1:23" s="2944" customFormat="1" ht="46.8">
      <c r="A536" s="2948">
        <v>535</v>
      </c>
      <c r="B536" s="2948" t="s">
        <v>635</v>
      </c>
      <c r="C536" s="2948" t="s">
        <v>636</v>
      </c>
      <c r="D536" s="2948" t="s">
        <v>1025</v>
      </c>
      <c r="E536" s="2948" t="s">
        <v>729</v>
      </c>
      <c r="F536" s="2948" t="s">
        <v>1256</v>
      </c>
      <c r="G536" s="2948" t="s">
        <v>640</v>
      </c>
      <c r="H536" s="2948" t="s">
        <v>1026</v>
      </c>
      <c r="I536" s="2948" t="s">
        <v>1027</v>
      </c>
      <c r="J536" s="2948" t="s">
        <v>643</v>
      </c>
      <c r="K536" s="2950">
        <v>31.47</v>
      </c>
      <c r="L536" s="2950">
        <v>13.25</v>
      </c>
      <c r="M536" s="2951">
        <v>544975</v>
      </c>
      <c r="N536" s="2951">
        <v>544975</v>
      </c>
      <c r="O536" s="2952">
        <v>544975</v>
      </c>
      <c r="P536" s="2953">
        <v>544975</v>
      </c>
      <c r="Q536" s="2951">
        <v>544975</v>
      </c>
      <c r="R536" s="2954">
        <v>44736</v>
      </c>
      <c r="S536" s="2954">
        <v>44737</v>
      </c>
      <c r="T536" s="2954">
        <v>44776</v>
      </c>
      <c r="U536" s="2954">
        <v>44776</v>
      </c>
      <c r="V536" s="2948" t="s">
        <v>738</v>
      </c>
      <c r="W536" s="2944">
        <f t="shared" si="3"/>
        <v>17317.286304416899</v>
      </c>
    </row>
    <row r="537" spans="1:23" s="2944" customFormat="1" ht="46.8">
      <c r="A537" s="2948">
        <v>536</v>
      </c>
      <c r="B537" s="2948" t="s">
        <v>635</v>
      </c>
      <c r="C537" s="2948" t="s">
        <v>636</v>
      </c>
      <c r="D537" s="2948" t="s">
        <v>1025</v>
      </c>
      <c r="E537" s="2948" t="s">
        <v>729</v>
      </c>
      <c r="F537" s="2948" t="s">
        <v>1257</v>
      </c>
      <c r="G537" s="2948" t="s">
        <v>640</v>
      </c>
      <c r="H537" s="2948" t="s">
        <v>1026</v>
      </c>
      <c r="I537" s="2948" t="s">
        <v>1027</v>
      </c>
      <c r="J537" s="2948" t="s">
        <v>643</v>
      </c>
      <c r="K537" s="2950">
        <v>31.47</v>
      </c>
      <c r="L537" s="2950">
        <v>13.25</v>
      </c>
      <c r="M537" s="2951">
        <v>544975</v>
      </c>
      <c r="N537" s="2951">
        <v>544975</v>
      </c>
      <c r="O537" s="2952">
        <v>544975</v>
      </c>
      <c r="P537" s="2953">
        <v>544975</v>
      </c>
      <c r="Q537" s="2951">
        <v>544975</v>
      </c>
      <c r="R537" s="2954">
        <v>44736</v>
      </c>
      <c r="S537" s="2954">
        <v>44737</v>
      </c>
      <c r="T537" s="2954">
        <v>44781</v>
      </c>
      <c r="U537" s="2954">
        <v>44781</v>
      </c>
      <c r="V537" s="2948" t="s">
        <v>686</v>
      </c>
      <c r="W537" s="2944">
        <f t="shared" si="3"/>
        <v>17317.286304416899</v>
      </c>
    </row>
    <row r="538" spans="1:23" s="2944" customFormat="1" ht="46.8">
      <c r="A538" s="2948">
        <v>537</v>
      </c>
      <c r="B538" s="2948" t="s">
        <v>635</v>
      </c>
      <c r="C538" s="2948" t="s">
        <v>636</v>
      </c>
      <c r="D538" s="2948" t="s">
        <v>1025</v>
      </c>
      <c r="E538" s="2948" t="s">
        <v>729</v>
      </c>
      <c r="F538" s="2948" t="s">
        <v>1258</v>
      </c>
      <c r="G538" s="2948" t="s">
        <v>640</v>
      </c>
      <c r="H538" s="2948" t="s">
        <v>1026</v>
      </c>
      <c r="I538" s="2948" t="s">
        <v>1027</v>
      </c>
      <c r="J538" s="2948" t="s">
        <v>643</v>
      </c>
      <c r="K538" s="2950">
        <v>31.47</v>
      </c>
      <c r="L538" s="2950">
        <v>13.25</v>
      </c>
      <c r="M538" s="2951">
        <v>544975</v>
      </c>
      <c r="N538" s="2951">
        <v>544975</v>
      </c>
      <c r="O538" s="2952">
        <v>544975</v>
      </c>
      <c r="P538" s="2953">
        <v>544975</v>
      </c>
      <c r="Q538" s="2951">
        <v>544975</v>
      </c>
      <c r="R538" s="2954">
        <v>44736</v>
      </c>
      <c r="S538" s="2954">
        <v>44737</v>
      </c>
      <c r="T538" s="2954">
        <v>44747</v>
      </c>
      <c r="U538" s="2954">
        <v>44747</v>
      </c>
      <c r="V538" s="2948" t="s">
        <v>716</v>
      </c>
      <c r="W538" s="2944">
        <f t="shared" si="3"/>
        <v>17317.286304416899</v>
      </c>
    </row>
    <row r="539" spans="1:23" s="2944" customFormat="1" ht="46.8">
      <c r="A539" s="2948">
        <v>538</v>
      </c>
      <c r="B539" s="2948" t="s">
        <v>635</v>
      </c>
      <c r="C539" s="2948" t="s">
        <v>636</v>
      </c>
      <c r="D539" s="2948" t="s">
        <v>1025</v>
      </c>
      <c r="E539" s="2948" t="s">
        <v>729</v>
      </c>
      <c r="F539" s="2948" t="s">
        <v>1259</v>
      </c>
      <c r="G539" s="2948" t="s">
        <v>640</v>
      </c>
      <c r="H539" s="2948" t="s">
        <v>1026</v>
      </c>
      <c r="I539" s="2948" t="s">
        <v>1027</v>
      </c>
      <c r="J539" s="2948" t="s">
        <v>643</v>
      </c>
      <c r="K539" s="2950">
        <v>31.47</v>
      </c>
      <c r="L539" s="2950">
        <v>13.25</v>
      </c>
      <c r="M539" s="2951">
        <v>544975</v>
      </c>
      <c r="N539" s="2951">
        <v>544975</v>
      </c>
      <c r="O539" s="2952">
        <v>544975</v>
      </c>
      <c r="P539" s="2953">
        <v>544975</v>
      </c>
      <c r="Q539" s="2951">
        <v>544975</v>
      </c>
      <c r="R539" s="2954">
        <v>44736</v>
      </c>
      <c r="S539" s="2954">
        <v>44737</v>
      </c>
      <c r="T539" s="2954">
        <v>44748</v>
      </c>
      <c r="U539" s="2954">
        <v>44748</v>
      </c>
      <c r="V539" s="2948" t="s">
        <v>757</v>
      </c>
      <c r="W539" s="2944">
        <f t="shared" si="3"/>
        <v>17317.286304416899</v>
      </c>
    </row>
    <row r="540" spans="1:23" s="2944" customFormat="1" ht="46.8" hidden="1">
      <c r="A540" s="2948">
        <v>539</v>
      </c>
      <c r="B540" s="2948" t="s">
        <v>635</v>
      </c>
      <c r="C540" s="2948" t="s">
        <v>636</v>
      </c>
      <c r="D540" s="2948" t="s">
        <v>1025</v>
      </c>
      <c r="E540" s="2948" t="s">
        <v>729</v>
      </c>
      <c r="F540" s="2948" t="s">
        <v>1260</v>
      </c>
      <c r="G540" s="2948" t="s">
        <v>1041</v>
      </c>
      <c r="H540" s="2948" t="s">
        <v>1026</v>
      </c>
      <c r="I540" s="2948" t="s">
        <v>1027</v>
      </c>
      <c r="J540" s="2948" t="s">
        <v>643</v>
      </c>
      <c r="K540" s="2950">
        <v>31.47</v>
      </c>
      <c r="L540" s="2950">
        <v>13.25</v>
      </c>
      <c r="M540" s="2951">
        <v>0</v>
      </c>
      <c r="N540" s="2951">
        <v>0</v>
      </c>
      <c r="O540" s="2955"/>
      <c r="P540" s="2948"/>
      <c r="Q540" s="2951">
        <v>0</v>
      </c>
      <c r="R540" s="2948"/>
      <c r="S540" s="2948"/>
      <c r="T540" s="2948"/>
      <c r="U540" s="2948"/>
      <c r="V540" s="2948"/>
      <c r="W540" s="2944">
        <f t="shared" si="3"/>
        <v>0</v>
      </c>
    </row>
    <row r="541" spans="1:23" s="2944" customFormat="1" ht="46.8">
      <c r="A541" s="2948">
        <v>540</v>
      </c>
      <c r="B541" s="2948" t="s">
        <v>635</v>
      </c>
      <c r="C541" s="2948" t="s">
        <v>636</v>
      </c>
      <c r="D541" s="2948" t="s">
        <v>1025</v>
      </c>
      <c r="E541" s="2948" t="s">
        <v>729</v>
      </c>
      <c r="F541" s="2948" t="s">
        <v>1261</v>
      </c>
      <c r="G541" s="2948" t="s">
        <v>640</v>
      </c>
      <c r="H541" s="2948" t="s">
        <v>1026</v>
      </c>
      <c r="I541" s="2948" t="s">
        <v>1027</v>
      </c>
      <c r="J541" s="2948" t="s">
        <v>643</v>
      </c>
      <c r="K541" s="2950">
        <v>31.47</v>
      </c>
      <c r="L541" s="2950">
        <v>13.25</v>
      </c>
      <c r="M541" s="2951">
        <v>544975</v>
      </c>
      <c r="N541" s="2951">
        <v>544975</v>
      </c>
      <c r="O541" s="2952">
        <v>544975</v>
      </c>
      <c r="P541" s="2953">
        <v>544975</v>
      </c>
      <c r="Q541" s="2951">
        <v>544975</v>
      </c>
      <c r="R541" s="2954">
        <v>44553</v>
      </c>
      <c r="S541" s="2954">
        <v>44561</v>
      </c>
      <c r="T541" s="2954">
        <v>44757</v>
      </c>
      <c r="U541" s="2954">
        <v>44757</v>
      </c>
      <c r="V541" s="2948" t="s">
        <v>859</v>
      </c>
      <c r="W541" s="2944">
        <f t="shared" si="3"/>
        <v>17317.286304416899</v>
      </c>
    </row>
    <row r="542" spans="1:23" s="2944" customFormat="1" ht="46.8" hidden="1">
      <c r="A542" s="2948">
        <v>541</v>
      </c>
      <c r="B542" s="2948" t="s">
        <v>635</v>
      </c>
      <c r="C542" s="2948" t="s">
        <v>636</v>
      </c>
      <c r="D542" s="2948" t="s">
        <v>1025</v>
      </c>
      <c r="E542" s="2948" t="s">
        <v>729</v>
      </c>
      <c r="F542" s="2948" t="s">
        <v>1262</v>
      </c>
      <c r="G542" s="2948" t="s">
        <v>1041</v>
      </c>
      <c r="H542" s="2948" t="s">
        <v>1026</v>
      </c>
      <c r="I542" s="2948" t="s">
        <v>1027</v>
      </c>
      <c r="J542" s="2948" t="s">
        <v>643</v>
      </c>
      <c r="K542" s="2950">
        <v>31.47</v>
      </c>
      <c r="L542" s="2950">
        <v>13.25</v>
      </c>
      <c r="M542" s="2951">
        <v>0</v>
      </c>
      <c r="N542" s="2951">
        <v>0</v>
      </c>
      <c r="O542" s="2955"/>
      <c r="P542" s="2948"/>
      <c r="Q542" s="2951">
        <v>0</v>
      </c>
      <c r="R542" s="2948"/>
      <c r="S542" s="2948"/>
      <c r="T542" s="2948"/>
      <c r="U542" s="2948"/>
      <c r="V542" s="2948"/>
      <c r="W542" s="2944">
        <f t="shared" si="3"/>
        <v>0</v>
      </c>
    </row>
    <row r="543" spans="1:23" s="2944" customFormat="1" ht="46.8">
      <c r="A543" s="2948">
        <v>542</v>
      </c>
      <c r="B543" s="2948" t="s">
        <v>635</v>
      </c>
      <c r="C543" s="2948" t="s">
        <v>636</v>
      </c>
      <c r="D543" s="2948" t="s">
        <v>1025</v>
      </c>
      <c r="E543" s="2948" t="s">
        <v>729</v>
      </c>
      <c r="F543" s="2948" t="s">
        <v>1263</v>
      </c>
      <c r="G543" s="2948" t="s">
        <v>640</v>
      </c>
      <c r="H543" s="2948" t="s">
        <v>1026</v>
      </c>
      <c r="I543" s="2948" t="s">
        <v>1027</v>
      </c>
      <c r="J543" s="2948" t="s">
        <v>643</v>
      </c>
      <c r="K543" s="2950">
        <v>31.47</v>
      </c>
      <c r="L543" s="2950">
        <v>13.25</v>
      </c>
      <c r="M543" s="2951">
        <v>544975</v>
      </c>
      <c r="N543" s="2951">
        <v>544975</v>
      </c>
      <c r="O543" s="2952">
        <v>544975</v>
      </c>
      <c r="P543" s="2953">
        <v>544975</v>
      </c>
      <c r="Q543" s="2951">
        <v>544975</v>
      </c>
      <c r="R543" s="2954">
        <v>44554</v>
      </c>
      <c r="S543" s="2954">
        <v>44559</v>
      </c>
      <c r="T543" s="2954">
        <v>44559</v>
      </c>
      <c r="U543" s="2954">
        <v>44559</v>
      </c>
      <c r="V543" s="2948" t="s">
        <v>731</v>
      </c>
      <c r="W543" s="2944">
        <f t="shared" si="3"/>
        <v>17317.286304416899</v>
      </c>
    </row>
    <row r="544" spans="1:23" s="2944" customFormat="1" ht="46.8">
      <c r="A544" s="2948">
        <v>543</v>
      </c>
      <c r="B544" s="2948" t="s">
        <v>635</v>
      </c>
      <c r="C544" s="2948" t="s">
        <v>636</v>
      </c>
      <c r="D544" s="2948" t="s">
        <v>1025</v>
      </c>
      <c r="E544" s="2948" t="s">
        <v>729</v>
      </c>
      <c r="F544" s="2948" t="s">
        <v>1264</v>
      </c>
      <c r="G544" s="2948" t="s">
        <v>640</v>
      </c>
      <c r="H544" s="2948" t="s">
        <v>1026</v>
      </c>
      <c r="I544" s="2948" t="s">
        <v>1027</v>
      </c>
      <c r="J544" s="2948" t="s">
        <v>643</v>
      </c>
      <c r="K544" s="2950">
        <v>31.47</v>
      </c>
      <c r="L544" s="2950">
        <v>13.25</v>
      </c>
      <c r="M544" s="2951">
        <v>544975</v>
      </c>
      <c r="N544" s="2951">
        <v>544975</v>
      </c>
      <c r="O544" s="2952">
        <v>544975</v>
      </c>
      <c r="P544" s="2953">
        <v>544975</v>
      </c>
      <c r="Q544" s="2951">
        <v>544975</v>
      </c>
      <c r="R544" s="2954">
        <v>44554</v>
      </c>
      <c r="S544" s="2954">
        <v>44561</v>
      </c>
      <c r="T544" s="2954">
        <v>44604</v>
      </c>
      <c r="U544" s="2954">
        <v>44604</v>
      </c>
      <c r="V544" s="2948" t="s">
        <v>727</v>
      </c>
      <c r="W544" s="2944">
        <f t="shared" si="3"/>
        <v>17317.286304416899</v>
      </c>
    </row>
    <row r="545" spans="1:23" s="2944" customFormat="1" ht="46.8">
      <c r="A545" s="2948">
        <v>544</v>
      </c>
      <c r="B545" s="2948" t="s">
        <v>635</v>
      </c>
      <c r="C545" s="2948" t="s">
        <v>636</v>
      </c>
      <c r="D545" s="2948" t="s">
        <v>1025</v>
      </c>
      <c r="E545" s="2948" t="s">
        <v>729</v>
      </c>
      <c r="F545" s="2948" t="s">
        <v>1265</v>
      </c>
      <c r="G545" s="2948" t="s">
        <v>640</v>
      </c>
      <c r="H545" s="2948" t="s">
        <v>1026</v>
      </c>
      <c r="I545" s="2948" t="s">
        <v>1027</v>
      </c>
      <c r="J545" s="2948" t="s">
        <v>643</v>
      </c>
      <c r="K545" s="2950">
        <v>31.47</v>
      </c>
      <c r="L545" s="2950">
        <v>13.25</v>
      </c>
      <c r="M545" s="2951">
        <v>544975</v>
      </c>
      <c r="N545" s="2951">
        <v>544975</v>
      </c>
      <c r="O545" s="2952">
        <v>517726</v>
      </c>
      <c r="P545" s="2953">
        <v>517726</v>
      </c>
      <c r="Q545" s="2951">
        <v>517726</v>
      </c>
      <c r="R545" s="2954">
        <v>44553</v>
      </c>
      <c r="S545" s="2954">
        <v>44561</v>
      </c>
      <c r="T545" s="2954">
        <v>44757</v>
      </c>
      <c r="U545" s="2954">
        <v>44757</v>
      </c>
      <c r="V545" s="2948" t="s">
        <v>888</v>
      </c>
      <c r="W545" s="2944">
        <f t="shared" si="3"/>
        <v>16451.414045122299</v>
      </c>
    </row>
    <row r="546" spans="1:23" s="2944" customFormat="1" ht="46.8">
      <c r="A546" s="2948">
        <v>545</v>
      </c>
      <c r="B546" s="2948" t="s">
        <v>635</v>
      </c>
      <c r="C546" s="2948" t="s">
        <v>636</v>
      </c>
      <c r="D546" s="2948" t="s">
        <v>1025</v>
      </c>
      <c r="E546" s="2948" t="s">
        <v>729</v>
      </c>
      <c r="F546" s="2948" t="s">
        <v>1266</v>
      </c>
      <c r="G546" s="2948" t="s">
        <v>640</v>
      </c>
      <c r="H546" s="2948" t="s">
        <v>1026</v>
      </c>
      <c r="I546" s="2948" t="s">
        <v>1027</v>
      </c>
      <c r="J546" s="2948" t="s">
        <v>643</v>
      </c>
      <c r="K546" s="2950">
        <v>31.47</v>
      </c>
      <c r="L546" s="2950">
        <v>13.25</v>
      </c>
      <c r="M546" s="2951">
        <v>544975</v>
      </c>
      <c r="N546" s="2951">
        <v>544975</v>
      </c>
      <c r="O546" s="2952">
        <v>544975</v>
      </c>
      <c r="P546" s="2953">
        <v>544975</v>
      </c>
      <c r="Q546" s="2951">
        <v>544975</v>
      </c>
      <c r="R546" s="2954">
        <v>44277</v>
      </c>
      <c r="S546" s="2954">
        <v>44279</v>
      </c>
      <c r="T546" s="2954">
        <v>44529</v>
      </c>
      <c r="U546" s="2954">
        <v>44529</v>
      </c>
      <c r="V546" s="2948" t="s">
        <v>795</v>
      </c>
      <c r="W546" s="2944">
        <f t="shared" si="3"/>
        <v>17317.286304416899</v>
      </c>
    </row>
    <row r="547" spans="1:23" s="2944" customFormat="1" ht="46.8">
      <c r="A547" s="2948">
        <v>546</v>
      </c>
      <c r="B547" s="2948" t="s">
        <v>635</v>
      </c>
      <c r="C547" s="2948" t="s">
        <v>636</v>
      </c>
      <c r="D547" s="2948" t="s">
        <v>1025</v>
      </c>
      <c r="E547" s="2948" t="s">
        <v>729</v>
      </c>
      <c r="F547" s="2948" t="s">
        <v>1267</v>
      </c>
      <c r="G547" s="2948" t="s">
        <v>640</v>
      </c>
      <c r="H547" s="2948" t="s">
        <v>1026</v>
      </c>
      <c r="I547" s="2948" t="s">
        <v>1027</v>
      </c>
      <c r="J547" s="2948" t="s">
        <v>643</v>
      </c>
      <c r="K547" s="2950">
        <v>31.47</v>
      </c>
      <c r="L547" s="2950">
        <v>13.25</v>
      </c>
      <c r="M547" s="2951">
        <v>544975</v>
      </c>
      <c r="N547" s="2951">
        <v>544975</v>
      </c>
      <c r="O547" s="2952">
        <v>544975</v>
      </c>
      <c r="P547" s="2953">
        <v>544975</v>
      </c>
      <c r="Q547" s="2951">
        <v>544975</v>
      </c>
      <c r="R547" s="2954">
        <v>44558</v>
      </c>
      <c r="S547" s="2954">
        <v>44561</v>
      </c>
      <c r="T547" s="2954">
        <v>44781</v>
      </c>
      <c r="U547" s="2954">
        <v>44781</v>
      </c>
      <c r="V547" s="2948" t="s">
        <v>782</v>
      </c>
      <c r="W547" s="2944">
        <f t="shared" si="3"/>
        <v>17317.286304416899</v>
      </c>
    </row>
    <row r="548" spans="1:23" s="2944" customFormat="1" ht="46.8" hidden="1">
      <c r="A548" s="2948">
        <v>547</v>
      </c>
      <c r="B548" s="2948" t="s">
        <v>635</v>
      </c>
      <c r="C548" s="2948" t="s">
        <v>636</v>
      </c>
      <c r="D548" s="2948" t="s">
        <v>1025</v>
      </c>
      <c r="E548" s="2948" t="s">
        <v>729</v>
      </c>
      <c r="F548" s="2948" t="s">
        <v>1268</v>
      </c>
      <c r="G548" s="2948" t="s">
        <v>1041</v>
      </c>
      <c r="H548" s="2948" t="s">
        <v>1149</v>
      </c>
      <c r="I548" s="2948" t="s">
        <v>1027</v>
      </c>
      <c r="J548" s="2948" t="s">
        <v>643</v>
      </c>
      <c r="K548" s="2950">
        <v>62.94</v>
      </c>
      <c r="L548" s="2950">
        <v>26.5</v>
      </c>
      <c r="M548" s="2951">
        <v>0</v>
      </c>
      <c r="N548" s="2951">
        <v>0</v>
      </c>
      <c r="O548" s="2955"/>
      <c r="P548" s="2948"/>
      <c r="Q548" s="2951">
        <v>0</v>
      </c>
      <c r="R548" s="2948"/>
      <c r="S548" s="2948"/>
      <c r="T548" s="2948"/>
      <c r="U548" s="2948"/>
      <c r="V548" s="2948"/>
      <c r="W548" s="2944">
        <f t="shared" si="3"/>
        <v>0</v>
      </c>
    </row>
    <row r="549" spans="1:23" s="2944" customFormat="1" ht="46.8">
      <c r="A549" s="2948">
        <v>548</v>
      </c>
      <c r="B549" s="2948" t="s">
        <v>635</v>
      </c>
      <c r="C549" s="2948" t="s">
        <v>636</v>
      </c>
      <c r="D549" s="2948" t="s">
        <v>1025</v>
      </c>
      <c r="E549" s="2948" t="s">
        <v>729</v>
      </c>
      <c r="F549" s="2948" t="s">
        <v>1269</v>
      </c>
      <c r="G549" s="2948" t="s">
        <v>640</v>
      </c>
      <c r="H549" s="2948" t="s">
        <v>1149</v>
      </c>
      <c r="I549" s="2948" t="s">
        <v>1027</v>
      </c>
      <c r="J549" s="2948" t="s">
        <v>643</v>
      </c>
      <c r="K549" s="2950">
        <v>62.94</v>
      </c>
      <c r="L549" s="2950">
        <v>26.5</v>
      </c>
      <c r="M549" s="2951">
        <v>681218</v>
      </c>
      <c r="N549" s="2951">
        <v>681218</v>
      </c>
      <c r="O549" s="2952">
        <v>681218</v>
      </c>
      <c r="P549" s="2953">
        <v>681218</v>
      </c>
      <c r="Q549" s="2951">
        <v>681218</v>
      </c>
      <c r="R549" s="2954">
        <v>44273</v>
      </c>
      <c r="S549" s="2954">
        <v>44277</v>
      </c>
      <c r="T549" s="2954">
        <v>44350</v>
      </c>
      <c r="U549" s="2954">
        <v>44350</v>
      </c>
      <c r="V549" s="2948" t="s">
        <v>811</v>
      </c>
      <c r="W549" s="2944">
        <f t="shared" si="3"/>
        <v>10823.29202415</v>
      </c>
    </row>
    <row r="550" spans="1:23" s="2944" customFormat="1" ht="46.8">
      <c r="A550" s="2948">
        <v>549</v>
      </c>
      <c r="B550" s="2948" t="s">
        <v>635</v>
      </c>
      <c r="C550" s="2948" t="s">
        <v>636</v>
      </c>
      <c r="D550" s="2948" t="s">
        <v>1025</v>
      </c>
      <c r="E550" s="2948" t="s">
        <v>729</v>
      </c>
      <c r="F550" s="2948" t="s">
        <v>1270</v>
      </c>
      <c r="G550" s="2948" t="s">
        <v>640</v>
      </c>
      <c r="H550" s="2948" t="s">
        <v>1026</v>
      </c>
      <c r="I550" s="2948" t="s">
        <v>1027</v>
      </c>
      <c r="J550" s="2948" t="s">
        <v>643</v>
      </c>
      <c r="K550" s="2950">
        <v>31.47</v>
      </c>
      <c r="L550" s="2950">
        <v>13.25</v>
      </c>
      <c r="M550" s="2951">
        <v>544975</v>
      </c>
      <c r="N550" s="2951">
        <v>544975</v>
      </c>
      <c r="O550" s="2952">
        <v>544975</v>
      </c>
      <c r="P550" s="2953">
        <v>544975</v>
      </c>
      <c r="Q550" s="2951">
        <v>544975</v>
      </c>
      <c r="R550" s="2954">
        <v>44554</v>
      </c>
      <c r="S550" s="2954">
        <v>44561</v>
      </c>
      <c r="T550" s="2954">
        <v>44713</v>
      </c>
      <c r="U550" s="2954">
        <v>44713</v>
      </c>
      <c r="V550" s="2948" t="s">
        <v>820</v>
      </c>
      <c r="W550" s="2944">
        <f t="shared" si="3"/>
        <v>17317.286304416899</v>
      </c>
    </row>
    <row r="551" spans="1:23" s="2944" customFormat="1" ht="46.8" hidden="1">
      <c r="A551" s="2948">
        <v>550</v>
      </c>
      <c r="B551" s="2948" t="s">
        <v>635</v>
      </c>
      <c r="C551" s="2948" t="s">
        <v>636</v>
      </c>
      <c r="D551" s="2948" t="s">
        <v>1025</v>
      </c>
      <c r="E551" s="2948" t="s">
        <v>729</v>
      </c>
      <c r="F551" s="2948" t="s">
        <v>1271</v>
      </c>
      <c r="G551" s="2948" t="s">
        <v>1041</v>
      </c>
      <c r="H551" s="2948" t="s">
        <v>1026</v>
      </c>
      <c r="I551" s="2948" t="s">
        <v>1027</v>
      </c>
      <c r="J551" s="2948" t="s">
        <v>643</v>
      </c>
      <c r="K551" s="2950">
        <v>31.47</v>
      </c>
      <c r="L551" s="2950">
        <v>13.25</v>
      </c>
      <c r="M551" s="2951">
        <v>0</v>
      </c>
      <c r="N551" s="2951">
        <v>0</v>
      </c>
      <c r="O551" s="2955"/>
      <c r="P551" s="2948"/>
      <c r="Q551" s="2951">
        <v>0</v>
      </c>
      <c r="R551" s="2948"/>
      <c r="S551" s="2948"/>
      <c r="T551" s="2948"/>
      <c r="U551" s="2948"/>
      <c r="V551" s="2948"/>
      <c r="W551" s="2944">
        <f t="shared" si="3"/>
        <v>0</v>
      </c>
    </row>
    <row r="552" spans="1:23" s="2944" customFormat="1" ht="46.8" hidden="1">
      <c r="A552" s="2948">
        <v>551</v>
      </c>
      <c r="B552" s="2948" t="s">
        <v>635</v>
      </c>
      <c r="C552" s="2948" t="s">
        <v>636</v>
      </c>
      <c r="D552" s="2948" t="s">
        <v>1025</v>
      </c>
      <c r="E552" s="2948" t="s">
        <v>729</v>
      </c>
      <c r="F552" s="2948" t="s">
        <v>1272</v>
      </c>
      <c r="G552" s="2948" t="s">
        <v>1041</v>
      </c>
      <c r="H552" s="2948" t="s">
        <v>1026</v>
      </c>
      <c r="I552" s="2948" t="s">
        <v>1027</v>
      </c>
      <c r="J552" s="2948" t="s">
        <v>643</v>
      </c>
      <c r="K552" s="2950">
        <v>31.47</v>
      </c>
      <c r="L552" s="2950">
        <v>13.25</v>
      </c>
      <c r="M552" s="2951">
        <v>0</v>
      </c>
      <c r="N552" s="2951">
        <v>0</v>
      </c>
      <c r="O552" s="2955"/>
      <c r="P552" s="2948"/>
      <c r="Q552" s="2951">
        <v>0</v>
      </c>
      <c r="R552" s="2948"/>
      <c r="S552" s="2948"/>
      <c r="T552" s="2948"/>
      <c r="U552" s="2948"/>
      <c r="V552" s="2948"/>
      <c r="W552" s="2944">
        <f t="shared" si="3"/>
        <v>0</v>
      </c>
    </row>
    <row r="553" spans="1:23" s="2944" customFormat="1" ht="46.8">
      <c r="A553" s="2948">
        <v>552</v>
      </c>
      <c r="B553" s="2948" t="s">
        <v>635</v>
      </c>
      <c r="C553" s="2948" t="s">
        <v>636</v>
      </c>
      <c r="D553" s="2948" t="s">
        <v>1025</v>
      </c>
      <c r="E553" s="2948" t="s">
        <v>729</v>
      </c>
      <c r="F553" s="2948" t="s">
        <v>1273</v>
      </c>
      <c r="G553" s="2948" t="s">
        <v>640</v>
      </c>
      <c r="H553" s="2948" t="s">
        <v>1026</v>
      </c>
      <c r="I553" s="2948" t="s">
        <v>1027</v>
      </c>
      <c r="J553" s="2948" t="s">
        <v>643</v>
      </c>
      <c r="K553" s="2950">
        <v>31.47</v>
      </c>
      <c r="L553" s="2950">
        <v>13.25</v>
      </c>
      <c r="M553" s="2951">
        <v>544975</v>
      </c>
      <c r="N553" s="2951">
        <v>544975</v>
      </c>
      <c r="O553" s="2952">
        <v>544975</v>
      </c>
      <c r="P553" s="2953">
        <v>544975</v>
      </c>
      <c r="Q553" s="2951">
        <v>544975</v>
      </c>
      <c r="R553" s="2954">
        <v>44736</v>
      </c>
      <c r="S553" s="2954">
        <v>44737</v>
      </c>
      <c r="T553" s="2954">
        <v>44757</v>
      </c>
      <c r="U553" s="2954">
        <v>44757</v>
      </c>
      <c r="V553" s="2948" t="s">
        <v>835</v>
      </c>
      <c r="W553" s="2944">
        <f t="shared" si="3"/>
        <v>17317.286304416899</v>
      </c>
    </row>
    <row r="554" spans="1:23" s="2944" customFormat="1" ht="46.8">
      <c r="A554" s="2948">
        <v>553</v>
      </c>
      <c r="B554" s="2948" t="s">
        <v>635</v>
      </c>
      <c r="C554" s="2948" t="s">
        <v>636</v>
      </c>
      <c r="D554" s="2948" t="s">
        <v>1025</v>
      </c>
      <c r="E554" s="2948" t="s">
        <v>729</v>
      </c>
      <c r="F554" s="2948" t="s">
        <v>1274</v>
      </c>
      <c r="G554" s="2948" t="s">
        <v>640</v>
      </c>
      <c r="H554" s="2948" t="s">
        <v>1026</v>
      </c>
      <c r="I554" s="2948" t="s">
        <v>1027</v>
      </c>
      <c r="J554" s="2948" t="s">
        <v>643</v>
      </c>
      <c r="K554" s="2950">
        <v>31.47</v>
      </c>
      <c r="L554" s="2950">
        <v>13.25</v>
      </c>
      <c r="M554" s="2951">
        <v>544975</v>
      </c>
      <c r="N554" s="2951">
        <v>544975</v>
      </c>
      <c r="O554" s="2952">
        <v>544975</v>
      </c>
      <c r="P554" s="2953">
        <v>544975</v>
      </c>
      <c r="Q554" s="2951">
        <v>544975</v>
      </c>
      <c r="R554" s="2954">
        <v>44554</v>
      </c>
      <c r="S554" s="2954">
        <v>44561</v>
      </c>
      <c r="T554" s="2954">
        <v>44757</v>
      </c>
      <c r="U554" s="2954">
        <v>44757</v>
      </c>
      <c r="V554" s="2948" t="s">
        <v>835</v>
      </c>
      <c r="W554" s="2944">
        <f t="shared" si="3"/>
        <v>17317.286304416899</v>
      </c>
    </row>
    <row r="555" spans="1:23" s="2944" customFormat="1" ht="46.8">
      <c r="A555" s="2948">
        <v>554</v>
      </c>
      <c r="B555" s="2948" t="s">
        <v>635</v>
      </c>
      <c r="C555" s="2948" t="s">
        <v>636</v>
      </c>
      <c r="D555" s="2948" t="s">
        <v>1025</v>
      </c>
      <c r="E555" s="2948" t="s">
        <v>729</v>
      </c>
      <c r="F555" s="2948" t="s">
        <v>1275</v>
      </c>
      <c r="G555" s="2948" t="s">
        <v>640</v>
      </c>
      <c r="H555" s="2948" t="s">
        <v>1026</v>
      </c>
      <c r="I555" s="2948" t="s">
        <v>1027</v>
      </c>
      <c r="J555" s="2948" t="s">
        <v>643</v>
      </c>
      <c r="K555" s="2950">
        <v>31.47</v>
      </c>
      <c r="L555" s="2950">
        <v>13.25</v>
      </c>
      <c r="M555" s="2951">
        <v>544975</v>
      </c>
      <c r="N555" s="2951">
        <v>544975</v>
      </c>
      <c r="O555" s="2952">
        <v>544975</v>
      </c>
      <c r="P555" s="2953">
        <v>544975</v>
      </c>
      <c r="Q555" s="2951">
        <v>544975</v>
      </c>
      <c r="R555" s="2954">
        <v>44559</v>
      </c>
      <c r="S555" s="2954">
        <v>44561</v>
      </c>
      <c r="T555" s="2954">
        <v>44754</v>
      </c>
      <c r="U555" s="2954">
        <v>44754</v>
      </c>
      <c r="V555" s="2948" t="s">
        <v>957</v>
      </c>
      <c r="W555" s="2944">
        <f t="shared" si="3"/>
        <v>17317.286304416899</v>
      </c>
    </row>
    <row r="556" spans="1:23" s="2944" customFormat="1" ht="46.8">
      <c r="A556" s="2948">
        <v>555</v>
      </c>
      <c r="B556" s="2948" t="s">
        <v>635</v>
      </c>
      <c r="C556" s="2948" t="s">
        <v>636</v>
      </c>
      <c r="D556" s="2948" t="s">
        <v>1276</v>
      </c>
      <c r="E556" s="2948" t="s">
        <v>729</v>
      </c>
      <c r="F556" s="2948" t="s">
        <v>1277</v>
      </c>
      <c r="G556" s="2948" t="s">
        <v>640</v>
      </c>
      <c r="H556" s="2948" t="s">
        <v>1278</v>
      </c>
      <c r="I556" s="2948" t="s">
        <v>1279</v>
      </c>
      <c r="J556" s="2948" t="s">
        <v>643</v>
      </c>
      <c r="K556" s="2950">
        <v>33.03</v>
      </c>
      <c r="L556" s="2950">
        <v>13.25</v>
      </c>
      <c r="M556" s="2951">
        <v>544975</v>
      </c>
      <c r="N556" s="2951">
        <v>544975</v>
      </c>
      <c r="O556" s="2952">
        <v>500000</v>
      </c>
      <c r="P556" s="2953">
        <v>500000</v>
      </c>
      <c r="Q556" s="2951">
        <v>500000</v>
      </c>
      <c r="R556" s="2954">
        <v>45077</v>
      </c>
      <c r="S556" s="2954">
        <v>45094</v>
      </c>
      <c r="T556" s="2948"/>
      <c r="U556" s="2948"/>
      <c r="V556" s="2948" t="s">
        <v>1117</v>
      </c>
    </row>
    <row r="557" spans="1:23" s="2944" customFormat="1" ht="46.8">
      <c r="A557" s="2948">
        <v>556</v>
      </c>
      <c r="B557" s="2948" t="s">
        <v>635</v>
      </c>
      <c r="C557" s="2948" t="s">
        <v>636</v>
      </c>
      <c r="D557" s="2948" t="s">
        <v>1276</v>
      </c>
      <c r="E557" s="2948" t="s">
        <v>729</v>
      </c>
      <c r="F557" s="2948" t="s">
        <v>1280</v>
      </c>
      <c r="G557" s="2948" t="s">
        <v>640</v>
      </c>
      <c r="H557" s="2948" t="s">
        <v>1278</v>
      </c>
      <c r="I557" s="2948" t="s">
        <v>1279</v>
      </c>
      <c r="J557" s="2948" t="s">
        <v>643</v>
      </c>
      <c r="K557" s="2950">
        <v>33.03</v>
      </c>
      <c r="L557" s="2950">
        <v>13.25</v>
      </c>
      <c r="M557" s="2951">
        <v>500000</v>
      </c>
      <c r="N557" s="2951">
        <v>500000</v>
      </c>
      <c r="O557" s="2952">
        <v>500000</v>
      </c>
      <c r="P557" s="2953">
        <v>500000</v>
      </c>
      <c r="Q557" s="2951">
        <v>500000</v>
      </c>
      <c r="R557" s="2954">
        <v>45287</v>
      </c>
      <c r="S557" s="2954">
        <v>45287</v>
      </c>
      <c r="T557" s="2948"/>
      <c r="U557" s="2948"/>
      <c r="V557" s="2948" t="s">
        <v>1281</v>
      </c>
    </row>
    <row r="558" spans="1:23" s="2944" customFormat="1" ht="46.8">
      <c r="A558" s="2948">
        <v>557</v>
      </c>
      <c r="B558" s="2948" t="s">
        <v>635</v>
      </c>
      <c r="C558" s="2948" t="s">
        <v>636</v>
      </c>
      <c r="D558" s="2948" t="s">
        <v>1276</v>
      </c>
      <c r="E558" s="2948" t="s">
        <v>729</v>
      </c>
      <c r="F558" s="2948" t="s">
        <v>1282</v>
      </c>
      <c r="G558" s="2948" t="s">
        <v>640</v>
      </c>
      <c r="H558" s="2948" t="s">
        <v>1278</v>
      </c>
      <c r="I558" s="2948" t="s">
        <v>1279</v>
      </c>
      <c r="J558" s="2948" t="s">
        <v>643</v>
      </c>
      <c r="K558" s="2950">
        <v>33.03</v>
      </c>
      <c r="L558" s="2950">
        <v>13.25</v>
      </c>
      <c r="M558" s="2951">
        <v>500000</v>
      </c>
      <c r="N558" s="2951">
        <v>500000</v>
      </c>
      <c r="O558" s="2952">
        <v>500000</v>
      </c>
      <c r="P558" s="2953">
        <v>500000</v>
      </c>
      <c r="Q558" s="2951">
        <v>500000</v>
      </c>
      <c r="R558" s="2954">
        <v>45287</v>
      </c>
      <c r="S558" s="2954">
        <v>45287</v>
      </c>
      <c r="T558" s="2948"/>
      <c r="U558" s="2948"/>
      <c r="V558" s="2948" t="s">
        <v>1281</v>
      </c>
    </row>
    <row r="559" spans="1:23" s="2944" customFormat="1" ht="46.8" hidden="1">
      <c r="A559" s="2948">
        <v>558</v>
      </c>
      <c r="B559" s="2948" t="s">
        <v>635</v>
      </c>
      <c r="C559" s="2948" t="s">
        <v>636</v>
      </c>
      <c r="D559" s="2948" t="s">
        <v>1276</v>
      </c>
      <c r="E559" s="2948" t="s">
        <v>729</v>
      </c>
      <c r="F559" s="2948" t="s">
        <v>1283</v>
      </c>
      <c r="G559" s="2948" t="s">
        <v>1035</v>
      </c>
      <c r="H559" s="2948" t="s">
        <v>1278</v>
      </c>
      <c r="I559" s="2948" t="s">
        <v>1279</v>
      </c>
      <c r="J559" s="2948" t="s">
        <v>643</v>
      </c>
      <c r="K559" s="2950">
        <v>33.03</v>
      </c>
      <c r="L559" s="2950">
        <v>13.25</v>
      </c>
      <c r="M559" s="2951">
        <v>500000</v>
      </c>
      <c r="N559" s="2951">
        <v>500000</v>
      </c>
      <c r="O559" s="2955"/>
      <c r="P559" s="2948"/>
      <c r="Q559" s="2951">
        <v>0</v>
      </c>
      <c r="R559" s="2948"/>
      <c r="S559" s="2948"/>
      <c r="T559" s="2948"/>
      <c r="U559" s="2948"/>
      <c r="V559" s="2948"/>
    </row>
    <row r="560" spans="1:23" s="2944" customFormat="1" ht="46.8">
      <c r="A560" s="2948">
        <v>559</v>
      </c>
      <c r="B560" s="2948" t="s">
        <v>635</v>
      </c>
      <c r="C560" s="2948" t="s">
        <v>636</v>
      </c>
      <c r="D560" s="2948" t="s">
        <v>1276</v>
      </c>
      <c r="E560" s="2948" t="s">
        <v>729</v>
      </c>
      <c r="F560" s="2948" t="s">
        <v>1284</v>
      </c>
      <c r="G560" s="2948" t="s">
        <v>640</v>
      </c>
      <c r="H560" s="2948" t="s">
        <v>1278</v>
      </c>
      <c r="I560" s="2948" t="s">
        <v>1279</v>
      </c>
      <c r="J560" s="2948" t="s">
        <v>643</v>
      </c>
      <c r="K560" s="2950">
        <v>33.03</v>
      </c>
      <c r="L560" s="2950">
        <v>13.25</v>
      </c>
      <c r="M560" s="2951">
        <v>544975</v>
      </c>
      <c r="N560" s="2951">
        <v>544975</v>
      </c>
      <c r="O560" s="2952">
        <v>500000</v>
      </c>
      <c r="P560" s="2953">
        <v>500000</v>
      </c>
      <c r="Q560" s="2951">
        <v>500000</v>
      </c>
      <c r="R560" s="2954">
        <v>45107</v>
      </c>
      <c r="S560" s="2954">
        <v>45107</v>
      </c>
      <c r="T560" s="2948"/>
      <c r="U560" s="2948"/>
      <c r="V560" s="2948" t="s">
        <v>1285</v>
      </c>
    </row>
    <row r="561" spans="1:22" s="2944" customFormat="1" ht="46.8" hidden="1">
      <c r="A561" s="2948">
        <v>560</v>
      </c>
      <c r="B561" s="2948" t="s">
        <v>635</v>
      </c>
      <c r="C561" s="2948" t="s">
        <v>636</v>
      </c>
      <c r="D561" s="2948" t="s">
        <v>1276</v>
      </c>
      <c r="E561" s="2948" t="s">
        <v>729</v>
      </c>
      <c r="F561" s="2948" t="s">
        <v>1286</v>
      </c>
      <c r="G561" s="2948" t="s">
        <v>1035</v>
      </c>
      <c r="H561" s="2948" t="s">
        <v>1278</v>
      </c>
      <c r="I561" s="2948" t="s">
        <v>1279</v>
      </c>
      <c r="J561" s="2948" t="s">
        <v>643</v>
      </c>
      <c r="K561" s="2950">
        <v>33.03</v>
      </c>
      <c r="L561" s="2950">
        <v>13.25</v>
      </c>
      <c r="M561" s="2951">
        <v>500000</v>
      </c>
      <c r="N561" s="2951">
        <v>500000</v>
      </c>
      <c r="O561" s="2955"/>
      <c r="P561" s="2948"/>
      <c r="Q561" s="2951">
        <v>0</v>
      </c>
      <c r="R561" s="2948"/>
      <c r="S561" s="2948"/>
      <c r="T561" s="2948"/>
      <c r="U561" s="2948"/>
      <c r="V561" s="2948"/>
    </row>
    <row r="562" spans="1:22" s="2944" customFormat="1" ht="46.8">
      <c r="A562" s="2948">
        <v>561</v>
      </c>
      <c r="B562" s="2948" t="s">
        <v>635</v>
      </c>
      <c r="C562" s="2948" t="s">
        <v>636</v>
      </c>
      <c r="D562" s="2948" t="s">
        <v>1276</v>
      </c>
      <c r="E562" s="2948" t="s">
        <v>729</v>
      </c>
      <c r="F562" s="2948" t="s">
        <v>1287</v>
      </c>
      <c r="G562" s="2948" t="s">
        <v>640</v>
      </c>
      <c r="H562" s="2948" t="s">
        <v>1278</v>
      </c>
      <c r="I562" s="2948" t="s">
        <v>1279</v>
      </c>
      <c r="J562" s="2948" t="s">
        <v>643</v>
      </c>
      <c r="K562" s="2950">
        <v>33.03</v>
      </c>
      <c r="L562" s="2950">
        <v>13.25</v>
      </c>
      <c r="M562" s="2951">
        <v>544975</v>
      </c>
      <c r="N562" s="2951">
        <v>544975</v>
      </c>
      <c r="O562" s="2952">
        <v>544975</v>
      </c>
      <c r="P562" s="2953">
        <v>544975</v>
      </c>
      <c r="Q562" s="2951">
        <v>544975</v>
      </c>
      <c r="R562" s="2954">
        <v>44642</v>
      </c>
      <c r="S562" s="2954">
        <v>44648</v>
      </c>
      <c r="T562" s="2948"/>
      <c r="U562" s="2948"/>
      <c r="V562" s="2948" t="s">
        <v>829</v>
      </c>
    </row>
    <row r="563" spans="1:22" s="2944" customFormat="1" ht="46.8">
      <c r="A563" s="2948">
        <v>562</v>
      </c>
      <c r="B563" s="2948" t="s">
        <v>635</v>
      </c>
      <c r="C563" s="2948" t="s">
        <v>636</v>
      </c>
      <c r="D563" s="2948" t="s">
        <v>1276</v>
      </c>
      <c r="E563" s="2948" t="s">
        <v>729</v>
      </c>
      <c r="F563" s="2948" t="s">
        <v>1288</v>
      </c>
      <c r="G563" s="2948" t="s">
        <v>640</v>
      </c>
      <c r="H563" s="2948" t="s">
        <v>1278</v>
      </c>
      <c r="I563" s="2948" t="s">
        <v>1279</v>
      </c>
      <c r="J563" s="2948" t="s">
        <v>643</v>
      </c>
      <c r="K563" s="2950">
        <v>33.03</v>
      </c>
      <c r="L563" s="2950">
        <v>13.25</v>
      </c>
      <c r="M563" s="2951">
        <v>500000</v>
      </c>
      <c r="N563" s="2951">
        <v>500000</v>
      </c>
      <c r="O563" s="2952">
        <v>500000</v>
      </c>
      <c r="P563" s="2953">
        <v>500000</v>
      </c>
      <c r="Q563" s="2951">
        <v>500000</v>
      </c>
      <c r="R563" s="2954">
        <v>45197</v>
      </c>
      <c r="S563" s="2954">
        <v>45197</v>
      </c>
      <c r="T563" s="2948"/>
      <c r="U563" s="2948"/>
      <c r="V563" s="2948" t="s">
        <v>1289</v>
      </c>
    </row>
    <row r="564" spans="1:22" s="2944" customFormat="1" ht="46.8">
      <c r="A564" s="2948">
        <v>563</v>
      </c>
      <c r="B564" s="2948" t="s">
        <v>635</v>
      </c>
      <c r="C564" s="2948" t="s">
        <v>636</v>
      </c>
      <c r="D564" s="2948" t="s">
        <v>1276</v>
      </c>
      <c r="E564" s="2948" t="s">
        <v>729</v>
      </c>
      <c r="F564" s="2948" t="s">
        <v>1290</v>
      </c>
      <c r="G564" s="2948" t="s">
        <v>640</v>
      </c>
      <c r="H564" s="2948" t="s">
        <v>1278</v>
      </c>
      <c r="I564" s="2948" t="s">
        <v>1279</v>
      </c>
      <c r="J564" s="2948" t="s">
        <v>643</v>
      </c>
      <c r="K564" s="2950">
        <v>33.03</v>
      </c>
      <c r="L564" s="2950">
        <v>13.25</v>
      </c>
      <c r="M564" s="2951">
        <v>544975</v>
      </c>
      <c r="N564" s="2951">
        <v>544975</v>
      </c>
      <c r="O564" s="2952">
        <v>500000</v>
      </c>
      <c r="P564" s="2953">
        <v>500000</v>
      </c>
      <c r="Q564" s="2951">
        <v>500000</v>
      </c>
      <c r="R564" s="2954">
        <v>45107</v>
      </c>
      <c r="S564" s="2954">
        <v>45107</v>
      </c>
      <c r="T564" s="2948"/>
      <c r="U564" s="2948"/>
      <c r="V564" s="2948" t="s">
        <v>1285</v>
      </c>
    </row>
    <row r="565" spans="1:22" s="2944" customFormat="1" ht="46.8">
      <c r="A565" s="2948">
        <v>564</v>
      </c>
      <c r="B565" s="2948" t="s">
        <v>635</v>
      </c>
      <c r="C565" s="2948" t="s">
        <v>636</v>
      </c>
      <c r="D565" s="2948" t="s">
        <v>1276</v>
      </c>
      <c r="E565" s="2948" t="s">
        <v>729</v>
      </c>
      <c r="F565" s="2948" t="s">
        <v>1291</v>
      </c>
      <c r="G565" s="2948" t="s">
        <v>640</v>
      </c>
      <c r="H565" s="2948" t="s">
        <v>1278</v>
      </c>
      <c r="I565" s="2948" t="s">
        <v>1279</v>
      </c>
      <c r="J565" s="2948" t="s">
        <v>643</v>
      </c>
      <c r="K565" s="2950">
        <v>33.03</v>
      </c>
      <c r="L565" s="2950">
        <v>13.25</v>
      </c>
      <c r="M565" s="2951">
        <v>544975</v>
      </c>
      <c r="N565" s="2951">
        <v>544975</v>
      </c>
      <c r="O565" s="2952">
        <v>500000</v>
      </c>
      <c r="P565" s="2953">
        <v>500000</v>
      </c>
      <c r="Q565" s="2951">
        <v>500000</v>
      </c>
      <c r="R565" s="2954">
        <v>45107</v>
      </c>
      <c r="S565" s="2954">
        <v>45107</v>
      </c>
      <c r="T565" s="2948"/>
      <c r="U565" s="2948"/>
      <c r="V565" s="2948" t="s">
        <v>1292</v>
      </c>
    </row>
    <row r="566" spans="1:22" s="2944" customFormat="1" ht="46.8">
      <c r="A566" s="2948">
        <v>565</v>
      </c>
      <c r="B566" s="2948" t="s">
        <v>635</v>
      </c>
      <c r="C566" s="2948" t="s">
        <v>636</v>
      </c>
      <c r="D566" s="2948" t="s">
        <v>1276</v>
      </c>
      <c r="E566" s="2948" t="s">
        <v>729</v>
      </c>
      <c r="F566" s="2948" t="s">
        <v>1293</v>
      </c>
      <c r="G566" s="2948" t="s">
        <v>640</v>
      </c>
      <c r="H566" s="2948" t="s">
        <v>1278</v>
      </c>
      <c r="I566" s="2948" t="s">
        <v>1279</v>
      </c>
      <c r="J566" s="2948" t="s">
        <v>643</v>
      </c>
      <c r="K566" s="2950">
        <v>33.03</v>
      </c>
      <c r="L566" s="2950">
        <v>13.25</v>
      </c>
      <c r="M566" s="2951">
        <v>544975</v>
      </c>
      <c r="N566" s="2951">
        <v>544975</v>
      </c>
      <c r="O566" s="2952">
        <v>500000</v>
      </c>
      <c r="P566" s="2953">
        <v>500000</v>
      </c>
      <c r="Q566" s="2951">
        <v>500000</v>
      </c>
      <c r="R566" s="2954">
        <v>45107</v>
      </c>
      <c r="S566" s="2954">
        <v>45107</v>
      </c>
      <c r="T566" s="2948"/>
      <c r="U566" s="2948"/>
      <c r="V566" s="2948" t="s">
        <v>1292</v>
      </c>
    </row>
    <row r="567" spans="1:22" s="2944" customFormat="1" ht="46.8" hidden="1">
      <c r="A567" s="2948">
        <v>566</v>
      </c>
      <c r="B567" s="2948" t="s">
        <v>635</v>
      </c>
      <c r="C567" s="2948" t="s">
        <v>636</v>
      </c>
      <c r="D567" s="2948" t="s">
        <v>1276</v>
      </c>
      <c r="E567" s="2948" t="s">
        <v>729</v>
      </c>
      <c r="F567" s="2948" t="s">
        <v>1294</v>
      </c>
      <c r="G567" s="2948" t="s">
        <v>1035</v>
      </c>
      <c r="H567" s="2948" t="s">
        <v>1278</v>
      </c>
      <c r="I567" s="2948" t="s">
        <v>1279</v>
      </c>
      <c r="J567" s="2948" t="s">
        <v>643</v>
      </c>
      <c r="K567" s="2950">
        <v>33.03</v>
      </c>
      <c r="L567" s="2950">
        <v>13.25</v>
      </c>
      <c r="M567" s="2951">
        <v>500000</v>
      </c>
      <c r="N567" s="2951">
        <v>500000</v>
      </c>
      <c r="O567" s="2955"/>
      <c r="P567" s="2948"/>
      <c r="Q567" s="2951">
        <v>0</v>
      </c>
      <c r="R567" s="2948"/>
      <c r="S567" s="2948"/>
      <c r="T567" s="2948"/>
      <c r="U567" s="2948"/>
      <c r="V567" s="2948"/>
    </row>
    <row r="568" spans="1:22" s="2944" customFormat="1" ht="46.8" hidden="1">
      <c r="A568" s="2948">
        <v>567</v>
      </c>
      <c r="B568" s="2948" t="s">
        <v>635</v>
      </c>
      <c r="C568" s="2948" t="s">
        <v>636</v>
      </c>
      <c r="D568" s="2948" t="s">
        <v>1276</v>
      </c>
      <c r="E568" s="2948" t="s">
        <v>729</v>
      </c>
      <c r="F568" s="2948" t="s">
        <v>1295</v>
      </c>
      <c r="G568" s="2948" t="s">
        <v>1035</v>
      </c>
      <c r="H568" s="2948" t="s">
        <v>1278</v>
      </c>
      <c r="I568" s="2948" t="s">
        <v>1279</v>
      </c>
      <c r="J568" s="2948" t="s">
        <v>643</v>
      </c>
      <c r="K568" s="2950">
        <v>33.03</v>
      </c>
      <c r="L568" s="2950">
        <v>13.25</v>
      </c>
      <c r="M568" s="2951">
        <v>500000</v>
      </c>
      <c r="N568" s="2951">
        <v>500000</v>
      </c>
      <c r="O568" s="2955"/>
      <c r="P568" s="2948"/>
      <c r="Q568" s="2951">
        <v>0</v>
      </c>
      <c r="R568" s="2948"/>
      <c r="S568" s="2948"/>
      <c r="T568" s="2948"/>
      <c r="U568" s="2948"/>
      <c r="V568" s="2948"/>
    </row>
    <row r="569" spans="1:22" s="2944" customFormat="1" ht="46.8">
      <c r="A569" s="2948">
        <v>568</v>
      </c>
      <c r="B569" s="2948" t="s">
        <v>635</v>
      </c>
      <c r="C569" s="2948" t="s">
        <v>636</v>
      </c>
      <c r="D569" s="2948" t="s">
        <v>1276</v>
      </c>
      <c r="E569" s="2948" t="s">
        <v>729</v>
      </c>
      <c r="F569" s="2948" t="s">
        <v>1296</v>
      </c>
      <c r="G569" s="2948" t="s">
        <v>640</v>
      </c>
      <c r="H569" s="2948" t="s">
        <v>1278</v>
      </c>
      <c r="I569" s="2948" t="s">
        <v>1279</v>
      </c>
      <c r="J569" s="2948" t="s">
        <v>643</v>
      </c>
      <c r="K569" s="2950">
        <v>33.03</v>
      </c>
      <c r="L569" s="2950">
        <v>13.25</v>
      </c>
      <c r="M569" s="2951">
        <v>544975</v>
      </c>
      <c r="N569" s="2951">
        <v>544975</v>
      </c>
      <c r="O569" s="2952">
        <v>500000</v>
      </c>
      <c r="P569" s="2953">
        <v>500000</v>
      </c>
      <c r="Q569" s="2951">
        <v>500000</v>
      </c>
      <c r="R569" s="2954">
        <v>45046</v>
      </c>
      <c r="S569" s="2954">
        <v>45046</v>
      </c>
      <c r="T569" s="2948"/>
      <c r="U569" s="2948"/>
      <c r="V569" s="2948" t="s">
        <v>977</v>
      </c>
    </row>
    <row r="570" spans="1:22" s="2944" customFormat="1" ht="46.8">
      <c r="A570" s="2948">
        <v>569</v>
      </c>
      <c r="B570" s="2948" t="s">
        <v>635</v>
      </c>
      <c r="C570" s="2948" t="s">
        <v>636</v>
      </c>
      <c r="D570" s="2948" t="s">
        <v>1276</v>
      </c>
      <c r="E570" s="2948" t="s">
        <v>729</v>
      </c>
      <c r="F570" s="2948" t="s">
        <v>1297</v>
      </c>
      <c r="G570" s="2948" t="s">
        <v>640</v>
      </c>
      <c r="H570" s="2948" t="s">
        <v>1278</v>
      </c>
      <c r="I570" s="2948" t="s">
        <v>1279</v>
      </c>
      <c r="J570" s="2948" t="s">
        <v>643</v>
      </c>
      <c r="K570" s="2950">
        <v>33.03</v>
      </c>
      <c r="L570" s="2950">
        <v>13.25</v>
      </c>
      <c r="M570" s="2951">
        <v>544975</v>
      </c>
      <c r="N570" s="2951">
        <v>544975</v>
      </c>
      <c r="O570" s="2952">
        <v>500000</v>
      </c>
      <c r="P570" s="2953">
        <v>500000</v>
      </c>
      <c r="Q570" s="2951">
        <v>500000</v>
      </c>
      <c r="R570" s="2954">
        <v>45044</v>
      </c>
      <c r="S570" s="2954">
        <v>45044</v>
      </c>
      <c r="T570" s="2948"/>
      <c r="U570" s="2948"/>
      <c r="V570" s="2948" t="s">
        <v>956</v>
      </c>
    </row>
    <row r="571" spans="1:22" s="2944" customFormat="1" ht="46.8">
      <c r="A571" s="2948">
        <v>570</v>
      </c>
      <c r="B571" s="2948" t="s">
        <v>635</v>
      </c>
      <c r="C571" s="2948" t="s">
        <v>636</v>
      </c>
      <c r="D571" s="2948" t="s">
        <v>1276</v>
      </c>
      <c r="E571" s="2948" t="s">
        <v>729</v>
      </c>
      <c r="F571" s="2948" t="s">
        <v>1298</v>
      </c>
      <c r="G571" s="2948" t="s">
        <v>640</v>
      </c>
      <c r="H571" s="2948" t="s">
        <v>1278</v>
      </c>
      <c r="I571" s="2948" t="s">
        <v>1279</v>
      </c>
      <c r="J571" s="2948" t="s">
        <v>643</v>
      </c>
      <c r="K571" s="2950">
        <v>33.03</v>
      </c>
      <c r="L571" s="2950">
        <v>13.25</v>
      </c>
      <c r="M571" s="2951">
        <v>544975</v>
      </c>
      <c r="N571" s="2951">
        <v>544975</v>
      </c>
      <c r="O571" s="2952">
        <v>544975</v>
      </c>
      <c r="P571" s="2953">
        <v>544975</v>
      </c>
      <c r="Q571" s="2951">
        <v>544975</v>
      </c>
      <c r="R571" s="2954">
        <v>44736</v>
      </c>
      <c r="S571" s="2954">
        <v>44737</v>
      </c>
      <c r="T571" s="2948"/>
      <c r="U571" s="2948"/>
      <c r="V571" s="2948" t="s">
        <v>941</v>
      </c>
    </row>
    <row r="572" spans="1:22" s="2944" customFormat="1" ht="46.8">
      <c r="A572" s="2948">
        <v>571</v>
      </c>
      <c r="B572" s="2948" t="s">
        <v>635</v>
      </c>
      <c r="C572" s="2948" t="s">
        <v>636</v>
      </c>
      <c r="D572" s="2948" t="s">
        <v>1276</v>
      </c>
      <c r="E572" s="2948" t="s">
        <v>729</v>
      </c>
      <c r="F572" s="2948" t="s">
        <v>1299</v>
      </c>
      <c r="G572" s="2948" t="s">
        <v>640</v>
      </c>
      <c r="H572" s="2948" t="s">
        <v>1278</v>
      </c>
      <c r="I572" s="2948" t="s">
        <v>1279</v>
      </c>
      <c r="J572" s="2948" t="s">
        <v>643</v>
      </c>
      <c r="K572" s="2950">
        <v>33.03</v>
      </c>
      <c r="L572" s="2950">
        <v>13.25</v>
      </c>
      <c r="M572" s="2951">
        <v>544975</v>
      </c>
      <c r="N572" s="2951">
        <v>544975</v>
      </c>
      <c r="O572" s="2952">
        <v>500000</v>
      </c>
      <c r="P572" s="2953">
        <v>500000</v>
      </c>
      <c r="Q572" s="2951">
        <v>500000</v>
      </c>
      <c r="R572" s="2954">
        <v>45046</v>
      </c>
      <c r="S572" s="2954">
        <v>45046</v>
      </c>
      <c r="T572" s="2948"/>
      <c r="U572" s="2948"/>
      <c r="V572" s="2948" t="s">
        <v>934</v>
      </c>
    </row>
    <row r="573" spans="1:22" s="2944" customFormat="1" ht="46.8">
      <c r="A573" s="2948">
        <v>572</v>
      </c>
      <c r="B573" s="2948" t="s">
        <v>635</v>
      </c>
      <c r="C573" s="2948" t="s">
        <v>636</v>
      </c>
      <c r="D573" s="2948" t="s">
        <v>1276</v>
      </c>
      <c r="E573" s="2948" t="s">
        <v>729</v>
      </c>
      <c r="F573" s="2948" t="s">
        <v>1300</v>
      </c>
      <c r="G573" s="2948" t="s">
        <v>640</v>
      </c>
      <c r="H573" s="2948" t="s">
        <v>1278</v>
      </c>
      <c r="I573" s="2948" t="s">
        <v>1279</v>
      </c>
      <c r="J573" s="2948" t="s">
        <v>643</v>
      </c>
      <c r="K573" s="2950">
        <v>33.03</v>
      </c>
      <c r="L573" s="2950">
        <v>13.25</v>
      </c>
      <c r="M573" s="2951">
        <v>544975</v>
      </c>
      <c r="N573" s="2951">
        <v>544975</v>
      </c>
      <c r="O573" s="2952">
        <v>500000</v>
      </c>
      <c r="P573" s="2953">
        <v>500000</v>
      </c>
      <c r="Q573" s="2951">
        <v>500000</v>
      </c>
      <c r="R573" s="2954">
        <v>45107</v>
      </c>
      <c r="S573" s="2954">
        <v>45107</v>
      </c>
      <c r="T573" s="2948"/>
      <c r="U573" s="2948"/>
      <c r="V573" s="2948" t="s">
        <v>1301</v>
      </c>
    </row>
    <row r="574" spans="1:22" s="2944" customFormat="1" ht="46.8">
      <c r="A574" s="2948">
        <v>573</v>
      </c>
      <c r="B574" s="2948" t="s">
        <v>635</v>
      </c>
      <c r="C574" s="2948" t="s">
        <v>636</v>
      </c>
      <c r="D574" s="2948" t="s">
        <v>1276</v>
      </c>
      <c r="E574" s="2948" t="s">
        <v>729</v>
      </c>
      <c r="F574" s="2948" t="s">
        <v>1302</v>
      </c>
      <c r="G574" s="2948" t="s">
        <v>640</v>
      </c>
      <c r="H574" s="2948" t="s">
        <v>1278</v>
      </c>
      <c r="I574" s="2948" t="s">
        <v>1279</v>
      </c>
      <c r="J574" s="2948" t="s">
        <v>643</v>
      </c>
      <c r="K574" s="2950">
        <v>33.03</v>
      </c>
      <c r="L574" s="2950">
        <v>13.25</v>
      </c>
      <c r="M574" s="2951">
        <v>544975</v>
      </c>
      <c r="N574" s="2951">
        <v>544975</v>
      </c>
      <c r="O574" s="2952">
        <v>544975</v>
      </c>
      <c r="P574" s="2953">
        <v>544975</v>
      </c>
      <c r="Q574" s="2951">
        <v>544975</v>
      </c>
      <c r="R574" s="2954">
        <v>44555</v>
      </c>
      <c r="S574" s="2954">
        <v>44561</v>
      </c>
      <c r="T574" s="2948"/>
      <c r="U574" s="2948"/>
      <c r="V574" s="2948" t="s">
        <v>947</v>
      </c>
    </row>
    <row r="575" spans="1:22" s="2944" customFormat="1" ht="46.8">
      <c r="A575" s="2948">
        <v>574</v>
      </c>
      <c r="B575" s="2948" t="s">
        <v>635</v>
      </c>
      <c r="C575" s="2948" t="s">
        <v>636</v>
      </c>
      <c r="D575" s="2948" t="s">
        <v>1276</v>
      </c>
      <c r="E575" s="2948" t="s">
        <v>729</v>
      </c>
      <c r="F575" s="2948" t="s">
        <v>1303</v>
      </c>
      <c r="G575" s="2948" t="s">
        <v>640</v>
      </c>
      <c r="H575" s="2948" t="s">
        <v>1278</v>
      </c>
      <c r="I575" s="2948" t="s">
        <v>1279</v>
      </c>
      <c r="J575" s="2948" t="s">
        <v>643</v>
      </c>
      <c r="K575" s="2950">
        <v>33.03</v>
      </c>
      <c r="L575" s="2950">
        <v>13.25</v>
      </c>
      <c r="M575" s="2951">
        <v>544975</v>
      </c>
      <c r="N575" s="2951">
        <v>544975</v>
      </c>
      <c r="O575" s="2952">
        <v>544975</v>
      </c>
      <c r="P575" s="2953">
        <v>544975</v>
      </c>
      <c r="Q575" s="2951">
        <v>544975</v>
      </c>
      <c r="R575" s="2954">
        <v>44956</v>
      </c>
      <c r="S575" s="2954">
        <v>44971</v>
      </c>
      <c r="T575" s="2948"/>
      <c r="U575" s="2948"/>
      <c r="V575" s="2948" t="s">
        <v>1024</v>
      </c>
    </row>
    <row r="576" spans="1:22" s="2944" customFormat="1" ht="46.8">
      <c r="A576" s="2948">
        <v>575</v>
      </c>
      <c r="B576" s="2948" t="s">
        <v>635</v>
      </c>
      <c r="C576" s="2948" t="s">
        <v>636</v>
      </c>
      <c r="D576" s="2948" t="s">
        <v>1276</v>
      </c>
      <c r="E576" s="2948" t="s">
        <v>729</v>
      </c>
      <c r="F576" s="2948" t="s">
        <v>1304</v>
      </c>
      <c r="G576" s="2948" t="s">
        <v>640</v>
      </c>
      <c r="H576" s="2948" t="s">
        <v>1278</v>
      </c>
      <c r="I576" s="2948" t="s">
        <v>1279</v>
      </c>
      <c r="J576" s="2948" t="s">
        <v>643</v>
      </c>
      <c r="K576" s="2950">
        <v>33.03</v>
      </c>
      <c r="L576" s="2950">
        <v>13.25</v>
      </c>
      <c r="M576" s="2951">
        <v>544975</v>
      </c>
      <c r="N576" s="2951">
        <v>544975</v>
      </c>
      <c r="O576" s="2952">
        <v>544975</v>
      </c>
      <c r="P576" s="2953">
        <v>544975</v>
      </c>
      <c r="Q576" s="2951">
        <v>544975</v>
      </c>
      <c r="R576" s="2954">
        <v>44736</v>
      </c>
      <c r="S576" s="2954">
        <v>44737</v>
      </c>
      <c r="T576" s="2948"/>
      <c r="U576" s="2948"/>
      <c r="V576" s="2948" t="s">
        <v>1000</v>
      </c>
    </row>
    <row r="577" spans="1:22" s="2944" customFormat="1" ht="46.8">
      <c r="A577" s="2948">
        <v>576</v>
      </c>
      <c r="B577" s="2948" t="s">
        <v>635</v>
      </c>
      <c r="C577" s="2948" t="s">
        <v>636</v>
      </c>
      <c r="D577" s="2948" t="s">
        <v>1276</v>
      </c>
      <c r="E577" s="2948" t="s">
        <v>729</v>
      </c>
      <c r="F577" s="2948" t="s">
        <v>1305</v>
      </c>
      <c r="G577" s="2948" t="s">
        <v>640</v>
      </c>
      <c r="H577" s="2948" t="s">
        <v>1278</v>
      </c>
      <c r="I577" s="2948" t="s">
        <v>1279</v>
      </c>
      <c r="J577" s="2948" t="s">
        <v>643</v>
      </c>
      <c r="K577" s="2950">
        <v>33.03</v>
      </c>
      <c r="L577" s="2950">
        <v>13.25</v>
      </c>
      <c r="M577" s="2951">
        <v>544975</v>
      </c>
      <c r="N577" s="2951">
        <v>544975</v>
      </c>
      <c r="O577" s="2952">
        <v>544975</v>
      </c>
      <c r="P577" s="2953">
        <v>544975</v>
      </c>
      <c r="Q577" s="2951">
        <v>544975</v>
      </c>
      <c r="R577" s="2954">
        <v>44739</v>
      </c>
      <c r="S577" s="2954">
        <v>44804</v>
      </c>
      <c r="T577" s="2948"/>
      <c r="U577" s="2948"/>
      <c r="V577" s="2948" t="s">
        <v>999</v>
      </c>
    </row>
    <row r="578" spans="1:22" s="2944" customFormat="1" ht="46.8" hidden="1">
      <c r="A578" s="2948">
        <v>577</v>
      </c>
      <c r="B578" s="2948" t="s">
        <v>635</v>
      </c>
      <c r="C578" s="2948" t="s">
        <v>636</v>
      </c>
      <c r="D578" s="2948" t="s">
        <v>1276</v>
      </c>
      <c r="E578" s="2948" t="s">
        <v>729</v>
      </c>
      <c r="F578" s="2948" t="s">
        <v>1306</v>
      </c>
      <c r="G578" s="2948" t="s">
        <v>1035</v>
      </c>
      <c r="H578" s="2948" t="s">
        <v>1278</v>
      </c>
      <c r="I578" s="2948" t="s">
        <v>1279</v>
      </c>
      <c r="J578" s="2948" t="s">
        <v>643</v>
      </c>
      <c r="K578" s="2950">
        <v>33.03</v>
      </c>
      <c r="L578" s="2950">
        <v>13.25</v>
      </c>
      <c r="M578" s="2951">
        <v>500000</v>
      </c>
      <c r="N578" s="2951">
        <v>500000</v>
      </c>
      <c r="O578" s="2955"/>
      <c r="P578" s="2948"/>
      <c r="Q578" s="2951">
        <v>0</v>
      </c>
      <c r="R578" s="2948"/>
      <c r="S578" s="2948"/>
      <c r="T578" s="2948"/>
      <c r="U578" s="2948"/>
      <c r="V578" s="2948"/>
    </row>
    <row r="579" spans="1:22" s="2944" customFormat="1" ht="46.8">
      <c r="A579" s="2948">
        <v>578</v>
      </c>
      <c r="B579" s="2948" t="s">
        <v>635</v>
      </c>
      <c r="C579" s="2948" t="s">
        <v>636</v>
      </c>
      <c r="D579" s="2948" t="s">
        <v>1276</v>
      </c>
      <c r="E579" s="2948" t="s">
        <v>729</v>
      </c>
      <c r="F579" s="2948" t="s">
        <v>1307</v>
      </c>
      <c r="G579" s="2948" t="s">
        <v>640</v>
      </c>
      <c r="H579" s="2948" t="s">
        <v>1278</v>
      </c>
      <c r="I579" s="2948" t="s">
        <v>1279</v>
      </c>
      <c r="J579" s="2948" t="s">
        <v>643</v>
      </c>
      <c r="K579" s="2950">
        <v>33.03</v>
      </c>
      <c r="L579" s="2950">
        <v>13.25</v>
      </c>
      <c r="M579" s="2951">
        <v>544975</v>
      </c>
      <c r="N579" s="2951">
        <v>544975</v>
      </c>
      <c r="O579" s="2952">
        <v>500000</v>
      </c>
      <c r="P579" s="2953">
        <v>500000</v>
      </c>
      <c r="Q579" s="2951">
        <v>500000</v>
      </c>
      <c r="R579" s="2954">
        <v>45107</v>
      </c>
      <c r="S579" s="2954">
        <v>45107</v>
      </c>
      <c r="T579" s="2948"/>
      <c r="U579" s="2948"/>
      <c r="V579" s="2948" t="s">
        <v>955</v>
      </c>
    </row>
    <row r="580" spans="1:22" s="2944" customFormat="1" ht="46.8">
      <c r="A580" s="2948">
        <v>579</v>
      </c>
      <c r="B580" s="2948" t="s">
        <v>635</v>
      </c>
      <c r="C580" s="2948" t="s">
        <v>636</v>
      </c>
      <c r="D580" s="2948" t="s">
        <v>1276</v>
      </c>
      <c r="E580" s="2948" t="s">
        <v>729</v>
      </c>
      <c r="F580" s="2948" t="s">
        <v>1308</v>
      </c>
      <c r="G580" s="2948" t="s">
        <v>640</v>
      </c>
      <c r="H580" s="2948" t="s">
        <v>1278</v>
      </c>
      <c r="I580" s="2948" t="s">
        <v>1279</v>
      </c>
      <c r="J580" s="2948" t="s">
        <v>643</v>
      </c>
      <c r="K580" s="2950">
        <v>33.03</v>
      </c>
      <c r="L580" s="2950">
        <v>13.25</v>
      </c>
      <c r="M580" s="2951">
        <v>544975</v>
      </c>
      <c r="N580" s="2951">
        <v>544975</v>
      </c>
      <c r="O580" s="2952">
        <v>544975</v>
      </c>
      <c r="P580" s="2953">
        <v>544975</v>
      </c>
      <c r="Q580" s="2951">
        <v>544975</v>
      </c>
      <c r="R580" s="2954">
        <v>44557</v>
      </c>
      <c r="S580" s="2954">
        <v>44561</v>
      </c>
      <c r="T580" s="2948"/>
      <c r="U580" s="2948"/>
      <c r="V580" s="2948" t="s">
        <v>961</v>
      </c>
    </row>
    <row r="581" spans="1:22" s="2944" customFormat="1" ht="46.8">
      <c r="A581" s="2948">
        <v>580</v>
      </c>
      <c r="B581" s="2948" t="s">
        <v>635</v>
      </c>
      <c r="C581" s="2948" t="s">
        <v>636</v>
      </c>
      <c r="D581" s="2948" t="s">
        <v>1276</v>
      </c>
      <c r="E581" s="2948" t="s">
        <v>729</v>
      </c>
      <c r="F581" s="2948" t="s">
        <v>1309</v>
      </c>
      <c r="G581" s="2948" t="s">
        <v>640</v>
      </c>
      <c r="H581" s="2948" t="s">
        <v>1278</v>
      </c>
      <c r="I581" s="2948" t="s">
        <v>1279</v>
      </c>
      <c r="J581" s="2948" t="s">
        <v>643</v>
      </c>
      <c r="K581" s="2950">
        <v>33.03</v>
      </c>
      <c r="L581" s="2950">
        <v>13.25</v>
      </c>
      <c r="M581" s="2951">
        <v>544975</v>
      </c>
      <c r="N581" s="2951">
        <v>544975</v>
      </c>
      <c r="O581" s="2952">
        <v>500000</v>
      </c>
      <c r="P581" s="2953">
        <v>500000</v>
      </c>
      <c r="Q581" s="2951">
        <v>500000</v>
      </c>
      <c r="R581" s="2954">
        <v>45104</v>
      </c>
      <c r="S581" s="2954">
        <v>45104</v>
      </c>
      <c r="T581" s="2948"/>
      <c r="U581" s="2948"/>
      <c r="V581" s="2948" t="s">
        <v>991</v>
      </c>
    </row>
    <row r="582" spans="1:22" s="2944" customFormat="1" ht="46.8">
      <c r="A582" s="2948">
        <v>581</v>
      </c>
      <c r="B582" s="2948" t="s">
        <v>635</v>
      </c>
      <c r="C582" s="2948" t="s">
        <v>636</v>
      </c>
      <c r="D582" s="2948" t="s">
        <v>1276</v>
      </c>
      <c r="E582" s="2948" t="s">
        <v>729</v>
      </c>
      <c r="F582" s="2948" t="s">
        <v>1310</v>
      </c>
      <c r="G582" s="2948" t="s">
        <v>640</v>
      </c>
      <c r="H582" s="2948" t="s">
        <v>1278</v>
      </c>
      <c r="I582" s="2948" t="s">
        <v>1279</v>
      </c>
      <c r="J582" s="2948" t="s">
        <v>643</v>
      </c>
      <c r="K582" s="2950">
        <v>33.03</v>
      </c>
      <c r="L582" s="2950">
        <v>13.25</v>
      </c>
      <c r="M582" s="2951">
        <v>544975</v>
      </c>
      <c r="N582" s="2951">
        <v>544975</v>
      </c>
      <c r="O582" s="2952">
        <v>517726</v>
      </c>
      <c r="P582" s="2953">
        <v>517726</v>
      </c>
      <c r="Q582" s="2951">
        <v>517726</v>
      </c>
      <c r="R582" s="2954">
        <v>44736</v>
      </c>
      <c r="S582" s="2954">
        <v>44741</v>
      </c>
      <c r="T582" s="2948"/>
      <c r="U582" s="2948"/>
      <c r="V582" s="2948" t="s">
        <v>1018</v>
      </c>
    </row>
    <row r="583" spans="1:22" s="2944" customFormat="1" ht="46.8">
      <c r="A583" s="2948">
        <v>582</v>
      </c>
      <c r="B583" s="2948" t="s">
        <v>635</v>
      </c>
      <c r="C583" s="2948" t="s">
        <v>636</v>
      </c>
      <c r="D583" s="2948" t="s">
        <v>1276</v>
      </c>
      <c r="E583" s="2948" t="s">
        <v>729</v>
      </c>
      <c r="F583" s="2948" t="s">
        <v>1311</v>
      </c>
      <c r="G583" s="2948" t="s">
        <v>640</v>
      </c>
      <c r="H583" s="2948" t="s">
        <v>1278</v>
      </c>
      <c r="I583" s="2948" t="s">
        <v>1279</v>
      </c>
      <c r="J583" s="2948" t="s">
        <v>643</v>
      </c>
      <c r="K583" s="2950">
        <v>33.03</v>
      </c>
      <c r="L583" s="2950">
        <v>13.25</v>
      </c>
      <c r="M583" s="2951">
        <v>544975</v>
      </c>
      <c r="N583" s="2951">
        <v>544975</v>
      </c>
      <c r="O583" s="2952">
        <v>500000</v>
      </c>
      <c r="P583" s="2953">
        <v>500000</v>
      </c>
      <c r="Q583" s="2951">
        <v>500000</v>
      </c>
      <c r="R583" s="2954">
        <v>45044</v>
      </c>
      <c r="S583" s="2954">
        <v>45044</v>
      </c>
      <c r="T583" s="2948"/>
      <c r="U583" s="2948"/>
      <c r="V583" s="2948" t="s">
        <v>931</v>
      </c>
    </row>
    <row r="584" spans="1:22" s="2944" customFormat="1" ht="46.8">
      <c r="A584" s="2948">
        <v>583</v>
      </c>
      <c r="B584" s="2948" t="s">
        <v>635</v>
      </c>
      <c r="C584" s="2948" t="s">
        <v>636</v>
      </c>
      <c r="D584" s="2948" t="s">
        <v>1276</v>
      </c>
      <c r="E584" s="2948" t="s">
        <v>729</v>
      </c>
      <c r="F584" s="2948" t="s">
        <v>1312</v>
      </c>
      <c r="G584" s="2948" t="s">
        <v>640</v>
      </c>
      <c r="H584" s="2948" t="s">
        <v>1278</v>
      </c>
      <c r="I584" s="2948" t="s">
        <v>1279</v>
      </c>
      <c r="J584" s="2948" t="s">
        <v>643</v>
      </c>
      <c r="K584" s="2950">
        <v>33.03</v>
      </c>
      <c r="L584" s="2950">
        <v>13.25</v>
      </c>
      <c r="M584" s="2951">
        <v>544975</v>
      </c>
      <c r="N584" s="2951">
        <v>544975</v>
      </c>
      <c r="O584" s="2952">
        <v>500000</v>
      </c>
      <c r="P584" s="2953">
        <v>500000</v>
      </c>
      <c r="Q584" s="2951">
        <v>500000</v>
      </c>
      <c r="R584" s="2954">
        <v>45044</v>
      </c>
      <c r="S584" s="2954">
        <v>45044</v>
      </c>
      <c r="T584" s="2948"/>
      <c r="U584" s="2948"/>
      <c r="V584" s="2948" t="s">
        <v>965</v>
      </c>
    </row>
    <row r="585" spans="1:22" s="2944" customFormat="1" ht="46.8">
      <c r="A585" s="2948">
        <v>584</v>
      </c>
      <c r="B585" s="2948" t="s">
        <v>635</v>
      </c>
      <c r="C585" s="2948" t="s">
        <v>636</v>
      </c>
      <c r="D585" s="2948" t="s">
        <v>1276</v>
      </c>
      <c r="E585" s="2948" t="s">
        <v>729</v>
      </c>
      <c r="F585" s="2948" t="s">
        <v>1313</v>
      </c>
      <c r="G585" s="2948" t="s">
        <v>640</v>
      </c>
      <c r="H585" s="2948" t="s">
        <v>1278</v>
      </c>
      <c r="I585" s="2948" t="s">
        <v>1279</v>
      </c>
      <c r="J585" s="2948" t="s">
        <v>643</v>
      </c>
      <c r="K585" s="2950">
        <v>33.03</v>
      </c>
      <c r="L585" s="2950">
        <v>13.25</v>
      </c>
      <c r="M585" s="2951">
        <v>544975</v>
      </c>
      <c r="N585" s="2951">
        <v>544975</v>
      </c>
      <c r="O585" s="2952">
        <v>500000</v>
      </c>
      <c r="P585" s="2953">
        <v>500000</v>
      </c>
      <c r="Q585" s="2951">
        <v>500000</v>
      </c>
      <c r="R585" s="2954">
        <v>45044</v>
      </c>
      <c r="S585" s="2954">
        <v>45044</v>
      </c>
      <c r="T585" s="2948"/>
      <c r="U585" s="2948"/>
      <c r="V585" s="2948" t="s">
        <v>992</v>
      </c>
    </row>
    <row r="586" spans="1:22" s="2944" customFormat="1" ht="46.8">
      <c r="A586" s="2948">
        <v>585</v>
      </c>
      <c r="B586" s="2948" t="s">
        <v>635</v>
      </c>
      <c r="C586" s="2948" t="s">
        <v>636</v>
      </c>
      <c r="D586" s="2948" t="s">
        <v>1276</v>
      </c>
      <c r="E586" s="2948" t="s">
        <v>729</v>
      </c>
      <c r="F586" s="2948" t="s">
        <v>1314</v>
      </c>
      <c r="G586" s="2948" t="s">
        <v>640</v>
      </c>
      <c r="H586" s="2948" t="s">
        <v>1278</v>
      </c>
      <c r="I586" s="2948" t="s">
        <v>1279</v>
      </c>
      <c r="J586" s="2948" t="s">
        <v>643</v>
      </c>
      <c r="K586" s="2950">
        <v>33.03</v>
      </c>
      <c r="L586" s="2950">
        <v>13.25</v>
      </c>
      <c r="M586" s="2951">
        <v>544975</v>
      </c>
      <c r="N586" s="2951">
        <v>544975</v>
      </c>
      <c r="O586" s="2952">
        <v>500000</v>
      </c>
      <c r="P586" s="2953">
        <v>500000</v>
      </c>
      <c r="Q586" s="2951">
        <v>500000</v>
      </c>
      <c r="R586" s="2954">
        <v>45044</v>
      </c>
      <c r="S586" s="2954">
        <v>45044</v>
      </c>
      <c r="T586" s="2948"/>
      <c r="U586" s="2948"/>
      <c r="V586" s="2948" t="s">
        <v>931</v>
      </c>
    </row>
    <row r="587" spans="1:22" s="2944" customFormat="1" ht="46.8" hidden="1">
      <c r="A587" s="2948">
        <v>586</v>
      </c>
      <c r="B587" s="2948" t="s">
        <v>635</v>
      </c>
      <c r="C587" s="2948" t="s">
        <v>636</v>
      </c>
      <c r="D587" s="2948" t="s">
        <v>1276</v>
      </c>
      <c r="E587" s="2948" t="s">
        <v>729</v>
      </c>
      <c r="F587" s="2948" t="s">
        <v>1315</v>
      </c>
      <c r="G587" s="2948" t="s">
        <v>1035</v>
      </c>
      <c r="H587" s="2948" t="s">
        <v>1278</v>
      </c>
      <c r="I587" s="2948" t="s">
        <v>1279</v>
      </c>
      <c r="J587" s="2948" t="s">
        <v>643</v>
      </c>
      <c r="K587" s="2950">
        <v>33.03</v>
      </c>
      <c r="L587" s="2950">
        <v>13.25</v>
      </c>
      <c r="M587" s="2951">
        <v>500000</v>
      </c>
      <c r="N587" s="2951">
        <v>500000</v>
      </c>
      <c r="O587" s="2955"/>
      <c r="P587" s="2948"/>
      <c r="Q587" s="2951">
        <v>0</v>
      </c>
      <c r="R587" s="2948"/>
      <c r="S587" s="2948"/>
      <c r="T587" s="2948"/>
      <c r="U587" s="2948"/>
      <c r="V587" s="2948"/>
    </row>
    <row r="588" spans="1:22" s="2944" customFormat="1" ht="46.8" hidden="1">
      <c r="A588" s="2948">
        <v>587</v>
      </c>
      <c r="B588" s="2948" t="s">
        <v>635</v>
      </c>
      <c r="C588" s="2948" t="s">
        <v>636</v>
      </c>
      <c r="D588" s="2948" t="s">
        <v>1276</v>
      </c>
      <c r="E588" s="2948" t="s">
        <v>729</v>
      </c>
      <c r="F588" s="2948" t="s">
        <v>1316</v>
      </c>
      <c r="G588" s="2948" t="s">
        <v>1035</v>
      </c>
      <c r="H588" s="2948" t="s">
        <v>1278</v>
      </c>
      <c r="I588" s="2948" t="s">
        <v>1279</v>
      </c>
      <c r="J588" s="2948" t="s">
        <v>643</v>
      </c>
      <c r="K588" s="2950">
        <v>33.03</v>
      </c>
      <c r="L588" s="2950">
        <v>13.25</v>
      </c>
      <c r="M588" s="2951">
        <v>500000</v>
      </c>
      <c r="N588" s="2951">
        <v>500000</v>
      </c>
      <c r="O588" s="2955"/>
      <c r="P588" s="2948"/>
      <c r="Q588" s="2951">
        <v>0</v>
      </c>
      <c r="R588" s="2948"/>
      <c r="S588" s="2948"/>
      <c r="T588" s="2948"/>
      <c r="U588" s="2948"/>
      <c r="V588" s="2948"/>
    </row>
    <row r="589" spans="1:22" s="2944" customFormat="1" ht="46.8" hidden="1">
      <c r="A589" s="2948">
        <v>588</v>
      </c>
      <c r="B589" s="2948" t="s">
        <v>635</v>
      </c>
      <c r="C589" s="2948" t="s">
        <v>636</v>
      </c>
      <c r="D589" s="2948" t="s">
        <v>1276</v>
      </c>
      <c r="E589" s="2948" t="s">
        <v>729</v>
      </c>
      <c r="F589" s="2948" t="s">
        <v>1317</v>
      </c>
      <c r="G589" s="2948" t="s">
        <v>1035</v>
      </c>
      <c r="H589" s="2948" t="s">
        <v>1278</v>
      </c>
      <c r="I589" s="2948" t="s">
        <v>1279</v>
      </c>
      <c r="J589" s="2948" t="s">
        <v>643</v>
      </c>
      <c r="K589" s="2950">
        <v>33.03</v>
      </c>
      <c r="L589" s="2950">
        <v>13.25</v>
      </c>
      <c r="M589" s="2951">
        <v>500000</v>
      </c>
      <c r="N589" s="2951">
        <v>500000</v>
      </c>
      <c r="O589" s="2955"/>
      <c r="P589" s="2948"/>
      <c r="Q589" s="2951">
        <v>0</v>
      </c>
      <c r="R589" s="2948"/>
      <c r="S589" s="2948"/>
      <c r="T589" s="2948"/>
      <c r="U589" s="2948"/>
      <c r="V589" s="2948"/>
    </row>
    <row r="590" spans="1:22" s="2944" customFormat="1" ht="46.8">
      <c r="A590" s="2948">
        <v>589</v>
      </c>
      <c r="B590" s="2948" t="s">
        <v>635</v>
      </c>
      <c r="C590" s="2948" t="s">
        <v>636</v>
      </c>
      <c r="D590" s="2948" t="s">
        <v>1276</v>
      </c>
      <c r="E590" s="2948" t="s">
        <v>729</v>
      </c>
      <c r="F590" s="2948" t="s">
        <v>1318</v>
      </c>
      <c r="G590" s="2948" t="s">
        <v>640</v>
      </c>
      <c r="H590" s="2948" t="s">
        <v>1278</v>
      </c>
      <c r="I590" s="2948" t="s">
        <v>1279</v>
      </c>
      <c r="J590" s="2948" t="s">
        <v>643</v>
      </c>
      <c r="K590" s="2950">
        <v>33.03</v>
      </c>
      <c r="L590" s="2950">
        <v>13.25</v>
      </c>
      <c r="M590" s="2951">
        <v>500000</v>
      </c>
      <c r="N590" s="2951">
        <v>500000</v>
      </c>
      <c r="O590" s="2952">
        <v>500000</v>
      </c>
      <c r="P590" s="2953">
        <v>500000</v>
      </c>
      <c r="Q590" s="2951">
        <v>500000</v>
      </c>
      <c r="R590" s="2954">
        <v>45138</v>
      </c>
      <c r="S590" s="2954">
        <v>45138</v>
      </c>
      <c r="T590" s="2948"/>
      <c r="U590" s="2948"/>
      <c r="V590" s="2948" t="s">
        <v>1319</v>
      </c>
    </row>
    <row r="591" spans="1:22" s="2944" customFormat="1" ht="46.8">
      <c r="A591" s="2948">
        <v>590</v>
      </c>
      <c r="B591" s="2948" t="s">
        <v>635</v>
      </c>
      <c r="C591" s="2948" t="s">
        <v>636</v>
      </c>
      <c r="D591" s="2948" t="s">
        <v>1276</v>
      </c>
      <c r="E591" s="2948" t="s">
        <v>729</v>
      </c>
      <c r="F591" s="2948" t="s">
        <v>1320</v>
      </c>
      <c r="G591" s="2948" t="s">
        <v>640</v>
      </c>
      <c r="H591" s="2948" t="s">
        <v>1278</v>
      </c>
      <c r="I591" s="2948" t="s">
        <v>1279</v>
      </c>
      <c r="J591" s="2948" t="s">
        <v>643</v>
      </c>
      <c r="K591" s="2950">
        <v>33.03</v>
      </c>
      <c r="L591" s="2950">
        <v>13.25</v>
      </c>
      <c r="M591" s="2951">
        <v>500000</v>
      </c>
      <c r="N591" s="2951">
        <v>500000</v>
      </c>
      <c r="O591" s="2952">
        <v>500000</v>
      </c>
      <c r="P591" s="2953">
        <v>500000</v>
      </c>
      <c r="Q591" s="2951">
        <v>500000</v>
      </c>
      <c r="R591" s="2954">
        <v>45138</v>
      </c>
      <c r="S591" s="2954">
        <v>45138</v>
      </c>
      <c r="T591" s="2948"/>
      <c r="U591" s="2948"/>
      <c r="V591" s="2948" t="s">
        <v>1319</v>
      </c>
    </row>
    <row r="592" spans="1:22" s="2944" customFormat="1" ht="46.8">
      <c r="A592" s="2948">
        <v>591</v>
      </c>
      <c r="B592" s="2948" t="s">
        <v>635</v>
      </c>
      <c r="C592" s="2948" t="s">
        <v>636</v>
      </c>
      <c r="D592" s="2948" t="s">
        <v>1276</v>
      </c>
      <c r="E592" s="2948" t="s">
        <v>729</v>
      </c>
      <c r="F592" s="2948" t="s">
        <v>1321</v>
      </c>
      <c r="G592" s="2948" t="s">
        <v>640</v>
      </c>
      <c r="H592" s="2948" t="s">
        <v>1278</v>
      </c>
      <c r="I592" s="2948" t="s">
        <v>1279</v>
      </c>
      <c r="J592" s="2948" t="s">
        <v>643</v>
      </c>
      <c r="K592" s="2950">
        <v>33.03</v>
      </c>
      <c r="L592" s="2950">
        <v>13.25</v>
      </c>
      <c r="M592" s="2951">
        <v>544975</v>
      </c>
      <c r="N592" s="2951">
        <v>544975</v>
      </c>
      <c r="O592" s="2952">
        <v>500000</v>
      </c>
      <c r="P592" s="2953">
        <v>500000</v>
      </c>
      <c r="Q592" s="2951">
        <v>500000</v>
      </c>
      <c r="R592" s="2954">
        <v>45105</v>
      </c>
      <c r="S592" s="2954">
        <v>45105</v>
      </c>
      <c r="T592" s="2948"/>
      <c r="U592" s="2948"/>
      <c r="V592" s="2948" t="s">
        <v>980</v>
      </c>
    </row>
    <row r="593" spans="1:22" s="2944" customFormat="1" ht="46.8">
      <c r="A593" s="2948">
        <v>592</v>
      </c>
      <c r="B593" s="2948" t="s">
        <v>635</v>
      </c>
      <c r="C593" s="2948" t="s">
        <v>636</v>
      </c>
      <c r="D593" s="2948" t="s">
        <v>1276</v>
      </c>
      <c r="E593" s="2948" t="s">
        <v>729</v>
      </c>
      <c r="F593" s="2948" t="s">
        <v>1322</v>
      </c>
      <c r="G593" s="2948" t="s">
        <v>640</v>
      </c>
      <c r="H593" s="2948" t="s">
        <v>1278</v>
      </c>
      <c r="I593" s="2948" t="s">
        <v>1279</v>
      </c>
      <c r="J593" s="2948" t="s">
        <v>643</v>
      </c>
      <c r="K593" s="2950">
        <v>33.03</v>
      </c>
      <c r="L593" s="2950">
        <v>13.25</v>
      </c>
      <c r="M593" s="2951">
        <v>544975</v>
      </c>
      <c r="N593" s="2951">
        <v>544975</v>
      </c>
      <c r="O593" s="2952">
        <v>500000</v>
      </c>
      <c r="P593" s="2953">
        <v>500000</v>
      </c>
      <c r="Q593" s="2951">
        <v>500000</v>
      </c>
      <c r="R593" s="2954">
        <v>45106</v>
      </c>
      <c r="S593" s="2954">
        <v>45107</v>
      </c>
      <c r="T593" s="2948"/>
      <c r="U593" s="2948"/>
      <c r="V593" s="2948" t="s">
        <v>980</v>
      </c>
    </row>
    <row r="594" spans="1:22" s="2944" customFormat="1" ht="46.8" hidden="1">
      <c r="A594" s="2948">
        <v>593</v>
      </c>
      <c r="B594" s="2948" t="s">
        <v>635</v>
      </c>
      <c r="C594" s="2948" t="s">
        <v>636</v>
      </c>
      <c r="D594" s="2948" t="s">
        <v>1276</v>
      </c>
      <c r="E594" s="2948" t="s">
        <v>729</v>
      </c>
      <c r="F594" s="2948" t="s">
        <v>1323</v>
      </c>
      <c r="G594" s="2948" t="s">
        <v>1035</v>
      </c>
      <c r="H594" s="2948" t="s">
        <v>1278</v>
      </c>
      <c r="I594" s="2948" t="s">
        <v>1279</v>
      </c>
      <c r="J594" s="2948" t="s">
        <v>643</v>
      </c>
      <c r="K594" s="2950">
        <v>33.03</v>
      </c>
      <c r="L594" s="2950">
        <v>13.25</v>
      </c>
      <c r="M594" s="2951">
        <v>500000</v>
      </c>
      <c r="N594" s="2951">
        <v>500000</v>
      </c>
      <c r="O594" s="2955"/>
      <c r="P594" s="2948"/>
      <c r="Q594" s="2951">
        <v>0</v>
      </c>
      <c r="R594" s="2948"/>
      <c r="S594" s="2948"/>
      <c r="T594" s="2948"/>
      <c r="U594" s="2948"/>
      <c r="V594" s="2948"/>
    </row>
    <row r="595" spans="1:22" s="2944" customFormat="1" ht="46.8" hidden="1">
      <c r="A595" s="2948">
        <v>594</v>
      </c>
      <c r="B595" s="2948" t="s">
        <v>635</v>
      </c>
      <c r="C595" s="2948" t="s">
        <v>636</v>
      </c>
      <c r="D595" s="2948" t="s">
        <v>1276</v>
      </c>
      <c r="E595" s="2948" t="s">
        <v>729</v>
      </c>
      <c r="F595" s="2948" t="s">
        <v>1324</v>
      </c>
      <c r="G595" s="2948" t="s">
        <v>1035</v>
      </c>
      <c r="H595" s="2948" t="s">
        <v>1278</v>
      </c>
      <c r="I595" s="2948" t="s">
        <v>1279</v>
      </c>
      <c r="J595" s="2948" t="s">
        <v>643</v>
      </c>
      <c r="K595" s="2950">
        <v>33.03</v>
      </c>
      <c r="L595" s="2950">
        <v>13.25</v>
      </c>
      <c r="M595" s="2951">
        <v>500000</v>
      </c>
      <c r="N595" s="2951">
        <v>500000</v>
      </c>
      <c r="O595" s="2955"/>
      <c r="P595" s="2948"/>
      <c r="Q595" s="2951">
        <v>0</v>
      </c>
      <c r="R595" s="2948"/>
      <c r="S595" s="2948"/>
      <c r="T595" s="2948"/>
      <c r="U595" s="2948"/>
      <c r="V595" s="2948"/>
    </row>
    <row r="596" spans="1:22" s="2944" customFormat="1" ht="46.8" hidden="1">
      <c r="A596" s="2948">
        <v>595</v>
      </c>
      <c r="B596" s="2948" t="s">
        <v>635</v>
      </c>
      <c r="C596" s="2948" t="s">
        <v>636</v>
      </c>
      <c r="D596" s="2948" t="s">
        <v>1276</v>
      </c>
      <c r="E596" s="2948" t="s">
        <v>729</v>
      </c>
      <c r="F596" s="2948" t="s">
        <v>1325</v>
      </c>
      <c r="G596" s="2948" t="s">
        <v>1035</v>
      </c>
      <c r="H596" s="2948" t="s">
        <v>1278</v>
      </c>
      <c r="I596" s="2948" t="s">
        <v>1279</v>
      </c>
      <c r="J596" s="2948" t="s">
        <v>643</v>
      </c>
      <c r="K596" s="2950">
        <v>33.03</v>
      </c>
      <c r="L596" s="2950">
        <v>13.25</v>
      </c>
      <c r="M596" s="2951">
        <v>500000</v>
      </c>
      <c r="N596" s="2951">
        <v>500000</v>
      </c>
      <c r="O596" s="2955"/>
      <c r="P596" s="2948"/>
      <c r="Q596" s="2951">
        <v>0</v>
      </c>
      <c r="R596" s="2948"/>
      <c r="S596" s="2948"/>
      <c r="T596" s="2948"/>
      <c r="U596" s="2948"/>
      <c r="V596" s="2948"/>
    </row>
    <row r="597" spans="1:22" s="2944" customFormat="1" ht="46.8" hidden="1">
      <c r="A597" s="2948">
        <v>596</v>
      </c>
      <c r="B597" s="2948" t="s">
        <v>635</v>
      </c>
      <c r="C597" s="2948" t="s">
        <v>636</v>
      </c>
      <c r="D597" s="2948" t="s">
        <v>1276</v>
      </c>
      <c r="E597" s="2948" t="s">
        <v>729</v>
      </c>
      <c r="F597" s="2948" t="s">
        <v>1326</v>
      </c>
      <c r="G597" s="2948" t="s">
        <v>1035</v>
      </c>
      <c r="H597" s="2948" t="s">
        <v>1278</v>
      </c>
      <c r="I597" s="2948" t="s">
        <v>1279</v>
      </c>
      <c r="J597" s="2948" t="s">
        <v>643</v>
      </c>
      <c r="K597" s="2950">
        <v>33.03</v>
      </c>
      <c r="L597" s="2950">
        <v>13.25</v>
      </c>
      <c r="M597" s="2951">
        <v>500000</v>
      </c>
      <c r="N597" s="2951">
        <v>500000</v>
      </c>
      <c r="O597" s="2955"/>
      <c r="P597" s="2948"/>
      <c r="Q597" s="2951">
        <v>0</v>
      </c>
      <c r="R597" s="2948"/>
      <c r="S597" s="2948"/>
      <c r="T597" s="2948"/>
      <c r="U597" s="2948"/>
      <c r="V597" s="2948"/>
    </row>
    <row r="598" spans="1:22" s="2944" customFormat="1" ht="46.8" hidden="1">
      <c r="A598" s="2948">
        <v>597</v>
      </c>
      <c r="B598" s="2948" t="s">
        <v>635</v>
      </c>
      <c r="C598" s="2948" t="s">
        <v>636</v>
      </c>
      <c r="D598" s="2948" t="s">
        <v>1276</v>
      </c>
      <c r="E598" s="2948" t="s">
        <v>729</v>
      </c>
      <c r="F598" s="2948" t="s">
        <v>1327</v>
      </c>
      <c r="G598" s="2948" t="s">
        <v>1035</v>
      </c>
      <c r="H598" s="2948" t="s">
        <v>1278</v>
      </c>
      <c r="I598" s="2948" t="s">
        <v>1279</v>
      </c>
      <c r="J598" s="2948" t="s">
        <v>643</v>
      </c>
      <c r="K598" s="2950">
        <v>33.03</v>
      </c>
      <c r="L598" s="2950">
        <v>13.25</v>
      </c>
      <c r="M598" s="2951">
        <v>500000</v>
      </c>
      <c r="N598" s="2951">
        <v>500000</v>
      </c>
      <c r="O598" s="2955"/>
      <c r="P598" s="2948"/>
      <c r="Q598" s="2951">
        <v>0</v>
      </c>
      <c r="R598" s="2948"/>
      <c r="S598" s="2948"/>
      <c r="T598" s="2948"/>
      <c r="U598" s="2948"/>
      <c r="V598" s="2948"/>
    </row>
    <row r="599" spans="1:22" s="2944" customFormat="1" ht="46.8" hidden="1">
      <c r="A599" s="2948">
        <v>598</v>
      </c>
      <c r="B599" s="2948" t="s">
        <v>635</v>
      </c>
      <c r="C599" s="2948" t="s">
        <v>636</v>
      </c>
      <c r="D599" s="2948" t="s">
        <v>1276</v>
      </c>
      <c r="E599" s="2948" t="s">
        <v>729</v>
      </c>
      <c r="F599" s="2948" t="s">
        <v>1328</v>
      </c>
      <c r="G599" s="2948" t="s">
        <v>1035</v>
      </c>
      <c r="H599" s="2948" t="s">
        <v>1278</v>
      </c>
      <c r="I599" s="2948" t="s">
        <v>1279</v>
      </c>
      <c r="J599" s="2948" t="s">
        <v>643</v>
      </c>
      <c r="K599" s="2950">
        <v>33.03</v>
      </c>
      <c r="L599" s="2950">
        <v>13.25</v>
      </c>
      <c r="M599" s="2951">
        <v>500000</v>
      </c>
      <c r="N599" s="2951">
        <v>500000</v>
      </c>
      <c r="O599" s="2955"/>
      <c r="P599" s="2948"/>
      <c r="Q599" s="2951">
        <v>0</v>
      </c>
      <c r="R599" s="2948"/>
      <c r="S599" s="2948"/>
      <c r="T599" s="2948"/>
      <c r="U599" s="2948"/>
      <c r="V599" s="2948"/>
    </row>
    <row r="600" spans="1:22" s="2944" customFormat="1" ht="46.8" hidden="1">
      <c r="A600" s="2948">
        <v>599</v>
      </c>
      <c r="B600" s="2948" t="s">
        <v>635</v>
      </c>
      <c r="C600" s="2948" t="s">
        <v>636</v>
      </c>
      <c r="D600" s="2948" t="s">
        <v>1276</v>
      </c>
      <c r="E600" s="2948" t="s">
        <v>729</v>
      </c>
      <c r="F600" s="2948" t="s">
        <v>1329</v>
      </c>
      <c r="G600" s="2948" t="s">
        <v>1035</v>
      </c>
      <c r="H600" s="2948" t="s">
        <v>1278</v>
      </c>
      <c r="I600" s="2948" t="s">
        <v>1279</v>
      </c>
      <c r="J600" s="2948" t="s">
        <v>643</v>
      </c>
      <c r="K600" s="2950">
        <v>33.03</v>
      </c>
      <c r="L600" s="2950">
        <v>13.25</v>
      </c>
      <c r="M600" s="2951">
        <v>500000</v>
      </c>
      <c r="N600" s="2951">
        <v>500000</v>
      </c>
      <c r="O600" s="2955"/>
      <c r="P600" s="2948"/>
      <c r="Q600" s="2951">
        <v>0</v>
      </c>
      <c r="R600" s="2948"/>
      <c r="S600" s="2948"/>
      <c r="T600" s="2948"/>
      <c r="U600" s="2948"/>
      <c r="V600" s="2948"/>
    </row>
    <row r="601" spans="1:22" s="2944" customFormat="1" ht="46.8" hidden="1">
      <c r="A601" s="2948">
        <v>600</v>
      </c>
      <c r="B601" s="2948" t="s">
        <v>635</v>
      </c>
      <c r="C601" s="2948" t="s">
        <v>636</v>
      </c>
      <c r="D601" s="2948" t="s">
        <v>1276</v>
      </c>
      <c r="E601" s="2948" t="s">
        <v>729</v>
      </c>
      <c r="F601" s="2948" t="s">
        <v>1330</v>
      </c>
      <c r="G601" s="2948" t="s">
        <v>1035</v>
      </c>
      <c r="H601" s="2948" t="s">
        <v>1278</v>
      </c>
      <c r="I601" s="2948" t="s">
        <v>1279</v>
      </c>
      <c r="J601" s="2948" t="s">
        <v>643</v>
      </c>
      <c r="K601" s="2950">
        <v>33.03</v>
      </c>
      <c r="L601" s="2950">
        <v>13.25</v>
      </c>
      <c r="M601" s="2951">
        <v>500000</v>
      </c>
      <c r="N601" s="2951">
        <v>500000</v>
      </c>
      <c r="O601" s="2955"/>
      <c r="P601" s="2948"/>
      <c r="Q601" s="2951">
        <v>0</v>
      </c>
      <c r="R601" s="2948"/>
      <c r="S601" s="2948"/>
      <c r="T601" s="2948"/>
      <c r="U601" s="2948"/>
      <c r="V601" s="2948"/>
    </row>
    <row r="602" spans="1:22" s="2944" customFormat="1" ht="46.8">
      <c r="A602" s="2948">
        <v>601</v>
      </c>
      <c r="B602" s="2948" t="s">
        <v>635</v>
      </c>
      <c r="C602" s="2948" t="s">
        <v>636</v>
      </c>
      <c r="D602" s="2948" t="s">
        <v>1276</v>
      </c>
      <c r="E602" s="2948" t="s">
        <v>729</v>
      </c>
      <c r="F602" s="2948" t="s">
        <v>1331</v>
      </c>
      <c r="G602" s="2948" t="s">
        <v>640</v>
      </c>
      <c r="H602" s="2948" t="s">
        <v>1278</v>
      </c>
      <c r="I602" s="2948" t="s">
        <v>1279</v>
      </c>
      <c r="J602" s="2948" t="s">
        <v>643</v>
      </c>
      <c r="K602" s="2950">
        <v>33.03</v>
      </c>
      <c r="L602" s="2950">
        <v>13.25</v>
      </c>
      <c r="M602" s="2951">
        <v>544975</v>
      </c>
      <c r="N602" s="2951">
        <v>544975</v>
      </c>
      <c r="O602" s="2952">
        <v>544975</v>
      </c>
      <c r="P602" s="2953">
        <v>544975</v>
      </c>
      <c r="Q602" s="2951">
        <v>544975</v>
      </c>
      <c r="R602" s="2954">
        <v>44736</v>
      </c>
      <c r="S602" s="2954">
        <v>44737</v>
      </c>
      <c r="T602" s="2948"/>
      <c r="U602" s="2948"/>
      <c r="V602" s="2948" t="s">
        <v>750</v>
      </c>
    </row>
    <row r="603" spans="1:22" s="2944" customFormat="1" ht="46.8" hidden="1">
      <c r="A603" s="2948">
        <v>602</v>
      </c>
      <c r="B603" s="2948" t="s">
        <v>635</v>
      </c>
      <c r="C603" s="2948" t="s">
        <v>636</v>
      </c>
      <c r="D603" s="2948" t="s">
        <v>1276</v>
      </c>
      <c r="E603" s="2948" t="s">
        <v>729</v>
      </c>
      <c r="F603" s="2948" t="s">
        <v>1332</v>
      </c>
      <c r="G603" s="2948" t="s">
        <v>1035</v>
      </c>
      <c r="H603" s="2948" t="s">
        <v>1278</v>
      </c>
      <c r="I603" s="2948" t="s">
        <v>1279</v>
      </c>
      <c r="J603" s="2948" t="s">
        <v>643</v>
      </c>
      <c r="K603" s="2950">
        <v>33.03</v>
      </c>
      <c r="L603" s="2950">
        <v>13.25</v>
      </c>
      <c r="M603" s="2951">
        <v>500000</v>
      </c>
      <c r="N603" s="2951">
        <v>500000</v>
      </c>
      <c r="O603" s="2955"/>
      <c r="P603" s="2948"/>
      <c r="Q603" s="2951">
        <v>0</v>
      </c>
      <c r="R603" s="2948"/>
      <c r="S603" s="2948"/>
      <c r="T603" s="2948"/>
      <c r="U603" s="2948"/>
      <c r="V603" s="2948"/>
    </row>
    <row r="604" spans="1:22" s="2944" customFormat="1" ht="46.8" hidden="1">
      <c r="A604" s="2948">
        <v>603</v>
      </c>
      <c r="B604" s="2948" t="s">
        <v>635</v>
      </c>
      <c r="C604" s="2948" t="s">
        <v>636</v>
      </c>
      <c r="D604" s="2948" t="s">
        <v>1276</v>
      </c>
      <c r="E604" s="2948" t="s">
        <v>729</v>
      </c>
      <c r="F604" s="2948" t="s">
        <v>1333</v>
      </c>
      <c r="G604" s="2948" t="s">
        <v>1035</v>
      </c>
      <c r="H604" s="2948" t="s">
        <v>1278</v>
      </c>
      <c r="I604" s="2948" t="s">
        <v>1279</v>
      </c>
      <c r="J604" s="2948" t="s">
        <v>643</v>
      </c>
      <c r="K604" s="2950">
        <v>33.03</v>
      </c>
      <c r="L604" s="2950">
        <v>13.25</v>
      </c>
      <c r="M604" s="2951">
        <v>500000</v>
      </c>
      <c r="N604" s="2951">
        <v>500000</v>
      </c>
      <c r="O604" s="2955"/>
      <c r="P604" s="2948"/>
      <c r="Q604" s="2951">
        <v>0</v>
      </c>
      <c r="R604" s="2948"/>
      <c r="S604" s="2948"/>
      <c r="T604" s="2948"/>
      <c r="U604" s="2948"/>
      <c r="V604" s="2948"/>
    </row>
    <row r="605" spans="1:22" s="2944" customFormat="1" ht="46.8" hidden="1">
      <c r="A605" s="2948">
        <v>604</v>
      </c>
      <c r="B605" s="2948" t="s">
        <v>635</v>
      </c>
      <c r="C605" s="2948" t="s">
        <v>636</v>
      </c>
      <c r="D605" s="2948" t="s">
        <v>1276</v>
      </c>
      <c r="E605" s="2948" t="s">
        <v>729</v>
      </c>
      <c r="F605" s="2948" t="s">
        <v>1334</v>
      </c>
      <c r="G605" s="2948" t="s">
        <v>1035</v>
      </c>
      <c r="H605" s="2948" t="s">
        <v>1278</v>
      </c>
      <c r="I605" s="2948" t="s">
        <v>1279</v>
      </c>
      <c r="J605" s="2948" t="s">
        <v>643</v>
      </c>
      <c r="K605" s="2950">
        <v>33.03</v>
      </c>
      <c r="L605" s="2950">
        <v>13.25</v>
      </c>
      <c r="M605" s="2951">
        <v>500000</v>
      </c>
      <c r="N605" s="2951">
        <v>500000</v>
      </c>
      <c r="O605" s="2955"/>
      <c r="P605" s="2948"/>
      <c r="Q605" s="2951">
        <v>0</v>
      </c>
      <c r="R605" s="2948"/>
      <c r="S605" s="2948"/>
      <c r="T605" s="2948"/>
      <c r="U605" s="2948"/>
      <c r="V605" s="2948"/>
    </row>
    <row r="606" spans="1:22" s="2944" customFormat="1" ht="46.8" hidden="1">
      <c r="A606" s="2948">
        <v>605</v>
      </c>
      <c r="B606" s="2948" t="s">
        <v>635</v>
      </c>
      <c r="C606" s="2948" t="s">
        <v>636</v>
      </c>
      <c r="D606" s="2948" t="s">
        <v>1276</v>
      </c>
      <c r="E606" s="2948" t="s">
        <v>729</v>
      </c>
      <c r="F606" s="2948" t="s">
        <v>1335</v>
      </c>
      <c r="G606" s="2948" t="s">
        <v>1035</v>
      </c>
      <c r="H606" s="2948" t="s">
        <v>1278</v>
      </c>
      <c r="I606" s="2948" t="s">
        <v>1279</v>
      </c>
      <c r="J606" s="2948" t="s">
        <v>643</v>
      </c>
      <c r="K606" s="2950">
        <v>33.03</v>
      </c>
      <c r="L606" s="2950">
        <v>13.25</v>
      </c>
      <c r="M606" s="2951">
        <v>500000</v>
      </c>
      <c r="N606" s="2951">
        <v>500000</v>
      </c>
      <c r="O606" s="2955"/>
      <c r="P606" s="2948"/>
      <c r="Q606" s="2951">
        <v>0</v>
      </c>
      <c r="R606" s="2948"/>
      <c r="S606" s="2948"/>
      <c r="T606" s="2948"/>
      <c r="U606" s="2948"/>
      <c r="V606" s="2948"/>
    </row>
    <row r="607" spans="1:22" s="2944" customFormat="1" ht="46.8" hidden="1">
      <c r="A607" s="2948">
        <v>606</v>
      </c>
      <c r="B607" s="2948" t="s">
        <v>635</v>
      </c>
      <c r="C607" s="2948" t="s">
        <v>636</v>
      </c>
      <c r="D607" s="2948" t="s">
        <v>1276</v>
      </c>
      <c r="E607" s="2948" t="s">
        <v>729</v>
      </c>
      <c r="F607" s="2948" t="s">
        <v>1336</v>
      </c>
      <c r="G607" s="2948" t="s">
        <v>1035</v>
      </c>
      <c r="H607" s="2948" t="s">
        <v>1278</v>
      </c>
      <c r="I607" s="2948" t="s">
        <v>1279</v>
      </c>
      <c r="J607" s="2948" t="s">
        <v>643</v>
      </c>
      <c r="K607" s="2950">
        <v>33.03</v>
      </c>
      <c r="L607" s="2950">
        <v>13.25</v>
      </c>
      <c r="M607" s="2951">
        <v>500000</v>
      </c>
      <c r="N607" s="2951">
        <v>500000</v>
      </c>
      <c r="O607" s="2955"/>
      <c r="P607" s="2948"/>
      <c r="Q607" s="2951">
        <v>0</v>
      </c>
      <c r="R607" s="2948"/>
      <c r="S607" s="2948"/>
      <c r="T607" s="2948"/>
      <c r="U607" s="2948"/>
      <c r="V607" s="2948"/>
    </row>
    <row r="608" spans="1:22" s="2944" customFormat="1" ht="46.8" hidden="1">
      <c r="A608" s="2948">
        <v>607</v>
      </c>
      <c r="B608" s="2948" t="s">
        <v>635</v>
      </c>
      <c r="C608" s="2948" t="s">
        <v>636</v>
      </c>
      <c r="D608" s="2948" t="s">
        <v>1276</v>
      </c>
      <c r="E608" s="2948" t="s">
        <v>729</v>
      </c>
      <c r="F608" s="2948" t="s">
        <v>1337</v>
      </c>
      <c r="G608" s="2948" t="s">
        <v>1035</v>
      </c>
      <c r="H608" s="2948" t="s">
        <v>1278</v>
      </c>
      <c r="I608" s="2948" t="s">
        <v>1279</v>
      </c>
      <c r="J608" s="2948" t="s">
        <v>643</v>
      </c>
      <c r="K608" s="2950">
        <v>33.03</v>
      </c>
      <c r="L608" s="2950">
        <v>13.25</v>
      </c>
      <c r="M608" s="2951">
        <v>500000</v>
      </c>
      <c r="N608" s="2951">
        <v>500000</v>
      </c>
      <c r="O608" s="2955"/>
      <c r="P608" s="2948"/>
      <c r="Q608" s="2951">
        <v>0</v>
      </c>
      <c r="R608" s="2948"/>
      <c r="S608" s="2948"/>
      <c r="T608" s="2948"/>
      <c r="U608" s="2948"/>
      <c r="V608" s="2948"/>
    </row>
    <row r="609" spans="1:22" s="2944" customFormat="1" ht="46.8">
      <c r="A609" s="2948">
        <v>608</v>
      </c>
      <c r="B609" s="2948" t="s">
        <v>635</v>
      </c>
      <c r="C609" s="2948" t="s">
        <v>636</v>
      </c>
      <c r="D609" s="2948" t="s">
        <v>1276</v>
      </c>
      <c r="E609" s="2948" t="s">
        <v>729</v>
      </c>
      <c r="F609" s="2948" t="s">
        <v>1338</v>
      </c>
      <c r="G609" s="2948" t="s">
        <v>640</v>
      </c>
      <c r="H609" s="2948" t="s">
        <v>1278</v>
      </c>
      <c r="I609" s="2948" t="s">
        <v>1279</v>
      </c>
      <c r="J609" s="2948" t="s">
        <v>643</v>
      </c>
      <c r="K609" s="2950">
        <v>33.03</v>
      </c>
      <c r="L609" s="2950">
        <v>13.25</v>
      </c>
      <c r="M609" s="2951">
        <v>544975</v>
      </c>
      <c r="N609" s="2951">
        <v>544975</v>
      </c>
      <c r="O609" s="2952">
        <v>544975</v>
      </c>
      <c r="P609" s="2953">
        <v>544975</v>
      </c>
      <c r="Q609" s="2951">
        <v>544975</v>
      </c>
      <c r="R609" s="2954">
        <v>45022</v>
      </c>
      <c r="S609" s="2954">
        <v>45022</v>
      </c>
      <c r="T609" s="2948"/>
      <c r="U609" s="2948"/>
      <c r="V609" s="2948" t="s">
        <v>784</v>
      </c>
    </row>
    <row r="610" spans="1:22" s="2944" customFormat="1" ht="46.8" hidden="1">
      <c r="A610" s="2948">
        <v>609</v>
      </c>
      <c r="B610" s="2948" t="s">
        <v>635</v>
      </c>
      <c r="C610" s="2948" t="s">
        <v>636</v>
      </c>
      <c r="D610" s="2948" t="s">
        <v>1276</v>
      </c>
      <c r="E610" s="2948" t="s">
        <v>729</v>
      </c>
      <c r="F610" s="2948" t="s">
        <v>1339</v>
      </c>
      <c r="G610" s="2948" t="s">
        <v>1035</v>
      </c>
      <c r="H610" s="2948" t="s">
        <v>1278</v>
      </c>
      <c r="I610" s="2948" t="s">
        <v>1279</v>
      </c>
      <c r="J610" s="2948" t="s">
        <v>643</v>
      </c>
      <c r="K610" s="2950">
        <v>33.03</v>
      </c>
      <c r="L610" s="2950">
        <v>13.25</v>
      </c>
      <c r="M610" s="2951">
        <v>500000</v>
      </c>
      <c r="N610" s="2951">
        <v>500000</v>
      </c>
      <c r="O610" s="2955"/>
      <c r="P610" s="2948"/>
      <c r="Q610" s="2951">
        <v>0</v>
      </c>
      <c r="R610" s="2948"/>
      <c r="S610" s="2948"/>
      <c r="T610" s="2948"/>
      <c r="U610" s="2948"/>
      <c r="V610" s="2948"/>
    </row>
    <row r="611" spans="1:22" s="2944" customFormat="1" ht="46.8" hidden="1">
      <c r="A611" s="2948">
        <v>610</v>
      </c>
      <c r="B611" s="2948" t="s">
        <v>635</v>
      </c>
      <c r="C611" s="2948" t="s">
        <v>636</v>
      </c>
      <c r="D611" s="2948" t="s">
        <v>1276</v>
      </c>
      <c r="E611" s="2948" t="s">
        <v>729</v>
      </c>
      <c r="F611" s="2948" t="s">
        <v>1340</v>
      </c>
      <c r="G611" s="2948" t="s">
        <v>1035</v>
      </c>
      <c r="H611" s="2948" t="s">
        <v>1278</v>
      </c>
      <c r="I611" s="2948" t="s">
        <v>1279</v>
      </c>
      <c r="J611" s="2948" t="s">
        <v>643</v>
      </c>
      <c r="K611" s="2950">
        <v>33.03</v>
      </c>
      <c r="L611" s="2950">
        <v>13.25</v>
      </c>
      <c r="M611" s="2951">
        <v>500000</v>
      </c>
      <c r="N611" s="2951">
        <v>500000</v>
      </c>
      <c r="O611" s="2955"/>
      <c r="P611" s="2948"/>
      <c r="Q611" s="2951">
        <v>0</v>
      </c>
      <c r="R611" s="2948"/>
      <c r="S611" s="2948"/>
      <c r="T611" s="2948"/>
      <c r="U611" s="2948"/>
      <c r="V611" s="2948"/>
    </row>
    <row r="612" spans="1:22" s="2944" customFormat="1" ht="46.8">
      <c r="A612" s="2948">
        <v>611</v>
      </c>
      <c r="B612" s="2948" t="s">
        <v>635</v>
      </c>
      <c r="C612" s="2948" t="s">
        <v>636</v>
      </c>
      <c r="D612" s="2948" t="s">
        <v>1276</v>
      </c>
      <c r="E612" s="2948" t="s">
        <v>729</v>
      </c>
      <c r="F612" s="2948" t="s">
        <v>1341</v>
      </c>
      <c r="G612" s="2948" t="s">
        <v>640</v>
      </c>
      <c r="H612" s="2948" t="s">
        <v>1278</v>
      </c>
      <c r="I612" s="2948" t="s">
        <v>1279</v>
      </c>
      <c r="J612" s="2948" t="s">
        <v>643</v>
      </c>
      <c r="K612" s="2950">
        <v>33.03</v>
      </c>
      <c r="L612" s="2950">
        <v>13.25</v>
      </c>
      <c r="M612" s="2951">
        <v>500000</v>
      </c>
      <c r="N612" s="2951">
        <v>500000</v>
      </c>
      <c r="O612" s="2952">
        <v>500000</v>
      </c>
      <c r="P612" s="2953">
        <v>500000</v>
      </c>
      <c r="Q612" s="2951">
        <v>500000</v>
      </c>
      <c r="R612" s="2954">
        <v>45287</v>
      </c>
      <c r="S612" s="2954">
        <v>45287</v>
      </c>
      <c r="T612" s="2948"/>
      <c r="U612" s="2948"/>
      <c r="V612" s="2948" t="s">
        <v>1342</v>
      </c>
    </row>
    <row r="613" spans="1:22" s="2944" customFormat="1" ht="46.8" hidden="1">
      <c r="A613" s="2948">
        <v>612</v>
      </c>
      <c r="B613" s="2948" t="s">
        <v>635</v>
      </c>
      <c r="C613" s="2948" t="s">
        <v>636</v>
      </c>
      <c r="D613" s="2948" t="s">
        <v>1276</v>
      </c>
      <c r="E613" s="2948" t="s">
        <v>729</v>
      </c>
      <c r="F613" s="2948" t="s">
        <v>1343</v>
      </c>
      <c r="G613" s="2948" t="s">
        <v>1035</v>
      </c>
      <c r="H613" s="2948" t="s">
        <v>1278</v>
      </c>
      <c r="I613" s="2948" t="s">
        <v>1279</v>
      </c>
      <c r="J613" s="2948" t="s">
        <v>643</v>
      </c>
      <c r="K613" s="2950">
        <v>33.03</v>
      </c>
      <c r="L613" s="2950">
        <v>13.25</v>
      </c>
      <c r="M613" s="2951">
        <v>500000</v>
      </c>
      <c r="N613" s="2951">
        <v>500000</v>
      </c>
      <c r="O613" s="2955"/>
      <c r="P613" s="2948"/>
      <c r="Q613" s="2951">
        <v>0</v>
      </c>
      <c r="R613" s="2948"/>
      <c r="S613" s="2948"/>
      <c r="T613" s="2948"/>
      <c r="U613" s="2948"/>
      <c r="V613" s="2948"/>
    </row>
    <row r="614" spans="1:22" s="2944" customFormat="1" ht="46.8" hidden="1">
      <c r="A614" s="2948">
        <v>613</v>
      </c>
      <c r="B614" s="2948" t="s">
        <v>635</v>
      </c>
      <c r="C614" s="2948" t="s">
        <v>636</v>
      </c>
      <c r="D614" s="2948" t="s">
        <v>1276</v>
      </c>
      <c r="E614" s="2948" t="s">
        <v>729</v>
      </c>
      <c r="F614" s="2948" t="s">
        <v>1344</v>
      </c>
      <c r="G614" s="2948" t="s">
        <v>1035</v>
      </c>
      <c r="H614" s="2948" t="s">
        <v>1278</v>
      </c>
      <c r="I614" s="2948" t="s">
        <v>1279</v>
      </c>
      <c r="J614" s="2948" t="s">
        <v>643</v>
      </c>
      <c r="K614" s="2950">
        <v>33.03</v>
      </c>
      <c r="L614" s="2950">
        <v>13.25</v>
      </c>
      <c r="M614" s="2951">
        <v>500000</v>
      </c>
      <c r="N614" s="2951">
        <v>500000</v>
      </c>
      <c r="O614" s="2955"/>
      <c r="P614" s="2948"/>
      <c r="Q614" s="2951">
        <v>0</v>
      </c>
      <c r="R614" s="2948"/>
      <c r="S614" s="2948"/>
      <c r="T614" s="2948"/>
      <c r="U614" s="2948"/>
      <c r="V614" s="2948"/>
    </row>
    <row r="615" spans="1:22" s="2944" customFormat="1" ht="46.8">
      <c r="A615" s="2948">
        <v>614</v>
      </c>
      <c r="B615" s="2948" t="s">
        <v>635</v>
      </c>
      <c r="C615" s="2948" t="s">
        <v>636</v>
      </c>
      <c r="D615" s="2948" t="s">
        <v>1276</v>
      </c>
      <c r="E615" s="2948" t="s">
        <v>729</v>
      </c>
      <c r="F615" s="2948" t="s">
        <v>1345</v>
      </c>
      <c r="G615" s="2948" t="s">
        <v>640</v>
      </c>
      <c r="H615" s="2948" t="s">
        <v>1278</v>
      </c>
      <c r="I615" s="2948" t="s">
        <v>1279</v>
      </c>
      <c r="J615" s="2948" t="s">
        <v>643</v>
      </c>
      <c r="K615" s="2950">
        <v>33.03</v>
      </c>
      <c r="L615" s="2950">
        <v>13.25</v>
      </c>
      <c r="M615" s="2951">
        <v>544975</v>
      </c>
      <c r="N615" s="2951">
        <v>544975</v>
      </c>
      <c r="O615" s="2952">
        <v>500000</v>
      </c>
      <c r="P615" s="2953">
        <v>500000</v>
      </c>
      <c r="Q615" s="2951">
        <v>500000</v>
      </c>
      <c r="R615" s="2954">
        <v>45107</v>
      </c>
      <c r="S615" s="2954">
        <v>45107</v>
      </c>
      <c r="T615" s="2948"/>
      <c r="U615" s="2948"/>
      <c r="V615" s="2948" t="s">
        <v>1285</v>
      </c>
    </row>
    <row r="616" spans="1:22" s="2944" customFormat="1" ht="46.8" hidden="1">
      <c r="A616" s="2948">
        <v>615</v>
      </c>
      <c r="B616" s="2948" t="s">
        <v>635</v>
      </c>
      <c r="C616" s="2948" t="s">
        <v>636</v>
      </c>
      <c r="D616" s="2948" t="s">
        <v>1276</v>
      </c>
      <c r="E616" s="2948" t="s">
        <v>729</v>
      </c>
      <c r="F616" s="2948" t="s">
        <v>1346</v>
      </c>
      <c r="G616" s="2948" t="s">
        <v>1035</v>
      </c>
      <c r="H616" s="2948" t="s">
        <v>1278</v>
      </c>
      <c r="I616" s="2948" t="s">
        <v>1279</v>
      </c>
      <c r="J616" s="2948" t="s">
        <v>643</v>
      </c>
      <c r="K616" s="2950">
        <v>33.03</v>
      </c>
      <c r="L616" s="2950">
        <v>13.25</v>
      </c>
      <c r="M616" s="2951">
        <v>500000</v>
      </c>
      <c r="N616" s="2951">
        <v>500000</v>
      </c>
      <c r="O616" s="2955"/>
      <c r="P616" s="2948"/>
      <c r="Q616" s="2951">
        <v>0</v>
      </c>
      <c r="R616" s="2948"/>
      <c r="S616" s="2948"/>
      <c r="T616" s="2948"/>
      <c r="U616" s="2948"/>
      <c r="V616" s="2948"/>
    </row>
    <row r="617" spans="1:22" s="2944" customFormat="1" ht="46.8" hidden="1">
      <c r="A617" s="2948">
        <v>616</v>
      </c>
      <c r="B617" s="2948" t="s">
        <v>635</v>
      </c>
      <c r="C617" s="2948" t="s">
        <v>636</v>
      </c>
      <c r="D617" s="2948" t="s">
        <v>1276</v>
      </c>
      <c r="E617" s="2948" t="s">
        <v>729</v>
      </c>
      <c r="F617" s="2948" t="s">
        <v>1347</v>
      </c>
      <c r="G617" s="2948" t="s">
        <v>1035</v>
      </c>
      <c r="H617" s="2948" t="s">
        <v>1278</v>
      </c>
      <c r="I617" s="2948" t="s">
        <v>1279</v>
      </c>
      <c r="J617" s="2948" t="s">
        <v>643</v>
      </c>
      <c r="K617" s="2950">
        <v>33.03</v>
      </c>
      <c r="L617" s="2950">
        <v>13.25</v>
      </c>
      <c r="M617" s="2951">
        <v>500000</v>
      </c>
      <c r="N617" s="2951">
        <v>500000</v>
      </c>
      <c r="O617" s="2955"/>
      <c r="P617" s="2948"/>
      <c r="Q617" s="2951">
        <v>0</v>
      </c>
      <c r="R617" s="2948"/>
      <c r="S617" s="2948"/>
      <c r="T617" s="2948"/>
      <c r="U617" s="2948"/>
      <c r="V617" s="2948"/>
    </row>
    <row r="618" spans="1:22" s="2944" customFormat="1" ht="46.8" hidden="1">
      <c r="A618" s="2948">
        <v>617</v>
      </c>
      <c r="B618" s="2948" t="s">
        <v>635</v>
      </c>
      <c r="C618" s="2948" t="s">
        <v>636</v>
      </c>
      <c r="D618" s="2948" t="s">
        <v>1276</v>
      </c>
      <c r="E618" s="2948" t="s">
        <v>729</v>
      </c>
      <c r="F618" s="2948" t="s">
        <v>1348</v>
      </c>
      <c r="G618" s="2948" t="s">
        <v>1035</v>
      </c>
      <c r="H618" s="2948" t="s">
        <v>1278</v>
      </c>
      <c r="I618" s="2948" t="s">
        <v>1279</v>
      </c>
      <c r="J618" s="2948" t="s">
        <v>643</v>
      </c>
      <c r="K618" s="2950">
        <v>33.03</v>
      </c>
      <c r="L618" s="2950">
        <v>13.25</v>
      </c>
      <c r="M618" s="2951">
        <v>500000</v>
      </c>
      <c r="N618" s="2951">
        <v>500000</v>
      </c>
      <c r="O618" s="2955"/>
      <c r="P618" s="2948"/>
      <c r="Q618" s="2951">
        <v>0</v>
      </c>
      <c r="R618" s="2948"/>
      <c r="S618" s="2948"/>
      <c r="T618" s="2948"/>
      <c r="U618" s="2948"/>
      <c r="V618" s="2948"/>
    </row>
    <row r="619" spans="1:22" s="2944" customFormat="1" ht="46.8">
      <c r="A619" s="2948">
        <v>618</v>
      </c>
      <c r="B619" s="2948" t="s">
        <v>635</v>
      </c>
      <c r="C619" s="2948" t="s">
        <v>636</v>
      </c>
      <c r="D619" s="2948" t="s">
        <v>1276</v>
      </c>
      <c r="E619" s="2948" t="s">
        <v>729</v>
      </c>
      <c r="F619" s="2948" t="s">
        <v>1349</v>
      </c>
      <c r="G619" s="2948" t="s">
        <v>640</v>
      </c>
      <c r="H619" s="2948" t="s">
        <v>1278</v>
      </c>
      <c r="I619" s="2948" t="s">
        <v>1279</v>
      </c>
      <c r="J619" s="2948" t="s">
        <v>643</v>
      </c>
      <c r="K619" s="2950">
        <v>33.03</v>
      </c>
      <c r="L619" s="2950">
        <v>13.25</v>
      </c>
      <c r="M619" s="2951">
        <v>500000</v>
      </c>
      <c r="N619" s="2951">
        <v>500000</v>
      </c>
      <c r="O619" s="2952">
        <v>500000</v>
      </c>
      <c r="P619" s="2953">
        <v>500000</v>
      </c>
      <c r="Q619" s="2951">
        <v>500000</v>
      </c>
      <c r="R619" s="2954">
        <v>45197</v>
      </c>
      <c r="S619" s="2954">
        <v>45197</v>
      </c>
      <c r="T619" s="2948"/>
      <c r="U619" s="2948"/>
      <c r="V619" s="2948" t="s">
        <v>1350</v>
      </c>
    </row>
    <row r="620" spans="1:22" s="2944" customFormat="1" ht="46.8">
      <c r="A620" s="2948">
        <v>619</v>
      </c>
      <c r="B620" s="2948" t="s">
        <v>635</v>
      </c>
      <c r="C620" s="2948" t="s">
        <v>636</v>
      </c>
      <c r="D620" s="2948" t="s">
        <v>1276</v>
      </c>
      <c r="E620" s="2948" t="s">
        <v>729</v>
      </c>
      <c r="F620" s="2948" t="s">
        <v>1351</v>
      </c>
      <c r="G620" s="2948" t="s">
        <v>640</v>
      </c>
      <c r="H620" s="2948" t="s">
        <v>1278</v>
      </c>
      <c r="I620" s="2948" t="s">
        <v>1279</v>
      </c>
      <c r="J620" s="2948" t="s">
        <v>643</v>
      </c>
      <c r="K620" s="2950">
        <v>33.03</v>
      </c>
      <c r="L620" s="2950">
        <v>13.25</v>
      </c>
      <c r="M620" s="2951">
        <v>500000</v>
      </c>
      <c r="N620" s="2951">
        <v>500000</v>
      </c>
      <c r="O620" s="2952">
        <v>500000</v>
      </c>
      <c r="P620" s="2953">
        <v>500000</v>
      </c>
      <c r="Q620" s="2951">
        <v>500000</v>
      </c>
      <c r="R620" s="2954">
        <v>45197</v>
      </c>
      <c r="S620" s="2954">
        <v>45197</v>
      </c>
      <c r="T620" s="2948"/>
      <c r="U620" s="2948"/>
      <c r="V620" s="2948" t="s">
        <v>1350</v>
      </c>
    </row>
    <row r="621" spans="1:22" s="2944" customFormat="1" ht="46.8">
      <c r="A621" s="2948">
        <v>620</v>
      </c>
      <c r="B621" s="2948" t="s">
        <v>635</v>
      </c>
      <c r="C621" s="2948" t="s">
        <v>636</v>
      </c>
      <c r="D621" s="2948" t="s">
        <v>1276</v>
      </c>
      <c r="E621" s="2948" t="s">
        <v>729</v>
      </c>
      <c r="F621" s="2948" t="s">
        <v>1352</v>
      </c>
      <c r="G621" s="2948" t="s">
        <v>640</v>
      </c>
      <c r="H621" s="2948" t="s">
        <v>1278</v>
      </c>
      <c r="I621" s="2948" t="s">
        <v>1279</v>
      </c>
      <c r="J621" s="2948" t="s">
        <v>643</v>
      </c>
      <c r="K621" s="2950">
        <v>33.03</v>
      </c>
      <c r="L621" s="2950">
        <v>13.25</v>
      </c>
      <c r="M621" s="2951">
        <v>544975</v>
      </c>
      <c r="N621" s="2951">
        <v>544975</v>
      </c>
      <c r="O621" s="2952">
        <v>500000</v>
      </c>
      <c r="P621" s="2953">
        <v>500000</v>
      </c>
      <c r="Q621" s="2951">
        <v>500000</v>
      </c>
      <c r="R621" s="2954">
        <v>45107</v>
      </c>
      <c r="S621" s="2954">
        <v>45107</v>
      </c>
      <c r="T621" s="2948"/>
      <c r="U621" s="2948"/>
      <c r="V621" s="2948" t="s">
        <v>1353</v>
      </c>
    </row>
    <row r="622" spans="1:22" s="2944" customFormat="1" ht="46.8">
      <c r="A622" s="2948">
        <v>621</v>
      </c>
      <c r="B622" s="2948" t="s">
        <v>635</v>
      </c>
      <c r="C622" s="2948" t="s">
        <v>636</v>
      </c>
      <c r="D622" s="2948" t="s">
        <v>1276</v>
      </c>
      <c r="E622" s="2948" t="s">
        <v>729</v>
      </c>
      <c r="F622" s="2948" t="s">
        <v>1354</v>
      </c>
      <c r="G622" s="2948" t="s">
        <v>640</v>
      </c>
      <c r="H622" s="2948" t="s">
        <v>1278</v>
      </c>
      <c r="I622" s="2948" t="s">
        <v>1279</v>
      </c>
      <c r="J622" s="2948" t="s">
        <v>643</v>
      </c>
      <c r="K622" s="2950">
        <v>33.03</v>
      </c>
      <c r="L622" s="2950">
        <v>13.25</v>
      </c>
      <c r="M622" s="2951">
        <v>544975</v>
      </c>
      <c r="N622" s="2951">
        <v>544975</v>
      </c>
      <c r="O622" s="2952">
        <v>544975</v>
      </c>
      <c r="P622" s="2953">
        <v>544975</v>
      </c>
      <c r="Q622" s="2951">
        <v>544975</v>
      </c>
      <c r="R622" s="2954">
        <v>44561</v>
      </c>
      <c r="S622" s="2954">
        <v>44561</v>
      </c>
      <c r="T622" s="2948"/>
      <c r="U622" s="2948"/>
      <c r="V622" s="2948" t="s">
        <v>670</v>
      </c>
    </row>
    <row r="623" spans="1:22" s="2944" customFormat="1" ht="46.8">
      <c r="A623" s="2948">
        <v>622</v>
      </c>
      <c r="B623" s="2948" t="s">
        <v>635</v>
      </c>
      <c r="C623" s="2948" t="s">
        <v>636</v>
      </c>
      <c r="D623" s="2948" t="s">
        <v>1276</v>
      </c>
      <c r="E623" s="2948" t="s">
        <v>729</v>
      </c>
      <c r="F623" s="2948" t="s">
        <v>1355</v>
      </c>
      <c r="G623" s="2948" t="s">
        <v>640</v>
      </c>
      <c r="H623" s="2948" t="s">
        <v>1278</v>
      </c>
      <c r="I623" s="2948" t="s">
        <v>1279</v>
      </c>
      <c r="J623" s="2948" t="s">
        <v>643</v>
      </c>
      <c r="K623" s="2950">
        <v>33.03</v>
      </c>
      <c r="L623" s="2950">
        <v>13.25</v>
      </c>
      <c r="M623" s="2951">
        <v>500000</v>
      </c>
      <c r="N623" s="2951">
        <v>500000</v>
      </c>
      <c r="O623" s="2952">
        <v>500000</v>
      </c>
      <c r="P623" s="2953">
        <v>500000</v>
      </c>
      <c r="Q623" s="2951">
        <v>500000</v>
      </c>
      <c r="R623" s="2954">
        <v>45197</v>
      </c>
      <c r="S623" s="2954">
        <v>45197</v>
      </c>
      <c r="T623" s="2948"/>
      <c r="U623" s="2948"/>
      <c r="V623" s="2948" t="s">
        <v>1289</v>
      </c>
    </row>
    <row r="624" spans="1:22" s="2944" customFormat="1" ht="46.8">
      <c r="A624" s="2948">
        <v>623</v>
      </c>
      <c r="B624" s="2948" t="s">
        <v>635</v>
      </c>
      <c r="C624" s="2948" t="s">
        <v>636</v>
      </c>
      <c r="D624" s="2948" t="s">
        <v>1276</v>
      </c>
      <c r="E624" s="2948" t="s">
        <v>729</v>
      </c>
      <c r="F624" s="2948" t="s">
        <v>1356</v>
      </c>
      <c r="G624" s="2948" t="s">
        <v>640</v>
      </c>
      <c r="H624" s="2948" t="s">
        <v>1278</v>
      </c>
      <c r="I624" s="2948" t="s">
        <v>1279</v>
      </c>
      <c r="J624" s="2948" t="s">
        <v>643</v>
      </c>
      <c r="K624" s="2950">
        <v>33.03</v>
      </c>
      <c r="L624" s="2950">
        <v>13.25</v>
      </c>
      <c r="M624" s="2951">
        <v>544975</v>
      </c>
      <c r="N624" s="2951">
        <v>544975</v>
      </c>
      <c r="O624" s="2952">
        <v>500000</v>
      </c>
      <c r="P624" s="2953">
        <v>500000</v>
      </c>
      <c r="Q624" s="2951">
        <v>500000</v>
      </c>
      <c r="R624" s="2954">
        <v>45107</v>
      </c>
      <c r="S624" s="2954">
        <v>45107</v>
      </c>
      <c r="T624" s="2948"/>
      <c r="U624" s="2948"/>
      <c r="V624" s="2948" t="s">
        <v>1357</v>
      </c>
    </row>
    <row r="625" spans="1:22" s="2944" customFormat="1" ht="46.8">
      <c r="A625" s="2948">
        <v>624</v>
      </c>
      <c r="B625" s="2948" t="s">
        <v>635</v>
      </c>
      <c r="C625" s="2948" t="s">
        <v>636</v>
      </c>
      <c r="D625" s="2948" t="s">
        <v>1276</v>
      </c>
      <c r="E625" s="2948" t="s">
        <v>729</v>
      </c>
      <c r="F625" s="2948" t="s">
        <v>904</v>
      </c>
      <c r="G625" s="2948" t="s">
        <v>640</v>
      </c>
      <c r="H625" s="2948" t="s">
        <v>1278</v>
      </c>
      <c r="I625" s="2948" t="s">
        <v>1279</v>
      </c>
      <c r="J625" s="2948" t="s">
        <v>643</v>
      </c>
      <c r="K625" s="2950">
        <v>33.03</v>
      </c>
      <c r="L625" s="2950">
        <v>13.25</v>
      </c>
      <c r="M625" s="2951">
        <v>500000</v>
      </c>
      <c r="N625" s="2951">
        <v>500000</v>
      </c>
      <c r="O625" s="2952">
        <v>500000</v>
      </c>
      <c r="P625" s="2953">
        <v>500000</v>
      </c>
      <c r="Q625" s="2951">
        <v>500000</v>
      </c>
      <c r="R625" s="2954">
        <v>45197</v>
      </c>
      <c r="S625" s="2954">
        <v>45197</v>
      </c>
      <c r="T625" s="2948"/>
      <c r="U625" s="2948"/>
      <c r="V625" s="2948" t="s">
        <v>1350</v>
      </c>
    </row>
    <row r="626" spans="1:22" s="2944" customFormat="1" ht="46.8" hidden="1">
      <c r="A626" s="2948">
        <v>625</v>
      </c>
      <c r="B626" s="2948" t="s">
        <v>635</v>
      </c>
      <c r="C626" s="2948" t="s">
        <v>636</v>
      </c>
      <c r="D626" s="2948" t="s">
        <v>1276</v>
      </c>
      <c r="E626" s="2948" t="s">
        <v>729</v>
      </c>
      <c r="F626" s="2948" t="s">
        <v>902</v>
      </c>
      <c r="G626" s="2948" t="s">
        <v>1035</v>
      </c>
      <c r="H626" s="2948" t="s">
        <v>1278</v>
      </c>
      <c r="I626" s="2948" t="s">
        <v>1279</v>
      </c>
      <c r="J626" s="2948" t="s">
        <v>643</v>
      </c>
      <c r="K626" s="2950">
        <v>33.03</v>
      </c>
      <c r="L626" s="2950">
        <v>13.25</v>
      </c>
      <c r="M626" s="2951">
        <v>500000</v>
      </c>
      <c r="N626" s="2951">
        <v>500000</v>
      </c>
      <c r="O626" s="2955"/>
      <c r="P626" s="2948"/>
      <c r="Q626" s="2951">
        <v>0</v>
      </c>
      <c r="R626" s="2948"/>
      <c r="S626" s="2948"/>
      <c r="T626" s="2948"/>
      <c r="U626" s="2948"/>
      <c r="V626" s="2948"/>
    </row>
    <row r="627" spans="1:22" s="2944" customFormat="1" ht="46.8">
      <c r="A627" s="2948">
        <v>626</v>
      </c>
      <c r="B627" s="2948" t="s">
        <v>635</v>
      </c>
      <c r="C627" s="2948" t="s">
        <v>636</v>
      </c>
      <c r="D627" s="2948" t="s">
        <v>1276</v>
      </c>
      <c r="E627" s="2948" t="s">
        <v>729</v>
      </c>
      <c r="F627" s="2948" t="s">
        <v>1358</v>
      </c>
      <c r="G627" s="2948" t="s">
        <v>640</v>
      </c>
      <c r="H627" s="2948" t="s">
        <v>1278</v>
      </c>
      <c r="I627" s="2948" t="s">
        <v>1279</v>
      </c>
      <c r="J627" s="2948" t="s">
        <v>643</v>
      </c>
      <c r="K627" s="2950">
        <v>33.03</v>
      </c>
      <c r="L627" s="2950">
        <v>13.25</v>
      </c>
      <c r="M627" s="2951">
        <v>500000</v>
      </c>
      <c r="N627" s="2951">
        <v>500000</v>
      </c>
      <c r="O627" s="2952">
        <v>500000</v>
      </c>
      <c r="P627" s="2953">
        <v>500000</v>
      </c>
      <c r="Q627" s="2951">
        <v>500000</v>
      </c>
      <c r="R627" s="2954">
        <v>45197</v>
      </c>
      <c r="S627" s="2954">
        <v>45197</v>
      </c>
      <c r="T627" s="2948"/>
      <c r="U627" s="2948"/>
      <c r="V627" s="2948" t="s">
        <v>1289</v>
      </c>
    </row>
    <row r="628" spans="1:22" s="2944" customFormat="1" ht="46.8">
      <c r="A628" s="2948">
        <v>627</v>
      </c>
      <c r="B628" s="2948" t="s">
        <v>635</v>
      </c>
      <c r="C628" s="2948" t="s">
        <v>636</v>
      </c>
      <c r="D628" s="2948" t="s">
        <v>1276</v>
      </c>
      <c r="E628" s="2948" t="s">
        <v>729</v>
      </c>
      <c r="F628" s="2948" t="s">
        <v>1359</v>
      </c>
      <c r="G628" s="2948" t="s">
        <v>640</v>
      </c>
      <c r="H628" s="2948" t="s">
        <v>1278</v>
      </c>
      <c r="I628" s="2948" t="s">
        <v>1279</v>
      </c>
      <c r="J628" s="2948" t="s">
        <v>643</v>
      </c>
      <c r="K628" s="2950">
        <v>33.03</v>
      </c>
      <c r="L628" s="2950">
        <v>13.25</v>
      </c>
      <c r="M628" s="2951">
        <v>500000</v>
      </c>
      <c r="N628" s="2951">
        <v>500000</v>
      </c>
      <c r="O628" s="2952">
        <v>500000</v>
      </c>
      <c r="P628" s="2953">
        <v>500000</v>
      </c>
      <c r="Q628" s="2951">
        <v>500000</v>
      </c>
      <c r="R628" s="2954">
        <v>45197</v>
      </c>
      <c r="S628" s="2954">
        <v>45197</v>
      </c>
      <c r="T628" s="2948"/>
      <c r="U628" s="2948"/>
      <c r="V628" s="2948" t="s">
        <v>1289</v>
      </c>
    </row>
    <row r="629" spans="1:22" s="2944" customFormat="1" ht="46.8">
      <c r="A629" s="2948">
        <v>628</v>
      </c>
      <c r="B629" s="2948" t="s">
        <v>635</v>
      </c>
      <c r="C629" s="2948" t="s">
        <v>636</v>
      </c>
      <c r="D629" s="2948" t="s">
        <v>1276</v>
      </c>
      <c r="E629" s="2948" t="s">
        <v>729</v>
      </c>
      <c r="F629" s="2948" t="s">
        <v>1360</v>
      </c>
      <c r="G629" s="2948" t="s">
        <v>640</v>
      </c>
      <c r="H629" s="2948" t="s">
        <v>1278</v>
      </c>
      <c r="I629" s="2948" t="s">
        <v>1279</v>
      </c>
      <c r="J629" s="2948" t="s">
        <v>643</v>
      </c>
      <c r="K629" s="2950">
        <v>33.03</v>
      </c>
      <c r="L629" s="2950">
        <v>13.25</v>
      </c>
      <c r="M629" s="2951">
        <v>544975</v>
      </c>
      <c r="N629" s="2951">
        <v>544975</v>
      </c>
      <c r="O629" s="2952">
        <v>500000</v>
      </c>
      <c r="P629" s="2953">
        <v>500000</v>
      </c>
      <c r="Q629" s="2951">
        <v>500000</v>
      </c>
      <c r="R629" s="2954">
        <v>45107</v>
      </c>
      <c r="S629" s="2954">
        <v>45107</v>
      </c>
      <c r="T629" s="2948"/>
      <c r="U629" s="2948"/>
      <c r="V629" s="2948" t="s">
        <v>1285</v>
      </c>
    </row>
    <row r="630" spans="1:22" s="2944" customFormat="1" ht="46.8" hidden="1">
      <c r="A630" s="2948">
        <v>629</v>
      </c>
      <c r="B630" s="2948" t="s">
        <v>635</v>
      </c>
      <c r="C630" s="2948" t="s">
        <v>636</v>
      </c>
      <c r="D630" s="2948" t="s">
        <v>1276</v>
      </c>
      <c r="E630" s="2948" t="s">
        <v>729</v>
      </c>
      <c r="F630" s="2948" t="s">
        <v>1361</v>
      </c>
      <c r="G630" s="2948" t="s">
        <v>1035</v>
      </c>
      <c r="H630" s="2948" t="s">
        <v>1278</v>
      </c>
      <c r="I630" s="2948" t="s">
        <v>1279</v>
      </c>
      <c r="J630" s="2948" t="s">
        <v>643</v>
      </c>
      <c r="K630" s="2950">
        <v>33.03</v>
      </c>
      <c r="L630" s="2950">
        <v>13.25</v>
      </c>
      <c r="M630" s="2951">
        <v>500000</v>
      </c>
      <c r="N630" s="2951">
        <v>500000</v>
      </c>
      <c r="O630" s="2955"/>
      <c r="P630" s="2948"/>
      <c r="Q630" s="2951">
        <v>0</v>
      </c>
      <c r="R630" s="2948"/>
      <c r="S630" s="2948"/>
      <c r="T630" s="2948"/>
      <c r="U630" s="2948"/>
      <c r="V630" s="2948"/>
    </row>
    <row r="631" spans="1:22" s="2944" customFormat="1" ht="46.8">
      <c r="A631" s="2948">
        <v>630</v>
      </c>
      <c r="B631" s="2948" t="s">
        <v>635</v>
      </c>
      <c r="C631" s="2948" t="s">
        <v>636</v>
      </c>
      <c r="D631" s="2948" t="s">
        <v>1276</v>
      </c>
      <c r="E631" s="2948" t="s">
        <v>729</v>
      </c>
      <c r="F631" s="2948" t="s">
        <v>1362</v>
      </c>
      <c r="G631" s="2948" t="s">
        <v>640</v>
      </c>
      <c r="H631" s="2948" t="s">
        <v>1278</v>
      </c>
      <c r="I631" s="2948" t="s">
        <v>1279</v>
      </c>
      <c r="J631" s="2948" t="s">
        <v>643</v>
      </c>
      <c r="K631" s="2950">
        <v>33.03</v>
      </c>
      <c r="L631" s="2950">
        <v>13.25</v>
      </c>
      <c r="M631" s="2951">
        <v>544975</v>
      </c>
      <c r="N631" s="2951">
        <v>544975</v>
      </c>
      <c r="O631" s="2952">
        <v>500000</v>
      </c>
      <c r="P631" s="2953">
        <v>500000</v>
      </c>
      <c r="Q631" s="2951">
        <v>500000</v>
      </c>
      <c r="R631" s="2954">
        <v>45044</v>
      </c>
      <c r="S631" s="2954">
        <v>45044</v>
      </c>
      <c r="T631" s="2948"/>
      <c r="U631" s="2948"/>
      <c r="V631" s="2948" t="s">
        <v>726</v>
      </c>
    </row>
    <row r="632" spans="1:22" s="2944" customFormat="1" ht="46.8">
      <c r="A632" s="2948">
        <v>631</v>
      </c>
      <c r="B632" s="2948" t="s">
        <v>635</v>
      </c>
      <c r="C632" s="2948" t="s">
        <v>636</v>
      </c>
      <c r="D632" s="2948" t="s">
        <v>1276</v>
      </c>
      <c r="E632" s="2948" t="s">
        <v>729</v>
      </c>
      <c r="F632" s="2948" t="s">
        <v>1363</v>
      </c>
      <c r="G632" s="2948" t="s">
        <v>640</v>
      </c>
      <c r="H632" s="2948" t="s">
        <v>1278</v>
      </c>
      <c r="I632" s="2948" t="s">
        <v>1279</v>
      </c>
      <c r="J632" s="2948" t="s">
        <v>643</v>
      </c>
      <c r="K632" s="2950">
        <v>33.03</v>
      </c>
      <c r="L632" s="2950">
        <v>13.25</v>
      </c>
      <c r="M632" s="2951">
        <v>544975</v>
      </c>
      <c r="N632" s="2951">
        <v>544975</v>
      </c>
      <c r="O632" s="2952">
        <v>544975</v>
      </c>
      <c r="P632" s="2953">
        <v>544975</v>
      </c>
      <c r="Q632" s="2951">
        <v>544975</v>
      </c>
      <c r="R632" s="2954">
        <v>44557</v>
      </c>
      <c r="S632" s="2954">
        <v>44561</v>
      </c>
      <c r="T632" s="2948"/>
      <c r="U632" s="2948"/>
      <c r="V632" s="2948" t="s">
        <v>706</v>
      </c>
    </row>
    <row r="633" spans="1:22" s="2944" customFormat="1" ht="46.8">
      <c r="A633" s="2948">
        <v>632</v>
      </c>
      <c r="B633" s="2948" t="s">
        <v>635</v>
      </c>
      <c r="C633" s="2948" t="s">
        <v>636</v>
      </c>
      <c r="D633" s="2948" t="s">
        <v>1276</v>
      </c>
      <c r="E633" s="2948" t="s">
        <v>729</v>
      </c>
      <c r="F633" s="2948" t="s">
        <v>1364</v>
      </c>
      <c r="G633" s="2948" t="s">
        <v>640</v>
      </c>
      <c r="H633" s="2948" t="s">
        <v>1278</v>
      </c>
      <c r="I633" s="2948" t="s">
        <v>1279</v>
      </c>
      <c r="J633" s="2948" t="s">
        <v>643</v>
      </c>
      <c r="K633" s="2950">
        <v>33.03</v>
      </c>
      <c r="L633" s="2950">
        <v>13.25</v>
      </c>
      <c r="M633" s="2951">
        <v>544975</v>
      </c>
      <c r="N633" s="2951">
        <v>544975</v>
      </c>
      <c r="O633" s="2952">
        <v>544975</v>
      </c>
      <c r="P633" s="2953">
        <v>544975</v>
      </c>
      <c r="Q633" s="2951">
        <v>544975</v>
      </c>
      <c r="R633" s="2954">
        <v>44553</v>
      </c>
      <c r="S633" s="2954">
        <v>44559</v>
      </c>
      <c r="T633" s="2948"/>
      <c r="U633" s="2948"/>
      <c r="V633" s="2948" t="s">
        <v>714</v>
      </c>
    </row>
    <row r="634" spans="1:22" s="2944" customFormat="1" ht="46.8">
      <c r="A634" s="2948">
        <v>633</v>
      </c>
      <c r="B634" s="2948" t="s">
        <v>635</v>
      </c>
      <c r="C634" s="2948" t="s">
        <v>636</v>
      </c>
      <c r="D634" s="2948" t="s">
        <v>1276</v>
      </c>
      <c r="E634" s="2948" t="s">
        <v>729</v>
      </c>
      <c r="F634" s="2948" t="s">
        <v>1365</v>
      </c>
      <c r="G634" s="2948" t="s">
        <v>640</v>
      </c>
      <c r="H634" s="2948" t="s">
        <v>1278</v>
      </c>
      <c r="I634" s="2948" t="s">
        <v>1279</v>
      </c>
      <c r="J634" s="2948" t="s">
        <v>643</v>
      </c>
      <c r="K634" s="2950">
        <v>33.03</v>
      </c>
      <c r="L634" s="2950">
        <v>13.25</v>
      </c>
      <c r="M634" s="2951">
        <v>500000</v>
      </c>
      <c r="N634" s="2951">
        <v>500000</v>
      </c>
      <c r="O634" s="2952">
        <v>500000</v>
      </c>
      <c r="P634" s="2953">
        <v>500000</v>
      </c>
      <c r="Q634" s="2951">
        <v>500000</v>
      </c>
      <c r="R634" s="2954">
        <v>45197</v>
      </c>
      <c r="S634" s="2954">
        <v>45197</v>
      </c>
      <c r="T634" s="2948"/>
      <c r="U634" s="2948"/>
      <c r="V634" s="2948" t="s">
        <v>1289</v>
      </c>
    </row>
    <row r="635" spans="1:22" s="2944" customFormat="1" ht="46.8">
      <c r="A635" s="2948">
        <v>634</v>
      </c>
      <c r="B635" s="2948" t="s">
        <v>635</v>
      </c>
      <c r="C635" s="2948" t="s">
        <v>636</v>
      </c>
      <c r="D635" s="2948" t="s">
        <v>1276</v>
      </c>
      <c r="E635" s="2948" t="s">
        <v>729</v>
      </c>
      <c r="F635" s="2948" t="s">
        <v>1366</v>
      </c>
      <c r="G635" s="2948" t="s">
        <v>640</v>
      </c>
      <c r="H635" s="2948" t="s">
        <v>1278</v>
      </c>
      <c r="I635" s="2948" t="s">
        <v>1279</v>
      </c>
      <c r="J635" s="2948" t="s">
        <v>643</v>
      </c>
      <c r="K635" s="2950">
        <v>33.03</v>
      </c>
      <c r="L635" s="2950">
        <v>13.25</v>
      </c>
      <c r="M635" s="2951">
        <v>544975</v>
      </c>
      <c r="N635" s="2951">
        <v>544975</v>
      </c>
      <c r="O635" s="2952">
        <v>500000</v>
      </c>
      <c r="P635" s="2953">
        <v>500000</v>
      </c>
      <c r="Q635" s="2951">
        <v>500000</v>
      </c>
      <c r="R635" s="2954">
        <v>45046</v>
      </c>
      <c r="S635" s="2954">
        <v>45046</v>
      </c>
      <c r="T635" s="2948"/>
      <c r="U635" s="2948"/>
      <c r="V635" s="2948" t="s">
        <v>718</v>
      </c>
    </row>
    <row r="636" spans="1:22" s="2944" customFormat="1" ht="46.8">
      <c r="A636" s="2948">
        <v>635</v>
      </c>
      <c r="B636" s="2948" t="s">
        <v>635</v>
      </c>
      <c r="C636" s="2948" t="s">
        <v>636</v>
      </c>
      <c r="D636" s="2948" t="s">
        <v>1276</v>
      </c>
      <c r="E636" s="2948" t="s">
        <v>729</v>
      </c>
      <c r="F636" s="2948" t="s">
        <v>1367</v>
      </c>
      <c r="G636" s="2948" t="s">
        <v>640</v>
      </c>
      <c r="H636" s="2948" t="s">
        <v>1278</v>
      </c>
      <c r="I636" s="2948" t="s">
        <v>1279</v>
      </c>
      <c r="J636" s="2948" t="s">
        <v>643</v>
      </c>
      <c r="K636" s="2950">
        <v>33.03</v>
      </c>
      <c r="L636" s="2950">
        <v>13.25</v>
      </c>
      <c r="M636" s="2951">
        <v>544975</v>
      </c>
      <c r="N636" s="2951">
        <v>544975</v>
      </c>
      <c r="O636" s="2952">
        <v>475000</v>
      </c>
      <c r="P636" s="2953">
        <v>475000</v>
      </c>
      <c r="Q636" s="2951">
        <v>475000</v>
      </c>
      <c r="R636" s="2954">
        <v>45043</v>
      </c>
      <c r="S636" s="2954">
        <v>45044</v>
      </c>
      <c r="T636" s="2948"/>
      <c r="U636" s="2948"/>
      <c r="V636" s="2948" t="s">
        <v>705</v>
      </c>
    </row>
    <row r="637" spans="1:22" s="2944" customFormat="1" ht="46.8" hidden="1">
      <c r="A637" s="2948">
        <v>636</v>
      </c>
      <c r="B637" s="2948" t="s">
        <v>635</v>
      </c>
      <c r="C637" s="2948" t="s">
        <v>636</v>
      </c>
      <c r="D637" s="2948" t="s">
        <v>1276</v>
      </c>
      <c r="E637" s="2948" t="s">
        <v>729</v>
      </c>
      <c r="F637" s="2948" t="s">
        <v>1368</v>
      </c>
      <c r="G637" s="2948" t="s">
        <v>1035</v>
      </c>
      <c r="H637" s="2948" t="s">
        <v>1278</v>
      </c>
      <c r="I637" s="2948" t="s">
        <v>1279</v>
      </c>
      <c r="J637" s="2948" t="s">
        <v>643</v>
      </c>
      <c r="K637" s="2950">
        <v>33.03</v>
      </c>
      <c r="L637" s="2950">
        <v>13.25</v>
      </c>
      <c r="M637" s="2951">
        <v>500000</v>
      </c>
      <c r="N637" s="2951">
        <v>500000</v>
      </c>
      <c r="O637" s="2955"/>
      <c r="P637" s="2948"/>
      <c r="Q637" s="2951">
        <v>0</v>
      </c>
      <c r="R637" s="2948"/>
      <c r="S637" s="2948"/>
      <c r="T637" s="2948"/>
      <c r="U637" s="2948"/>
      <c r="V637" s="2948"/>
    </row>
    <row r="638" spans="1:22" s="2944" customFormat="1" ht="46.8" hidden="1">
      <c r="A638" s="2948">
        <v>637</v>
      </c>
      <c r="B638" s="2948" t="s">
        <v>635</v>
      </c>
      <c r="C638" s="2948" t="s">
        <v>636</v>
      </c>
      <c r="D638" s="2948" t="s">
        <v>1276</v>
      </c>
      <c r="E638" s="2948" t="s">
        <v>729</v>
      </c>
      <c r="F638" s="2948" t="s">
        <v>1369</v>
      </c>
      <c r="G638" s="2948" t="s">
        <v>1035</v>
      </c>
      <c r="H638" s="2948" t="s">
        <v>1278</v>
      </c>
      <c r="I638" s="2948" t="s">
        <v>1279</v>
      </c>
      <c r="J638" s="2948" t="s">
        <v>643</v>
      </c>
      <c r="K638" s="2950">
        <v>33.03</v>
      </c>
      <c r="L638" s="2950">
        <v>13.25</v>
      </c>
      <c r="M638" s="2951">
        <v>500000</v>
      </c>
      <c r="N638" s="2951">
        <v>500000</v>
      </c>
      <c r="O638" s="2955"/>
      <c r="P638" s="2948"/>
      <c r="Q638" s="2951">
        <v>0</v>
      </c>
      <c r="R638" s="2948"/>
      <c r="S638" s="2948"/>
      <c r="T638" s="2948"/>
      <c r="U638" s="2948"/>
      <c r="V638" s="2948"/>
    </row>
    <row r="639" spans="1:22" s="2944" customFormat="1" ht="46.8">
      <c r="A639" s="2948">
        <v>638</v>
      </c>
      <c r="B639" s="2948" t="s">
        <v>635</v>
      </c>
      <c r="C639" s="2948" t="s">
        <v>636</v>
      </c>
      <c r="D639" s="2948" t="s">
        <v>1276</v>
      </c>
      <c r="E639" s="2948" t="s">
        <v>729</v>
      </c>
      <c r="F639" s="2948" t="s">
        <v>1370</v>
      </c>
      <c r="G639" s="2948" t="s">
        <v>640</v>
      </c>
      <c r="H639" s="2948" t="s">
        <v>1278</v>
      </c>
      <c r="I639" s="2948" t="s">
        <v>1279</v>
      </c>
      <c r="J639" s="2948" t="s">
        <v>643</v>
      </c>
      <c r="K639" s="2950">
        <v>33.03</v>
      </c>
      <c r="L639" s="2950">
        <v>13.25</v>
      </c>
      <c r="M639" s="2951">
        <v>544975</v>
      </c>
      <c r="N639" s="2951">
        <v>544975</v>
      </c>
      <c r="O639" s="2952">
        <v>500000</v>
      </c>
      <c r="P639" s="2953">
        <v>500000</v>
      </c>
      <c r="Q639" s="2951">
        <v>500000</v>
      </c>
      <c r="R639" s="2954">
        <v>45105</v>
      </c>
      <c r="S639" s="2954">
        <v>45105</v>
      </c>
      <c r="T639" s="2948"/>
      <c r="U639" s="2948"/>
      <c r="V639" s="2948" t="s">
        <v>1371</v>
      </c>
    </row>
    <row r="640" spans="1:22" s="2944" customFormat="1" ht="46.8">
      <c r="A640" s="2948">
        <v>639</v>
      </c>
      <c r="B640" s="2948" t="s">
        <v>635</v>
      </c>
      <c r="C640" s="2948" t="s">
        <v>636</v>
      </c>
      <c r="D640" s="2948" t="s">
        <v>1276</v>
      </c>
      <c r="E640" s="2948" t="s">
        <v>729</v>
      </c>
      <c r="F640" s="2948" t="s">
        <v>1372</v>
      </c>
      <c r="G640" s="2948" t="s">
        <v>640</v>
      </c>
      <c r="H640" s="2948" t="s">
        <v>1278</v>
      </c>
      <c r="I640" s="2948" t="s">
        <v>1279</v>
      </c>
      <c r="J640" s="2948" t="s">
        <v>643</v>
      </c>
      <c r="K640" s="2950">
        <v>33.03</v>
      </c>
      <c r="L640" s="2950">
        <v>13.25</v>
      </c>
      <c r="M640" s="2951">
        <v>544975</v>
      </c>
      <c r="N640" s="2951">
        <v>544975</v>
      </c>
      <c r="O640" s="2952">
        <v>500000</v>
      </c>
      <c r="P640" s="2953">
        <v>500000</v>
      </c>
      <c r="Q640" s="2951">
        <v>500000</v>
      </c>
      <c r="R640" s="2954">
        <v>45105</v>
      </c>
      <c r="S640" s="2954">
        <v>45105</v>
      </c>
      <c r="T640" s="2948"/>
      <c r="U640" s="2948"/>
      <c r="V640" s="2948" t="s">
        <v>1371</v>
      </c>
    </row>
    <row r="641" spans="1:22" s="2944" customFormat="1" ht="46.8">
      <c r="A641" s="2948">
        <v>640</v>
      </c>
      <c r="B641" s="2948" t="s">
        <v>635</v>
      </c>
      <c r="C641" s="2948" t="s">
        <v>636</v>
      </c>
      <c r="D641" s="2948" t="s">
        <v>1276</v>
      </c>
      <c r="E641" s="2948" t="s">
        <v>729</v>
      </c>
      <c r="F641" s="2948" t="s">
        <v>1373</v>
      </c>
      <c r="G641" s="2948" t="s">
        <v>640</v>
      </c>
      <c r="H641" s="2948" t="s">
        <v>1278</v>
      </c>
      <c r="I641" s="2948" t="s">
        <v>1279</v>
      </c>
      <c r="J641" s="2948" t="s">
        <v>643</v>
      </c>
      <c r="K641" s="2950">
        <v>33.03</v>
      </c>
      <c r="L641" s="2950">
        <v>13.25</v>
      </c>
      <c r="M641" s="2951">
        <v>544975</v>
      </c>
      <c r="N641" s="2951">
        <v>544975</v>
      </c>
      <c r="O641" s="2952">
        <v>500000</v>
      </c>
      <c r="P641" s="2953">
        <v>500000</v>
      </c>
      <c r="Q641" s="2951">
        <v>500000</v>
      </c>
      <c r="R641" s="2954">
        <v>45044</v>
      </c>
      <c r="S641" s="2954">
        <v>45044</v>
      </c>
      <c r="T641" s="2948"/>
      <c r="U641" s="2948"/>
      <c r="V641" s="2948" t="s">
        <v>985</v>
      </c>
    </row>
    <row r="642" spans="1:22" s="2944" customFormat="1" ht="46.8">
      <c r="A642" s="2948">
        <v>641</v>
      </c>
      <c r="B642" s="2948" t="s">
        <v>635</v>
      </c>
      <c r="C642" s="2948" t="s">
        <v>636</v>
      </c>
      <c r="D642" s="2948" t="s">
        <v>1276</v>
      </c>
      <c r="E642" s="2948" t="s">
        <v>729</v>
      </c>
      <c r="F642" s="2948" t="s">
        <v>1374</v>
      </c>
      <c r="G642" s="2948" t="s">
        <v>640</v>
      </c>
      <c r="H642" s="2948" t="s">
        <v>1278</v>
      </c>
      <c r="I642" s="2948" t="s">
        <v>1279</v>
      </c>
      <c r="J642" s="2948" t="s">
        <v>643</v>
      </c>
      <c r="K642" s="2950">
        <v>33.03</v>
      </c>
      <c r="L642" s="2950">
        <v>13.25</v>
      </c>
      <c r="M642" s="2951">
        <v>544975</v>
      </c>
      <c r="N642" s="2951">
        <v>544975</v>
      </c>
      <c r="O642" s="2952">
        <v>500000</v>
      </c>
      <c r="P642" s="2953">
        <v>500000</v>
      </c>
      <c r="Q642" s="2951">
        <v>500000</v>
      </c>
      <c r="R642" s="2954">
        <v>45107</v>
      </c>
      <c r="S642" s="2954">
        <v>45107</v>
      </c>
      <c r="T642" s="2948"/>
      <c r="U642" s="2948"/>
      <c r="V642" s="2948" t="s">
        <v>1285</v>
      </c>
    </row>
    <row r="643" spans="1:22" s="2944" customFormat="1" ht="46.8">
      <c r="A643" s="2948">
        <v>642</v>
      </c>
      <c r="B643" s="2948" t="s">
        <v>635</v>
      </c>
      <c r="C643" s="2948" t="s">
        <v>636</v>
      </c>
      <c r="D643" s="2948" t="s">
        <v>1276</v>
      </c>
      <c r="E643" s="2948" t="s">
        <v>729</v>
      </c>
      <c r="F643" s="2948" t="s">
        <v>1375</v>
      </c>
      <c r="G643" s="2948" t="s">
        <v>640</v>
      </c>
      <c r="H643" s="2948" t="s">
        <v>1278</v>
      </c>
      <c r="I643" s="2948" t="s">
        <v>1279</v>
      </c>
      <c r="J643" s="2948" t="s">
        <v>643</v>
      </c>
      <c r="K643" s="2950">
        <v>33.03</v>
      </c>
      <c r="L643" s="2950">
        <v>13.25</v>
      </c>
      <c r="M643" s="2951">
        <v>544975</v>
      </c>
      <c r="N643" s="2951">
        <v>544975</v>
      </c>
      <c r="O643" s="2952">
        <v>500000</v>
      </c>
      <c r="P643" s="2953">
        <v>500000</v>
      </c>
      <c r="Q643" s="2951">
        <v>500000</v>
      </c>
      <c r="R643" s="2954">
        <v>45042</v>
      </c>
      <c r="S643" s="2954">
        <v>45043</v>
      </c>
      <c r="T643" s="2948"/>
      <c r="U643" s="2948"/>
      <c r="V643" s="2948" t="s">
        <v>1015</v>
      </c>
    </row>
    <row r="644" spans="1:22" s="2944" customFormat="1" ht="46.8" hidden="1">
      <c r="A644" s="2948">
        <v>643</v>
      </c>
      <c r="B644" s="2948" t="s">
        <v>635</v>
      </c>
      <c r="C644" s="2948" t="s">
        <v>636</v>
      </c>
      <c r="D644" s="2948" t="s">
        <v>1276</v>
      </c>
      <c r="E644" s="2948" t="s">
        <v>729</v>
      </c>
      <c r="F644" s="2948" t="s">
        <v>1376</v>
      </c>
      <c r="G644" s="2948" t="s">
        <v>1035</v>
      </c>
      <c r="H644" s="2948" t="s">
        <v>1278</v>
      </c>
      <c r="I644" s="2948" t="s">
        <v>1279</v>
      </c>
      <c r="J644" s="2948" t="s">
        <v>643</v>
      </c>
      <c r="K644" s="2950">
        <v>33.03</v>
      </c>
      <c r="L644" s="2950">
        <v>13.25</v>
      </c>
      <c r="M644" s="2951">
        <v>500000</v>
      </c>
      <c r="N644" s="2951">
        <v>500000</v>
      </c>
      <c r="O644" s="2955"/>
      <c r="P644" s="2948"/>
      <c r="Q644" s="2951">
        <v>0</v>
      </c>
      <c r="R644" s="2948"/>
      <c r="S644" s="2948"/>
      <c r="T644" s="2948"/>
      <c r="U644" s="2948"/>
      <c r="V644" s="2948"/>
    </row>
    <row r="645" spans="1:22" s="2944" customFormat="1" ht="46.8">
      <c r="A645" s="2948">
        <v>644</v>
      </c>
      <c r="B645" s="2948" t="s">
        <v>635</v>
      </c>
      <c r="C645" s="2948" t="s">
        <v>636</v>
      </c>
      <c r="D645" s="2948" t="s">
        <v>1276</v>
      </c>
      <c r="E645" s="2948" t="s">
        <v>729</v>
      </c>
      <c r="F645" s="2948" t="s">
        <v>1377</v>
      </c>
      <c r="G645" s="2948" t="s">
        <v>640</v>
      </c>
      <c r="H645" s="2948" t="s">
        <v>1278</v>
      </c>
      <c r="I645" s="2948" t="s">
        <v>1279</v>
      </c>
      <c r="J645" s="2948" t="s">
        <v>643</v>
      </c>
      <c r="K645" s="2950">
        <v>33.03</v>
      </c>
      <c r="L645" s="2950">
        <v>13.25</v>
      </c>
      <c r="M645" s="2951">
        <v>544975</v>
      </c>
      <c r="N645" s="2951">
        <v>544975</v>
      </c>
      <c r="O645" s="2952">
        <v>500000</v>
      </c>
      <c r="P645" s="2953">
        <v>500000</v>
      </c>
      <c r="Q645" s="2951">
        <v>500000</v>
      </c>
      <c r="R645" s="2954">
        <v>45107</v>
      </c>
      <c r="S645" s="2954">
        <v>45107</v>
      </c>
      <c r="T645" s="2948"/>
      <c r="U645" s="2948"/>
      <c r="V645" s="2948" t="s">
        <v>1378</v>
      </c>
    </row>
    <row r="646" spans="1:22" s="2944" customFormat="1" ht="46.8">
      <c r="A646" s="2948">
        <v>645</v>
      </c>
      <c r="B646" s="2948" t="s">
        <v>635</v>
      </c>
      <c r="C646" s="2948" t="s">
        <v>636</v>
      </c>
      <c r="D646" s="2948" t="s">
        <v>1276</v>
      </c>
      <c r="E646" s="2948" t="s">
        <v>729</v>
      </c>
      <c r="F646" s="2948" t="s">
        <v>1379</v>
      </c>
      <c r="G646" s="2948" t="s">
        <v>640</v>
      </c>
      <c r="H646" s="2948" t="s">
        <v>1278</v>
      </c>
      <c r="I646" s="2948" t="s">
        <v>1279</v>
      </c>
      <c r="J646" s="2948" t="s">
        <v>643</v>
      </c>
      <c r="K646" s="2950">
        <v>33.03</v>
      </c>
      <c r="L646" s="2950">
        <v>13.25</v>
      </c>
      <c r="M646" s="2951">
        <v>544975</v>
      </c>
      <c r="N646" s="2951">
        <v>544975</v>
      </c>
      <c r="O646" s="2952">
        <v>500000</v>
      </c>
      <c r="P646" s="2953">
        <v>500000</v>
      </c>
      <c r="Q646" s="2951">
        <v>500000</v>
      </c>
      <c r="R646" s="2954">
        <v>45044</v>
      </c>
      <c r="S646" s="2954">
        <v>45044</v>
      </c>
      <c r="T646" s="2948"/>
      <c r="U646" s="2948"/>
      <c r="V646" s="2948" t="s">
        <v>931</v>
      </c>
    </row>
    <row r="647" spans="1:22" s="2944" customFormat="1" ht="46.8">
      <c r="A647" s="2948">
        <v>646</v>
      </c>
      <c r="B647" s="2948" t="s">
        <v>635</v>
      </c>
      <c r="C647" s="2948" t="s">
        <v>636</v>
      </c>
      <c r="D647" s="2948" t="s">
        <v>1276</v>
      </c>
      <c r="E647" s="2948" t="s">
        <v>729</v>
      </c>
      <c r="F647" s="2948" t="s">
        <v>1380</v>
      </c>
      <c r="G647" s="2948" t="s">
        <v>640</v>
      </c>
      <c r="H647" s="2948" t="s">
        <v>1278</v>
      </c>
      <c r="I647" s="2948" t="s">
        <v>1279</v>
      </c>
      <c r="J647" s="2948" t="s">
        <v>643</v>
      </c>
      <c r="K647" s="2950">
        <v>33.03</v>
      </c>
      <c r="L647" s="2950">
        <v>13.25</v>
      </c>
      <c r="M647" s="2951">
        <v>544975</v>
      </c>
      <c r="N647" s="2951">
        <v>544975</v>
      </c>
      <c r="O647" s="2952">
        <v>500000</v>
      </c>
      <c r="P647" s="2953">
        <v>500000</v>
      </c>
      <c r="Q647" s="2951">
        <v>500000</v>
      </c>
      <c r="R647" s="2954">
        <v>45107</v>
      </c>
      <c r="S647" s="2954">
        <v>45107</v>
      </c>
      <c r="T647" s="2948"/>
      <c r="U647" s="2948"/>
      <c r="V647" s="2948" t="s">
        <v>1381</v>
      </c>
    </row>
    <row r="648" spans="1:22" s="2944" customFormat="1" ht="46.8">
      <c r="A648" s="2948">
        <v>647</v>
      </c>
      <c r="B648" s="2948" t="s">
        <v>635</v>
      </c>
      <c r="C648" s="2948" t="s">
        <v>636</v>
      </c>
      <c r="D648" s="2948" t="s">
        <v>1276</v>
      </c>
      <c r="E648" s="2948" t="s">
        <v>729</v>
      </c>
      <c r="F648" s="2948" t="s">
        <v>1382</v>
      </c>
      <c r="G648" s="2948" t="s">
        <v>640</v>
      </c>
      <c r="H648" s="2948" t="s">
        <v>1278</v>
      </c>
      <c r="I648" s="2948" t="s">
        <v>1279</v>
      </c>
      <c r="J648" s="2948" t="s">
        <v>643</v>
      </c>
      <c r="K648" s="2950">
        <v>33.03</v>
      </c>
      <c r="L648" s="2950">
        <v>13.25</v>
      </c>
      <c r="M648" s="2951">
        <v>544975</v>
      </c>
      <c r="N648" s="2951">
        <v>544975</v>
      </c>
      <c r="O648" s="2952">
        <v>475000</v>
      </c>
      <c r="P648" s="2953">
        <v>475000</v>
      </c>
      <c r="Q648" s="2951">
        <v>475000</v>
      </c>
      <c r="R648" s="2954">
        <v>45103</v>
      </c>
      <c r="S648" s="2954">
        <v>45103</v>
      </c>
      <c r="T648" s="2948"/>
      <c r="U648" s="2948"/>
      <c r="V648" s="2948" t="s">
        <v>960</v>
      </c>
    </row>
    <row r="649" spans="1:22" s="2944" customFormat="1" ht="46.8">
      <c r="A649" s="2948">
        <v>648</v>
      </c>
      <c r="B649" s="2948" t="s">
        <v>635</v>
      </c>
      <c r="C649" s="2948" t="s">
        <v>636</v>
      </c>
      <c r="D649" s="2948" t="s">
        <v>1276</v>
      </c>
      <c r="E649" s="2948" t="s">
        <v>729</v>
      </c>
      <c r="F649" s="2948" t="s">
        <v>1383</v>
      </c>
      <c r="G649" s="2948" t="s">
        <v>640</v>
      </c>
      <c r="H649" s="2948" t="s">
        <v>1278</v>
      </c>
      <c r="I649" s="2948" t="s">
        <v>1279</v>
      </c>
      <c r="J649" s="2948" t="s">
        <v>643</v>
      </c>
      <c r="K649" s="2950">
        <v>33.03</v>
      </c>
      <c r="L649" s="2950">
        <v>13.25</v>
      </c>
      <c r="M649" s="2951">
        <v>544975</v>
      </c>
      <c r="N649" s="2951">
        <v>544975</v>
      </c>
      <c r="O649" s="2952">
        <v>544975</v>
      </c>
      <c r="P649" s="2953">
        <v>544975</v>
      </c>
      <c r="Q649" s="2951">
        <v>544975</v>
      </c>
      <c r="R649" s="2954">
        <v>44649</v>
      </c>
      <c r="S649" s="2954">
        <v>44680</v>
      </c>
      <c r="T649" s="2948"/>
      <c r="U649" s="2948"/>
      <c r="V649" s="2948" t="s">
        <v>989</v>
      </c>
    </row>
    <row r="650" spans="1:22" s="2944" customFormat="1" ht="46.8">
      <c r="A650" s="2948">
        <v>649</v>
      </c>
      <c r="B650" s="2948" t="s">
        <v>635</v>
      </c>
      <c r="C650" s="2948" t="s">
        <v>636</v>
      </c>
      <c r="D650" s="2948" t="s">
        <v>1276</v>
      </c>
      <c r="E650" s="2948" t="s">
        <v>729</v>
      </c>
      <c r="F650" s="2948" t="s">
        <v>1384</v>
      </c>
      <c r="G650" s="2948" t="s">
        <v>640</v>
      </c>
      <c r="H650" s="2948" t="s">
        <v>1278</v>
      </c>
      <c r="I650" s="2948" t="s">
        <v>1279</v>
      </c>
      <c r="J650" s="2948" t="s">
        <v>643</v>
      </c>
      <c r="K650" s="2950">
        <v>33.03</v>
      </c>
      <c r="L650" s="2950">
        <v>13.25</v>
      </c>
      <c r="M650" s="2951">
        <v>544975</v>
      </c>
      <c r="N650" s="2951">
        <v>544975</v>
      </c>
      <c r="O650" s="2952">
        <v>544975</v>
      </c>
      <c r="P650" s="2953">
        <v>544975</v>
      </c>
      <c r="Q650" s="2951">
        <v>544975</v>
      </c>
      <c r="R650" s="2954">
        <v>44557</v>
      </c>
      <c r="S650" s="2954">
        <v>44561</v>
      </c>
      <c r="T650" s="2948"/>
      <c r="U650" s="2948"/>
      <c r="V650" s="2948" t="s">
        <v>985</v>
      </c>
    </row>
    <row r="651" spans="1:22" s="2944" customFormat="1" ht="46.8">
      <c r="A651" s="2948">
        <v>650</v>
      </c>
      <c r="B651" s="2948" t="s">
        <v>635</v>
      </c>
      <c r="C651" s="2948" t="s">
        <v>636</v>
      </c>
      <c r="D651" s="2948" t="s">
        <v>1276</v>
      </c>
      <c r="E651" s="2948" t="s">
        <v>729</v>
      </c>
      <c r="F651" s="2948" t="s">
        <v>1385</v>
      </c>
      <c r="G651" s="2948" t="s">
        <v>640</v>
      </c>
      <c r="H651" s="2948" t="s">
        <v>1278</v>
      </c>
      <c r="I651" s="2948" t="s">
        <v>1279</v>
      </c>
      <c r="J651" s="2948" t="s">
        <v>643</v>
      </c>
      <c r="K651" s="2950">
        <v>33.03</v>
      </c>
      <c r="L651" s="2950">
        <v>13.25</v>
      </c>
      <c r="M651" s="2951">
        <v>544975</v>
      </c>
      <c r="N651" s="2951">
        <v>544975</v>
      </c>
      <c r="O651" s="2952">
        <v>544975</v>
      </c>
      <c r="P651" s="2953">
        <v>544975</v>
      </c>
      <c r="Q651" s="2951">
        <v>544975</v>
      </c>
      <c r="R651" s="2954">
        <v>44735</v>
      </c>
      <c r="S651" s="2954">
        <v>44736</v>
      </c>
      <c r="T651" s="2948"/>
      <c r="U651" s="2948"/>
      <c r="V651" s="2948" t="s">
        <v>965</v>
      </c>
    </row>
    <row r="652" spans="1:22" s="2944" customFormat="1" ht="46.8">
      <c r="A652" s="2948">
        <v>651</v>
      </c>
      <c r="B652" s="2948" t="s">
        <v>635</v>
      </c>
      <c r="C652" s="2948" t="s">
        <v>636</v>
      </c>
      <c r="D652" s="2948" t="s">
        <v>1276</v>
      </c>
      <c r="E652" s="2948" t="s">
        <v>729</v>
      </c>
      <c r="F652" s="2948" t="s">
        <v>1386</v>
      </c>
      <c r="G652" s="2948" t="s">
        <v>640</v>
      </c>
      <c r="H652" s="2948" t="s">
        <v>1278</v>
      </c>
      <c r="I652" s="2948" t="s">
        <v>1279</v>
      </c>
      <c r="J652" s="2948" t="s">
        <v>643</v>
      </c>
      <c r="K652" s="2950">
        <v>33.03</v>
      </c>
      <c r="L652" s="2950">
        <v>13.25</v>
      </c>
      <c r="M652" s="2951">
        <v>544975</v>
      </c>
      <c r="N652" s="2951">
        <v>544975</v>
      </c>
      <c r="O652" s="2952">
        <v>544975</v>
      </c>
      <c r="P652" s="2953">
        <v>544975</v>
      </c>
      <c r="Q652" s="2951">
        <v>544975</v>
      </c>
      <c r="R652" s="2954">
        <v>44554</v>
      </c>
      <c r="S652" s="2954">
        <v>44561</v>
      </c>
      <c r="T652" s="2948"/>
      <c r="U652" s="2948"/>
      <c r="V652" s="2948" t="s">
        <v>981</v>
      </c>
    </row>
    <row r="653" spans="1:22" s="2944" customFormat="1" ht="46.8" hidden="1">
      <c r="A653" s="2948">
        <v>652</v>
      </c>
      <c r="B653" s="2948" t="s">
        <v>635</v>
      </c>
      <c r="C653" s="2948" t="s">
        <v>636</v>
      </c>
      <c r="D653" s="2948" t="s">
        <v>1276</v>
      </c>
      <c r="E653" s="2948" t="s">
        <v>729</v>
      </c>
      <c r="F653" s="2948" t="s">
        <v>1387</v>
      </c>
      <c r="G653" s="2948" t="s">
        <v>1035</v>
      </c>
      <c r="H653" s="2948" t="s">
        <v>1278</v>
      </c>
      <c r="I653" s="2948" t="s">
        <v>1279</v>
      </c>
      <c r="J653" s="2948" t="s">
        <v>643</v>
      </c>
      <c r="K653" s="2950">
        <v>33.03</v>
      </c>
      <c r="L653" s="2950">
        <v>13.25</v>
      </c>
      <c r="M653" s="2951">
        <v>500000</v>
      </c>
      <c r="N653" s="2951">
        <v>500000</v>
      </c>
      <c r="O653" s="2955"/>
      <c r="P653" s="2948"/>
      <c r="Q653" s="2951">
        <v>0</v>
      </c>
      <c r="R653" s="2948"/>
      <c r="S653" s="2948"/>
      <c r="T653" s="2948"/>
      <c r="U653" s="2948"/>
      <c r="V653" s="2948"/>
    </row>
    <row r="654" spans="1:22" s="2944" customFormat="1" ht="46.8" hidden="1">
      <c r="A654" s="2948">
        <v>653</v>
      </c>
      <c r="B654" s="2948" t="s">
        <v>635</v>
      </c>
      <c r="C654" s="2948" t="s">
        <v>636</v>
      </c>
      <c r="D654" s="2948" t="s">
        <v>1276</v>
      </c>
      <c r="E654" s="2948" t="s">
        <v>729</v>
      </c>
      <c r="F654" s="2948" t="s">
        <v>1388</v>
      </c>
      <c r="G654" s="2948" t="s">
        <v>1035</v>
      </c>
      <c r="H654" s="2948" t="s">
        <v>1278</v>
      </c>
      <c r="I654" s="2948" t="s">
        <v>1279</v>
      </c>
      <c r="J654" s="2948" t="s">
        <v>643</v>
      </c>
      <c r="K654" s="2950">
        <v>33.03</v>
      </c>
      <c r="L654" s="2950">
        <v>13.25</v>
      </c>
      <c r="M654" s="2951">
        <v>500000</v>
      </c>
      <c r="N654" s="2951">
        <v>500000</v>
      </c>
      <c r="O654" s="2955"/>
      <c r="P654" s="2948"/>
      <c r="Q654" s="2951">
        <v>0</v>
      </c>
      <c r="R654" s="2948"/>
      <c r="S654" s="2948"/>
      <c r="T654" s="2948"/>
      <c r="U654" s="2948"/>
      <c r="V654" s="2948"/>
    </row>
    <row r="655" spans="1:22" s="2944" customFormat="1" ht="46.8">
      <c r="A655" s="2948">
        <v>654</v>
      </c>
      <c r="B655" s="2948" t="s">
        <v>635</v>
      </c>
      <c r="C655" s="2948" t="s">
        <v>636</v>
      </c>
      <c r="D655" s="2948" t="s">
        <v>1276</v>
      </c>
      <c r="E655" s="2948" t="s">
        <v>729</v>
      </c>
      <c r="F655" s="2948" t="s">
        <v>1389</v>
      </c>
      <c r="G655" s="2948" t="s">
        <v>640</v>
      </c>
      <c r="H655" s="2948" t="s">
        <v>1278</v>
      </c>
      <c r="I655" s="2948" t="s">
        <v>1279</v>
      </c>
      <c r="J655" s="2948" t="s">
        <v>643</v>
      </c>
      <c r="K655" s="2950">
        <v>33.03</v>
      </c>
      <c r="L655" s="2950">
        <v>13.25</v>
      </c>
      <c r="M655" s="2951">
        <v>544975</v>
      </c>
      <c r="N655" s="2951">
        <v>544975</v>
      </c>
      <c r="O655" s="2952">
        <v>500000</v>
      </c>
      <c r="P655" s="2953">
        <v>500000</v>
      </c>
      <c r="Q655" s="2951">
        <v>500000</v>
      </c>
      <c r="R655" s="2954">
        <v>45107</v>
      </c>
      <c r="S655" s="2954">
        <v>45107</v>
      </c>
      <c r="T655" s="2948"/>
      <c r="U655" s="2948"/>
      <c r="V655" s="2948" t="s">
        <v>1390</v>
      </c>
    </row>
    <row r="656" spans="1:22" s="2944" customFormat="1" ht="46.8">
      <c r="A656" s="2948">
        <v>655</v>
      </c>
      <c r="B656" s="2948" t="s">
        <v>635</v>
      </c>
      <c r="C656" s="2948" t="s">
        <v>636</v>
      </c>
      <c r="D656" s="2948" t="s">
        <v>1276</v>
      </c>
      <c r="E656" s="2948" t="s">
        <v>729</v>
      </c>
      <c r="F656" s="2948" t="s">
        <v>1391</v>
      </c>
      <c r="G656" s="2948" t="s">
        <v>640</v>
      </c>
      <c r="H656" s="2948" t="s">
        <v>1278</v>
      </c>
      <c r="I656" s="2948" t="s">
        <v>1279</v>
      </c>
      <c r="J656" s="2948" t="s">
        <v>643</v>
      </c>
      <c r="K656" s="2950">
        <v>33.03</v>
      </c>
      <c r="L656" s="2950">
        <v>13.25</v>
      </c>
      <c r="M656" s="2951">
        <v>544975</v>
      </c>
      <c r="N656" s="2951">
        <v>544975</v>
      </c>
      <c r="O656" s="2952">
        <v>500000</v>
      </c>
      <c r="P656" s="2953">
        <v>500000</v>
      </c>
      <c r="Q656" s="2951">
        <v>500000</v>
      </c>
      <c r="R656" s="2954">
        <v>45078</v>
      </c>
      <c r="S656" s="2954">
        <v>45081</v>
      </c>
      <c r="T656" s="2948"/>
      <c r="U656" s="2948"/>
      <c r="V656" s="2948" t="s">
        <v>981</v>
      </c>
    </row>
    <row r="657" spans="1:22" s="2944" customFormat="1" ht="46.8">
      <c r="A657" s="2948">
        <v>656</v>
      </c>
      <c r="B657" s="2948" t="s">
        <v>635</v>
      </c>
      <c r="C657" s="2948" t="s">
        <v>636</v>
      </c>
      <c r="D657" s="2948" t="s">
        <v>1276</v>
      </c>
      <c r="E657" s="2948" t="s">
        <v>729</v>
      </c>
      <c r="F657" s="2948" t="s">
        <v>1392</v>
      </c>
      <c r="G657" s="2948" t="s">
        <v>640</v>
      </c>
      <c r="H657" s="2948" t="s">
        <v>1278</v>
      </c>
      <c r="I657" s="2948" t="s">
        <v>1279</v>
      </c>
      <c r="J657" s="2948" t="s">
        <v>643</v>
      </c>
      <c r="K657" s="2950">
        <v>33.03</v>
      </c>
      <c r="L657" s="2950">
        <v>13.25</v>
      </c>
      <c r="M657" s="2951">
        <v>500000</v>
      </c>
      <c r="N657" s="2951">
        <v>500000</v>
      </c>
      <c r="O657" s="2952">
        <v>500000</v>
      </c>
      <c r="P657" s="2953">
        <v>500000</v>
      </c>
      <c r="Q657" s="2951">
        <v>500000</v>
      </c>
      <c r="R657" s="2954">
        <v>45257</v>
      </c>
      <c r="S657" s="2954">
        <v>45257</v>
      </c>
      <c r="T657" s="2948"/>
      <c r="U657" s="2948"/>
      <c r="V657" s="2948" t="s">
        <v>1393</v>
      </c>
    </row>
    <row r="658" spans="1:22" s="2944" customFormat="1" ht="46.8" hidden="1">
      <c r="A658" s="2948">
        <v>657</v>
      </c>
      <c r="B658" s="2948" t="s">
        <v>635</v>
      </c>
      <c r="C658" s="2948" t="s">
        <v>636</v>
      </c>
      <c r="D658" s="2948" t="s">
        <v>1276</v>
      </c>
      <c r="E658" s="2948" t="s">
        <v>729</v>
      </c>
      <c r="F658" s="2948" t="s">
        <v>1394</v>
      </c>
      <c r="G658" s="2948" t="s">
        <v>1035</v>
      </c>
      <c r="H658" s="2948" t="s">
        <v>1278</v>
      </c>
      <c r="I658" s="2948" t="s">
        <v>1279</v>
      </c>
      <c r="J658" s="2948" t="s">
        <v>643</v>
      </c>
      <c r="K658" s="2950">
        <v>33.03</v>
      </c>
      <c r="L658" s="2950">
        <v>13.25</v>
      </c>
      <c r="M658" s="2951">
        <v>500000</v>
      </c>
      <c r="N658" s="2951">
        <v>500000</v>
      </c>
      <c r="O658" s="2955"/>
      <c r="P658" s="2948"/>
      <c r="Q658" s="2951">
        <v>0</v>
      </c>
      <c r="R658" s="2948"/>
      <c r="S658" s="2948"/>
      <c r="T658" s="2948"/>
      <c r="U658" s="2948"/>
      <c r="V658" s="2948"/>
    </row>
    <row r="659" spans="1:22" s="2944" customFormat="1" ht="46.8">
      <c r="A659" s="2948">
        <v>658</v>
      </c>
      <c r="B659" s="2948" t="s">
        <v>635</v>
      </c>
      <c r="C659" s="2948" t="s">
        <v>636</v>
      </c>
      <c r="D659" s="2948" t="s">
        <v>1276</v>
      </c>
      <c r="E659" s="2948" t="s">
        <v>729</v>
      </c>
      <c r="F659" s="2948" t="s">
        <v>1395</v>
      </c>
      <c r="G659" s="2948" t="s">
        <v>640</v>
      </c>
      <c r="H659" s="2948" t="s">
        <v>1278</v>
      </c>
      <c r="I659" s="2948" t="s">
        <v>1279</v>
      </c>
      <c r="J659" s="2948" t="s">
        <v>643</v>
      </c>
      <c r="K659" s="2950">
        <v>33.03</v>
      </c>
      <c r="L659" s="2950">
        <v>13.25</v>
      </c>
      <c r="M659" s="2951">
        <v>544975</v>
      </c>
      <c r="N659" s="2951">
        <v>544975</v>
      </c>
      <c r="O659" s="2952">
        <v>500000</v>
      </c>
      <c r="P659" s="2953">
        <v>500000</v>
      </c>
      <c r="Q659" s="2951">
        <v>500000</v>
      </c>
      <c r="R659" s="2954">
        <v>45107</v>
      </c>
      <c r="S659" s="2954">
        <v>45107</v>
      </c>
      <c r="T659" s="2948"/>
      <c r="U659" s="2948"/>
      <c r="V659" s="2948" t="s">
        <v>1396</v>
      </c>
    </row>
    <row r="660" spans="1:22" s="2944" customFormat="1" ht="46.8">
      <c r="A660" s="2948">
        <v>659</v>
      </c>
      <c r="B660" s="2948" t="s">
        <v>635</v>
      </c>
      <c r="C660" s="2948" t="s">
        <v>636</v>
      </c>
      <c r="D660" s="2948" t="s">
        <v>1276</v>
      </c>
      <c r="E660" s="2948" t="s">
        <v>729</v>
      </c>
      <c r="F660" s="2948" t="s">
        <v>1397</v>
      </c>
      <c r="G660" s="2948" t="s">
        <v>640</v>
      </c>
      <c r="H660" s="2948" t="s">
        <v>1278</v>
      </c>
      <c r="I660" s="2948" t="s">
        <v>1279</v>
      </c>
      <c r="J660" s="2948" t="s">
        <v>643</v>
      </c>
      <c r="K660" s="2950">
        <v>33.03</v>
      </c>
      <c r="L660" s="2950">
        <v>13.25</v>
      </c>
      <c r="M660" s="2951">
        <v>544975</v>
      </c>
      <c r="N660" s="2951">
        <v>544975</v>
      </c>
      <c r="O660" s="2952">
        <v>500000</v>
      </c>
      <c r="P660" s="2953">
        <v>500000</v>
      </c>
      <c r="Q660" s="2951">
        <v>500000</v>
      </c>
      <c r="R660" s="2954">
        <v>45107</v>
      </c>
      <c r="S660" s="2954">
        <v>45107</v>
      </c>
      <c r="T660" s="2948"/>
      <c r="U660" s="2948"/>
      <c r="V660" s="2948" t="s">
        <v>860</v>
      </c>
    </row>
    <row r="661" spans="1:22" s="2944" customFormat="1" ht="46.8">
      <c r="A661" s="2948">
        <v>660</v>
      </c>
      <c r="B661" s="2948" t="s">
        <v>635</v>
      </c>
      <c r="C661" s="2948" t="s">
        <v>636</v>
      </c>
      <c r="D661" s="2948" t="s">
        <v>1276</v>
      </c>
      <c r="E661" s="2948" t="s">
        <v>729</v>
      </c>
      <c r="F661" s="2948" t="s">
        <v>1398</v>
      </c>
      <c r="G661" s="2948" t="s">
        <v>640</v>
      </c>
      <c r="H661" s="2948" t="s">
        <v>1278</v>
      </c>
      <c r="I661" s="2948" t="s">
        <v>1279</v>
      </c>
      <c r="J661" s="2948" t="s">
        <v>643</v>
      </c>
      <c r="K661" s="2950">
        <v>33.03</v>
      </c>
      <c r="L661" s="2950">
        <v>13.25</v>
      </c>
      <c r="M661" s="2951">
        <v>500000</v>
      </c>
      <c r="N661" s="2951">
        <v>500000</v>
      </c>
      <c r="O661" s="2952">
        <v>500000</v>
      </c>
      <c r="P661" s="2953">
        <v>500000</v>
      </c>
      <c r="Q661" s="2951">
        <v>500000</v>
      </c>
      <c r="R661" s="2954">
        <v>45222</v>
      </c>
      <c r="S661" s="2954">
        <v>45230</v>
      </c>
      <c r="T661" s="2948"/>
      <c r="U661" s="2948"/>
      <c r="V661" s="2948" t="s">
        <v>860</v>
      </c>
    </row>
    <row r="662" spans="1:22" s="2944" customFormat="1" ht="46.8">
      <c r="A662" s="2948">
        <v>661</v>
      </c>
      <c r="B662" s="2948" t="s">
        <v>635</v>
      </c>
      <c r="C662" s="2948" t="s">
        <v>636</v>
      </c>
      <c r="D662" s="2948" t="s">
        <v>1276</v>
      </c>
      <c r="E662" s="2948" t="s">
        <v>729</v>
      </c>
      <c r="F662" s="2948" t="s">
        <v>1399</v>
      </c>
      <c r="G662" s="2948" t="s">
        <v>640</v>
      </c>
      <c r="H662" s="2948" t="s">
        <v>1278</v>
      </c>
      <c r="I662" s="2948" t="s">
        <v>1279</v>
      </c>
      <c r="J662" s="2948" t="s">
        <v>643</v>
      </c>
      <c r="K662" s="2950">
        <v>33.03</v>
      </c>
      <c r="L662" s="2950">
        <v>13.25</v>
      </c>
      <c r="M662" s="2951">
        <v>544975</v>
      </c>
      <c r="N662" s="2951">
        <v>544975</v>
      </c>
      <c r="O662" s="2952">
        <v>500000</v>
      </c>
      <c r="P662" s="2953">
        <v>500000</v>
      </c>
      <c r="Q662" s="2951">
        <v>500000</v>
      </c>
      <c r="R662" s="2954">
        <v>45107</v>
      </c>
      <c r="S662" s="2954">
        <v>45107</v>
      </c>
      <c r="T662" s="2948"/>
      <c r="U662" s="2948"/>
      <c r="V662" s="2948" t="s">
        <v>860</v>
      </c>
    </row>
    <row r="663" spans="1:22" s="2944" customFormat="1" ht="46.8" hidden="1">
      <c r="A663" s="2948">
        <v>662</v>
      </c>
      <c r="B663" s="2948" t="s">
        <v>635</v>
      </c>
      <c r="C663" s="2948" t="s">
        <v>636</v>
      </c>
      <c r="D663" s="2948" t="s">
        <v>1276</v>
      </c>
      <c r="E663" s="2948" t="s">
        <v>729</v>
      </c>
      <c r="F663" s="2948" t="s">
        <v>1400</v>
      </c>
      <c r="G663" s="2948" t="s">
        <v>1035</v>
      </c>
      <c r="H663" s="2948" t="s">
        <v>1278</v>
      </c>
      <c r="I663" s="2948" t="s">
        <v>1279</v>
      </c>
      <c r="J663" s="2948" t="s">
        <v>643</v>
      </c>
      <c r="K663" s="2950">
        <v>33.03</v>
      </c>
      <c r="L663" s="2950">
        <v>13.25</v>
      </c>
      <c r="M663" s="2951">
        <v>500000</v>
      </c>
      <c r="N663" s="2951">
        <v>500000</v>
      </c>
      <c r="O663" s="2955"/>
      <c r="P663" s="2948"/>
      <c r="Q663" s="2951">
        <v>0</v>
      </c>
      <c r="R663" s="2948"/>
      <c r="S663" s="2948"/>
      <c r="T663" s="2948"/>
      <c r="U663" s="2948"/>
      <c r="V663" s="2948"/>
    </row>
    <row r="664" spans="1:22" s="2944" customFormat="1" ht="46.8">
      <c r="A664" s="2948">
        <v>663</v>
      </c>
      <c r="B664" s="2948" t="s">
        <v>635</v>
      </c>
      <c r="C664" s="2948" t="s">
        <v>636</v>
      </c>
      <c r="D664" s="2948" t="s">
        <v>1276</v>
      </c>
      <c r="E664" s="2948" t="s">
        <v>729</v>
      </c>
      <c r="F664" s="2948" t="s">
        <v>1401</v>
      </c>
      <c r="G664" s="2948" t="s">
        <v>640</v>
      </c>
      <c r="H664" s="2948" t="s">
        <v>1278</v>
      </c>
      <c r="I664" s="2948" t="s">
        <v>1279</v>
      </c>
      <c r="J664" s="2948" t="s">
        <v>643</v>
      </c>
      <c r="K664" s="2950">
        <v>33.03</v>
      </c>
      <c r="L664" s="2950">
        <v>13.25</v>
      </c>
      <c r="M664" s="2951">
        <v>500000</v>
      </c>
      <c r="N664" s="2951">
        <v>500000</v>
      </c>
      <c r="O664" s="2952">
        <v>500000</v>
      </c>
      <c r="P664" s="2953">
        <v>500000</v>
      </c>
      <c r="Q664" s="2951">
        <v>500000</v>
      </c>
      <c r="R664" s="2954">
        <v>45131</v>
      </c>
      <c r="S664" s="2954">
        <v>45131</v>
      </c>
      <c r="T664" s="2948"/>
      <c r="U664" s="2948"/>
      <c r="V664" s="2948" t="s">
        <v>656</v>
      </c>
    </row>
    <row r="665" spans="1:22" s="2944" customFormat="1" ht="46.8">
      <c r="A665" s="2948">
        <v>664</v>
      </c>
      <c r="B665" s="2948" t="s">
        <v>635</v>
      </c>
      <c r="C665" s="2948" t="s">
        <v>636</v>
      </c>
      <c r="D665" s="2948" t="s">
        <v>1276</v>
      </c>
      <c r="E665" s="2948" t="s">
        <v>729</v>
      </c>
      <c r="F665" s="2948" t="s">
        <v>1402</v>
      </c>
      <c r="G665" s="2948" t="s">
        <v>640</v>
      </c>
      <c r="H665" s="2948" t="s">
        <v>1278</v>
      </c>
      <c r="I665" s="2948" t="s">
        <v>1279</v>
      </c>
      <c r="J665" s="2948" t="s">
        <v>643</v>
      </c>
      <c r="K665" s="2950">
        <v>33.03</v>
      </c>
      <c r="L665" s="2950">
        <v>13.25</v>
      </c>
      <c r="M665" s="2951">
        <v>500000</v>
      </c>
      <c r="N665" s="2951">
        <v>500000</v>
      </c>
      <c r="O665" s="2952">
        <v>500000</v>
      </c>
      <c r="P665" s="2953">
        <v>500000</v>
      </c>
      <c r="Q665" s="2951">
        <v>500000</v>
      </c>
      <c r="R665" s="2954">
        <v>45199</v>
      </c>
      <c r="S665" s="2954">
        <v>45199</v>
      </c>
      <c r="T665" s="2948"/>
      <c r="U665" s="2948"/>
      <c r="V665" s="2948" t="s">
        <v>1378</v>
      </c>
    </row>
    <row r="666" spans="1:22" s="2944" customFormat="1" ht="46.8">
      <c r="A666" s="2948">
        <v>665</v>
      </c>
      <c r="B666" s="2948" t="s">
        <v>635</v>
      </c>
      <c r="C666" s="2948" t="s">
        <v>636</v>
      </c>
      <c r="D666" s="2948" t="s">
        <v>1276</v>
      </c>
      <c r="E666" s="2948" t="s">
        <v>729</v>
      </c>
      <c r="F666" s="2948" t="s">
        <v>1403</v>
      </c>
      <c r="G666" s="2948" t="s">
        <v>640</v>
      </c>
      <c r="H666" s="2948" t="s">
        <v>1278</v>
      </c>
      <c r="I666" s="2948" t="s">
        <v>1279</v>
      </c>
      <c r="J666" s="2948" t="s">
        <v>643</v>
      </c>
      <c r="K666" s="2950">
        <v>33.03</v>
      </c>
      <c r="L666" s="2950">
        <v>13.25</v>
      </c>
      <c r="M666" s="2951">
        <v>500000</v>
      </c>
      <c r="N666" s="2951">
        <v>500000</v>
      </c>
      <c r="O666" s="2952">
        <v>500000</v>
      </c>
      <c r="P666" s="2953">
        <v>500000</v>
      </c>
      <c r="Q666" s="2951">
        <v>500000</v>
      </c>
      <c r="R666" s="2954">
        <v>45197</v>
      </c>
      <c r="S666" s="2954">
        <v>45197</v>
      </c>
      <c r="T666" s="2948"/>
      <c r="U666" s="2948"/>
      <c r="V666" s="2948" t="s">
        <v>1289</v>
      </c>
    </row>
    <row r="667" spans="1:22" s="2944" customFormat="1" ht="46.8">
      <c r="A667" s="2948">
        <v>666</v>
      </c>
      <c r="B667" s="2948" t="s">
        <v>635</v>
      </c>
      <c r="C667" s="2948" t="s">
        <v>636</v>
      </c>
      <c r="D667" s="2948" t="s">
        <v>1276</v>
      </c>
      <c r="E667" s="2948" t="s">
        <v>729</v>
      </c>
      <c r="F667" s="2948" t="s">
        <v>1404</v>
      </c>
      <c r="G667" s="2948" t="s">
        <v>640</v>
      </c>
      <c r="H667" s="2948" t="s">
        <v>1278</v>
      </c>
      <c r="I667" s="2948" t="s">
        <v>1279</v>
      </c>
      <c r="J667" s="2948" t="s">
        <v>643</v>
      </c>
      <c r="K667" s="2950">
        <v>33.03</v>
      </c>
      <c r="L667" s="2950">
        <v>13.25</v>
      </c>
      <c r="M667" s="2951">
        <v>544975</v>
      </c>
      <c r="N667" s="2951">
        <v>544975</v>
      </c>
      <c r="O667" s="2952">
        <v>500000</v>
      </c>
      <c r="P667" s="2953">
        <v>500000</v>
      </c>
      <c r="Q667" s="2951">
        <v>500000</v>
      </c>
      <c r="R667" s="2954">
        <v>45107</v>
      </c>
      <c r="S667" s="2954">
        <v>45107</v>
      </c>
      <c r="T667" s="2948"/>
      <c r="U667" s="2948"/>
      <c r="V667" s="2948" t="s">
        <v>1292</v>
      </c>
    </row>
    <row r="668" spans="1:22" s="2944" customFormat="1" ht="46.8" hidden="1">
      <c r="A668" s="2948">
        <v>667</v>
      </c>
      <c r="B668" s="2948" t="s">
        <v>635</v>
      </c>
      <c r="C668" s="2948" t="s">
        <v>636</v>
      </c>
      <c r="D668" s="2948" t="s">
        <v>1276</v>
      </c>
      <c r="E668" s="2948" t="s">
        <v>729</v>
      </c>
      <c r="F668" s="2948" t="s">
        <v>1405</v>
      </c>
      <c r="G668" s="2948" t="s">
        <v>1035</v>
      </c>
      <c r="H668" s="2948" t="s">
        <v>1278</v>
      </c>
      <c r="I668" s="2948" t="s">
        <v>1279</v>
      </c>
      <c r="J668" s="2948" t="s">
        <v>643</v>
      </c>
      <c r="K668" s="2950">
        <v>33.03</v>
      </c>
      <c r="L668" s="2950">
        <v>13.25</v>
      </c>
      <c r="M668" s="2951">
        <v>500000</v>
      </c>
      <c r="N668" s="2951">
        <v>500000</v>
      </c>
      <c r="O668" s="2955"/>
      <c r="P668" s="2948"/>
      <c r="Q668" s="2951">
        <v>0</v>
      </c>
      <c r="R668" s="2948"/>
      <c r="S668" s="2948"/>
      <c r="T668" s="2948"/>
      <c r="U668" s="2948"/>
      <c r="V668" s="2948"/>
    </row>
    <row r="669" spans="1:22" s="2944" customFormat="1" ht="46.8">
      <c r="A669" s="2948">
        <v>668</v>
      </c>
      <c r="B669" s="2948" t="s">
        <v>635</v>
      </c>
      <c r="C669" s="2948" t="s">
        <v>636</v>
      </c>
      <c r="D669" s="2948" t="s">
        <v>1276</v>
      </c>
      <c r="E669" s="2948" t="s">
        <v>729</v>
      </c>
      <c r="F669" s="2948" t="s">
        <v>1406</v>
      </c>
      <c r="G669" s="2948" t="s">
        <v>640</v>
      </c>
      <c r="H669" s="2948" t="s">
        <v>1278</v>
      </c>
      <c r="I669" s="2948" t="s">
        <v>1279</v>
      </c>
      <c r="J669" s="2948" t="s">
        <v>643</v>
      </c>
      <c r="K669" s="2950">
        <v>33.03</v>
      </c>
      <c r="L669" s="2950">
        <v>13.25</v>
      </c>
      <c r="M669" s="2951">
        <v>500000</v>
      </c>
      <c r="N669" s="2951">
        <v>500000</v>
      </c>
      <c r="O669" s="2952">
        <v>500000</v>
      </c>
      <c r="P669" s="2953">
        <v>500000</v>
      </c>
      <c r="Q669" s="2951">
        <v>200000</v>
      </c>
      <c r="R669" s="2954">
        <v>45282</v>
      </c>
      <c r="S669" s="2954">
        <v>45283</v>
      </c>
      <c r="T669" s="2948"/>
      <c r="U669" s="2948"/>
      <c r="V669" s="2948" t="s">
        <v>658</v>
      </c>
    </row>
    <row r="670" spans="1:22" s="2944" customFormat="1" ht="46.8">
      <c r="A670" s="2948">
        <v>669</v>
      </c>
      <c r="B670" s="2948" t="s">
        <v>635</v>
      </c>
      <c r="C670" s="2948" t="s">
        <v>636</v>
      </c>
      <c r="D670" s="2948" t="s">
        <v>1276</v>
      </c>
      <c r="E670" s="2948" t="s">
        <v>729</v>
      </c>
      <c r="F670" s="2948" t="s">
        <v>1407</v>
      </c>
      <c r="G670" s="2948" t="s">
        <v>640</v>
      </c>
      <c r="H670" s="2948" t="s">
        <v>1278</v>
      </c>
      <c r="I670" s="2948" t="s">
        <v>1279</v>
      </c>
      <c r="J670" s="2948" t="s">
        <v>643</v>
      </c>
      <c r="K670" s="2950">
        <v>33.03</v>
      </c>
      <c r="L670" s="2950">
        <v>13.25</v>
      </c>
      <c r="M670" s="2951">
        <v>544975</v>
      </c>
      <c r="N670" s="2951">
        <v>544975</v>
      </c>
      <c r="O670" s="2952">
        <v>544975</v>
      </c>
      <c r="P670" s="2953">
        <v>544975</v>
      </c>
      <c r="Q670" s="2951">
        <v>544975</v>
      </c>
      <c r="R670" s="2954">
        <v>44557</v>
      </c>
      <c r="S670" s="2954">
        <v>44559</v>
      </c>
      <c r="T670" s="2948"/>
      <c r="U670" s="2948"/>
      <c r="V670" s="2948" t="s">
        <v>713</v>
      </c>
    </row>
    <row r="671" spans="1:22" s="2944" customFormat="1" ht="46.8">
      <c r="A671" s="2948">
        <v>670</v>
      </c>
      <c r="B671" s="2948" t="s">
        <v>635</v>
      </c>
      <c r="C671" s="2948" t="s">
        <v>636</v>
      </c>
      <c r="D671" s="2948" t="s">
        <v>1276</v>
      </c>
      <c r="E671" s="2948" t="s">
        <v>729</v>
      </c>
      <c r="F671" s="2948" t="s">
        <v>1408</v>
      </c>
      <c r="G671" s="2948" t="s">
        <v>640</v>
      </c>
      <c r="H671" s="2948" t="s">
        <v>1278</v>
      </c>
      <c r="I671" s="2948" t="s">
        <v>1279</v>
      </c>
      <c r="J671" s="2948" t="s">
        <v>643</v>
      </c>
      <c r="K671" s="2950">
        <v>33.03</v>
      </c>
      <c r="L671" s="2950">
        <v>13.25</v>
      </c>
      <c r="M671" s="2951">
        <v>544975</v>
      </c>
      <c r="N671" s="2951">
        <v>544975</v>
      </c>
      <c r="O671" s="2952">
        <v>500000</v>
      </c>
      <c r="P671" s="2953">
        <v>500000</v>
      </c>
      <c r="Q671" s="2951">
        <v>500000</v>
      </c>
      <c r="R671" s="2954">
        <v>45044</v>
      </c>
      <c r="S671" s="2954">
        <v>45044</v>
      </c>
      <c r="T671" s="2948"/>
      <c r="U671" s="2948"/>
      <c r="V671" s="2948" t="s">
        <v>701</v>
      </c>
    </row>
    <row r="672" spans="1:22" s="2944" customFormat="1" ht="46.8" hidden="1">
      <c r="A672" s="2948">
        <v>671</v>
      </c>
      <c r="B672" s="2948" t="s">
        <v>635</v>
      </c>
      <c r="C672" s="2948" t="s">
        <v>636</v>
      </c>
      <c r="D672" s="2948" t="s">
        <v>1276</v>
      </c>
      <c r="E672" s="2948" t="s">
        <v>729</v>
      </c>
      <c r="F672" s="2948" t="s">
        <v>1409</v>
      </c>
      <c r="G672" s="2948" t="s">
        <v>1035</v>
      </c>
      <c r="H672" s="2948" t="s">
        <v>1278</v>
      </c>
      <c r="I672" s="2948" t="s">
        <v>1279</v>
      </c>
      <c r="J672" s="2948" t="s">
        <v>643</v>
      </c>
      <c r="K672" s="2950">
        <v>33.03</v>
      </c>
      <c r="L672" s="2950">
        <v>13.25</v>
      </c>
      <c r="M672" s="2951">
        <v>500000</v>
      </c>
      <c r="N672" s="2951">
        <v>500000</v>
      </c>
      <c r="O672" s="2955"/>
      <c r="P672" s="2948"/>
      <c r="Q672" s="2951">
        <v>0</v>
      </c>
      <c r="R672" s="2948"/>
      <c r="S672" s="2948"/>
      <c r="T672" s="2948"/>
      <c r="U672" s="2948"/>
      <c r="V672" s="2948"/>
    </row>
    <row r="673" spans="1:22" s="2944" customFormat="1" ht="46.8">
      <c r="A673" s="2948">
        <v>672</v>
      </c>
      <c r="B673" s="2948" t="s">
        <v>635</v>
      </c>
      <c r="C673" s="2948" t="s">
        <v>636</v>
      </c>
      <c r="D673" s="2948" t="s">
        <v>1276</v>
      </c>
      <c r="E673" s="2948" t="s">
        <v>729</v>
      </c>
      <c r="F673" s="2948" t="s">
        <v>1410</v>
      </c>
      <c r="G673" s="2948" t="s">
        <v>640</v>
      </c>
      <c r="H673" s="2948" t="s">
        <v>1278</v>
      </c>
      <c r="I673" s="2948" t="s">
        <v>1279</v>
      </c>
      <c r="J673" s="2948" t="s">
        <v>643</v>
      </c>
      <c r="K673" s="2950">
        <v>33.03</v>
      </c>
      <c r="L673" s="2950">
        <v>13.25</v>
      </c>
      <c r="M673" s="2951">
        <v>500000</v>
      </c>
      <c r="N673" s="2951">
        <v>500000</v>
      </c>
      <c r="O673" s="2952">
        <v>500000</v>
      </c>
      <c r="P673" s="2953">
        <v>500000</v>
      </c>
      <c r="Q673" s="2951">
        <v>500000</v>
      </c>
      <c r="R673" s="2954">
        <v>45197</v>
      </c>
      <c r="S673" s="2954">
        <v>45197</v>
      </c>
      <c r="T673" s="2948"/>
      <c r="U673" s="2948"/>
      <c r="V673" s="2948" t="s">
        <v>1350</v>
      </c>
    </row>
    <row r="674" spans="1:22" s="2944" customFormat="1" ht="46.8">
      <c r="A674" s="2948">
        <v>673</v>
      </c>
      <c r="B674" s="2948" t="s">
        <v>635</v>
      </c>
      <c r="C674" s="2948" t="s">
        <v>636</v>
      </c>
      <c r="D674" s="2948" t="s">
        <v>1276</v>
      </c>
      <c r="E674" s="2948" t="s">
        <v>729</v>
      </c>
      <c r="F674" s="2948" t="s">
        <v>1411</v>
      </c>
      <c r="G674" s="2948" t="s">
        <v>640</v>
      </c>
      <c r="H674" s="2948" t="s">
        <v>1278</v>
      </c>
      <c r="I674" s="2948" t="s">
        <v>1279</v>
      </c>
      <c r="J674" s="2948" t="s">
        <v>643</v>
      </c>
      <c r="K674" s="2950">
        <v>33.03</v>
      </c>
      <c r="L674" s="2950">
        <v>13.25</v>
      </c>
      <c r="M674" s="2951">
        <v>544975</v>
      </c>
      <c r="N674" s="2951">
        <v>544975</v>
      </c>
      <c r="O674" s="2952">
        <v>500000</v>
      </c>
      <c r="P674" s="2953">
        <v>500000</v>
      </c>
      <c r="Q674" s="2951">
        <v>500000</v>
      </c>
      <c r="R674" s="2954">
        <v>45044</v>
      </c>
      <c r="S674" s="2954">
        <v>45044</v>
      </c>
      <c r="T674" s="2948"/>
      <c r="U674" s="2948"/>
      <c r="V674" s="2948" t="s">
        <v>713</v>
      </c>
    </row>
    <row r="675" spans="1:22" s="2944" customFormat="1" ht="46.8" hidden="1">
      <c r="A675" s="2948">
        <v>674</v>
      </c>
      <c r="B675" s="2948" t="s">
        <v>635</v>
      </c>
      <c r="C675" s="2948" t="s">
        <v>636</v>
      </c>
      <c r="D675" s="2948" t="s">
        <v>1276</v>
      </c>
      <c r="E675" s="2948" t="s">
        <v>729</v>
      </c>
      <c r="F675" s="2948" t="s">
        <v>1412</v>
      </c>
      <c r="G675" s="2948" t="s">
        <v>1035</v>
      </c>
      <c r="H675" s="2948" t="s">
        <v>1278</v>
      </c>
      <c r="I675" s="2948" t="s">
        <v>1279</v>
      </c>
      <c r="J675" s="2948" t="s">
        <v>643</v>
      </c>
      <c r="K675" s="2950">
        <v>33.03</v>
      </c>
      <c r="L675" s="2950">
        <v>13.25</v>
      </c>
      <c r="M675" s="2951">
        <v>500000</v>
      </c>
      <c r="N675" s="2951">
        <v>500000</v>
      </c>
      <c r="O675" s="2955"/>
      <c r="P675" s="2948"/>
      <c r="Q675" s="2951">
        <v>0</v>
      </c>
      <c r="R675" s="2948"/>
      <c r="S675" s="2948"/>
      <c r="T675" s="2948"/>
      <c r="U675" s="2948"/>
      <c r="V675" s="2948"/>
    </row>
    <row r="676" spans="1:22" s="2944" customFormat="1" ht="46.8">
      <c r="A676" s="2948">
        <v>675</v>
      </c>
      <c r="B676" s="2948" t="s">
        <v>635</v>
      </c>
      <c r="C676" s="2948" t="s">
        <v>636</v>
      </c>
      <c r="D676" s="2948" t="s">
        <v>1276</v>
      </c>
      <c r="E676" s="2948" t="s">
        <v>729</v>
      </c>
      <c r="F676" s="2948" t="s">
        <v>1413</v>
      </c>
      <c r="G676" s="2948" t="s">
        <v>640</v>
      </c>
      <c r="H676" s="2948" t="s">
        <v>1278</v>
      </c>
      <c r="I676" s="2948" t="s">
        <v>1279</v>
      </c>
      <c r="J676" s="2948" t="s">
        <v>643</v>
      </c>
      <c r="K676" s="2950">
        <v>33.03</v>
      </c>
      <c r="L676" s="2950">
        <v>13.25</v>
      </c>
      <c r="M676" s="2951">
        <v>544975</v>
      </c>
      <c r="N676" s="2951">
        <v>544975</v>
      </c>
      <c r="O676" s="2952">
        <v>500000</v>
      </c>
      <c r="P676" s="2953">
        <v>500000</v>
      </c>
      <c r="Q676" s="2951">
        <v>500000</v>
      </c>
      <c r="R676" s="2954">
        <v>45042</v>
      </c>
      <c r="S676" s="2954">
        <v>45042</v>
      </c>
      <c r="T676" s="2948"/>
      <c r="U676" s="2948"/>
      <c r="V676" s="2948" t="s">
        <v>862</v>
      </c>
    </row>
    <row r="677" spans="1:22" s="2944" customFormat="1" ht="46.8" hidden="1">
      <c r="A677" s="2948">
        <v>676</v>
      </c>
      <c r="B677" s="2948" t="s">
        <v>635</v>
      </c>
      <c r="C677" s="2948" t="s">
        <v>636</v>
      </c>
      <c r="D677" s="2948" t="s">
        <v>1276</v>
      </c>
      <c r="E677" s="2948" t="s">
        <v>729</v>
      </c>
      <c r="F677" s="2948" t="s">
        <v>1414</v>
      </c>
      <c r="G677" s="2948" t="s">
        <v>1035</v>
      </c>
      <c r="H677" s="2948" t="s">
        <v>1278</v>
      </c>
      <c r="I677" s="2948" t="s">
        <v>1279</v>
      </c>
      <c r="J677" s="2948" t="s">
        <v>643</v>
      </c>
      <c r="K677" s="2950">
        <v>33.03</v>
      </c>
      <c r="L677" s="2950">
        <v>13.25</v>
      </c>
      <c r="M677" s="2951">
        <v>500000</v>
      </c>
      <c r="N677" s="2951">
        <v>500000</v>
      </c>
      <c r="O677" s="2955"/>
      <c r="P677" s="2948"/>
      <c r="Q677" s="2951">
        <v>0</v>
      </c>
      <c r="R677" s="2948"/>
      <c r="S677" s="2948"/>
      <c r="T677" s="2948"/>
      <c r="U677" s="2948"/>
      <c r="V677" s="2948"/>
    </row>
    <row r="678" spans="1:22" s="2944" customFormat="1" ht="46.8">
      <c r="A678" s="2948">
        <v>677</v>
      </c>
      <c r="B678" s="2948" t="s">
        <v>635</v>
      </c>
      <c r="C678" s="2948" t="s">
        <v>636</v>
      </c>
      <c r="D678" s="2948" t="s">
        <v>1276</v>
      </c>
      <c r="E678" s="2948" t="s">
        <v>729</v>
      </c>
      <c r="F678" s="2948" t="s">
        <v>1415</v>
      </c>
      <c r="G678" s="2948" t="s">
        <v>640</v>
      </c>
      <c r="H678" s="2948" t="s">
        <v>1278</v>
      </c>
      <c r="I678" s="2948" t="s">
        <v>1279</v>
      </c>
      <c r="J678" s="2948" t="s">
        <v>643</v>
      </c>
      <c r="K678" s="2950">
        <v>33.03</v>
      </c>
      <c r="L678" s="2950">
        <v>13.25</v>
      </c>
      <c r="M678" s="2951">
        <v>544975</v>
      </c>
      <c r="N678" s="2951">
        <v>544975</v>
      </c>
      <c r="O678" s="2952">
        <v>500000</v>
      </c>
      <c r="P678" s="2953">
        <v>500000</v>
      </c>
      <c r="Q678" s="2951">
        <v>500000</v>
      </c>
      <c r="R678" s="2954">
        <v>45083</v>
      </c>
      <c r="S678" s="2954">
        <v>45083</v>
      </c>
      <c r="T678" s="2948"/>
      <c r="U678" s="2948"/>
      <c r="V678" s="2948" t="s">
        <v>868</v>
      </c>
    </row>
    <row r="679" spans="1:22" s="2944" customFormat="1" ht="46.8" hidden="1">
      <c r="A679" s="2948">
        <v>678</v>
      </c>
      <c r="B679" s="2948" t="s">
        <v>635</v>
      </c>
      <c r="C679" s="2948" t="s">
        <v>636</v>
      </c>
      <c r="D679" s="2948" t="s">
        <v>1276</v>
      </c>
      <c r="E679" s="2948" t="s">
        <v>729</v>
      </c>
      <c r="F679" s="2948" t="s">
        <v>1416</v>
      </c>
      <c r="G679" s="2948" t="s">
        <v>1035</v>
      </c>
      <c r="H679" s="2948" t="s">
        <v>1278</v>
      </c>
      <c r="I679" s="2948" t="s">
        <v>1279</v>
      </c>
      <c r="J679" s="2948" t="s">
        <v>643</v>
      </c>
      <c r="K679" s="2950">
        <v>33.03</v>
      </c>
      <c r="L679" s="2950">
        <v>13.25</v>
      </c>
      <c r="M679" s="2951">
        <v>500000</v>
      </c>
      <c r="N679" s="2951">
        <v>500000</v>
      </c>
      <c r="O679" s="2955"/>
      <c r="P679" s="2948"/>
      <c r="Q679" s="2951">
        <v>0</v>
      </c>
      <c r="R679" s="2948"/>
      <c r="S679" s="2948"/>
      <c r="T679" s="2948"/>
      <c r="U679" s="2948"/>
      <c r="V679" s="2948"/>
    </row>
    <row r="680" spans="1:22" s="2944" customFormat="1" ht="46.8">
      <c r="A680" s="2948">
        <v>679</v>
      </c>
      <c r="B680" s="2948" t="s">
        <v>635</v>
      </c>
      <c r="C680" s="2948" t="s">
        <v>636</v>
      </c>
      <c r="D680" s="2948" t="s">
        <v>1276</v>
      </c>
      <c r="E680" s="2948" t="s">
        <v>729</v>
      </c>
      <c r="F680" s="2948" t="s">
        <v>1417</v>
      </c>
      <c r="G680" s="2948" t="s">
        <v>640</v>
      </c>
      <c r="H680" s="2948" t="s">
        <v>1278</v>
      </c>
      <c r="I680" s="2948" t="s">
        <v>1279</v>
      </c>
      <c r="J680" s="2948" t="s">
        <v>643</v>
      </c>
      <c r="K680" s="2950">
        <v>33.03</v>
      </c>
      <c r="L680" s="2950">
        <v>13.25</v>
      </c>
      <c r="M680" s="2951">
        <v>544975</v>
      </c>
      <c r="N680" s="2951">
        <v>544975</v>
      </c>
      <c r="O680" s="2952">
        <v>500000</v>
      </c>
      <c r="P680" s="2953">
        <v>500000</v>
      </c>
      <c r="Q680" s="2951">
        <v>500000</v>
      </c>
      <c r="R680" s="2954">
        <v>45042</v>
      </c>
      <c r="S680" s="2954">
        <v>45042</v>
      </c>
      <c r="T680" s="2948"/>
      <c r="U680" s="2948"/>
      <c r="V680" s="2948" t="s">
        <v>877</v>
      </c>
    </row>
    <row r="681" spans="1:22" s="2944" customFormat="1" ht="46.8">
      <c r="A681" s="2948">
        <v>680</v>
      </c>
      <c r="B681" s="2948" t="s">
        <v>635</v>
      </c>
      <c r="C681" s="2948" t="s">
        <v>636</v>
      </c>
      <c r="D681" s="2948" t="s">
        <v>1276</v>
      </c>
      <c r="E681" s="2948" t="s">
        <v>729</v>
      </c>
      <c r="F681" s="2948" t="s">
        <v>1418</v>
      </c>
      <c r="G681" s="2948" t="s">
        <v>640</v>
      </c>
      <c r="H681" s="2948" t="s">
        <v>1278</v>
      </c>
      <c r="I681" s="2948" t="s">
        <v>1279</v>
      </c>
      <c r="J681" s="2948" t="s">
        <v>643</v>
      </c>
      <c r="K681" s="2950">
        <v>33.03</v>
      </c>
      <c r="L681" s="2950">
        <v>13.25</v>
      </c>
      <c r="M681" s="2951">
        <v>544975</v>
      </c>
      <c r="N681" s="2951">
        <v>544975</v>
      </c>
      <c r="O681" s="2952">
        <v>500000</v>
      </c>
      <c r="P681" s="2953">
        <v>500000</v>
      </c>
      <c r="Q681" s="2951">
        <v>500000</v>
      </c>
      <c r="R681" s="2954">
        <v>45046</v>
      </c>
      <c r="S681" s="2954">
        <v>45046</v>
      </c>
      <c r="T681" s="2948"/>
      <c r="U681" s="2948"/>
      <c r="V681" s="2948" t="s">
        <v>887</v>
      </c>
    </row>
    <row r="682" spans="1:22" s="2944" customFormat="1" ht="46.8">
      <c r="A682" s="2948">
        <v>681</v>
      </c>
      <c r="B682" s="2948" t="s">
        <v>635</v>
      </c>
      <c r="C682" s="2948" t="s">
        <v>636</v>
      </c>
      <c r="D682" s="2948" t="s">
        <v>1276</v>
      </c>
      <c r="E682" s="2948" t="s">
        <v>729</v>
      </c>
      <c r="F682" s="2948" t="s">
        <v>1419</v>
      </c>
      <c r="G682" s="2948" t="s">
        <v>640</v>
      </c>
      <c r="H682" s="2948" t="s">
        <v>1278</v>
      </c>
      <c r="I682" s="2948" t="s">
        <v>1279</v>
      </c>
      <c r="J682" s="2948" t="s">
        <v>643</v>
      </c>
      <c r="K682" s="2950">
        <v>33.03</v>
      </c>
      <c r="L682" s="2950">
        <v>13.25</v>
      </c>
      <c r="M682" s="2951">
        <v>544975</v>
      </c>
      <c r="N682" s="2951">
        <v>544975</v>
      </c>
      <c r="O682" s="2952">
        <v>500000</v>
      </c>
      <c r="P682" s="2953">
        <v>500000</v>
      </c>
      <c r="Q682" s="2951">
        <v>500000</v>
      </c>
      <c r="R682" s="2954">
        <v>45107</v>
      </c>
      <c r="S682" s="2954">
        <v>45107</v>
      </c>
      <c r="T682" s="2948"/>
      <c r="U682" s="2948"/>
      <c r="V682" s="2948" t="s">
        <v>865</v>
      </c>
    </row>
    <row r="683" spans="1:22" s="2944" customFormat="1" ht="46.8">
      <c r="A683" s="2948">
        <v>682</v>
      </c>
      <c r="B683" s="2948" t="s">
        <v>635</v>
      </c>
      <c r="C683" s="2948" t="s">
        <v>636</v>
      </c>
      <c r="D683" s="2948" t="s">
        <v>1276</v>
      </c>
      <c r="E683" s="2948" t="s">
        <v>729</v>
      </c>
      <c r="F683" s="2948" t="s">
        <v>1420</v>
      </c>
      <c r="G683" s="2948" t="s">
        <v>640</v>
      </c>
      <c r="H683" s="2948" t="s">
        <v>1278</v>
      </c>
      <c r="I683" s="2948" t="s">
        <v>1279</v>
      </c>
      <c r="J683" s="2948" t="s">
        <v>643</v>
      </c>
      <c r="K683" s="2950">
        <v>33.03</v>
      </c>
      <c r="L683" s="2950">
        <v>13.25</v>
      </c>
      <c r="M683" s="2951">
        <v>544975</v>
      </c>
      <c r="N683" s="2951">
        <v>544975</v>
      </c>
      <c r="O683" s="2952">
        <v>500000</v>
      </c>
      <c r="P683" s="2953">
        <v>500000</v>
      </c>
      <c r="Q683" s="2951">
        <v>500000</v>
      </c>
      <c r="R683" s="2954">
        <v>45079</v>
      </c>
      <c r="S683" s="2954">
        <v>45081</v>
      </c>
      <c r="T683" s="2948"/>
      <c r="U683" s="2948"/>
      <c r="V683" s="2948" t="s">
        <v>865</v>
      </c>
    </row>
    <row r="684" spans="1:22" s="2944" customFormat="1" ht="46.8">
      <c r="A684" s="2948">
        <v>683</v>
      </c>
      <c r="B684" s="2948" t="s">
        <v>635</v>
      </c>
      <c r="C684" s="2948" t="s">
        <v>636</v>
      </c>
      <c r="D684" s="2948" t="s">
        <v>1276</v>
      </c>
      <c r="E684" s="2948" t="s">
        <v>729</v>
      </c>
      <c r="F684" s="2948" t="s">
        <v>1421</v>
      </c>
      <c r="G684" s="2948" t="s">
        <v>640</v>
      </c>
      <c r="H684" s="2948" t="s">
        <v>1278</v>
      </c>
      <c r="I684" s="2948" t="s">
        <v>1279</v>
      </c>
      <c r="J684" s="2948" t="s">
        <v>643</v>
      </c>
      <c r="K684" s="2950">
        <v>33.03</v>
      </c>
      <c r="L684" s="2950">
        <v>13.25</v>
      </c>
      <c r="M684" s="2951">
        <v>500000</v>
      </c>
      <c r="N684" s="2951">
        <v>500000</v>
      </c>
      <c r="O684" s="2952">
        <v>500000</v>
      </c>
      <c r="P684" s="2953">
        <v>500000</v>
      </c>
      <c r="Q684" s="2951">
        <v>500000</v>
      </c>
      <c r="R684" s="2954">
        <v>45169</v>
      </c>
      <c r="S684" s="2954">
        <v>45169</v>
      </c>
      <c r="T684" s="2948"/>
      <c r="U684" s="2948"/>
      <c r="V684" s="2948" t="s">
        <v>1422</v>
      </c>
    </row>
    <row r="685" spans="1:22" s="2944" customFormat="1" ht="46.8">
      <c r="A685" s="2948">
        <v>684</v>
      </c>
      <c r="B685" s="2948" t="s">
        <v>635</v>
      </c>
      <c r="C685" s="2948" t="s">
        <v>636</v>
      </c>
      <c r="D685" s="2948" t="s">
        <v>1276</v>
      </c>
      <c r="E685" s="2948" t="s">
        <v>729</v>
      </c>
      <c r="F685" s="2948" t="s">
        <v>1423</v>
      </c>
      <c r="G685" s="2948" t="s">
        <v>640</v>
      </c>
      <c r="H685" s="2948" t="s">
        <v>1278</v>
      </c>
      <c r="I685" s="2948" t="s">
        <v>1279</v>
      </c>
      <c r="J685" s="2948" t="s">
        <v>643</v>
      </c>
      <c r="K685" s="2950">
        <v>33.03</v>
      </c>
      <c r="L685" s="2950">
        <v>13.25</v>
      </c>
      <c r="M685" s="2951">
        <v>544975</v>
      </c>
      <c r="N685" s="2951">
        <v>544975</v>
      </c>
      <c r="O685" s="2952">
        <v>500000</v>
      </c>
      <c r="P685" s="2953">
        <v>500000</v>
      </c>
      <c r="Q685" s="2951">
        <v>500000</v>
      </c>
      <c r="R685" s="2954">
        <v>45107</v>
      </c>
      <c r="S685" s="2954">
        <v>45107</v>
      </c>
      <c r="T685" s="2948"/>
      <c r="U685" s="2948"/>
      <c r="V685" s="2948" t="s">
        <v>864</v>
      </c>
    </row>
    <row r="686" spans="1:22" s="2944" customFormat="1" ht="46.8" hidden="1">
      <c r="A686" s="2948">
        <v>685</v>
      </c>
      <c r="B686" s="2948" t="s">
        <v>635</v>
      </c>
      <c r="C686" s="2948" t="s">
        <v>636</v>
      </c>
      <c r="D686" s="2948" t="s">
        <v>1276</v>
      </c>
      <c r="E686" s="2948" t="s">
        <v>729</v>
      </c>
      <c r="F686" s="2948" t="s">
        <v>1424</v>
      </c>
      <c r="G686" s="2948" t="s">
        <v>1035</v>
      </c>
      <c r="H686" s="2948" t="s">
        <v>1278</v>
      </c>
      <c r="I686" s="2948" t="s">
        <v>1279</v>
      </c>
      <c r="J686" s="2948" t="s">
        <v>643</v>
      </c>
      <c r="K686" s="2950">
        <v>33.03</v>
      </c>
      <c r="L686" s="2950">
        <v>13.25</v>
      </c>
      <c r="M686" s="2951">
        <v>500000</v>
      </c>
      <c r="N686" s="2951">
        <v>500000</v>
      </c>
      <c r="O686" s="2955"/>
      <c r="P686" s="2948"/>
      <c r="Q686" s="2951">
        <v>0</v>
      </c>
      <c r="R686" s="2948"/>
      <c r="S686" s="2948"/>
      <c r="T686" s="2948"/>
      <c r="U686" s="2948"/>
      <c r="V686" s="2948"/>
    </row>
    <row r="687" spans="1:22" s="2944" customFormat="1" ht="46.8" hidden="1">
      <c r="A687" s="2948">
        <v>686</v>
      </c>
      <c r="B687" s="2948" t="s">
        <v>635</v>
      </c>
      <c r="C687" s="2948" t="s">
        <v>636</v>
      </c>
      <c r="D687" s="2948" t="s">
        <v>1276</v>
      </c>
      <c r="E687" s="2948" t="s">
        <v>729</v>
      </c>
      <c r="F687" s="2948" t="s">
        <v>1425</v>
      </c>
      <c r="G687" s="2948" t="s">
        <v>1035</v>
      </c>
      <c r="H687" s="2948" t="s">
        <v>1278</v>
      </c>
      <c r="I687" s="2948" t="s">
        <v>1279</v>
      </c>
      <c r="J687" s="2948" t="s">
        <v>643</v>
      </c>
      <c r="K687" s="2950">
        <v>33.03</v>
      </c>
      <c r="L687" s="2950">
        <v>13.25</v>
      </c>
      <c r="M687" s="2951">
        <v>500000</v>
      </c>
      <c r="N687" s="2951">
        <v>500000</v>
      </c>
      <c r="O687" s="2955"/>
      <c r="P687" s="2948"/>
      <c r="Q687" s="2951">
        <v>0</v>
      </c>
      <c r="R687" s="2948"/>
      <c r="S687" s="2948"/>
      <c r="T687" s="2948"/>
      <c r="U687" s="2948"/>
      <c r="V687" s="2948"/>
    </row>
    <row r="688" spans="1:22" s="2944" customFormat="1" ht="46.8" hidden="1">
      <c r="A688" s="2948">
        <v>687</v>
      </c>
      <c r="B688" s="2948" t="s">
        <v>635</v>
      </c>
      <c r="C688" s="2948" t="s">
        <v>636</v>
      </c>
      <c r="D688" s="2948" t="s">
        <v>1276</v>
      </c>
      <c r="E688" s="2948" t="s">
        <v>729</v>
      </c>
      <c r="F688" s="2948" t="s">
        <v>1426</v>
      </c>
      <c r="G688" s="2948" t="s">
        <v>1035</v>
      </c>
      <c r="H688" s="2948" t="s">
        <v>1278</v>
      </c>
      <c r="I688" s="2948" t="s">
        <v>1279</v>
      </c>
      <c r="J688" s="2948" t="s">
        <v>643</v>
      </c>
      <c r="K688" s="2950">
        <v>33.03</v>
      </c>
      <c r="L688" s="2950">
        <v>13.25</v>
      </c>
      <c r="M688" s="2951">
        <v>500000</v>
      </c>
      <c r="N688" s="2951">
        <v>500000</v>
      </c>
      <c r="O688" s="2955"/>
      <c r="P688" s="2948"/>
      <c r="Q688" s="2951">
        <v>0</v>
      </c>
      <c r="R688" s="2948"/>
      <c r="S688" s="2948"/>
      <c r="T688" s="2948"/>
      <c r="U688" s="2948"/>
      <c r="V688" s="2948"/>
    </row>
    <row r="689" spans="1:22" s="2944" customFormat="1" ht="46.8" hidden="1">
      <c r="A689" s="2948">
        <v>688</v>
      </c>
      <c r="B689" s="2948" t="s">
        <v>635</v>
      </c>
      <c r="C689" s="2948" t="s">
        <v>636</v>
      </c>
      <c r="D689" s="2948" t="s">
        <v>1276</v>
      </c>
      <c r="E689" s="2948" t="s">
        <v>729</v>
      </c>
      <c r="F689" s="2948" t="s">
        <v>1427</v>
      </c>
      <c r="G689" s="2948" t="s">
        <v>1035</v>
      </c>
      <c r="H689" s="2948" t="s">
        <v>1278</v>
      </c>
      <c r="I689" s="2948" t="s">
        <v>1279</v>
      </c>
      <c r="J689" s="2948" t="s">
        <v>643</v>
      </c>
      <c r="K689" s="2950">
        <v>33.03</v>
      </c>
      <c r="L689" s="2950">
        <v>13.25</v>
      </c>
      <c r="M689" s="2951">
        <v>500000</v>
      </c>
      <c r="N689" s="2951">
        <v>500000</v>
      </c>
      <c r="O689" s="2955"/>
      <c r="P689" s="2948"/>
      <c r="Q689" s="2951">
        <v>0</v>
      </c>
      <c r="R689" s="2948"/>
      <c r="S689" s="2948"/>
      <c r="T689" s="2948"/>
      <c r="U689" s="2948"/>
      <c r="V689" s="2948"/>
    </row>
    <row r="690" spans="1:22" s="2944" customFormat="1" ht="46.8" hidden="1">
      <c r="A690" s="2948">
        <v>689</v>
      </c>
      <c r="B690" s="2948" t="s">
        <v>635</v>
      </c>
      <c r="C690" s="2948" t="s">
        <v>636</v>
      </c>
      <c r="D690" s="2948" t="s">
        <v>1276</v>
      </c>
      <c r="E690" s="2948" t="s">
        <v>729</v>
      </c>
      <c r="F690" s="2948" t="s">
        <v>1428</v>
      </c>
      <c r="G690" s="2948" t="s">
        <v>1035</v>
      </c>
      <c r="H690" s="2948" t="s">
        <v>1278</v>
      </c>
      <c r="I690" s="2948" t="s">
        <v>1279</v>
      </c>
      <c r="J690" s="2948" t="s">
        <v>643</v>
      </c>
      <c r="K690" s="2950">
        <v>33.03</v>
      </c>
      <c r="L690" s="2950">
        <v>13.25</v>
      </c>
      <c r="M690" s="2951">
        <v>500000</v>
      </c>
      <c r="N690" s="2951">
        <v>500000</v>
      </c>
      <c r="O690" s="2955"/>
      <c r="P690" s="2948"/>
      <c r="Q690" s="2951">
        <v>0</v>
      </c>
      <c r="R690" s="2948"/>
      <c r="S690" s="2948"/>
      <c r="T690" s="2948"/>
      <c r="U690" s="2948"/>
      <c r="V690" s="2948"/>
    </row>
    <row r="691" spans="1:22" s="2944" customFormat="1" ht="46.8">
      <c r="A691" s="2948">
        <v>690</v>
      </c>
      <c r="B691" s="2948" t="s">
        <v>635</v>
      </c>
      <c r="C691" s="2948" t="s">
        <v>636</v>
      </c>
      <c r="D691" s="2948" t="s">
        <v>1276</v>
      </c>
      <c r="E691" s="2948" t="s">
        <v>729</v>
      </c>
      <c r="F691" s="2948" t="s">
        <v>1429</v>
      </c>
      <c r="G691" s="2948" t="s">
        <v>640</v>
      </c>
      <c r="H691" s="2948" t="s">
        <v>1278</v>
      </c>
      <c r="I691" s="2948" t="s">
        <v>1279</v>
      </c>
      <c r="J691" s="2948" t="s">
        <v>643</v>
      </c>
      <c r="K691" s="2950">
        <v>33.03</v>
      </c>
      <c r="L691" s="2950">
        <v>13.25</v>
      </c>
      <c r="M691" s="2951">
        <v>544975</v>
      </c>
      <c r="N691" s="2951">
        <v>544975</v>
      </c>
      <c r="O691" s="2952">
        <v>544975</v>
      </c>
      <c r="P691" s="2953">
        <v>544975</v>
      </c>
      <c r="Q691" s="2951">
        <v>544975</v>
      </c>
      <c r="R691" s="2954">
        <v>44557</v>
      </c>
      <c r="S691" s="2954">
        <v>44561</v>
      </c>
      <c r="T691" s="2948"/>
      <c r="U691" s="2948"/>
      <c r="V691" s="2948" t="s">
        <v>901</v>
      </c>
    </row>
    <row r="692" spans="1:22" s="2944" customFormat="1" ht="46.8">
      <c r="A692" s="2948">
        <v>691</v>
      </c>
      <c r="B692" s="2948" t="s">
        <v>635</v>
      </c>
      <c r="C692" s="2948" t="s">
        <v>636</v>
      </c>
      <c r="D692" s="2948" t="s">
        <v>1276</v>
      </c>
      <c r="E692" s="2948" t="s">
        <v>729</v>
      </c>
      <c r="F692" s="2948" t="s">
        <v>1430</v>
      </c>
      <c r="G692" s="2948" t="s">
        <v>640</v>
      </c>
      <c r="H692" s="2948" t="s">
        <v>1278</v>
      </c>
      <c r="I692" s="2948" t="s">
        <v>1279</v>
      </c>
      <c r="J692" s="2948" t="s">
        <v>643</v>
      </c>
      <c r="K692" s="2950">
        <v>33.03</v>
      </c>
      <c r="L692" s="2950">
        <v>13.25</v>
      </c>
      <c r="M692" s="2951">
        <v>544975</v>
      </c>
      <c r="N692" s="2951">
        <v>544975</v>
      </c>
      <c r="O692" s="2952">
        <v>544975</v>
      </c>
      <c r="P692" s="2953">
        <v>544975</v>
      </c>
      <c r="Q692" s="2951">
        <v>544975</v>
      </c>
      <c r="R692" s="2954">
        <v>44558</v>
      </c>
      <c r="S692" s="2954">
        <v>44559</v>
      </c>
      <c r="T692" s="2948"/>
      <c r="U692" s="2948"/>
      <c r="V692" s="2948" t="s">
        <v>909</v>
      </c>
    </row>
    <row r="693" spans="1:22" s="2944" customFormat="1" ht="46.8">
      <c r="A693" s="2948">
        <v>692</v>
      </c>
      <c r="B693" s="2948" t="s">
        <v>635</v>
      </c>
      <c r="C693" s="2948" t="s">
        <v>636</v>
      </c>
      <c r="D693" s="2948" t="s">
        <v>1276</v>
      </c>
      <c r="E693" s="2948" t="s">
        <v>729</v>
      </c>
      <c r="F693" s="2948" t="s">
        <v>1431</v>
      </c>
      <c r="G693" s="2948" t="s">
        <v>640</v>
      </c>
      <c r="H693" s="2948" t="s">
        <v>1278</v>
      </c>
      <c r="I693" s="2948" t="s">
        <v>1279</v>
      </c>
      <c r="J693" s="2948" t="s">
        <v>643</v>
      </c>
      <c r="K693" s="2950">
        <v>33.03</v>
      </c>
      <c r="L693" s="2950">
        <v>13.25</v>
      </c>
      <c r="M693" s="2951">
        <v>544975</v>
      </c>
      <c r="N693" s="2951">
        <v>544975</v>
      </c>
      <c r="O693" s="2952">
        <v>500000</v>
      </c>
      <c r="P693" s="2953">
        <v>500000</v>
      </c>
      <c r="Q693" s="2951">
        <v>500000</v>
      </c>
      <c r="R693" s="2954">
        <v>45107</v>
      </c>
      <c r="S693" s="2954">
        <v>45107</v>
      </c>
      <c r="T693" s="2948"/>
      <c r="U693" s="2948"/>
      <c r="V693" s="2948" t="s">
        <v>1353</v>
      </c>
    </row>
    <row r="694" spans="1:22" s="2944" customFormat="1" ht="46.8">
      <c r="A694" s="2948">
        <v>693</v>
      </c>
      <c r="B694" s="2948" t="s">
        <v>635</v>
      </c>
      <c r="C694" s="2948" t="s">
        <v>636</v>
      </c>
      <c r="D694" s="2948" t="s">
        <v>1276</v>
      </c>
      <c r="E694" s="2948" t="s">
        <v>729</v>
      </c>
      <c r="F694" s="2948" t="s">
        <v>1432</v>
      </c>
      <c r="G694" s="2948" t="s">
        <v>640</v>
      </c>
      <c r="H694" s="2948" t="s">
        <v>1278</v>
      </c>
      <c r="I694" s="2948" t="s">
        <v>1279</v>
      </c>
      <c r="J694" s="2948" t="s">
        <v>643</v>
      </c>
      <c r="K694" s="2950">
        <v>33.03</v>
      </c>
      <c r="L694" s="2950">
        <v>13.25</v>
      </c>
      <c r="M694" s="2951">
        <v>544975</v>
      </c>
      <c r="N694" s="2951">
        <v>544975</v>
      </c>
      <c r="O694" s="2952">
        <v>500000</v>
      </c>
      <c r="P694" s="2953">
        <v>500000</v>
      </c>
      <c r="Q694" s="2951">
        <v>500000</v>
      </c>
      <c r="R694" s="2954">
        <v>45107</v>
      </c>
      <c r="S694" s="2954">
        <v>45107</v>
      </c>
      <c r="T694" s="2948"/>
      <c r="U694" s="2948"/>
      <c r="V694" s="2948" t="s">
        <v>878</v>
      </c>
    </row>
    <row r="695" spans="1:22" s="2944" customFormat="1" ht="46.8">
      <c r="A695" s="2948">
        <v>694</v>
      </c>
      <c r="B695" s="2948" t="s">
        <v>635</v>
      </c>
      <c r="C695" s="2948" t="s">
        <v>636</v>
      </c>
      <c r="D695" s="2948" t="s">
        <v>1276</v>
      </c>
      <c r="E695" s="2948" t="s">
        <v>729</v>
      </c>
      <c r="F695" s="2948" t="s">
        <v>1433</v>
      </c>
      <c r="G695" s="2948" t="s">
        <v>640</v>
      </c>
      <c r="H695" s="2948" t="s">
        <v>1278</v>
      </c>
      <c r="I695" s="2948" t="s">
        <v>1279</v>
      </c>
      <c r="J695" s="2948" t="s">
        <v>643</v>
      </c>
      <c r="K695" s="2950">
        <v>33.03</v>
      </c>
      <c r="L695" s="2950">
        <v>13.25</v>
      </c>
      <c r="M695" s="2951">
        <v>544975</v>
      </c>
      <c r="N695" s="2951">
        <v>544975</v>
      </c>
      <c r="O695" s="2952">
        <v>500000</v>
      </c>
      <c r="P695" s="2953">
        <v>500000</v>
      </c>
      <c r="Q695" s="2951">
        <v>500000</v>
      </c>
      <c r="R695" s="2954">
        <v>45042</v>
      </c>
      <c r="S695" s="2954">
        <v>45042</v>
      </c>
      <c r="T695" s="2948"/>
      <c r="U695" s="2948"/>
      <c r="V695" s="2948" t="s">
        <v>866</v>
      </c>
    </row>
    <row r="696" spans="1:22" s="2944" customFormat="1" ht="46.8">
      <c r="A696" s="2948">
        <v>695</v>
      </c>
      <c r="B696" s="2948" t="s">
        <v>635</v>
      </c>
      <c r="C696" s="2948" t="s">
        <v>636</v>
      </c>
      <c r="D696" s="2948" t="s">
        <v>1276</v>
      </c>
      <c r="E696" s="2948" t="s">
        <v>729</v>
      </c>
      <c r="F696" s="2948" t="s">
        <v>1434</v>
      </c>
      <c r="G696" s="2948" t="s">
        <v>640</v>
      </c>
      <c r="H696" s="2948" t="s">
        <v>1278</v>
      </c>
      <c r="I696" s="2948" t="s">
        <v>1279</v>
      </c>
      <c r="J696" s="2948" t="s">
        <v>643</v>
      </c>
      <c r="K696" s="2950">
        <v>33.03</v>
      </c>
      <c r="L696" s="2950">
        <v>13.25</v>
      </c>
      <c r="M696" s="2951">
        <v>544975</v>
      </c>
      <c r="N696" s="2951">
        <v>544975</v>
      </c>
      <c r="O696" s="2952">
        <v>500000</v>
      </c>
      <c r="P696" s="2953">
        <v>500000</v>
      </c>
      <c r="Q696" s="2951">
        <v>500000</v>
      </c>
      <c r="R696" s="2954">
        <v>45044</v>
      </c>
      <c r="S696" s="2954">
        <v>45044</v>
      </c>
      <c r="T696" s="2948"/>
      <c r="U696" s="2948"/>
      <c r="V696" s="2948" t="s">
        <v>869</v>
      </c>
    </row>
    <row r="697" spans="1:22" s="2944" customFormat="1" ht="46.8">
      <c r="A697" s="2948">
        <v>696</v>
      </c>
      <c r="B697" s="2948" t="s">
        <v>635</v>
      </c>
      <c r="C697" s="2948" t="s">
        <v>636</v>
      </c>
      <c r="D697" s="2948" t="s">
        <v>1276</v>
      </c>
      <c r="E697" s="2948" t="s">
        <v>729</v>
      </c>
      <c r="F697" s="2948" t="s">
        <v>1435</v>
      </c>
      <c r="G697" s="2948" t="s">
        <v>640</v>
      </c>
      <c r="H697" s="2948" t="s">
        <v>1278</v>
      </c>
      <c r="I697" s="2948" t="s">
        <v>1279</v>
      </c>
      <c r="J697" s="2948" t="s">
        <v>643</v>
      </c>
      <c r="K697" s="2950">
        <v>33.03</v>
      </c>
      <c r="L697" s="2950">
        <v>13.25</v>
      </c>
      <c r="M697" s="2951">
        <v>544975</v>
      </c>
      <c r="N697" s="2951">
        <v>544975</v>
      </c>
      <c r="O697" s="2952">
        <v>475000</v>
      </c>
      <c r="P697" s="2953">
        <v>475000</v>
      </c>
      <c r="Q697" s="2951">
        <v>475000</v>
      </c>
      <c r="R697" s="2954">
        <v>45046</v>
      </c>
      <c r="S697" s="2954">
        <v>45046</v>
      </c>
      <c r="T697" s="2948"/>
      <c r="U697" s="2948"/>
      <c r="V697" s="2948" t="s">
        <v>886</v>
      </c>
    </row>
    <row r="698" spans="1:22" s="2944" customFormat="1" ht="46.8" hidden="1">
      <c r="A698" s="2948">
        <v>697</v>
      </c>
      <c r="B698" s="2948" t="s">
        <v>635</v>
      </c>
      <c r="C698" s="2948" t="s">
        <v>636</v>
      </c>
      <c r="D698" s="2948" t="s">
        <v>1276</v>
      </c>
      <c r="E698" s="2948" t="s">
        <v>729</v>
      </c>
      <c r="F698" s="2948" t="s">
        <v>1436</v>
      </c>
      <c r="G698" s="2948" t="s">
        <v>1035</v>
      </c>
      <c r="H698" s="2948" t="s">
        <v>1278</v>
      </c>
      <c r="I698" s="2948" t="s">
        <v>1279</v>
      </c>
      <c r="J698" s="2948" t="s">
        <v>643</v>
      </c>
      <c r="K698" s="2950">
        <v>33.03</v>
      </c>
      <c r="L698" s="2950">
        <v>13.25</v>
      </c>
      <c r="M698" s="2951">
        <v>500000</v>
      </c>
      <c r="N698" s="2951">
        <v>500000</v>
      </c>
      <c r="O698" s="2955"/>
      <c r="P698" s="2948"/>
      <c r="Q698" s="2951">
        <v>0</v>
      </c>
      <c r="R698" s="2948"/>
      <c r="S698" s="2948"/>
      <c r="T698" s="2948"/>
      <c r="U698" s="2948"/>
      <c r="V698" s="2948"/>
    </row>
    <row r="699" spans="1:22" s="2944" customFormat="1" ht="46.8" hidden="1">
      <c r="A699" s="2948">
        <v>698</v>
      </c>
      <c r="B699" s="2948" t="s">
        <v>635</v>
      </c>
      <c r="C699" s="2948" t="s">
        <v>636</v>
      </c>
      <c r="D699" s="2948" t="s">
        <v>1276</v>
      </c>
      <c r="E699" s="2948" t="s">
        <v>729</v>
      </c>
      <c r="F699" s="2948" t="s">
        <v>1437</v>
      </c>
      <c r="G699" s="2948" t="s">
        <v>1035</v>
      </c>
      <c r="H699" s="2948" t="s">
        <v>1278</v>
      </c>
      <c r="I699" s="2948" t="s">
        <v>1279</v>
      </c>
      <c r="J699" s="2948" t="s">
        <v>643</v>
      </c>
      <c r="K699" s="2950">
        <v>33.03</v>
      </c>
      <c r="L699" s="2950">
        <v>13.25</v>
      </c>
      <c r="M699" s="2951">
        <v>500000</v>
      </c>
      <c r="N699" s="2951">
        <v>500000</v>
      </c>
      <c r="O699" s="2955"/>
      <c r="P699" s="2948"/>
      <c r="Q699" s="2951">
        <v>0</v>
      </c>
      <c r="R699" s="2948"/>
      <c r="S699" s="2948"/>
      <c r="T699" s="2948"/>
      <c r="U699" s="2948"/>
      <c r="V699" s="2948"/>
    </row>
    <row r="700" spans="1:22" s="2944" customFormat="1" ht="46.8" hidden="1">
      <c r="A700" s="2948">
        <v>699</v>
      </c>
      <c r="B700" s="2948" t="s">
        <v>635</v>
      </c>
      <c r="C700" s="2948" t="s">
        <v>636</v>
      </c>
      <c r="D700" s="2948" t="s">
        <v>1276</v>
      </c>
      <c r="E700" s="2948" t="s">
        <v>729</v>
      </c>
      <c r="F700" s="2948" t="s">
        <v>1438</v>
      </c>
      <c r="G700" s="2948" t="s">
        <v>1035</v>
      </c>
      <c r="H700" s="2948" t="s">
        <v>1278</v>
      </c>
      <c r="I700" s="2948" t="s">
        <v>1279</v>
      </c>
      <c r="J700" s="2948" t="s">
        <v>643</v>
      </c>
      <c r="K700" s="2950">
        <v>33.03</v>
      </c>
      <c r="L700" s="2950">
        <v>13.25</v>
      </c>
      <c r="M700" s="2951">
        <v>500000</v>
      </c>
      <c r="N700" s="2951">
        <v>500000</v>
      </c>
      <c r="O700" s="2955"/>
      <c r="P700" s="2948"/>
      <c r="Q700" s="2951">
        <v>0</v>
      </c>
      <c r="R700" s="2948"/>
      <c r="S700" s="2948"/>
      <c r="T700" s="2948"/>
      <c r="U700" s="2948"/>
      <c r="V700" s="2948"/>
    </row>
    <row r="701" spans="1:22" s="2944" customFormat="1" ht="46.8">
      <c r="A701" s="2948">
        <v>700</v>
      </c>
      <c r="B701" s="2948" t="s">
        <v>635</v>
      </c>
      <c r="C701" s="2948" t="s">
        <v>636</v>
      </c>
      <c r="D701" s="2948" t="s">
        <v>1276</v>
      </c>
      <c r="E701" s="2948" t="s">
        <v>729</v>
      </c>
      <c r="F701" s="2948" t="s">
        <v>1439</v>
      </c>
      <c r="G701" s="2948" t="s">
        <v>640</v>
      </c>
      <c r="H701" s="2948" t="s">
        <v>1278</v>
      </c>
      <c r="I701" s="2948" t="s">
        <v>1279</v>
      </c>
      <c r="J701" s="2948" t="s">
        <v>643</v>
      </c>
      <c r="K701" s="2950">
        <v>33.03</v>
      </c>
      <c r="L701" s="2950">
        <v>13.25</v>
      </c>
      <c r="M701" s="2951">
        <v>544975</v>
      </c>
      <c r="N701" s="2951">
        <v>544975</v>
      </c>
      <c r="O701" s="2952">
        <v>544975</v>
      </c>
      <c r="P701" s="2953">
        <v>544975</v>
      </c>
      <c r="Q701" s="2951">
        <v>544975</v>
      </c>
      <c r="R701" s="2954">
        <v>44558</v>
      </c>
      <c r="S701" s="2954">
        <v>44561</v>
      </c>
      <c r="T701" s="2948"/>
      <c r="U701" s="2948"/>
      <c r="V701" s="2948" t="s">
        <v>863</v>
      </c>
    </row>
    <row r="702" spans="1:22" s="2944" customFormat="1" ht="46.8" hidden="1">
      <c r="A702" s="2948">
        <v>701</v>
      </c>
      <c r="B702" s="2948" t="s">
        <v>635</v>
      </c>
      <c r="C702" s="2948" t="s">
        <v>636</v>
      </c>
      <c r="D702" s="2948" t="s">
        <v>1276</v>
      </c>
      <c r="E702" s="2948" t="s">
        <v>729</v>
      </c>
      <c r="F702" s="2948" t="s">
        <v>1440</v>
      </c>
      <c r="G702" s="2948" t="s">
        <v>1035</v>
      </c>
      <c r="H702" s="2948" t="s">
        <v>1278</v>
      </c>
      <c r="I702" s="2948" t="s">
        <v>1279</v>
      </c>
      <c r="J702" s="2948" t="s">
        <v>643</v>
      </c>
      <c r="K702" s="2950">
        <v>33.03</v>
      </c>
      <c r="L702" s="2950">
        <v>13.25</v>
      </c>
      <c r="M702" s="2951">
        <v>500000</v>
      </c>
      <c r="N702" s="2951">
        <v>500000</v>
      </c>
      <c r="O702" s="2955"/>
      <c r="P702" s="2948"/>
      <c r="Q702" s="2951">
        <v>0</v>
      </c>
      <c r="R702" s="2948"/>
      <c r="S702" s="2948"/>
      <c r="T702" s="2948"/>
      <c r="U702" s="2948"/>
      <c r="V702" s="2948"/>
    </row>
    <row r="703" spans="1:22" s="2944" customFormat="1" ht="46.8">
      <c r="A703" s="2948">
        <v>702</v>
      </c>
      <c r="B703" s="2948" t="s">
        <v>635</v>
      </c>
      <c r="C703" s="2948" t="s">
        <v>636</v>
      </c>
      <c r="D703" s="2948" t="s">
        <v>1276</v>
      </c>
      <c r="E703" s="2948" t="s">
        <v>729</v>
      </c>
      <c r="F703" s="2948" t="s">
        <v>1441</v>
      </c>
      <c r="G703" s="2948" t="s">
        <v>640</v>
      </c>
      <c r="H703" s="2948" t="s">
        <v>1278</v>
      </c>
      <c r="I703" s="2948" t="s">
        <v>1279</v>
      </c>
      <c r="J703" s="2948" t="s">
        <v>643</v>
      </c>
      <c r="K703" s="2950">
        <v>33.03</v>
      </c>
      <c r="L703" s="2950">
        <v>13.25</v>
      </c>
      <c r="M703" s="2951">
        <v>544975</v>
      </c>
      <c r="N703" s="2951">
        <v>544975</v>
      </c>
      <c r="O703" s="2952">
        <v>544975</v>
      </c>
      <c r="P703" s="2953">
        <v>544975</v>
      </c>
      <c r="Q703" s="2951">
        <v>544975</v>
      </c>
      <c r="R703" s="2954">
        <v>44735</v>
      </c>
      <c r="S703" s="2954">
        <v>44736</v>
      </c>
      <c r="T703" s="2948"/>
      <c r="U703" s="2948"/>
      <c r="V703" s="2948" t="s">
        <v>871</v>
      </c>
    </row>
    <row r="704" spans="1:22" s="2944" customFormat="1" ht="46.8">
      <c r="A704" s="2948">
        <v>703</v>
      </c>
      <c r="B704" s="2948" t="s">
        <v>635</v>
      </c>
      <c r="C704" s="2948" t="s">
        <v>636</v>
      </c>
      <c r="D704" s="2948" t="s">
        <v>1276</v>
      </c>
      <c r="E704" s="2948" t="s">
        <v>729</v>
      </c>
      <c r="F704" s="2948" t="s">
        <v>1442</v>
      </c>
      <c r="G704" s="2948" t="s">
        <v>640</v>
      </c>
      <c r="H704" s="2948" t="s">
        <v>1278</v>
      </c>
      <c r="I704" s="2948" t="s">
        <v>1279</v>
      </c>
      <c r="J704" s="2948" t="s">
        <v>643</v>
      </c>
      <c r="K704" s="2950">
        <v>33.03</v>
      </c>
      <c r="L704" s="2950">
        <v>13.25</v>
      </c>
      <c r="M704" s="2951">
        <v>544975</v>
      </c>
      <c r="N704" s="2951">
        <v>544975</v>
      </c>
      <c r="O704" s="2952">
        <v>500000</v>
      </c>
      <c r="P704" s="2953">
        <v>500000</v>
      </c>
      <c r="Q704" s="2951">
        <v>500000</v>
      </c>
      <c r="R704" s="2954">
        <v>45046</v>
      </c>
      <c r="S704" s="2954">
        <v>45046</v>
      </c>
      <c r="T704" s="2948"/>
      <c r="U704" s="2948"/>
      <c r="V704" s="2948" t="s">
        <v>889</v>
      </c>
    </row>
    <row r="705" spans="1:22" s="2944" customFormat="1" ht="46.8" hidden="1">
      <c r="A705" s="2948">
        <v>704</v>
      </c>
      <c r="B705" s="2948" t="s">
        <v>635</v>
      </c>
      <c r="C705" s="2948" t="s">
        <v>636</v>
      </c>
      <c r="D705" s="2948" t="s">
        <v>1276</v>
      </c>
      <c r="E705" s="2948" t="s">
        <v>729</v>
      </c>
      <c r="F705" s="2948" t="s">
        <v>1443</v>
      </c>
      <c r="G705" s="2948" t="s">
        <v>1035</v>
      </c>
      <c r="H705" s="2948" t="s">
        <v>1278</v>
      </c>
      <c r="I705" s="2948" t="s">
        <v>1279</v>
      </c>
      <c r="J705" s="2948" t="s">
        <v>643</v>
      </c>
      <c r="K705" s="2950">
        <v>33.03</v>
      </c>
      <c r="L705" s="2950">
        <v>13.25</v>
      </c>
      <c r="M705" s="2951">
        <v>500000</v>
      </c>
      <c r="N705" s="2951">
        <v>500000</v>
      </c>
      <c r="O705" s="2955"/>
      <c r="P705" s="2948"/>
      <c r="Q705" s="2951">
        <v>0</v>
      </c>
      <c r="R705" s="2948"/>
      <c r="S705" s="2948"/>
      <c r="T705" s="2948"/>
      <c r="U705" s="2948"/>
      <c r="V705" s="2948"/>
    </row>
    <row r="706" spans="1:22" s="2944" customFormat="1" ht="46.8">
      <c r="A706" s="2948">
        <v>705</v>
      </c>
      <c r="B706" s="2948" t="s">
        <v>635</v>
      </c>
      <c r="C706" s="2948" t="s">
        <v>636</v>
      </c>
      <c r="D706" s="2948" t="s">
        <v>1276</v>
      </c>
      <c r="E706" s="2948" t="s">
        <v>729</v>
      </c>
      <c r="F706" s="2948" t="s">
        <v>1444</v>
      </c>
      <c r="G706" s="2948" t="s">
        <v>640</v>
      </c>
      <c r="H706" s="2948" t="s">
        <v>1278</v>
      </c>
      <c r="I706" s="2948" t="s">
        <v>1279</v>
      </c>
      <c r="J706" s="2948" t="s">
        <v>643</v>
      </c>
      <c r="K706" s="2950">
        <v>33.03</v>
      </c>
      <c r="L706" s="2950">
        <v>13.25</v>
      </c>
      <c r="M706" s="2951">
        <v>544975</v>
      </c>
      <c r="N706" s="2951">
        <v>544975</v>
      </c>
      <c r="O706" s="2952">
        <v>544975</v>
      </c>
      <c r="P706" s="2953">
        <v>544975</v>
      </c>
      <c r="Q706" s="2951">
        <v>544975</v>
      </c>
      <c r="R706" s="2954">
        <v>44736</v>
      </c>
      <c r="S706" s="2954">
        <v>44739</v>
      </c>
      <c r="T706" s="2948"/>
      <c r="U706" s="2948"/>
      <c r="V706" s="2948" t="s">
        <v>893</v>
      </c>
    </row>
    <row r="707" spans="1:22" s="2944" customFormat="1" ht="46.8">
      <c r="A707" s="2948">
        <v>706</v>
      </c>
      <c r="B707" s="2948" t="s">
        <v>635</v>
      </c>
      <c r="C707" s="2948" t="s">
        <v>636</v>
      </c>
      <c r="D707" s="2948" t="s">
        <v>1276</v>
      </c>
      <c r="E707" s="2948" t="s">
        <v>729</v>
      </c>
      <c r="F707" s="2948" t="s">
        <v>1445</v>
      </c>
      <c r="G707" s="2948" t="s">
        <v>640</v>
      </c>
      <c r="H707" s="2948" t="s">
        <v>1278</v>
      </c>
      <c r="I707" s="2948" t="s">
        <v>1279</v>
      </c>
      <c r="J707" s="2948" t="s">
        <v>643</v>
      </c>
      <c r="K707" s="2950">
        <v>33.03</v>
      </c>
      <c r="L707" s="2950">
        <v>13.25</v>
      </c>
      <c r="M707" s="2951">
        <v>544975</v>
      </c>
      <c r="N707" s="2951">
        <v>544975</v>
      </c>
      <c r="O707" s="2952">
        <v>544975</v>
      </c>
      <c r="P707" s="2953">
        <v>544975</v>
      </c>
      <c r="Q707" s="2951">
        <v>544975</v>
      </c>
      <c r="R707" s="2954">
        <v>44553</v>
      </c>
      <c r="S707" s="2954">
        <v>44553</v>
      </c>
      <c r="T707" s="2948"/>
      <c r="U707" s="2948"/>
      <c r="V707" s="2948" t="s">
        <v>891</v>
      </c>
    </row>
    <row r="708" spans="1:22" s="2944" customFormat="1" ht="46.8">
      <c r="A708" s="2948">
        <v>707</v>
      </c>
      <c r="B708" s="2948" t="s">
        <v>635</v>
      </c>
      <c r="C708" s="2948" t="s">
        <v>636</v>
      </c>
      <c r="D708" s="2948" t="s">
        <v>1276</v>
      </c>
      <c r="E708" s="2948" t="s">
        <v>729</v>
      </c>
      <c r="F708" s="2948" t="s">
        <v>1446</v>
      </c>
      <c r="G708" s="2948" t="s">
        <v>640</v>
      </c>
      <c r="H708" s="2948" t="s">
        <v>1278</v>
      </c>
      <c r="I708" s="2948" t="s">
        <v>1279</v>
      </c>
      <c r="J708" s="2948" t="s">
        <v>643</v>
      </c>
      <c r="K708" s="2950">
        <v>33.03</v>
      </c>
      <c r="L708" s="2950">
        <v>13.25</v>
      </c>
      <c r="M708" s="2951">
        <v>544975</v>
      </c>
      <c r="N708" s="2951">
        <v>544975</v>
      </c>
      <c r="O708" s="2952">
        <v>544975</v>
      </c>
      <c r="P708" s="2953">
        <v>544975</v>
      </c>
      <c r="Q708" s="2951">
        <v>544975</v>
      </c>
      <c r="R708" s="2954">
        <v>44554</v>
      </c>
      <c r="S708" s="2954">
        <v>44561</v>
      </c>
      <c r="T708" s="2948"/>
      <c r="U708" s="2948"/>
      <c r="V708" s="2948" t="s">
        <v>867</v>
      </c>
    </row>
    <row r="709" spans="1:22" s="2944" customFormat="1" ht="46.8">
      <c r="A709" s="2948">
        <v>708</v>
      </c>
      <c r="B709" s="2948" t="s">
        <v>635</v>
      </c>
      <c r="C709" s="2948" t="s">
        <v>636</v>
      </c>
      <c r="D709" s="2948" t="s">
        <v>1276</v>
      </c>
      <c r="E709" s="2948" t="s">
        <v>729</v>
      </c>
      <c r="F709" s="2948" t="s">
        <v>1447</v>
      </c>
      <c r="G709" s="2948" t="s">
        <v>640</v>
      </c>
      <c r="H709" s="2948" t="s">
        <v>1278</v>
      </c>
      <c r="I709" s="2948" t="s">
        <v>1279</v>
      </c>
      <c r="J709" s="2948" t="s">
        <v>643</v>
      </c>
      <c r="K709" s="2950">
        <v>33.03</v>
      </c>
      <c r="L709" s="2950">
        <v>13.25</v>
      </c>
      <c r="M709" s="2951">
        <v>544975</v>
      </c>
      <c r="N709" s="2951">
        <v>544975</v>
      </c>
      <c r="O709" s="2952">
        <v>500000</v>
      </c>
      <c r="P709" s="2953">
        <v>500000</v>
      </c>
      <c r="Q709" s="2951">
        <v>500000</v>
      </c>
      <c r="R709" s="2954">
        <v>45044</v>
      </c>
      <c r="S709" s="2954">
        <v>45044</v>
      </c>
      <c r="T709" s="2948"/>
      <c r="U709" s="2948"/>
      <c r="V709" s="2948" t="s">
        <v>872</v>
      </c>
    </row>
    <row r="710" spans="1:22" s="2944" customFormat="1" ht="46.8">
      <c r="A710" s="2948">
        <v>709</v>
      </c>
      <c r="B710" s="2948" t="s">
        <v>635</v>
      </c>
      <c r="C710" s="2948" t="s">
        <v>636</v>
      </c>
      <c r="D710" s="2948" t="s">
        <v>1276</v>
      </c>
      <c r="E710" s="2948" t="s">
        <v>729</v>
      </c>
      <c r="F710" s="2948" t="s">
        <v>1448</v>
      </c>
      <c r="G710" s="2948" t="s">
        <v>640</v>
      </c>
      <c r="H710" s="2948" t="s">
        <v>1278</v>
      </c>
      <c r="I710" s="2948" t="s">
        <v>1279</v>
      </c>
      <c r="J710" s="2948" t="s">
        <v>643</v>
      </c>
      <c r="K710" s="2950">
        <v>33.03</v>
      </c>
      <c r="L710" s="2950">
        <v>13.25</v>
      </c>
      <c r="M710" s="2951">
        <v>544975</v>
      </c>
      <c r="N710" s="2951">
        <v>544975</v>
      </c>
      <c r="O710" s="2952">
        <v>500000</v>
      </c>
      <c r="P710" s="2953">
        <v>500000</v>
      </c>
      <c r="Q710" s="2951">
        <v>500000</v>
      </c>
      <c r="R710" s="2954">
        <v>45046</v>
      </c>
      <c r="S710" s="2954">
        <v>45046</v>
      </c>
      <c r="T710" s="2948"/>
      <c r="U710" s="2948"/>
      <c r="V710" s="2948" t="s">
        <v>1449</v>
      </c>
    </row>
    <row r="711" spans="1:22" s="2944" customFormat="1" ht="46.8">
      <c r="A711" s="2948">
        <v>710</v>
      </c>
      <c r="B711" s="2948" t="s">
        <v>635</v>
      </c>
      <c r="C711" s="2948" t="s">
        <v>636</v>
      </c>
      <c r="D711" s="2948" t="s">
        <v>1450</v>
      </c>
      <c r="E711" s="2948" t="s">
        <v>1451</v>
      </c>
      <c r="F711" s="2948" t="s">
        <v>1452</v>
      </c>
      <c r="G711" s="2948" t="s">
        <v>640</v>
      </c>
      <c r="H711" s="2948" t="s">
        <v>1453</v>
      </c>
      <c r="I711" s="2948" t="s">
        <v>1454</v>
      </c>
      <c r="J711" s="2948" t="s">
        <v>643</v>
      </c>
      <c r="K711" s="2950">
        <v>155.41999999999999</v>
      </c>
      <c r="L711" s="2950">
        <v>68.97</v>
      </c>
      <c r="M711" s="2951">
        <v>4662600</v>
      </c>
      <c r="N711" s="2951">
        <v>4662600</v>
      </c>
      <c r="O711" s="2952">
        <v>4662600</v>
      </c>
      <c r="P711" s="2953">
        <v>4662600</v>
      </c>
      <c r="Q711" s="2951">
        <v>3150000</v>
      </c>
      <c r="R711" s="2954">
        <v>45169</v>
      </c>
      <c r="S711" s="2954">
        <v>45169</v>
      </c>
      <c r="T711" s="2948"/>
      <c r="U711" s="2948"/>
      <c r="V711" s="2948" t="s">
        <v>857</v>
      </c>
    </row>
    <row r="712" spans="1:22" s="2944" customFormat="1" ht="46.8">
      <c r="A712" s="2948">
        <v>711</v>
      </c>
      <c r="B712" s="2948" t="s">
        <v>635</v>
      </c>
      <c r="C712" s="2948" t="s">
        <v>636</v>
      </c>
      <c r="D712" s="2948" t="s">
        <v>1450</v>
      </c>
      <c r="E712" s="2948" t="s">
        <v>1451</v>
      </c>
      <c r="F712" s="2948" t="s">
        <v>639</v>
      </c>
      <c r="G712" s="2948" t="s">
        <v>640</v>
      </c>
      <c r="H712" s="2948" t="s">
        <v>1453</v>
      </c>
      <c r="I712" s="2948" t="s">
        <v>1454</v>
      </c>
      <c r="J712" s="2948" t="s">
        <v>643</v>
      </c>
      <c r="K712" s="2950">
        <v>193.34</v>
      </c>
      <c r="L712" s="2950">
        <v>85.8</v>
      </c>
      <c r="M712" s="2951">
        <v>5800200</v>
      </c>
      <c r="N712" s="2951">
        <v>5800200</v>
      </c>
      <c r="O712" s="2952">
        <v>5800200</v>
      </c>
      <c r="P712" s="2953">
        <v>5800200</v>
      </c>
      <c r="Q712" s="2951">
        <v>5300200</v>
      </c>
      <c r="R712" s="2954">
        <v>45233</v>
      </c>
      <c r="S712" s="2954">
        <v>45258</v>
      </c>
      <c r="T712" s="2948"/>
      <c r="U712" s="2948"/>
      <c r="V712" s="2948" t="s">
        <v>975</v>
      </c>
    </row>
    <row r="713" spans="1:22" s="2944" customFormat="1" ht="46.8">
      <c r="A713" s="2948">
        <v>712</v>
      </c>
      <c r="B713" s="2948" t="s">
        <v>635</v>
      </c>
      <c r="C713" s="2948" t="s">
        <v>636</v>
      </c>
      <c r="D713" s="2948" t="s">
        <v>1450</v>
      </c>
      <c r="E713" s="2948" t="s">
        <v>1455</v>
      </c>
      <c r="F713" s="2948" t="s">
        <v>1452</v>
      </c>
      <c r="G713" s="2948" t="s">
        <v>640</v>
      </c>
      <c r="H713" s="2948" t="s">
        <v>1453</v>
      </c>
      <c r="I713" s="2948" t="s">
        <v>1454</v>
      </c>
      <c r="J713" s="2948" t="s">
        <v>643</v>
      </c>
      <c r="K713" s="2950">
        <v>168.81</v>
      </c>
      <c r="L713" s="2950">
        <v>61.16</v>
      </c>
      <c r="M713" s="2951">
        <v>5064300</v>
      </c>
      <c r="N713" s="2951">
        <v>5064300</v>
      </c>
      <c r="O713" s="2952">
        <v>5064300</v>
      </c>
      <c r="P713" s="2953">
        <v>5064300</v>
      </c>
      <c r="Q713" s="2951">
        <v>5064300</v>
      </c>
      <c r="R713" s="2954">
        <v>45068</v>
      </c>
      <c r="S713" s="2954">
        <v>45069</v>
      </c>
      <c r="T713" s="2954">
        <v>45117</v>
      </c>
      <c r="U713" s="2954">
        <v>45078</v>
      </c>
      <c r="V713" s="2948" t="s">
        <v>920</v>
      </c>
    </row>
    <row r="714" spans="1:22" s="2944" customFormat="1" ht="46.8">
      <c r="A714" s="2948">
        <v>713</v>
      </c>
      <c r="B714" s="2948" t="s">
        <v>635</v>
      </c>
      <c r="C714" s="2948" t="s">
        <v>636</v>
      </c>
      <c r="D714" s="2948" t="s">
        <v>1450</v>
      </c>
      <c r="E714" s="2948" t="s">
        <v>1455</v>
      </c>
      <c r="F714" s="2948" t="s">
        <v>639</v>
      </c>
      <c r="G714" s="2948" t="s">
        <v>640</v>
      </c>
      <c r="H714" s="2948" t="s">
        <v>1453</v>
      </c>
      <c r="I714" s="2948" t="s">
        <v>1454</v>
      </c>
      <c r="J714" s="2948" t="s">
        <v>643</v>
      </c>
      <c r="K714" s="2950">
        <v>230.83</v>
      </c>
      <c r="L714" s="2950">
        <v>83.63</v>
      </c>
      <c r="M714" s="2951">
        <v>6924900</v>
      </c>
      <c r="N714" s="2951">
        <v>6924900</v>
      </c>
      <c r="O714" s="2952">
        <v>6924900</v>
      </c>
      <c r="P714" s="2953">
        <v>6924900</v>
      </c>
      <c r="Q714" s="2951">
        <v>2077470</v>
      </c>
      <c r="R714" s="2954">
        <v>45197</v>
      </c>
      <c r="S714" s="2954">
        <v>45197</v>
      </c>
      <c r="T714" s="2948"/>
      <c r="U714" s="2948"/>
      <c r="V714" s="2948" t="s">
        <v>922</v>
      </c>
    </row>
    <row r="715" spans="1:22" s="2944" customFormat="1" ht="46.8">
      <c r="A715" s="2948">
        <v>714</v>
      </c>
      <c r="B715" s="2948" t="s">
        <v>635</v>
      </c>
      <c r="C715" s="2948" t="s">
        <v>636</v>
      </c>
      <c r="D715" s="2948" t="s">
        <v>1450</v>
      </c>
      <c r="E715" s="2948" t="s">
        <v>822</v>
      </c>
      <c r="F715" s="2948" t="s">
        <v>1452</v>
      </c>
      <c r="G715" s="2948" t="s">
        <v>640</v>
      </c>
      <c r="H715" s="2948" t="s">
        <v>1453</v>
      </c>
      <c r="I715" s="2948" t="s">
        <v>1454</v>
      </c>
      <c r="J715" s="2948" t="s">
        <v>643</v>
      </c>
      <c r="K715" s="2950">
        <v>136.82</v>
      </c>
      <c r="L715" s="2950">
        <v>60.84</v>
      </c>
      <c r="M715" s="2951">
        <v>4104600</v>
      </c>
      <c r="N715" s="2951">
        <v>4104600</v>
      </c>
      <c r="O715" s="2952">
        <v>4104600</v>
      </c>
      <c r="P715" s="2953">
        <v>4104600</v>
      </c>
      <c r="Q715" s="2951">
        <v>4104600</v>
      </c>
      <c r="R715" s="2954">
        <v>45034</v>
      </c>
      <c r="S715" s="2954">
        <v>45034</v>
      </c>
      <c r="T715" s="2954">
        <v>45035</v>
      </c>
      <c r="U715" s="2954">
        <v>45035</v>
      </c>
      <c r="V715" s="2948" t="s">
        <v>823</v>
      </c>
    </row>
    <row r="716" spans="1:22" s="2944" customFormat="1" ht="46.8">
      <c r="A716" s="2948">
        <v>715</v>
      </c>
      <c r="B716" s="2948" t="s">
        <v>635</v>
      </c>
      <c r="C716" s="2948" t="s">
        <v>636</v>
      </c>
      <c r="D716" s="2948" t="s">
        <v>1450</v>
      </c>
      <c r="E716" s="2948" t="s">
        <v>822</v>
      </c>
      <c r="F716" s="2948" t="s">
        <v>639</v>
      </c>
      <c r="G716" s="2948" t="s">
        <v>640</v>
      </c>
      <c r="H716" s="2948" t="s">
        <v>1453</v>
      </c>
      <c r="I716" s="2948" t="s">
        <v>1454</v>
      </c>
      <c r="J716" s="2948" t="s">
        <v>643</v>
      </c>
      <c r="K716" s="2950">
        <v>137.38</v>
      </c>
      <c r="L716" s="2950">
        <v>61.09</v>
      </c>
      <c r="M716" s="2951">
        <v>2920561</v>
      </c>
      <c r="N716" s="2951">
        <v>3010102</v>
      </c>
      <c r="O716" s="2952">
        <v>4121400</v>
      </c>
      <c r="P716" s="2953">
        <v>4121400</v>
      </c>
      <c r="Q716" s="2951">
        <v>4121400</v>
      </c>
      <c r="R716" s="2954">
        <v>44301</v>
      </c>
      <c r="S716" s="2954">
        <v>44347</v>
      </c>
      <c r="T716" s="2954">
        <v>44350</v>
      </c>
      <c r="U716" s="2954">
        <v>44350</v>
      </c>
      <c r="V716" s="2948" t="s">
        <v>824</v>
      </c>
    </row>
    <row r="717" spans="1:22" s="2944" customFormat="1" ht="46.8">
      <c r="A717" s="2948">
        <v>716</v>
      </c>
      <c r="B717" s="2948" t="s">
        <v>635</v>
      </c>
      <c r="C717" s="2948" t="s">
        <v>636</v>
      </c>
      <c r="D717" s="2948" t="s">
        <v>1450</v>
      </c>
      <c r="E717" s="2948" t="s">
        <v>1456</v>
      </c>
      <c r="F717" s="2948" t="s">
        <v>1457</v>
      </c>
      <c r="G717" s="2948" t="s">
        <v>640</v>
      </c>
      <c r="H717" s="2948" t="s">
        <v>1453</v>
      </c>
      <c r="I717" s="2948" t="s">
        <v>1454</v>
      </c>
      <c r="J717" s="2948" t="s">
        <v>643</v>
      </c>
      <c r="K717" s="2950">
        <v>128.88999999999999</v>
      </c>
      <c r="L717" s="2950">
        <v>60.98</v>
      </c>
      <c r="M717" s="2951">
        <v>2740073</v>
      </c>
      <c r="N717" s="2951">
        <v>2824079</v>
      </c>
      <c r="O717" s="2952">
        <v>3866700</v>
      </c>
      <c r="P717" s="2953">
        <v>3866700</v>
      </c>
      <c r="Q717" s="2951">
        <v>3866700</v>
      </c>
      <c r="R717" s="2954">
        <v>44421</v>
      </c>
      <c r="S717" s="2954">
        <v>44425</v>
      </c>
      <c r="T717" s="2954">
        <v>44433</v>
      </c>
      <c r="U717" s="2954">
        <v>44433</v>
      </c>
      <c r="V717" s="2948" t="s">
        <v>774</v>
      </c>
    </row>
    <row r="718" spans="1:22" s="2944" customFormat="1" ht="46.8">
      <c r="A718" s="2948">
        <v>717</v>
      </c>
      <c r="B718" s="2948" t="s">
        <v>635</v>
      </c>
      <c r="C718" s="2948" t="s">
        <v>636</v>
      </c>
      <c r="D718" s="2948" t="s">
        <v>1450</v>
      </c>
      <c r="E718" s="2948" t="s">
        <v>1456</v>
      </c>
      <c r="F718" s="2948" t="s">
        <v>1458</v>
      </c>
      <c r="G718" s="2948" t="s">
        <v>640</v>
      </c>
      <c r="H718" s="2948" t="s">
        <v>1453</v>
      </c>
      <c r="I718" s="2948" t="s">
        <v>1454</v>
      </c>
      <c r="J718" s="2948" t="s">
        <v>643</v>
      </c>
      <c r="K718" s="2950">
        <v>115.59</v>
      </c>
      <c r="L718" s="2950">
        <v>54.69</v>
      </c>
      <c r="M718" s="2951">
        <v>2457328</v>
      </c>
      <c r="N718" s="2951">
        <v>2532666</v>
      </c>
      <c r="O718" s="2952">
        <v>3467700</v>
      </c>
      <c r="P718" s="2953">
        <v>3467700</v>
      </c>
      <c r="Q718" s="2951">
        <v>3467700</v>
      </c>
      <c r="R718" s="2954">
        <v>44371</v>
      </c>
      <c r="S718" s="2954">
        <v>44371</v>
      </c>
      <c r="T718" s="2954">
        <v>44405</v>
      </c>
      <c r="U718" s="2954">
        <v>44405</v>
      </c>
      <c r="V718" s="2948" t="s">
        <v>776</v>
      </c>
    </row>
    <row r="719" spans="1:22" s="2944" customFormat="1" ht="46.8">
      <c r="A719" s="2948">
        <v>718</v>
      </c>
      <c r="B719" s="2948" t="s">
        <v>635</v>
      </c>
      <c r="C719" s="2948" t="s">
        <v>636</v>
      </c>
      <c r="D719" s="2948" t="s">
        <v>1450</v>
      </c>
      <c r="E719" s="2948" t="s">
        <v>1456</v>
      </c>
      <c r="F719" s="2948" t="s">
        <v>1452</v>
      </c>
      <c r="G719" s="2948" t="s">
        <v>640</v>
      </c>
      <c r="H719" s="2948" t="s">
        <v>1453</v>
      </c>
      <c r="I719" s="2948" t="s">
        <v>1454</v>
      </c>
      <c r="J719" s="2948" t="s">
        <v>643</v>
      </c>
      <c r="K719" s="2950">
        <v>115.59</v>
      </c>
      <c r="L719" s="2950">
        <v>54.69</v>
      </c>
      <c r="M719" s="2951">
        <v>2457328</v>
      </c>
      <c r="N719" s="2951">
        <v>2532666</v>
      </c>
      <c r="O719" s="2952">
        <v>3467700</v>
      </c>
      <c r="P719" s="2953">
        <v>3467700</v>
      </c>
      <c r="Q719" s="2951">
        <v>3467700</v>
      </c>
      <c r="R719" s="2954">
        <v>44311</v>
      </c>
      <c r="S719" s="2954">
        <v>44316</v>
      </c>
      <c r="T719" s="2954">
        <v>44469</v>
      </c>
      <c r="U719" s="2954">
        <v>44461</v>
      </c>
      <c r="V719" s="2948" t="s">
        <v>799</v>
      </c>
    </row>
    <row r="720" spans="1:22" s="2944" customFormat="1" ht="46.8">
      <c r="A720" s="2948">
        <v>719</v>
      </c>
      <c r="B720" s="2948" t="s">
        <v>635</v>
      </c>
      <c r="C720" s="2948" t="s">
        <v>636</v>
      </c>
      <c r="D720" s="2948" t="s">
        <v>1450</v>
      </c>
      <c r="E720" s="2948" t="s">
        <v>1456</v>
      </c>
      <c r="F720" s="2948" t="s">
        <v>639</v>
      </c>
      <c r="G720" s="2948" t="s">
        <v>640</v>
      </c>
      <c r="H720" s="2948" t="s">
        <v>1453</v>
      </c>
      <c r="I720" s="2948" t="s">
        <v>1454</v>
      </c>
      <c r="J720" s="2948" t="s">
        <v>643</v>
      </c>
      <c r="K720" s="2950">
        <v>128.88999999999999</v>
      </c>
      <c r="L720" s="2950">
        <v>60.98</v>
      </c>
      <c r="M720" s="2951">
        <v>2740073</v>
      </c>
      <c r="N720" s="2951">
        <v>2824079</v>
      </c>
      <c r="O720" s="2952">
        <v>3866700</v>
      </c>
      <c r="P720" s="2953">
        <v>3866700</v>
      </c>
      <c r="Q720" s="2951">
        <v>3866700</v>
      </c>
      <c r="R720" s="2954">
        <v>44390</v>
      </c>
      <c r="S720" s="2954">
        <v>44390</v>
      </c>
      <c r="T720" s="2954">
        <v>44390</v>
      </c>
      <c r="U720" s="2954">
        <v>44390</v>
      </c>
      <c r="V720" s="2948" t="s">
        <v>800</v>
      </c>
    </row>
    <row r="721" spans="1:22" s="2944" customFormat="1" ht="46.8">
      <c r="A721" s="2948">
        <v>720</v>
      </c>
      <c r="B721" s="2948" t="s">
        <v>635</v>
      </c>
      <c r="C721" s="2948" t="s">
        <v>636</v>
      </c>
      <c r="D721" s="2948" t="s">
        <v>1450</v>
      </c>
      <c r="E721" s="2948" t="s">
        <v>1459</v>
      </c>
      <c r="F721" s="2948" t="s">
        <v>1452</v>
      </c>
      <c r="G721" s="2948" t="s">
        <v>640</v>
      </c>
      <c r="H721" s="2948" t="s">
        <v>1453</v>
      </c>
      <c r="I721" s="2948" t="s">
        <v>1454</v>
      </c>
      <c r="J721" s="2948" t="s">
        <v>643</v>
      </c>
      <c r="K721" s="2950">
        <v>134.57</v>
      </c>
      <c r="L721" s="2950">
        <v>53.54</v>
      </c>
      <c r="M721" s="2951">
        <v>2860824</v>
      </c>
      <c r="N721" s="2951">
        <v>2948532</v>
      </c>
      <c r="O721" s="2952">
        <v>4037100</v>
      </c>
      <c r="P721" s="2953">
        <v>4037100</v>
      </c>
      <c r="Q721" s="2951">
        <v>4037100</v>
      </c>
      <c r="R721" s="2954">
        <v>44339</v>
      </c>
      <c r="S721" s="2954">
        <v>44340</v>
      </c>
      <c r="T721" s="2954">
        <v>44350</v>
      </c>
      <c r="U721" s="2954">
        <v>44350</v>
      </c>
      <c r="V721" s="2948" t="s">
        <v>731</v>
      </c>
    </row>
    <row r="722" spans="1:22" s="2944" customFormat="1" ht="46.8">
      <c r="A722" s="2948">
        <v>721</v>
      </c>
      <c r="B722" s="2948" t="s">
        <v>635</v>
      </c>
      <c r="C722" s="2948" t="s">
        <v>636</v>
      </c>
      <c r="D722" s="2948" t="s">
        <v>1450</v>
      </c>
      <c r="E722" s="2948" t="s">
        <v>1459</v>
      </c>
      <c r="F722" s="2948" t="s">
        <v>639</v>
      </c>
      <c r="G722" s="2948" t="s">
        <v>640</v>
      </c>
      <c r="H722" s="2948" t="s">
        <v>1453</v>
      </c>
      <c r="I722" s="2948" t="s">
        <v>1454</v>
      </c>
      <c r="J722" s="2948" t="s">
        <v>643</v>
      </c>
      <c r="K722" s="2950">
        <v>134.27000000000001</v>
      </c>
      <c r="L722" s="2950">
        <v>53.42</v>
      </c>
      <c r="M722" s="2951">
        <v>4028100</v>
      </c>
      <c r="N722" s="2951">
        <v>4028100</v>
      </c>
      <c r="O722" s="2952">
        <v>4028100</v>
      </c>
      <c r="P722" s="2953">
        <v>4028100</v>
      </c>
      <c r="Q722" s="2951">
        <v>4028100</v>
      </c>
      <c r="R722" s="2954">
        <v>45007</v>
      </c>
      <c r="S722" s="2954">
        <v>45007</v>
      </c>
      <c r="T722" s="2954">
        <v>45037</v>
      </c>
      <c r="U722" s="2954">
        <v>45037</v>
      </c>
      <c r="V722" s="2948" t="s">
        <v>733</v>
      </c>
    </row>
    <row r="723" spans="1:22" s="2944" customFormat="1" ht="46.8">
      <c r="A723" s="2948">
        <v>722</v>
      </c>
      <c r="B723" s="2948" t="s">
        <v>635</v>
      </c>
      <c r="C723" s="2948" t="s">
        <v>636</v>
      </c>
      <c r="D723" s="2948" t="s">
        <v>1450</v>
      </c>
      <c r="E723" s="2948" t="s">
        <v>1460</v>
      </c>
      <c r="F723" s="2948" t="s">
        <v>1457</v>
      </c>
      <c r="G723" s="2948" t="s">
        <v>640</v>
      </c>
      <c r="H723" s="2948" t="s">
        <v>1453</v>
      </c>
      <c r="I723" s="2948" t="s">
        <v>1454</v>
      </c>
      <c r="J723" s="2948" t="s">
        <v>643</v>
      </c>
      <c r="K723" s="2950">
        <v>120</v>
      </c>
      <c r="L723" s="2950">
        <v>59.74</v>
      </c>
      <c r="M723" s="2951">
        <v>3600000</v>
      </c>
      <c r="N723" s="2951">
        <v>3600000</v>
      </c>
      <c r="O723" s="2952">
        <v>3600000</v>
      </c>
      <c r="P723" s="2953">
        <v>3600000</v>
      </c>
      <c r="Q723" s="2951">
        <v>3600000</v>
      </c>
      <c r="R723" s="2954">
        <v>45086</v>
      </c>
      <c r="S723" s="2954">
        <v>45086</v>
      </c>
      <c r="T723" s="2954">
        <v>45086</v>
      </c>
      <c r="U723" s="2954">
        <v>45086</v>
      </c>
      <c r="V723" s="2948" t="s">
        <v>644</v>
      </c>
    </row>
    <row r="724" spans="1:22" s="2944" customFormat="1" ht="46.8">
      <c r="A724" s="2948">
        <v>723</v>
      </c>
      <c r="B724" s="2948" t="s">
        <v>635</v>
      </c>
      <c r="C724" s="2948" t="s">
        <v>636</v>
      </c>
      <c r="D724" s="2948" t="s">
        <v>1450</v>
      </c>
      <c r="E724" s="2948" t="s">
        <v>1460</v>
      </c>
      <c r="F724" s="2948" t="s">
        <v>1458</v>
      </c>
      <c r="G724" s="2948" t="s">
        <v>640</v>
      </c>
      <c r="H724" s="2948" t="s">
        <v>1453</v>
      </c>
      <c r="I724" s="2948" t="s">
        <v>1454</v>
      </c>
      <c r="J724" s="2948" t="s">
        <v>643</v>
      </c>
      <c r="K724" s="2950">
        <v>109.86</v>
      </c>
      <c r="L724" s="2950">
        <v>54.69</v>
      </c>
      <c r="M724" s="2951">
        <v>2555234</v>
      </c>
      <c r="N724" s="2951">
        <v>2633563</v>
      </c>
      <c r="O724" s="2952">
        <v>3295800</v>
      </c>
      <c r="P724" s="2953">
        <v>3295800</v>
      </c>
      <c r="Q724" s="2951">
        <v>3295800</v>
      </c>
      <c r="R724" s="2954">
        <v>44282</v>
      </c>
      <c r="S724" s="2954">
        <v>44282</v>
      </c>
      <c r="T724" s="2954">
        <v>44425</v>
      </c>
      <c r="U724" s="2954">
        <v>44425</v>
      </c>
      <c r="V724" s="2948" t="s">
        <v>647</v>
      </c>
    </row>
    <row r="725" spans="1:22" s="2944" customFormat="1" ht="46.8">
      <c r="A725" s="2948">
        <v>724</v>
      </c>
      <c r="B725" s="2948" t="s">
        <v>635</v>
      </c>
      <c r="C725" s="2948" t="s">
        <v>636</v>
      </c>
      <c r="D725" s="2948" t="s">
        <v>1450</v>
      </c>
      <c r="E725" s="2948" t="s">
        <v>1460</v>
      </c>
      <c r="F725" s="2948" t="s">
        <v>1452</v>
      </c>
      <c r="G725" s="2948" t="s">
        <v>640</v>
      </c>
      <c r="H725" s="2948" t="s">
        <v>1453</v>
      </c>
      <c r="I725" s="2948" t="s">
        <v>1454</v>
      </c>
      <c r="J725" s="2948" t="s">
        <v>643</v>
      </c>
      <c r="K725" s="2950">
        <v>109.86</v>
      </c>
      <c r="L725" s="2950">
        <v>54.69</v>
      </c>
      <c r="M725" s="2951">
        <v>3295800</v>
      </c>
      <c r="N725" s="2951">
        <v>3295800</v>
      </c>
      <c r="O725" s="2952">
        <v>3295800</v>
      </c>
      <c r="P725" s="2953">
        <v>3295800</v>
      </c>
      <c r="Q725" s="2951">
        <v>3295800</v>
      </c>
      <c r="R725" s="2954">
        <v>44651</v>
      </c>
      <c r="S725" s="2954">
        <v>44730</v>
      </c>
      <c r="T725" s="2954">
        <v>44789</v>
      </c>
      <c r="U725" s="2954">
        <v>44789</v>
      </c>
      <c r="V725" s="2948" t="s">
        <v>701</v>
      </c>
    </row>
    <row r="726" spans="1:22" s="2944" customFormat="1" ht="46.8">
      <c r="A726" s="2948">
        <v>725</v>
      </c>
      <c r="B726" s="2948" t="s">
        <v>635</v>
      </c>
      <c r="C726" s="2948" t="s">
        <v>636</v>
      </c>
      <c r="D726" s="2948" t="s">
        <v>1450</v>
      </c>
      <c r="E726" s="2948" t="s">
        <v>1460</v>
      </c>
      <c r="F726" s="2948" t="s">
        <v>639</v>
      </c>
      <c r="G726" s="2948" t="s">
        <v>640</v>
      </c>
      <c r="H726" s="2948" t="s">
        <v>1453</v>
      </c>
      <c r="I726" s="2948" t="s">
        <v>1454</v>
      </c>
      <c r="J726" s="2948" t="s">
        <v>643</v>
      </c>
      <c r="K726" s="2950">
        <v>120</v>
      </c>
      <c r="L726" s="2950">
        <v>59.74</v>
      </c>
      <c r="M726" s="2951">
        <v>1711080</v>
      </c>
      <c r="N726" s="2951">
        <v>1763580</v>
      </c>
      <c r="O726" s="2952">
        <v>3600000</v>
      </c>
      <c r="P726" s="2953">
        <v>3600000</v>
      </c>
      <c r="Q726" s="2951">
        <v>3600000</v>
      </c>
      <c r="R726" s="2954">
        <v>44340</v>
      </c>
      <c r="S726" s="2954">
        <v>44341</v>
      </c>
      <c r="T726" s="2954">
        <v>44349</v>
      </c>
      <c r="U726" s="2954">
        <v>44349</v>
      </c>
      <c r="V726" s="2948" t="s">
        <v>702</v>
      </c>
    </row>
    <row r="727" spans="1:22" s="2944" customFormat="1" ht="46.8">
      <c r="A727" s="2948">
        <v>726</v>
      </c>
      <c r="B727" s="2948" t="s">
        <v>635</v>
      </c>
      <c r="C727" s="2948" t="s">
        <v>636</v>
      </c>
      <c r="D727" s="2948" t="s">
        <v>1450</v>
      </c>
      <c r="E727" s="2948" t="s">
        <v>1461</v>
      </c>
      <c r="F727" s="2948" t="s">
        <v>1452</v>
      </c>
      <c r="G727" s="2948" t="s">
        <v>640</v>
      </c>
      <c r="H727" s="2948" t="s">
        <v>1453</v>
      </c>
      <c r="I727" s="2948" t="s">
        <v>1454</v>
      </c>
      <c r="J727" s="2948" t="s">
        <v>643</v>
      </c>
      <c r="K727" s="2950">
        <v>153.49</v>
      </c>
      <c r="L727" s="2950">
        <v>61.21</v>
      </c>
      <c r="M727" s="2951">
        <v>4604700</v>
      </c>
      <c r="N727" s="2951">
        <v>4604700</v>
      </c>
      <c r="O727" s="2952">
        <v>4374465</v>
      </c>
      <c r="P727" s="2953">
        <v>4374465</v>
      </c>
      <c r="Q727" s="2951">
        <v>4374465</v>
      </c>
      <c r="R727" s="2954">
        <v>45283</v>
      </c>
      <c r="S727" s="2954">
        <v>45285</v>
      </c>
      <c r="T727" s="2954">
        <v>45287</v>
      </c>
      <c r="U727" s="2954">
        <v>45287</v>
      </c>
      <c r="V727" s="2948" t="s">
        <v>855</v>
      </c>
    </row>
    <row r="728" spans="1:22" s="2944" customFormat="1" ht="46.8">
      <c r="A728" s="2948">
        <v>727</v>
      </c>
      <c r="B728" s="2948" t="s">
        <v>635</v>
      </c>
      <c r="C728" s="2948" t="s">
        <v>636</v>
      </c>
      <c r="D728" s="2948" t="s">
        <v>1450</v>
      </c>
      <c r="E728" s="2948" t="s">
        <v>1461</v>
      </c>
      <c r="F728" s="2948" t="s">
        <v>639</v>
      </c>
      <c r="G728" s="2948" t="s">
        <v>640</v>
      </c>
      <c r="H728" s="2948" t="s">
        <v>1453</v>
      </c>
      <c r="I728" s="2948" t="s">
        <v>1454</v>
      </c>
      <c r="J728" s="2948" t="s">
        <v>643</v>
      </c>
      <c r="K728" s="2950">
        <v>209.71</v>
      </c>
      <c r="L728" s="2950">
        <v>83.63</v>
      </c>
      <c r="M728" s="2951">
        <v>6291300</v>
      </c>
      <c r="N728" s="2951">
        <v>6291300</v>
      </c>
      <c r="O728" s="2952">
        <v>6291300</v>
      </c>
      <c r="P728" s="2953">
        <v>6291300</v>
      </c>
      <c r="Q728" s="2951">
        <v>6291300</v>
      </c>
      <c r="R728" s="2954">
        <v>45044</v>
      </c>
      <c r="S728" s="2954">
        <v>45044</v>
      </c>
      <c r="T728" s="2948"/>
      <c r="U728" s="2948"/>
      <c r="V728" s="2948" t="s">
        <v>857</v>
      </c>
    </row>
    <row r="729" spans="1:22" s="2944" customFormat="1" ht="46.8" hidden="1">
      <c r="A729" s="2948">
        <v>728</v>
      </c>
      <c r="B729" s="2948" t="s">
        <v>635</v>
      </c>
      <c r="C729" s="2948" t="s">
        <v>636</v>
      </c>
      <c r="D729" s="2948" t="s">
        <v>1462</v>
      </c>
      <c r="E729" s="2948" t="s">
        <v>729</v>
      </c>
      <c r="F729" s="2948" t="s">
        <v>639</v>
      </c>
      <c r="G729" s="2948" t="s">
        <v>640</v>
      </c>
      <c r="H729" s="2948" t="s">
        <v>1463</v>
      </c>
      <c r="I729" s="2948" t="s">
        <v>642</v>
      </c>
      <c r="J729" s="2948" t="s">
        <v>643</v>
      </c>
      <c r="K729" s="2950">
        <v>196.64</v>
      </c>
      <c r="L729" s="2950">
        <v>158.69999999999999</v>
      </c>
      <c r="M729" s="2951">
        <v>21040480</v>
      </c>
      <c r="N729" s="2951">
        <v>21040480</v>
      </c>
      <c r="O729" s="2952">
        <v>21040480</v>
      </c>
      <c r="P729" s="2953">
        <v>21040480</v>
      </c>
      <c r="Q729" s="2951">
        <v>21040480</v>
      </c>
      <c r="R729" s="2954">
        <v>44454</v>
      </c>
      <c r="S729" s="2954">
        <v>44458</v>
      </c>
      <c r="T729" s="2954">
        <v>44726</v>
      </c>
      <c r="U729" s="2954">
        <v>44726</v>
      </c>
      <c r="V729" s="2948" t="s">
        <v>1464</v>
      </c>
    </row>
    <row r="730" spans="1:22" s="2944" customFormat="1" ht="46.8" hidden="1">
      <c r="A730" s="2948">
        <v>729</v>
      </c>
      <c r="B730" s="2948" t="s">
        <v>635</v>
      </c>
      <c r="C730" s="2948" t="s">
        <v>636</v>
      </c>
      <c r="D730" s="2948" t="s">
        <v>1462</v>
      </c>
      <c r="E730" s="2948" t="s">
        <v>729</v>
      </c>
      <c r="F730" s="2948" t="s">
        <v>645</v>
      </c>
      <c r="G730" s="2948" t="s">
        <v>640</v>
      </c>
      <c r="H730" s="2948" t="s">
        <v>1463</v>
      </c>
      <c r="I730" s="2948" t="s">
        <v>642</v>
      </c>
      <c r="J730" s="2948" t="s">
        <v>643</v>
      </c>
      <c r="K730" s="2950">
        <v>196.64</v>
      </c>
      <c r="L730" s="2950">
        <v>158.69999999999999</v>
      </c>
      <c r="M730" s="2951">
        <v>21040480</v>
      </c>
      <c r="N730" s="2951">
        <v>21040480</v>
      </c>
      <c r="O730" s="2952">
        <v>21040480</v>
      </c>
      <c r="P730" s="2953">
        <v>21040480</v>
      </c>
      <c r="Q730" s="2951">
        <v>21040480</v>
      </c>
      <c r="R730" s="2954">
        <v>45015</v>
      </c>
      <c r="S730" s="2954">
        <v>45015</v>
      </c>
      <c r="T730" s="2954">
        <v>45108</v>
      </c>
      <c r="U730" s="2954">
        <v>45108</v>
      </c>
      <c r="V730" s="2948" t="s">
        <v>1465</v>
      </c>
    </row>
    <row r="731" spans="1:22" s="2944" customFormat="1" ht="46.8" hidden="1">
      <c r="A731" s="2948">
        <v>730</v>
      </c>
      <c r="B731" s="2948" t="s">
        <v>635</v>
      </c>
      <c r="C731" s="2948" t="s">
        <v>636</v>
      </c>
      <c r="D731" s="2948" t="s">
        <v>1462</v>
      </c>
      <c r="E731" s="2948" t="s">
        <v>729</v>
      </c>
      <c r="F731" s="2948" t="s">
        <v>648</v>
      </c>
      <c r="G731" s="2948" t="s">
        <v>640</v>
      </c>
      <c r="H731" s="2948" t="s">
        <v>1463</v>
      </c>
      <c r="I731" s="2948" t="s">
        <v>642</v>
      </c>
      <c r="J731" s="2948" t="s">
        <v>643</v>
      </c>
      <c r="K731" s="2950">
        <v>196.64</v>
      </c>
      <c r="L731" s="2950">
        <v>158.69999999999999</v>
      </c>
      <c r="M731" s="2951">
        <v>21237120</v>
      </c>
      <c r="N731" s="2951">
        <v>21237120</v>
      </c>
      <c r="O731" s="2952">
        <v>21237120</v>
      </c>
      <c r="P731" s="2953">
        <v>21237120</v>
      </c>
      <c r="Q731" s="2951">
        <v>21237120</v>
      </c>
      <c r="R731" s="2954">
        <v>44657</v>
      </c>
      <c r="S731" s="2954">
        <v>44680</v>
      </c>
      <c r="T731" s="2954">
        <v>44726</v>
      </c>
      <c r="U731" s="2954">
        <v>44726</v>
      </c>
      <c r="V731" s="2948" t="s">
        <v>1466</v>
      </c>
    </row>
    <row r="732" spans="1:22" s="2944" customFormat="1" ht="46.8" hidden="1">
      <c r="A732" s="2948">
        <v>731</v>
      </c>
      <c r="B732" s="2948" t="s">
        <v>635</v>
      </c>
      <c r="C732" s="2948" t="s">
        <v>636</v>
      </c>
      <c r="D732" s="2948" t="s">
        <v>1462</v>
      </c>
      <c r="E732" s="2948" t="s">
        <v>729</v>
      </c>
      <c r="F732" s="2948" t="s">
        <v>651</v>
      </c>
      <c r="G732" s="2948" t="s">
        <v>640</v>
      </c>
      <c r="H732" s="2948" t="s">
        <v>1463</v>
      </c>
      <c r="I732" s="2948" t="s">
        <v>642</v>
      </c>
      <c r="J732" s="2948" t="s">
        <v>643</v>
      </c>
      <c r="K732" s="2950">
        <v>196.64</v>
      </c>
      <c r="L732" s="2950">
        <v>158.69999999999999</v>
      </c>
      <c r="M732" s="2951">
        <v>21237120</v>
      </c>
      <c r="N732" s="2951">
        <v>21237120</v>
      </c>
      <c r="O732" s="2952">
        <v>21237120</v>
      </c>
      <c r="P732" s="2953">
        <v>21237120</v>
      </c>
      <c r="Q732" s="2951">
        <v>21237120</v>
      </c>
      <c r="R732" s="2954">
        <v>44453</v>
      </c>
      <c r="S732" s="2954">
        <v>44464</v>
      </c>
      <c r="T732" s="2954">
        <v>44524</v>
      </c>
      <c r="U732" s="2954">
        <v>44524</v>
      </c>
      <c r="V732" s="2948" t="s">
        <v>1467</v>
      </c>
    </row>
    <row r="733" spans="1:22" s="2944" customFormat="1" ht="46.8" hidden="1">
      <c r="A733" s="2948">
        <v>732</v>
      </c>
      <c r="B733" s="2948" t="s">
        <v>635</v>
      </c>
      <c r="C733" s="2948" t="s">
        <v>636</v>
      </c>
      <c r="D733" s="2948" t="s">
        <v>1462</v>
      </c>
      <c r="E733" s="2948" t="s">
        <v>729</v>
      </c>
      <c r="F733" s="2948" t="s">
        <v>653</v>
      </c>
      <c r="G733" s="2948" t="s">
        <v>640</v>
      </c>
      <c r="H733" s="2948" t="s">
        <v>1463</v>
      </c>
      <c r="I733" s="2948" t="s">
        <v>642</v>
      </c>
      <c r="J733" s="2948" t="s">
        <v>643</v>
      </c>
      <c r="K733" s="2950">
        <v>196.64</v>
      </c>
      <c r="L733" s="2950">
        <v>158.69999999999999</v>
      </c>
      <c r="M733" s="2951">
        <v>21433760</v>
      </c>
      <c r="N733" s="2951">
        <v>21433760</v>
      </c>
      <c r="O733" s="2952">
        <v>21433760</v>
      </c>
      <c r="P733" s="2953">
        <v>21433760</v>
      </c>
      <c r="Q733" s="2951">
        <v>21433760</v>
      </c>
      <c r="R733" s="2954">
        <v>44453</v>
      </c>
      <c r="S733" s="2954">
        <v>44461</v>
      </c>
      <c r="T733" s="2954">
        <v>44504</v>
      </c>
      <c r="U733" s="2954">
        <v>44504</v>
      </c>
      <c r="V733" s="2948" t="s">
        <v>1468</v>
      </c>
    </row>
    <row r="734" spans="1:22" s="2944" customFormat="1" ht="46.8" hidden="1">
      <c r="A734" s="2948">
        <v>733</v>
      </c>
      <c r="B734" s="2948" t="s">
        <v>635</v>
      </c>
      <c r="C734" s="2948" t="s">
        <v>636</v>
      </c>
      <c r="D734" s="2948" t="s">
        <v>1462</v>
      </c>
      <c r="E734" s="2948" t="s">
        <v>729</v>
      </c>
      <c r="F734" s="2948" t="s">
        <v>655</v>
      </c>
      <c r="G734" s="2948" t="s">
        <v>640</v>
      </c>
      <c r="H734" s="2948" t="s">
        <v>1463</v>
      </c>
      <c r="I734" s="2948" t="s">
        <v>642</v>
      </c>
      <c r="J734" s="2948" t="s">
        <v>643</v>
      </c>
      <c r="K734" s="2950">
        <v>196.64</v>
      </c>
      <c r="L734" s="2950">
        <v>158.69999999999999</v>
      </c>
      <c r="M734" s="2951">
        <v>21433760</v>
      </c>
      <c r="N734" s="2951">
        <v>21433760</v>
      </c>
      <c r="O734" s="2952">
        <v>21433760</v>
      </c>
      <c r="P734" s="2953">
        <v>21433760</v>
      </c>
      <c r="Q734" s="2951">
        <v>21433760</v>
      </c>
      <c r="R734" s="2954">
        <v>44462</v>
      </c>
      <c r="S734" s="2954">
        <v>44497</v>
      </c>
      <c r="T734" s="2954">
        <v>44740</v>
      </c>
      <c r="U734" s="2954">
        <v>44740</v>
      </c>
      <c r="V734" s="2948" t="s">
        <v>825</v>
      </c>
    </row>
    <row r="735" spans="1:22" s="2944" customFormat="1" ht="46.8" hidden="1">
      <c r="A735" s="2948">
        <v>734</v>
      </c>
      <c r="B735" s="2948" t="s">
        <v>635</v>
      </c>
      <c r="C735" s="2948" t="s">
        <v>636</v>
      </c>
      <c r="D735" s="2948" t="s">
        <v>1462</v>
      </c>
      <c r="E735" s="2948" t="s">
        <v>729</v>
      </c>
      <c r="F735" s="2948" t="s">
        <v>657</v>
      </c>
      <c r="G735" s="2948" t="s">
        <v>640</v>
      </c>
      <c r="H735" s="2948" t="s">
        <v>1463</v>
      </c>
      <c r="I735" s="2948" t="s">
        <v>642</v>
      </c>
      <c r="J735" s="2948" t="s">
        <v>643</v>
      </c>
      <c r="K735" s="2950">
        <v>196.64</v>
      </c>
      <c r="L735" s="2950">
        <v>158.69999999999999</v>
      </c>
      <c r="M735" s="2951">
        <v>21630400</v>
      </c>
      <c r="N735" s="2951">
        <v>21630400</v>
      </c>
      <c r="O735" s="2952">
        <v>21630400</v>
      </c>
      <c r="P735" s="2953">
        <v>21630400</v>
      </c>
      <c r="Q735" s="2951">
        <v>21630400</v>
      </c>
      <c r="R735" s="2954">
        <v>44452</v>
      </c>
      <c r="S735" s="2954">
        <v>44455</v>
      </c>
      <c r="T735" s="2954">
        <v>44502</v>
      </c>
      <c r="U735" s="2954">
        <v>44502</v>
      </c>
      <c r="V735" s="2948" t="s">
        <v>1469</v>
      </c>
    </row>
    <row r="736" spans="1:22" s="2944" customFormat="1" ht="46.8" hidden="1">
      <c r="A736" s="2948">
        <v>735</v>
      </c>
      <c r="B736" s="2948" t="s">
        <v>635</v>
      </c>
      <c r="C736" s="2948" t="s">
        <v>636</v>
      </c>
      <c r="D736" s="2948" t="s">
        <v>1462</v>
      </c>
      <c r="E736" s="2948" t="s">
        <v>729</v>
      </c>
      <c r="F736" s="2948" t="s">
        <v>659</v>
      </c>
      <c r="G736" s="2948" t="s">
        <v>640</v>
      </c>
      <c r="H736" s="2948" t="s">
        <v>1463</v>
      </c>
      <c r="I736" s="2948" t="s">
        <v>642</v>
      </c>
      <c r="J736" s="2948" t="s">
        <v>643</v>
      </c>
      <c r="K736" s="2950">
        <v>196.64</v>
      </c>
      <c r="L736" s="2950">
        <v>158.69999999999999</v>
      </c>
      <c r="M736" s="2951">
        <v>21630400</v>
      </c>
      <c r="N736" s="2951">
        <v>21630400</v>
      </c>
      <c r="O736" s="2952">
        <v>21630400</v>
      </c>
      <c r="P736" s="2953">
        <v>21630400</v>
      </c>
      <c r="Q736" s="2951">
        <v>21630400</v>
      </c>
      <c r="R736" s="2954">
        <v>44457</v>
      </c>
      <c r="S736" s="2954">
        <v>44462</v>
      </c>
      <c r="T736" s="2954">
        <v>44636</v>
      </c>
      <c r="U736" s="2954">
        <v>44636</v>
      </c>
      <c r="V736" s="2948" t="s">
        <v>1470</v>
      </c>
    </row>
    <row r="737" spans="1:22" s="2944" customFormat="1" ht="46.8" hidden="1">
      <c r="A737" s="2948">
        <v>736</v>
      </c>
      <c r="B737" s="2948" t="s">
        <v>635</v>
      </c>
      <c r="C737" s="2948" t="s">
        <v>636</v>
      </c>
      <c r="D737" s="2948" t="s">
        <v>1462</v>
      </c>
      <c r="E737" s="2948" t="s">
        <v>729</v>
      </c>
      <c r="F737" s="2948" t="s">
        <v>661</v>
      </c>
      <c r="G737" s="2948" t="s">
        <v>640</v>
      </c>
      <c r="H737" s="2948" t="s">
        <v>1463</v>
      </c>
      <c r="I737" s="2948" t="s">
        <v>642</v>
      </c>
      <c r="J737" s="2948" t="s">
        <v>643</v>
      </c>
      <c r="K737" s="2950">
        <v>196.64</v>
      </c>
      <c r="L737" s="2950">
        <v>158.69999999999999</v>
      </c>
      <c r="M737" s="2951">
        <v>21630400</v>
      </c>
      <c r="N737" s="2951">
        <v>21630400</v>
      </c>
      <c r="O737" s="2952">
        <v>21630400</v>
      </c>
      <c r="P737" s="2953">
        <v>21630400</v>
      </c>
      <c r="Q737" s="2951">
        <v>21630400</v>
      </c>
      <c r="R737" s="2954">
        <v>44451</v>
      </c>
      <c r="S737" s="2954">
        <v>44460</v>
      </c>
      <c r="T737" s="2954">
        <v>44502</v>
      </c>
      <c r="U737" s="2954">
        <v>44502</v>
      </c>
      <c r="V737" s="2948" t="s">
        <v>1471</v>
      </c>
    </row>
    <row r="738" spans="1:22" s="2944" customFormat="1" ht="46.8" hidden="1">
      <c r="A738" s="2948">
        <v>737</v>
      </c>
      <c r="B738" s="2948" t="s">
        <v>635</v>
      </c>
      <c r="C738" s="2948" t="s">
        <v>636</v>
      </c>
      <c r="D738" s="2948" t="s">
        <v>1462</v>
      </c>
      <c r="E738" s="2948" t="s">
        <v>729</v>
      </c>
      <c r="F738" s="2948" t="s">
        <v>663</v>
      </c>
      <c r="G738" s="2948" t="s">
        <v>640</v>
      </c>
      <c r="H738" s="2948" t="s">
        <v>1463</v>
      </c>
      <c r="I738" s="2948" t="s">
        <v>642</v>
      </c>
      <c r="J738" s="2948" t="s">
        <v>643</v>
      </c>
      <c r="K738" s="2950">
        <v>196.64</v>
      </c>
      <c r="L738" s="2950">
        <v>158.69999999999999</v>
      </c>
      <c r="M738" s="2951">
        <v>21630400</v>
      </c>
      <c r="N738" s="2951">
        <v>21630400</v>
      </c>
      <c r="O738" s="2952">
        <v>21630400</v>
      </c>
      <c r="P738" s="2953">
        <v>21630400</v>
      </c>
      <c r="Q738" s="2951">
        <v>21630400</v>
      </c>
      <c r="R738" s="2954">
        <v>44706</v>
      </c>
      <c r="S738" s="2954">
        <v>44707</v>
      </c>
      <c r="T738" s="2954">
        <v>44795</v>
      </c>
      <c r="U738" s="2954">
        <v>44795</v>
      </c>
      <c r="V738" s="2948" t="s">
        <v>1472</v>
      </c>
    </row>
    <row r="739" spans="1:22" s="2944" customFormat="1" ht="46.8" hidden="1">
      <c r="A739" s="2948">
        <v>738</v>
      </c>
      <c r="B739" s="2948" t="s">
        <v>635</v>
      </c>
      <c r="C739" s="2948" t="s">
        <v>636</v>
      </c>
      <c r="D739" s="2948" t="s">
        <v>1462</v>
      </c>
      <c r="E739" s="2948" t="s">
        <v>729</v>
      </c>
      <c r="F739" s="2948" t="s">
        <v>665</v>
      </c>
      <c r="G739" s="2948" t="s">
        <v>640</v>
      </c>
      <c r="H739" s="2948" t="s">
        <v>1463</v>
      </c>
      <c r="I739" s="2948" t="s">
        <v>642</v>
      </c>
      <c r="J739" s="2948" t="s">
        <v>643</v>
      </c>
      <c r="K739" s="2950">
        <v>196.64</v>
      </c>
      <c r="L739" s="2950">
        <v>158.69999999999999</v>
      </c>
      <c r="M739" s="2951">
        <v>21630400</v>
      </c>
      <c r="N739" s="2951">
        <v>21630400</v>
      </c>
      <c r="O739" s="2952">
        <v>21630400</v>
      </c>
      <c r="P739" s="2953">
        <v>21630400</v>
      </c>
      <c r="Q739" s="2951">
        <v>21630400</v>
      </c>
      <c r="R739" s="2954">
        <v>44451</v>
      </c>
      <c r="S739" s="2954">
        <v>44459</v>
      </c>
      <c r="T739" s="2954">
        <v>44639</v>
      </c>
      <c r="U739" s="2954">
        <v>44639</v>
      </c>
      <c r="V739" s="2948" t="s">
        <v>1473</v>
      </c>
    </row>
    <row r="740" spans="1:22" s="2944" customFormat="1" ht="46.8" hidden="1">
      <c r="A740" s="2948">
        <v>739</v>
      </c>
      <c r="B740" s="2948" t="s">
        <v>635</v>
      </c>
      <c r="C740" s="2948" t="s">
        <v>636</v>
      </c>
      <c r="D740" s="2948" t="s">
        <v>1462</v>
      </c>
      <c r="E740" s="2948" t="s">
        <v>729</v>
      </c>
      <c r="F740" s="2948" t="s">
        <v>667</v>
      </c>
      <c r="G740" s="2948" t="s">
        <v>640</v>
      </c>
      <c r="H740" s="2948" t="s">
        <v>1463</v>
      </c>
      <c r="I740" s="2948" t="s">
        <v>642</v>
      </c>
      <c r="J740" s="2948" t="s">
        <v>643</v>
      </c>
      <c r="K740" s="2950">
        <v>196.64</v>
      </c>
      <c r="L740" s="2950">
        <v>158.69999999999999</v>
      </c>
      <c r="M740" s="2951">
        <v>21630400</v>
      </c>
      <c r="N740" s="2951">
        <v>21630400</v>
      </c>
      <c r="O740" s="2952">
        <v>21630400</v>
      </c>
      <c r="P740" s="2953">
        <v>21630400</v>
      </c>
      <c r="Q740" s="2951">
        <v>21630400</v>
      </c>
      <c r="R740" s="2954">
        <v>44650</v>
      </c>
      <c r="S740" s="2954">
        <v>44650</v>
      </c>
      <c r="T740" s="2954">
        <v>44738</v>
      </c>
      <c r="U740" s="2954">
        <v>44738</v>
      </c>
      <c r="V740" s="2948" t="s">
        <v>1474</v>
      </c>
    </row>
    <row r="741" spans="1:22" s="2944" customFormat="1" ht="46.8" hidden="1">
      <c r="A741" s="2948">
        <v>740</v>
      </c>
      <c r="B741" s="2948" t="s">
        <v>635</v>
      </c>
      <c r="C741" s="2948" t="s">
        <v>636</v>
      </c>
      <c r="D741" s="2948" t="s">
        <v>1462</v>
      </c>
      <c r="E741" s="2948" t="s">
        <v>729</v>
      </c>
      <c r="F741" s="2948" t="s">
        <v>669</v>
      </c>
      <c r="G741" s="2948" t="s">
        <v>640</v>
      </c>
      <c r="H741" s="2948" t="s">
        <v>1463</v>
      </c>
      <c r="I741" s="2948" t="s">
        <v>642</v>
      </c>
      <c r="J741" s="2948" t="s">
        <v>643</v>
      </c>
      <c r="K741" s="2950">
        <v>196.64</v>
      </c>
      <c r="L741" s="2950">
        <v>158.69999999999999</v>
      </c>
      <c r="M741" s="2951">
        <v>21630400</v>
      </c>
      <c r="N741" s="2951">
        <v>21630400</v>
      </c>
      <c r="O741" s="2952">
        <v>21630400</v>
      </c>
      <c r="P741" s="2953">
        <v>21630400</v>
      </c>
      <c r="Q741" s="2951">
        <v>21630400</v>
      </c>
      <c r="R741" s="2954">
        <v>44449</v>
      </c>
      <c r="S741" s="2954">
        <v>44457</v>
      </c>
      <c r="T741" s="2954">
        <v>44509</v>
      </c>
      <c r="U741" s="2954">
        <v>44509</v>
      </c>
      <c r="V741" s="2948" t="s">
        <v>1475</v>
      </c>
    </row>
    <row r="742" spans="1:22" s="2944" customFormat="1" ht="46.8" hidden="1">
      <c r="A742" s="2948">
        <v>741</v>
      </c>
      <c r="B742" s="2948" t="s">
        <v>635</v>
      </c>
      <c r="C742" s="2948" t="s">
        <v>636</v>
      </c>
      <c r="D742" s="2948" t="s">
        <v>1462</v>
      </c>
      <c r="E742" s="2948" t="s">
        <v>729</v>
      </c>
      <c r="F742" s="2948" t="s">
        <v>671</v>
      </c>
      <c r="G742" s="2948" t="s">
        <v>640</v>
      </c>
      <c r="H742" s="2948" t="s">
        <v>1463</v>
      </c>
      <c r="I742" s="2948" t="s">
        <v>642</v>
      </c>
      <c r="J742" s="2948" t="s">
        <v>643</v>
      </c>
      <c r="K742" s="2950">
        <v>196.64</v>
      </c>
      <c r="L742" s="2950">
        <v>158.69999999999999</v>
      </c>
      <c r="M742" s="2951">
        <v>21630400</v>
      </c>
      <c r="N742" s="2951">
        <v>21630400</v>
      </c>
      <c r="O742" s="2952">
        <v>21630400</v>
      </c>
      <c r="P742" s="2953">
        <v>21630400</v>
      </c>
      <c r="Q742" s="2951">
        <v>21630400</v>
      </c>
      <c r="R742" s="2954">
        <v>44496</v>
      </c>
      <c r="S742" s="2954">
        <v>44497</v>
      </c>
      <c r="T742" s="2954">
        <v>44637</v>
      </c>
      <c r="U742" s="2954">
        <v>44637</v>
      </c>
      <c r="V742" s="2948" t="s">
        <v>1476</v>
      </c>
    </row>
    <row r="743" spans="1:22" s="2944" customFormat="1" ht="46.8" hidden="1">
      <c r="A743" s="2948">
        <v>742</v>
      </c>
      <c r="B743" s="2948" t="s">
        <v>635</v>
      </c>
      <c r="C743" s="2948" t="s">
        <v>636</v>
      </c>
      <c r="D743" s="2948" t="s">
        <v>1462</v>
      </c>
      <c r="E743" s="2948" t="s">
        <v>729</v>
      </c>
      <c r="F743" s="2948" t="s">
        <v>673</v>
      </c>
      <c r="G743" s="2948" t="s">
        <v>640</v>
      </c>
      <c r="H743" s="2948" t="s">
        <v>1463</v>
      </c>
      <c r="I743" s="2948" t="s">
        <v>642</v>
      </c>
      <c r="J743" s="2948" t="s">
        <v>643</v>
      </c>
      <c r="K743" s="2950">
        <v>196.64</v>
      </c>
      <c r="L743" s="2950">
        <v>158.69999999999999</v>
      </c>
      <c r="M743" s="2951">
        <v>21630400</v>
      </c>
      <c r="N743" s="2951">
        <v>21630400</v>
      </c>
      <c r="O743" s="2952">
        <v>21630400</v>
      </c>
      <c r="P743" s="2953">
        <v>21630400</v>
      </c>
      <c r="Q743" s="2951">
        <v>21630400</v>
      </c>
      <c r="R743" s="2954">
        <v>44449</v>
      </c>
      <c r="S743" s="2954">
        <v>44457</v>
      </c>
      <c r="T743" s="2954">
        <v>44502</v>
      </c>
      <c r="U743" s="2954">
        <v>44502</v>
      </c>
      <c r="V743" s="2948" t="s">
        <v>1477</v>
      </c>
    </row>
    <row r="744" spans="1:22" s="2944" customFormat="1" ht="46.8" hidden="1">
      <c r="A744" s="2948">
        <v>743</v>
      </c>
      <c r="B744" s="2948" t="s">
        <v>635</v>
      </c>
      <c r="C744" s="2948" t="s">
        <v>636</v>
      </c>
      <c r="D744" s="2948" t="s">
        <v>1462</v>
      </c>
      <c r="E744" s="2948" t="s">
        <v>729</v>
      </c>
      <c r="F744" s="2948" t="s">
        <v>675</v>
      </c>
      <c r="G744" s="2948" t="s">
        <v>640</v>
      </c>
      <c r="H744" s="2948" t="s">
        <v>1463</v>
      </c>
      <c r="I744" s="2948" t="s">
        <v>642</v>
      </c>
      <c r="J744" s="2948" t="s">
        <v>643</v>
      </c>
      <c r="K744" s="2950">
        <v>196.64</v>
      </c>
      <c r="L744" s="2950">
        <v>158.69999999999999</v>
      </c>
      <c r="M744" s="2951">
        <v>21630400</v>
      </c>
      <c r="N744" s="2951">
        <v>21630400</v>
      </c>
      <c r="O744" s="2952">
        <v>21630400</v>
      </c>
      <c r="P744" s="2953">
        <v>21630400</v>
      </c>
      <c r="Q744" s="2951">
        <v>21630400</v>
      </c>
      <c r="R744" s="2954">
        <v>44450</v>
      </c>
      <c r="S744" s="2954">
        <v>44463</v>
      </c>
      <c r="T744" s="2954">
        <v>44506</v>
      </c>
      <c r="U744" s="2954">
        <v>44506</v>
      </c>
      <c r="V744" s="2948" t="s">
        <v>1478</v>
      </c>
    </row>
    <row r="745" spans="1:22" s="2944" customFormat="1" ht="46.8" hidden="1">
      <c r="A745" s="2948">
        <v>744</v>
      </c>
      <c r="B745" s="2948" t="s">
        <v>635</v>
      </c>
      <c r="C745" s="2948" t="s">
        <v>636</v>
      </c>
      <c r="D745" s="2948" t="s">
        <v>1462</v>
      </c>
      <c r="E745" s="2948" t="s">
        <v>729</v>
      </c>
      <c r="F745" s="2948" t="s">
        <v>677</v>
      </c>
      <c r="G745" s="2948" t="s">
        <v>640</v>
      </c>
      <c r="H745" s="2948" t="s">
        <v>1463</v>
      </c>
      <c r="I745" s="2948" t="s">
        <v>642</v>
      </c>
      <c r="J745" s="2948" t="s">
        <v>643</v>
      </c>
      <c r="K745" s="2950">
        <v>196.64</v>
      </c>
      <c r="L745" s="2950">
        <v>158.69999999999999</v>
      </c>
      <c r="M745" s="2951">
        <v>21630400</v>
      </c>
      <c r="N745" s="2951">
        <v>21630400</v>
      </c>
      <c r="O745" s="2952">
        <v>21630400</v>
      </c>
      <c r="P745" s="2953">
        <v>21630400</v>
      </c>
      <c r="Q745" s="2951">
        <v>21630400</v>
      </c>
      <c r="R745" s="2954">
        <v>44451</v>
      </c>
      <c r="S745" s="2954">
        <v>44457</v>
      </c>
      <c r="T745" s="2954">
        <v>44505</v>
      </c>
      <c r="U745" s="2954">
        <v>44505</v>
      </c>
      <c r="V745" s="2948" t="s">
        <v>1479</v>
      </c>
    </row>
    <row r="746" spans="1:22" s="2944" customFormat="1" ht="46.8" hidden="1">
      <c r="A746" s="2948">
        <v>745</v>
      </c>
      <c r="B746" s="2948" t="s">
        <v>635</v>
      </c>
      <c r="C746" s="2948" t="s">
        <v>636</v>
      </c>
      <c r="D746" s="2948" t="s">
        <v>1462</v>
      </c>
      <c r="E746" s="2948" t="s">
        <v>729</v>
      </c>
      <c r="F746" s="2948" t="s">
        <v>679</v>
      </c>
      <c r="G746" s="2948" t="s">
        <v>640</v>
      </c>
      <c r="H746" s="2948" t="s">
        <v>1463</v>
      </c>
      <c r="I746" s="2948" t="s">
        <v>642</v>
      </c>
      <c r="J746" s="2948" t="s">
        <v>643</v>
      </c>
      <c r="K746" s="2950">
        <v>196.64</v>
      </c>
      <c r="L746" s="2950">
        <v>158.69999999999999</v>
      </c>
      <c r="M746" s="2951">
        <v>21630400</v>
      </c>
      <c r="N746" s="2951">
        <v>21630400</v>
      </c>
      <c r="O746" s="2952">
        <v>21630400</v>
      </c>
      <c r="P746" s="2953">
        <v>21630400</v>
      </c>
      <c r="Q746" s="2951">
        <v>21630400</v>
      </c>
      <c r="R746" s="2954">
        <v>44462</v>
      </c>
      <c r="S746" s="2954">
        <v>44464</v>
      </c>
      <c r="T746" s="2954">
        <v>44504</v>
      </c>
      <c r="U746" s="2954">
        <v>44504</v>
      </c>
      <c r="V746" s="2948" t="s">
        <v>1480</v>
      </c>
    </row>
    <row r="747" spans="1:22" s="2944" customFormat="1" ht="46.8" hidden="1">
      <c r="A747" s="2948">
        <v>746</v>
      </c>
      <c r="B747" s="2948" t="s">
        <v>635</v>
      </c>
      <c r="C747" s="2948" t="s">
        <v>636</v>
      </c>
      <c r="D747" s="2948" t="s">
        <v>1462</v>
      </c>
      <c r="E747" s="2948" t="s">
        <v>729</v>
      </c>
      <c r="F747" s="2948" t="s">
        <v>681</v>
      </c>
      <c r="G747" s="2948" t="s">
        <v>640</v>
      </c>
      <c r="H747" s="2948" t="s">
        <v>1463</v>
      </c>
      <c r="I747" s="2948" t="s">
        <v>642</v>
      </c>
      <c r="J747" s="2948" t="s">
        <v>643</v>
      </c>
      <c r="K747" s="2950">
        <v>196.64</v>
      </c>
      <c r="L747" s="2950">
        <v>158.69999999999999</v>
      </c>
      <c r="M747" s="2951">
        <v>21630400</v>
      </c>
      <c r="N747" s="2951">
        <v>21630400</v>
      </c>
      <c r="O747" s="2952">
        <v>21630400</v>
      </c>
      <c r="P747" s="2953">
        <v>21630400</v>
      </c>
      <c r="Q747" s="2951">
        <v>21630400</v>
      </c>
      <c r="R747" s="2954">
        <v>44553</v>
      </c>
      <c r="S747" s="2954">
        <v>44559</v>
      </c>
      <c r="T747" s="2954">
        <v>44754</v>
      </c>
      <c r="U747" s="2954">
        <v>44754</v>
      </c>
      <c r="V747" s="2948" t="s">
        <v>1481</v>
      </c>
    </row>
    <row r="748" spans="1:22" s="2944" customFormat="1" ht="46.8" hidden="1">
      <c r="A748" s="2948">
        <v>747</v>
      </c>
      <c r="B748" s="2948" t="s">
        <v>635</v>
      </c>
      <c r="C748" s="2948" t="s">
        <v>636</v>
      </c>
      <c r="D748" s="2948" t="s">
        <v>1462</v>
      </c>
      <c r="E748" s="2948" t="s">
        <v>729</v>
      </c>
      <c r="F748" s="2948" t="s">
        <v>683</v>
      </c>
      <c r="G748" s="2948" t="s">
        <v>640</v>
      </c>
      <c r="H748" s="2948" t="s">
        <v>1463</v>
      </c>
      <c r="I748" s="2948" t="s">
        <v>642</v>
      </c>
      <c r="J748" s="2948" t="s">
        <v>643</v>
      </c>
      <c r="K748" s="2950">
        <v>196.64</v>
      </c>
      <c r="L748" s="2950">
        <v>158.69999999999999</v>
      </c>
      <c r="M748" s="2951">
        <v>21630400</v>
      </c>
      <c r="N748" s="2951">
        <v>21630400</v>
      </c>
      <c r="O748" s="2952">
        <v>21630400</v>
      </c>
      <c r="P748" s="2953">
        <v>21630400</v>
      </c>
      <c r="Q748" s="2951">
        <v>21630400</v>
      </c>
      <c r="R748" s="2954">
        <v>44453</v>
      </c>
      <c r="S748" s="2954">
        <v>44459</v>
      </c>
      <c r="T748" s="2954">
        <v>44505</v>
      </c>
      <c r="U748" s="2954">
        <v>44505</v>
      </c>
      <c r="V748" s="2948" t="s">
        <v>1482</v>
      </c>
    </row>
    <row r="749" spans="1:22" s="2944" customFormat="1" ht="46.8" hidden="1">
      <c r="A749" s="2948">
        <v>748</v>
      </c>
      <c r="B749" s="2948" t="s">
        <v>635</v>
      </c>
      <c r="C749" s="2948" t="s">
        <v>636</v>
      </c>
      <c r="D749" s="2948" t="s">
        <v>1462</v>
      </c>
      <c r="E749" s="2948" t="s">
        <v>729</v>
      </c>
      <c r="F749" s="2948" t="s">
        <v>685</v>
      </c>
      <c r="G749" s="2948" t="s">
        <v>640</v>
      </c>
      <c r="H749" s="2948" t="s">
        <v>1463</v>
      </c>
      <c r="I749" s="2948" t="s">
        <v>642</v>
      </c>
      <c r="J749" s="2948" t="s">
        <v>643</v>
      </c>
      <c r="K749" s="2950">
        <v>196.64</v>
      </c>
      <c r="L749" s="2950">
        <v>158.69999999999999</v>
      </c>
      <c r="M749" s="2951">
        <v>21630400</v>
      </c>
      <c r="N749" s="2951">
        <v>21630400</v>
      </c>
      <c r="O749" s="2952">
        <v>21630400</v>
      </c>
      <c r="P749" s="2953">
        <v>21630400</v>
      </c>
      <c r="Q749" s="2951">
        <v>21630400</v>
      </c>
      <c r="R749" s="2954">
        <v>44450</v>
      </c>
      <c r="S749" s="2954">
        <v>44459</v>
      </c>
      <c r="T749" s="2954">
        <v>44506</v>
      </c>
      <c r="U749" s="2954">
        <v>44506</v>
      </c>
      <c r="V749" s="2948" t="s">
        <v>1483</v>
      </c>
    </row>
    <row r="750" spans="1:22" s="2944" customFormat="1" ht="46.8" hidden="1">
      <c r="A750" s="2948">
        <v>749</v>
      </c>
      <c r="B750" s="2948" t="s">
        <v>635</v>
      </c>
      <c r="C750" s="2948" t="s">
        <v>636</v>
      </c>
      <c r="D750" s="2948" t="s">
        <v>1462</v>
      </c>
      <c r="E750" s="2948" t="s">
        <v>729</v>
      </c>
      <c r="F750" s="2948" t="s">
        <v>687</v>
      </c>
      <c r="G750" s="2948" t="s">
        <v>640</v>
      </c>
      <c r="H750" s="2948" t="s">
        <v>1463</v>
      </c>
      <c r="I750" s="2948" t="s">
        <v>642</v>
      </c>
      <c r="J750" s="2948" t="s">
        <v>643</v>
      </c>
      <c r="K750" s="2950">
        <v>196.64</v>
      </c>
      <c r="L750" s="2950">
        <v>158.69999999999999</v>
      </c>
      <c r="M750" s="2951">
        <v>21630400</v>
      </c>
      <c r="N750" s="2951">
        <v>21630400</v>
      </c>
      <c r="O750" s="2952">
        <v>21630400</v>
      </c>
      <c r="P750" s="2953">
        <v>21630400</v>
      </c>
      <c r="Q750" s="2951">
        <v>21630400</v>
      </c>
      <c r="R750" s="2954">
        <v>44462</v>
      </c>
      <c r="S750" s="2954">
        <v>44464</v>
      </c>
      <c r="T750" s="2954">
        <v>44533</v>
      </c>
      <c r="U750" s="2954">
        <v>44533</v>
      </c>
      <c r="V750" s="2948" t="s">
        <v>1484</v>
      </c>
    </row>
    <row r="751" spans="1:22" s="2944" customFormat="1" ht="46.8" hidden="1">
      <c r="A751" s="2948">
        <v>750</v>
      </c>
      <c r="B751" s="2948" t="s">
        <v>635</v>
      </c>
      <c r="C751" s="2948" t="s">
        <v>636</v>
      </c>
      <c r="D751" s="2948" t="s">
        <v>1462</v>
      </c>
      <c r="E751" s="2948" t="s">
        <v>729</v>
      </c>
      <c r="F751" s="2948" t="s">
        <v>689</v>
      </c>
      <c r="G751" s="2948" t="s">
        <v>640</v>
      </c>
      <c r="H751" s="2948" t="s">
        <v>1463</v>
      </c>
      <c r="I751" s="2948" t="s">
        <v>642</v>
      </c>
      <c r="J751" s="2948" t="s">
        <v>643</v>
      </c>
      <c r="K751" s="2950">
        <v>196.64</v>
      </c>
      <c r="L751" s="2950">
        <v>158.69999999999999</v>
      </c>
      <c r="M751" s="2951">
        <v>21630400</v>
      </c>
      <c r="N751" s="2951">
        <v>21630400</v>
      </c>
      <c r="O751" s="2952">
        <v>21630400</v>
      </c>
      <c r="P751" s="2953">
        <v>21630400</v>
      </c>
      <c r="Q751" s="2951">
        <v>21630400</v>
      </c>
      <c r="R751" s="2954">
        <v>44452</v>
      </c>
      <c r="S751" s="2954">
        <v>44459</v>
      </c>
      <c r="T751" s="2954">
        <v>44774</v>
      </c>
      <c r="U751" s="2954">
        <v>44757</v>
      </c>
      <c r="V751" s="2948" t="s">
        <v>1485</v>
      </c>
    </row>
    <row r="752" spans="1:22" s="2944" customFormat="1" ht="46.8" hidden="1">
      <c r="A752" s="2948">
        <v>751</v>
      </c>
      <c r="B752" s="2948" t="s">
        <v>635</v>
      </c>
      <c r="C752" s="2948" t="s">
        <v>636</v>
      </c>
      <c r="D752" s="2948" t="s">
        <v>1462</v>
      </c>
      <c r="E752" s="2948" t="s">
        <v>729</v>
      </c>
      <c r="F752" s="2948" t="s">
        <v>691</v>
      </c>
      <c r="G752" s="2948" t="s">
        <v>640</v>
      </c>
      <c r="H752" s="2948" t="s">
        <v>1463</v>
      </c>
      <c r="I752" s="2948" t="s">
        <v>642</v>
      </c>
      <c r="J752" s="2948" t="s">
        <v>643</v>
      </c>
      <c r="K752" s="2950">
        <v>196.64</v>
      </c>
      <c r="L752" s="2950">
        <v>158.69999999999999</v>
      </c>
      <c r="M752" s="2951">
        <v>21630400</v>
      </c>
      <c r="N752" s="2951">
        <v>21630400</v>
      </c>
      <c r="O752" s="2952">
        <v>21630400</v>
      </c>
      <c r="P752" s="2953">
        <v>21630400</v>
      </c>
      <c r="Q752" s="2951">
        <v>21630400</v>
      </c>
      <c r="R752" s="2954">
        <v>44498</v>
      </c>
      <c r="S752" s="2954">
        <v>44529</v>
      </c>
      <c r="T752" s="2954">
        <v>44637</v>
      </c>
      <c r="U752" s="2954">
        <v>44637</v>
      </c>
      <c r="V752" s="2948" t="s">
        <v>1486</v>
      </c>
    </row>
    <row r="753" spans="1:22" s="2944" customFormat="1" ht="46.8" hidden="1">
      <c r="A753" s="2948">
        <v>752</v>
      </c>
      <c r="B753" s="2948" t="s">
        <v>635</v>
      </c>
      <c r="C753" s="2948" t="s">
        <v>636</v>
      </c>
      <c r="D753" s="2948" t="s">
        <v>1462</v>
      </c>
      <c r="E753" s="2948" t="s">
        <v>729</v>
      </c>
      <c r="F753" s="2948" t="s">
        <v>693</v>
      </c>
      <c r="G753" s="2948" t="s">
        <v>640</v>
      </c>
      <c r="H753" s="2948" t="s">
        <v>1463</v>
      </c>
      <c r="I753" s="2948" t="s">
        <v>642</v>
      </c>
      <c r="J753" s="2948" t="s">
        <v>643</v>
      </c>
      <c r="K753" s="2950">
        <v>196.64</v>
      </c>
      <c r="L753" s="2950">
        <v>158.69999999999999</v>
      </c>
      <c r="M753" s="2951">
        <v>21630400</v>
      </c>
      <c r="N753" s="2951">
        <v>21630400</v>
      </c>
      <c r="O753" s="2952">
        <v>21630400</v>
      </c>
      <c r="P753" s="2953">
        <v>21630400</v>
      </c>
      <c r="Q753" s="2951">
        <v>21630400</v>
      </c>
      <c r="R753" s="2954">
        <v>44449</v>
      </c>
      <c r="S753" s="2954">
        <v>44459</v>
      </c>
      <c r="T753" s="2954">
        <v>44737</v>
      </c>
      <c r="U753" s="2954">
        <v>44737</v>
      </c>
      <c r="V753" s="2948" t="s">
        <v>1487</v>
      </c>
    </row>
    <row r="754" spans="1:22" s="2944" customFormat="1" ht="46.8" hidden="1">
      <c r="A754" s="2948">
        <v>753</v>
      </c>
      <c r="B754" s="2948" t="s">
        <v>635</v>
      </c>
      <c r="C754" s="2948" t="s">
        <v>636</v>
      </c>
      <c r="D754" s="2948" t="s">
        <v>1462</v>
      </c>
      <c r="E754" s="2948" t="s">
        <v>729</v>
      </c>
      <c r="F754" s="2948" t="s">
        <v>694</v>
      </c>
      <c r="G754" s="2948" t="s">
        <v>640</v>
      </c>
      <c r="H754" s="2948" t="s">
        <v>1463</v>
      </c>
      <c r="I754" s="2948" t="s">
        <v>642</v>
      </c>
      <c r="J754" s="2948" t="s">
        <v>643</v>
      </c>
      <c r="K754" s="2950">
        <v>196.64</v>
      </c>
      <c r="L754" s="2950">
        <v>158.69999999999999</v>
      </c>
      <c r="M754" s="2951">
        <v>21630400</v>
      </c>
      <c r="N754" s="2951">
        <v>21630400</v>
      </c>
      <c r="O754" s="2952">
        <v>21630400</v>
      </c>
      <c r="P754" s="2953">
        <v>21630400</v>
      </c>
      <c r="Q754" s="2951">
        <v>21630400</v>
      </c>
      <c r="R754" s="2954">
        <v>44451</v>
      </c>
      <c r="S754" s="2954">
        <v>44459</v>
      </c>
      <c r="T754" s="2954">
        <v>44502</v>
      </c>
      <c r="U754" s="2954">
        <v>44502</v>
      </c>
      <c r="V754" s="2948" t="s">
        <v>1488</v>
      </c>
    </row>
    <row r="755" spans="1:22" s="2944" customFormat="1" ht="46.8" hidden="1">
      <c r="A755" s="2948">
        <v>754</v>
      </c>
      <c r="B755" s="2948" t="s">
        <v>635</v>
      </c>
      <c r="C755" s="2948" t="s">
        <v>636</v>
      </c>
      <c r="D755" s="2948" t="s">
        <v>1462</v>
      </c>
      <c r="E755" s="2948" t="s">
        <v>729</v>
      </c>
      <c r="F755" s="2948" t="s">
        <v>696</v>
      </c>
      <c r="G755" s="2948" t="s">
        <v>640</v>
      </c>
      <c r="H755" s="2948" t="s">
        <v>1463</v>
      </c>
      <c r="I755" s="2948" t="s">
        <v>642</v>
      </c>
      <c r="J755" s="2948" t="s">
        <v>643</v>
      </c>
      <c r="K755" s="2950">
        <v>196.64</v>
      </c>
      <c r="L755" s="2950">
        <v>158.69999999999999</v>
      </c>
      <c r="M755" s="2951">
        <v>21532080</v>
      </c>
      <c r="N755" s="2951">
        <v>21532080</v>
      </c>
      <c r="O755" s="2952">
        <v>20455476</v>
      </c>
      <c r="P755" s="2953">
        <v>20455476</v>
      </c>
      <c r="Q755" s="2951">
        <v>20455476</v>
      </c>
      <c r="R755" s="2954">
        <v>44803</v>
      </c>
      <c r="S755" s="2954">
        <v>44804</v>
      </c>
      <c r="T755" s="2954">
        <v>44832</v>
      </c>
      <c r="U755" s="2954">
        <v>44832</v>
      </c>
      <c r="V755" s="2948" t="s">
        <v>1489</v>
      </c>
    </row>
    <row r="756" spans="1:22" s="2944" customFormat="1" ht="46.8" hidden="1">
      <c r="A756" s="2948">
        <v>755</v>
      </c>
      <c r="B756" s="2948" t="s">
        <v>635</v>
      </c>
      <c r="C756" s="2948" t="s">
        <v>636</v>
      </c>
      <c r="D756" s="2948" t="s">
        <v>1462</v>
      </c>
      <c r="E756" s="2948" t="s">
        <v>729</v>
      </c>
      <c r="F756" s="2948" t="s">
        <v>698</v>
      </c>
      <c r="G756" s="2948" t="s">
        <v>640</v>
      </c>
      <c r="H756" s="2948" t="s">
        <v>1463</v>
      </c>
      <c r="I756" s="2948" t="s">
        <v>642</v>
      </c>
      <c r="J756" s="2948" t="s">
        <v>643</v>
      </c>
      <c r="K756" s="2950">
        <v>196.64</v>
      </c>
      <c r="L756" s="2950">
        <v>158.69999999999999</v>
      </c>
      <c r="M756" s="2951">
        <v>21532080</v>
      </c>
      <c r="N756" s="2951">
        <v>21532080</v>
      </c>
      <c r="O756" s="2952">
        <v>21532080</v>
      </c>
      <c r="P756" s="2953">
        <v>21532080</v>
      </c>
      <c r="Q756" s="2951">
        <v>21532080</v>
      </c>
      <c r="R756" s="2954">
        <v>44557</v>
      </c>
      <c r="S756" s="2954">
        <v>44620</v>
      </c>
      <c r="T756" s="2954">
        <v>44769</v>
      </c>
      <c r="U756" s="2954">
        <v>44769</v>
      </c>
      <c r="V756" s="2948" t="s">
        <v>1490</v>
      </c>
    </row>
    <row r="757" spans="1:22" s="2944" customFormat="1" ht="46.8" hidden="1">
      <c r="A757" s="2948">
        <v>756</v>
      </c>
      <c r="B757" s="2948" t="s">
        <v>635</v>
      </c>
      <c r="C757" s="2948" t="s">
        <v>636</v>
      </c>
      <c r="D757" s="2948" t="s">
        <v>1491</v>
      </c>
      <c r="E757" s="2948" t="s">
        <v>638</v>
      </c>
      <c r="F757" s="2948" t="s">
        <v>639</v>
      </c>
      <c r="G757" s="2948" t="s">
        <v>640</v>
      </c>
      <c r="H757" s="2948" t="s">
        <v>1492</v>
      </c>
      <c r="I757" s="2948" t="s">
        <v>642</v>
      </c>
      <c r="J757" s="2948" t="s">
        <v>643</v>
      </c>
      <c r="K757" s="2950">
        <v>127.97</v>
      </c>
      <c r="L757" s="2950">
        <v>97.62</v>
      </c>
      <c r="M757" s="2951">
        <v>12198868</v>
      </c>
      <c r="N757" s="2951">
        <v>12198868</v>
      </c>
      <c r="O757" s="2952">
        <v>12198868</v>
      </c>
      <c r="P757" s="2953">
        <v>12198868</v>
      </c>
      <c r="Q757" s="2951">
        <v>12198868</v>
      </c>
      <c r="R757" s="2954">
        <v>44650</v>
      </c>
      <c r="S757" s="2954">
        <v>44651</v>
      </c>
      <c r="T757" s="2954">
        <v>44735</v>
      </c>
      <c r="U757" s="2954">
        <v>44735</v>
      </c>
      <c r="V757" s="2948" t="s">
        <v>1493</v>
      </c>
    </row>
    <row r="758" spans="1:22" s="2944" customFormat="1" ht="46.8" hidden="1">
      <c r="A758" s="2948">
        <v>757</v>
      </c>
      <c r="B758" s="2948" t="s">
        <v>635</v>
      </c>
      <c r="C758" s="2948" t="s">
        <v>636</v>
      </c>
      <c r="D758" s="2948" t="s">
        <v>1491</v>
      </c>
      <c r="E758" s="2948" t="s">
        <v>638</v>
      </c>
      <c r="F758" s="2948" t="s">
        <v>645</v>
      </c>
      <c r="G758" s="2948" t="s">
        <v>640</v>
      </c>
      <c r="H758" s="2948" t="s">
        <v>1494</v>
      </c>
      <c r="I758" s="2948" t="s">
        <v>642</v>
      </c>
      <c r="J758" s="2948" t="s">
        <v>643</v>
      </c>
      <c r="K758" s="2950">
        <v>125.4</v>
      </c>
      <c r="L758" s="2950">
        <v>95.66</v>
      </c>
      <c r="M758" s="2951">
        <v>12330080</v>
      </c>
      <c r="N758" s="2951">
        <v>12330080</v>
      </c>
      <c r="O758" s="2952">
        <v>12330080</v>
      </c>
      <c r="P758" s="2953">
        <v>12330080</v>
      </c>
      <c r="Q758" s="2951">
        <v>12330080</v>
      </c>
      <c r="R758" s="2954">
        <v>44641</v>
      </c>
      <c r="S758" s="2954">
        <v>44646</v>
      </c>
      <c r="T758" s="2954">
        <v>44739</v>
      </c>
      <c r="U758" s="2954">
        <v>44739</v>
      </c>
      <c r="V758" s="2948" t="s">
        <v>1495</v>
      </c>
    </row>
    <row r="759" spans="1:22" s="2944" customFormat="1" ht="46.8" hidden="1">
      <c r="A759" s="2948">
        <v>758</v>
      </c>
      <c r="B759" s="2948" t="s">
        <v>635</v>
      </c>
      <c r="C759" s="2948" t="s">
        <v>636</v>
      </c>
      <c r="D759" s="2948" t="s">
        <v>1491</v>
      </c>
      <c r="E759" s="2948" t="s">
        <v>638</v>
      </c>
      <c r="F759" s="2948" t="s">
        <v>648</v>
      </c>
      <c r="G759" s="2948" t="s">
        <v>640</v>
      </c>
      <c r="H759" s="2948" t="s">
        <v>1496</v>
      </c>
      <c r="I759" s="2948" t="s">
        <v>642</v>
      </c>
      <c r="J759" s="2948" t="s">
        <v>643</v>
      </c>
      <c r="K759" s="2950">
        <v>145.59</v>
      </c>
      <c r="L759" s="2950">
        <v>111.06</v>
      </c>
      <c r="M759" s="2951">
        <v>14752052</v>
      </c>
      <c r="N759" s="2951">
        <v>14752052</v>
      </c>
      <c r="O759" s="2952">
        <v>14752052</v>
      </c>
      <c r="P759" s="2953">
        <v>14752052</v>
      </c>
      <c r="Q759" s="2951">
        <v>14752052</v>
      </c>
      <c r="R759" s="2954">
        <v>44498</v>
      </c>
      <c r="S759" s="2954">
        <v>44526</v>
      </c>
      <c r="T759" s="2954">
        <v>44638</v>
      </c>
      <c r="U759" s="2954">
        <v>44638</v>
      </c>
      <c r="V759" s="2948" t="s">
        <v>1497</v>
      </c>
    </row>
    <row r="760" spans="1:22" s="2944" customFormat="1" ht="46.8" hidden="1">
      <c r="A760" s="2948">
        <v>759</v>
      </c>
      <c r="B760" s="2948" t="s">
        <v>635</v>
      </c>
      <c r="C760" s="2948" t="s">
        <v>636</v>
      </c>
      <c r="D760" s="2948" t="s">
        <v>1491</v>
      </c>
      <c r="E760" s="2948" t="s">
        <v>638</v>
      </c>
      <c r="F760" s="2948" t="s">
        <v>651</v>
      </c>
      <c r="G760" s="2948" t="s">
        <v>640</v>
      </c>
      <c r="H760" s="2948" t="s">
        <v>1494</v>
      </c>
      <c r="I760" s="2948" t="s">
        <v>642</v>
      </c>
      <c r="J760" s="2948" t="s">
        <v>643</v>
      </c>
      <c r="K760" s="2950">
        <v>125.4</v>
      </c>
      <c r="L760" s="2950">
        <v>95.66</v>
      </c>
      <c r="M760" s="2951">
        <v>13082480</v>
      </c>
      <c r="N760" s="2951">
        <v>13082480</v>
      </c>
      <c r="O760" s="2952">
        <v>12428356</v>
      </c>
      <c r="P760" s="2953">
        <v>12428356</v>
      </c>
      <c r="Q760" s="2951">
        <v>12428356</v>
      </c>
      <c r="R760" s="2954">
        <v>44650</v>
      </c>
      <c r="S760" s="2954">
        <v>44665</v>
      </c>
      <c r="T760" s="2954">
        <v>44726</v>
      </c>
      <c r="U760" s="2954">
        <v>44726</v>
      </c>
      <c r="V760" s="2948" t="s">
        <v>1498</v>
      </c>
    </row>
    <row r="761" spans="1:22" s="2944" customFormat="1" ht="46.8" hidden="1">
      <c r="A761" s="2948">
        <v>760</v>
      </c>
      <c r="B761" s="2948" t="s">
        <v>635</v>
      </c>
      <c r="C761" s="2948" t="s">
        <v>636</v>
      </c>
      <c r="D761" s="2948" t="s">
        <v>1491</v>
      </c>
      <c r="E761" s="2948" t="s">
        <v>638</v>
      </c>
      <c r="F761" s="2948" t="s">
        <v>653</v>
      </c>
      <c r="G761" s="2948" t="s">
        <v>640</v>
      </c>
      <c r="H761" s="2948" t="s">
        <v>1496</v>
      </c>
      <c r="I761" s="2948" t="s">
        <v>642</v>
      </c>
      <c r="J761" s="2948" t="s">
        <v>643</v>
      </c>
      <c r="K761" s="2950">
        <v>145.59</v>
      </c>
      <c r="L761" s="2950">
        <v>111.06</v>
      </c>
      <c r="M761" s="2951">
        <v>14897642</v>
      </c>
      <c r="N761" s="2951">
        <v>14897642</v>
      </c>
      <c r="O761" s="2952">
        <v>14897642</v>
      </c>
      <c r="P761" s="2953">
        <v>14897642</v>
      </c>
      <c r="Q761" s="2951">
        <v>14897642</v>
      </c>
      <c r="R761" s="2954">
        <v>44449</v>
      </c>
      <c r="S761" s="2954">
        <v>44457</v>
      </c>
      <c r="T761" s="2954">
        <v>44504</v>
      </c>
      <c r="U761" s="2954">
        <v>44504</v>
      </c>
      <c r="V761" s="2948" t="s">
        <v>1499</v>
      </c>
    </row>
    <row r="762" spans="1:22" s="2944" customFormat="1" ht="46.8" hidden="1">
      <c r="A762" s="2948">
        <v>761</v>
      </c>
      <c r="B762" s="2948" t="s">
        <v>635</v>
      </c>
      <c r="C762" s="2948" t="s">
        <v>636</v>
      </c>
      <c r="D762" s="2948" t="s">
        <v>1491</v>
      </c>
      <c r="E762" s="2948" t="s">
        <v>638</v>
      </c>
      <c r="F762" s="2948" t="s">
        <v>655</v>
      </c>
      <c r="G762" s="2948" t="s">
        <v>640</v>
      </c>
      <c r="H762" s="2948" t="s">
        <v>1494</v>
      </c>
      <c r="I762" s="2948" t="s">
        <v>642</v>
      </c>
      <c r="J762" s="2948" t="s">
        <v>643</v>
      </c>
      <c r="K762" s="2950">
        <v>125.4</v>
      </c>
      <c r="L762" s="2950">
        <v>95.66</v>
      </c>
      <c r="M762" s="2951">
        <v>13207880</v>
      </c>
      <c r="N762" s="2951">
        <v>13207880</v>
      </c>
      <c r="O762" s="2952">
        <v>13207880</v>
      </c>
      <c r="P762" s="2953">
        <v>13207880</v>
      </c>
      <c r="Q762" s="2951">
        <v>13207880</v>
      </c>
      <c r="R762" s="2954">
        <v>44519</v>
      </c>
      <c r="S762" s="2954">
        <v>44529</v>
      </c>
      <c r="T762" s="2954">
        <v>44531</v>
      </c>
      <c r="U762" s="2954">
        <v>44531</v>
      </c>
      <c r="V762" s="2948" t="s">
        <v>1500</v>
      </c>
    </row>
    <row r="763" spans="1:22" s="2944" customFormat="1" ht="46.8" hidden="1">
      <c r="A763" s="2948">
        <v>762</v>
      </c>
      <c r="B763" s="2948" t="s">
        <v>635</v>
      </c>
      <c r="C763" s="2948" t="s">
        <v>636</v>
      </c>
      <c r="D763" s="2948" t="s">
        <v>1491</v>
      </c>
      <c r="E763" s="2948" t="s">
        <v>638</v>
      </c>
      <c r="F763" s="2948" t="s">
        <v>657</v>
      </c>
      <c r="G763" s="2948" t="s">
        <v>640</v>
      </c>
      <c r="H763" s="2948" t="s">
        <v>1496</v>
      </c>
      <c r="I763" s="2948" t="s">
        <v>642</v>
      </c>
      <c r="J763" s="2948" t="s">
        <v>643</v>
      </c>
      <c r="K763" s="2950">
        <v>145.59</v>
      </c>
      <c r="L763" s="2950">
        <v>111.06</v>
      </c>
      <c r="M763" s="2951">
        <v>15043232</v>
      </c>
      <c r="N763" s="2951">
        <v>15043232</v>
      </c>
      <c r="O763" s="2952">
        <v>15043232</v>
      </c>
      <c r="P763" s="2953">
        <v>15043232</v>
      </c>
      <c r="Q763" s="2951">
        <v>15043232</v>
      </c>
      <c r="R763" s="2954">
        <v>44651</v>
      </c>
      <c r="S763" s="2954">
        <v>44651</v>
      </c>
      <c r="T763" s="2954">
        <v>44657</v>
      </c>
      <c r="U763" s="2954">
        <v>44657</v>
      </c>
      <c r="V763" s="2948" t="s">
        <v>1501</v>
      </c>
    </row>
    <row r="764" spans="1:22" s="2944" customFormat="1" ht="46.8" hidden="1">
      <c r="A764" s="2948">
        <v>763</v>
      </c>
      <c r="B764" s="2948" t="s">
        <v>635</v>
      </c>
      <c r="C764" s="2948" t="s">
        <v>636</v>
      </c>
      <c r="D764" s="2948" t="s">
        <v>1491</v>
      </c>
      <c r="E764" s="2948" t="s">
        <v>638</v>
      </c>
      <c r="F764" s="2948" t="s">
        <v>659</v>
      </c>
      <c r="G764" s="2948" t="s">
        <v>640</v>
      </c>
      <c r="H764" s="2948" t="s">
        <v>1494</v>
      </c>
      <c r="I764" s="2948" t="s">
        <v>642</v>
      </c>
      <c r="J764" s="2948" t="s">
        <v>643</v>
      </c>
      <c r="K764" s="2950">
        <v>125.4</v>
      </c>
      <c r="L764" s="2950">
        <v>95.66</v>
      </c>
      <c r="M764" s="2951">
        <v>13333280</v>
      </c>
      <c r="N764" s="2951">
        <v>13333280</v>
      </c>
      <c r="O764" s="2952">
        <v>13333280</v>
      </c>
      <c r="P764" s="2953">
        <v>13333280</v>
      </c>
      <c r="Q764" s="2951">
        <v>13333280</v>
      </c>
      <c r="R764" s="2954">
        <v>44478</v>
      </c>
      <c r="S764" s="2954">
        <v>44492</v>
      </c>
      <c r="T764" s="2954">
        <v>44642</v>
      </c>
      <c r="U764" s="2954">
        <v>44642</v>
      </c>
      <c r="V764" s="2948" t="s">
        <v>1502</v>
      </c>
    </row>
    <row r="765" spans="1:22" s="2944" customFormat="1" ht="46.8" hidden="1">
      <c r="A765" s="2948">
        <v>764</v>
      </c>
      <c r="B765" s="2948" t="s">
        <v>635</v>
      </c>
      <c r="C765" s="2948" t="s">
        <v>636</v>
      </c>
      <c r="D765" s="2948" t="s">
        <v>1491</v>
      </c>
      <c r="E765" s="2948" t="s">
        <v>638</v>
      </c>
      <c r="F765" s="2948" t="s">
        <v>661</v>
      </c>
      <c r="G765" s="2948" t="s">
        <v>640</v>
      </c>
      <c r="H765" s="2948" t="s">
        <v>1496</v>
      </c>
      <c r="I765" s="2948" t="s">
        <v>642</v>
      </c>
      <c r="J765" s="2948" t="s">
        <v>643</v>
      </c>
      <c r="K765" s="2950">
        <v>145.59</v>
      </c>
      <c r="L765" s="2950">
        <v>111.06</v>
      </c>
      <c r="M765" s="2951">
        <v>15188822</v>
      </c>
      <c r="N765" s="2951">
        <v>15188822</v>
      </c>
      <c r="O765" s="2952">
        <v>15188822</v>
      </c>
      <c r="P765" s="2953">
        <v>15188822</v>
      </c>
      <c r="Q765" s="2951">
        <v>15188822</v>
      </c>
      <c r="R765" s="2954">
        <v>44449</v>
      </c>
      <c r="S765" s="2954">
        <v>44460</v>
      </c>
      <c r="T765" s="2954">
        <v>44637</v>
      </c>
      <c r="U765" s="2954">
        <v>44637</v>
      </c>
      <c r="V765" s="2948" t="s">
        <v>1503</v>
      </c>
    </row>
    <row r="766" spans="1:22" s="2944" customFormat="1" ht="46.8" hidden="1">
      <c r="A766" s="2948">
        <v>765</v>
      </c>
      <c r="B766" s="2948" t="s">
        <v>635</v>
      </c>
      <c r="C766" s="2948" t="s">
        <v>636</v>
      </c>
      <c r="D766" s="2948" t="s">
        <v>1491</v>
      </c>
      <c r="E766" s="2948" t="s">
        <v>638</v>
      </c>
      <c r="F766" s="2948" t="s">
        <v>663</v>
      </c>
      <c r="G766" s="2948" t="s">
        <v>640</v>
      </c>
      <c r="H766" s="2948" t="s">
        <v>1494</v>
      </c>
      <c r="I766" s="2948" t="s">
        <v>642</v>
      </c>
      <c r="J766" s="2948" t="s">
        <v>643</v>
      </c>
      <c r="K766" s="2950">
        <v>125.4</v>
      </c>
      <c r="L766" s="2950">
        <v>95.66</v>
      </c>
      <c r="M766" s="2951">
        <v>13458680</v>
      </c>
      <c r="N766" s="2951">
        <v>13458680</v>
      </c>
      <c r="O766" s="2952">
        <v>13458680</v>
      </c>
      <c r="P766" s="2953">
        <v>13458680</v>
      </c>
      <c r="Q766" s="2951">
        <v>13458680</v>
      </c>
      <c r="R766" s="2954">
        <v>44451</v>
      </c>
      <c r="S766" s="2954">
        <v>44458</v>
      </c>
      <c r="T766" s="2954">
        <v>44509</v>
      </c>
      <c r="U766" s="2954">
        <v>44509</v>
      </c>
      <c r="V766" s="2948" t="s">
        <v>1504</v>
      </c>
    </row>
    <row r="767" spans="1:22" s="2944" customFormat="1" ht="46.8" hidden="1">
      <c r="A767" s="2948">
        <v>766</v>
      </c>
      <c r="B767" s="2948" t="s">
        <v>635</v>
      </c>
      <c r="C767" s="2948" t="s">
        <v>636</v>
      </c>
      <c r="D767" s="2948" t="s">
        <v>1491</v>
      </c>
      <c r="E767" s="2948" t="s">
        <v>638</v>
      </c>
      <c r="F767" s="2948" t="s">
        <v>665</v>
      </c>
      <c r="G767" s="2948" t="s">
        <v>640</v>
      </c>
      <c r="H767" s="2948" t="s">
        <v>1496</v>
      </c>
      <c r="I767" s="2948" t="s">
        <v>642</v>
      </c>
      <c r="J767" s="2948" t="s">
        <v>643</v>
      </c>
      <c r="K767" s="2950">
        <v>145.59</v>
      </c>
      <c r="L767" s="2950">
        <v>111.06</v>
      </c>
      <c r="M767" s="2951">
        <v>15407207</v>
      </c>
      <c r="N767" s="2951">
        <v>15407207</v>
      </c>
      <c r="O767" s="2952">
        <v>15407207</v>
      </c>
      <c r="P767" s="2953">
        <v>15407207</v>
      </c>
      <c r="Q767" s="2951">
        <v>15407207</v>
      </c>
      <c r="R767" s="2954">
        <v>44450</v>
      </c>
      <c r="S767" s="2954">
        <v>44463</v>
      </c>
      <c r="T767" s="2954">
        <v>44506</v>
      </c>
      <c r="U767" s="2954">
        <v>44506</v>
      </c>
      <c r="V767" s="2948" t="s">
        <v>1505</v>
      </c>
    </row>
    <row r="768" spans="1:22" s="2944" customFormat="1" ht="46.8" hidden="1">
      <c r="A768" s="2948">
        <v>767</v>
      </c>
      <c r="B768" s="2948" t="s">
        <v>635</v>
      </c>
      <c r="C768" s="2948" t="s">
        <v>636</v>
      </c>
      <c r="D768" s="2948" t="s">
        <v>1491</v>
      </c>
      <c r="E768" s="2948" t="s">
        <v>638</v>
      </c>
      <c r="F768" s="2948" t="s">
        <v>667</v>
      </c>
      <c r="G768" s="2948" t="s">
        <v>640</v>
      </c>
      <c r="H768" s="2948" t="s">
        <v>1494</v>
      </c>
      <c r="I768" s="2948" t="s">
        <v>642</v>
      </c>
      <c r="J768" s="2948" t="s">
        <v>643</v>
      </c>
      <c r="K768" s="2950">
        <v>125.4</v>
      </c>
      <c r="L768" s="2950">
        <v>95.66</v>
      </c>
      <c r="M768" s="2951">
        <v>13646780</v>
      </c>
      <c r="N768" s="2951">
        <v>13646780</v>
      </c>
      <c r="O768" s="2952">
        <v>13646780</v>
      </c>
      <c r="P768" s="2953">
        <v>13646780</v>
      </c>
      <c r="Q768" s="2951">
        <v>13646780</v>
      </c>
      <c r="R768" s="2954">
        <v>44450</v>
      </c>
      <c r="S768" s="2954">
        <v>44459</v>
      </c>
      <c r="T768" s="2954">
        <v>44504</v>
      </c>
      <c r="U768" s="2954">
        <v>44504</v>
      </c>
      <c r="V768" s="2948" t="s">
        <v>1506</v>
      </c>
    </row>
    <row r="769" spans="1:22" s="2944" customFormat="1" ht="46.8" hidden="1">
      <c r="A769" s="2948">
        <v>768</v>
      </c>
      <c r="B769" s="2948" t="s">
        <v>635</v>
      </c>
      <c r="C769" s="2948" t="s">
        <v>636</v>
      </c>
      <c r="D769" s="2948" t="s">
        <v>1491</v>
      </c>
      <c r="E769" s="2948" t="s">
        <v>638</v>
      </c>
      <c r="F769" s="2948" t="s">
        <v>669</v>
      </c>
      <c r="G769" s="2948" t="s">
        <v>640</v>
      </c>
      <c r="H769" s="2948" t="s">
        <v>1496</v>
      </c>
      <c r="I769" s="2948" t="s">
        <v>642</v>
      </c>
      <c r="J769" s="2948" t="s">
        <v>643</v>
      </c>
      <c r="K769" s="2950">
        <v>145.59</v>
      </c>
      <c r="L769" s="2950">
        <v>111.06</v>
      </c>
      <c r="M769" s="2951">
        <v>15421766</v>
      </c>
      <c r="N769" s="2951">
        <v>15421766</v>
      </c>
      <c r="O769" s="2952">
        <v>15421766</v>
      </c>
      <c r="P769" s="2953">
        <v>15421766</v>
      </c>
      <c r="Q769" s="2951">
        <v>15421766</v>
      </c>
      <c r="R769" s="2954">
        <v>44449</v>
      </c>
      <c r="S769" s="2954">
        <v>44461</v>
      </c>
      <c r="T769" s="2954">
        <v>44639</v>
      </c>
      <c r="U769" s="2954">
        <v>44639</v>
      </c>
      <c r="V769" s="2948" t="s">
        <v>1507</v>
      </c>
    </row>
    <row r="770" spans="1:22" s="2944" customFormat="1" ht="46.8" hidden="1">
      <c r="A770" s="2948">
        <v>769</v>
      </c>
      <c r="B770" s="2948" t="s">
        <v>635</v>
      </c>
      <c r="C770" s="2948" t="s">
        <v>636</v>
      </c>
      <c r="D770" s="2948" t="s">
        <v>1491</v>
      </c>
      <c r="E770" s="2948" t="s">
        <v>638</v>
      </c>
      <c r="F770" s="2948" t="s">
        <v>671</v>
      </c>
      <c r="G770" s="2948" t="s">
        <v>640</v>
      </c>
      <c r="H770" s="2948" t="s">
        <v>1494</v>
      </c>
      <c r="I770" s="2948" t="s">
        <v>642</v>
      </c>
      <c r="J770" s="2948" t="s">
        <v>643</v>
      </c>
      <c r="K770" s="2950">
        <v>125.4</v>
      </c>
      <c r="L770" s="2950">
        <v>95.66</v>
      </c>
      <c r="M770" s="2951">
        <v>13659320</v>
      </c>
      <c r="N770" s="2951">
        <v>13659320</v>
      </c>
      <c r="O770" s="2952">
        <v>13659320</v>
      </c>
      <c r="P770" s="2953">
        <v>13659320</v>
      </c>
      <c r="Q770" s="2951">
        <v>13659320</v>
      </c>
      <c r="R770" s="2954">
        <v>44449</v>
      </c>
      <c r="S770" s="2954">
        <v>44458</v>
      </c>
      <c r="T770" s="2954">
        <v>44509</v>
      </c>
      <c r="U770" s="2954">
        <v>44509</v>
      </c>
      <c r="V770" s="2948" t="s">
        <v>1508</v>
      </c>
    </row>
    <row r="771" spans="1:22" s="2944" customFormat="1" ht="46.8" hidden="1">
      <c r="A771" s="2948">
        <v>770</v>
      </c>
      <c r="B771" s="2948" t="s">
        <v>635</v>
      </c>
      <c r="C771" s="2948" t="s">
        <v>636</v>
      </c>
      <c r="D771" s="2948" t="s">
        <v>1491</v>
      </c>
      <c r="E771" s="2948" t="s">
        <v>638</v>
      </c>
      <c r="F771" s="2948" t="s">
        <v>673</v>
      </c>
      <c r="G771" s="2948" t="s">
        <v>640</v>
      </c>
      <c r="H771" s="2948" t="s">
        <v>1496</v>
      </c>
      <c r="I771" s="2948" t="s">
        <v>642</v>
      </c>
      <c r="J771" s="2948" t="s">
        <v>643</v>
      </c>
      <c r="K771" s="2950">
        <v>145.59</v>
      </c>
      <c r="L771" s="2950">
        <v>111.06</v>
      </c>
      <c r="M771" s="2951">
        <v>15436325</v>
      </c>
      <c r="N771" s="2951">
        <v>15436325</v>
      </c>
      <c r="O771" s="2952">
        <v>15436325</v>
      </c>
      <c r="P771" s="2953">
        <v>15436325</v>
      </c>
      <c r="Q771" s="2951">
        <v>15436325</v>
      </c>
      <c r="R771" s="2954">
        <v>44451</v>
      </c>
      <c r="S771" s="2954">
        <v>44459</v>
      </c>
      <c r="T771" s="2954">
        <v>44507</v>
      </c>
      <c r="U771" s="2954">
        <v>44507</v>
      </c>
      <c r="V771" s="2948" t="s">
        <v>1509</v>
      </c>
    </row>
    <row r="772" spans="1:22" s="2944" customFormat="1" ht="46.8" hidden="1">
      <c r="A772" s="2948">
        <v>771</v>
      </c>
      <c r="B772" s="2948" t="s">
        <v>635</v>
      </c>
      <c r="C772" s="2948" t="s">
        <v>636</v>
      </c>
      <c r="D772" s="2948" t="s">
        <v>1491</v>
      </c>
      <c r="E772" s="2948" t="s">
        <v>638</v>
      </c>
      <c r="F772" s="2948" t="s">
        <v>675</v>
      </c>
      <c r="G772" s="2948" t="s">
        <v>640</v>
      </c>
      <c r="H772" s="2948" t="s">
        <v>1494</v>
      </c>
      <c r="I772" s="2948" t="s">
        <v>642</v>
      </c>
      <c r="J772" s="2948" t="s">
        <v>643</v>
      </c>
      <c r="K772" s="2950">
        <v>125.4</v>
      </c>
      <c r="L772" s="2950">
        <v>95.66</v>
      </c>
      <c r="M772" s="2951">
        <v>13671860</v>
      </c>
      <c r="N772" s="2951">
        <v>13671860</v>
      </c>
      <c r="O772" s="2952">
        <v>12988267</v>
      </c>
      <c r="P772" s="2953">
        <v>12988267</v>
      </c>
      <c r="Q772" s="2951">
        <v>12988267</v>
      </c>
      <c r="R772" s="2954">
        <v>44558</v>
      </c>
      <c r="S772" s="2954">
        <v>44588</v>
      </c>
      <c r="T772" s="2954">
        <v>44747</v>
      </c>
      <c r="U772" s="2954">
        <v>44747</v>
      </c>
      <c r="V772" s="2948" t="s">
        <v>1510</v>
      </c>
    </row>
    <row r="773" spans="1:22" s="2944" customFormat="1" ht="46.8" hidden="1">
      <c r="A773" s="2948">
        <v>772</v>
      </c>
      <c r="B773" s="2948" t="s">
        <v>635</v>
      </c>
      <c r="C773" s="2948" t="s">
        <v>636</v>
      </c>
      <c r="D773" s="2948" t="s">
        <v>1491</v>
      </c>
      <c r="E773" s="2948" t="s">
        <v>638</v>
      </c>
      <c r="F773" s="2948" t="s">
        <v>677</v>
      </c>
      <c r="G773" s="2948" t="s">
        <v>640</v>
      </c>
      <c r="H773" s="2948" t="s">
        <v>1496</v>
      </c>
      <c r="I773" s="2948" t="s">
        <v>642</v>
      </c>
      <c r="J773" s="2948" t="s">
        <v>643</v>
      </c>
      <c r="K773" s="2950">
        <v>145.59</v>
      </c>
      <c r="L773" s="2950">
        <v>111.06</v>
      </c>
      <c r="M773" s="2951">
        <v>15450884</v>
      </c>
      <c r="N773" s="2951">
        <v>15450884</v>
      </c>
      <c r="O773" s="2952">
        <v>15450884</v>
      </c>
      <c r="P773" s="2953">
        <v>15450884</v>
      </c>
      <c r="Q773" s="2951">
        <v>15450884</v>
      </c>
      <c r="R773" s="2954">
        <v>44453</v>
      </c>
      <c r="S773" s="2954">
        <v>44457</v>
      </c>
      <c r="T773" s="2954">
        <v>44502</v>
      </c>
      <c r="U773" s="2954">
        <v>44502</v>
      </c>
      <c r="V773" s="2948" t="s">
        <v>1511</v>
      </c>
    </row>
    <row r="774" spans="1:22" s="2944" customFormat="1" ht="46.8" hidden="1">
      <c r="A774" s="2948">
        <v>773</v>
      </c>
      <c r="B774" s="2948" t="s">
        <v>635</v>
      </c>
      <c r="C774" s="2948" t="s">
        <v>636</v>
      </c>
      <c r="D774" s="2948" t="s">
        <v>1491</v>
      </c>
      <c r="E774" s="2948" t="s">
        <v>638</v>
      </c>
      <c r="F774" s="2948" t="s">
        <v>679</v>
      </c>
      <c r="G774" s="2948" t="s">
        <v>640</v>
      </c>
      <c r="H774" s="2948" t="s">
        <v>1494</v>
      </c>
      <c r="I774" s="2948" t="s">
        <v>642</v>
      </c>
      <c r="J774" s="2948" t="s">
        <v>643</v>
      </c>
      <c r="K774" s="2950">
        <v>125.4</v>
      </c>
      <c r="L774" s="2950">
        <v>95.66</v>
      </c>
      <c r="M774" s="2951">
        <v>13684400</v>
      </c>
      <c r="N774" s="2951">
        <v>13684400</v>
      </c>
      <c r="O774" s="2952">
        <v>13684400</v>
      </c>
      <c r="P774" s="2953">
        <v>13684400</v>
      </c>
      <c r="Q774" s="2951">
        <v>13684400</v>
      </c>
      <c r="R774" s="2954">
        <v>44449</v>
      </c>
      <c r="S774" s="2954">
        <v>44457</v>
      </c>
      <c r="T774" s="2954">
        <v>44511</v>
      </c>
      <c r="U774" s="2954">
        <v>44511</v>
      </c>
      <c r="V774" s="2948" t="s">
        <v>1512</v>
      </c>
    </row>
    <row r="775" spans="1:22" s="2944" customFormat="1" ht="46.8" hidden="1">
      <c r="A775" s="2948">
        <v>774</v>
      </c>
      <c r="B775" s="2948" t="s">
        <v>635</v>
      </c>
      <c r="C775" s="2948" t="s">
        <v>636</v>
      </c>
      <c r="D775" s="2948" t="s">
        <v>1491</v>
      </c>
      <c r="E775" s="2948" t="s">
        <v>638</v>
      </c>
      <c r="F775" s="2948" t="s">
        <v>681</v>
      </c>
      <c r="G775" s="2948" t="s">
        <v>640</v>
      </c>
      <c r="H775" s="2948" t="s">
        <v>1496</v>
      </c>
      <c r="I775" s="2948" t="s">
        <v>642</v>
      </c>
      <c r="J775" s="2948" t="s">
        <v>643</v>
      </c>
      <c r="K775" s="2950">
        <v>145.59</v>
      </c>
      <c r="L775" s="2950">
        <v>111.06</v>
      </c>
      <c r="M775" s="2951">
        <v>15465443</v>
      </c>
      <c r="N775" s="2951">
        <v>15465443</v>
      </c>
      <c r="O775" s="2952">
        <v>15465443</v>
      </c>
      <c r="P775" s="2953">
        <v>15465443</v>
      </c>
      <c r="Q775" s="2951">
        <v>15465443</v>
      </c>
      <c r="R775" s="2954">
        <v>44453</v>
      </c>
      <c r="S775" s="2954">
        <v>44468</v>
      </c>
      <c r="T775" s="2954">
        <v>44501</v>
      </c>
      <c r="U775" s="2954">
        <v>44501</v>
      </c>
      <c r="V775" s="2948" t="s">
        <v>849</v>
      </c>
    </row>
    <row r="776" spans="1:22" s="2944" customFormat="1" ht="46.8" hidden="1">
      <c r="A776" s="2948">
        <v>775</v>
      </c>
      <c r="B776" s="2948" t="s">
        <v>635</v>
      </c>
      <c r="C776" s="2948" t="s">
        <v>636</v>
      </c>
      <c r="D776" s="2948" t="s">
        <v>1491</v>
      </c>
      <c r="E776" s="2948" t="s">
        <v>638</v>
      </c>
      <c r="F776" s="2948" t="s">
        <v>683</v>
      </c>
      <c r="G776" s="2948" t="s">
        <v>640</v>
      </c>
      <c r="H776" s="2948" t="s">
        <v>1494</v>
      </c>
      <c r="I776" s="2948" t="s">
        <v>642</v>
      </c>
      <c r="J776" s="2948" t="s">
        <v>643</v>
      </c>
      <c r="K776" s="2950">
        <v>125.4</v>
      </c>
      <c r="L776" s="2950">
        <v>95.66</v>
      </c>
      <c r="M776" s="2951">
        <v>13696940</v>
      </c>
      <c r="N776" s="2951">
        <v>13696940</v>
      </c>
      <c r="O776" s="2952">
        <v>13696940</v>
      </c>
      <c r="P776" s="2953">
        <v>13696940</v>
      </c>
      <c r="Q776" s="2951">
        <v>13696940</v>
      </c>
      <c r="R776" s="2954">
        <v>44450</v>
      </c>
      <c r="S776" s="2954">
        <v>44460</v>
      </c>
      <c r="T776" s="2954">
        <v>44510</v>
      </c>
      <c r="U776" s="2954">
        <v>44510</v>
      </c>
      <c r="V776" s="2948" t="s">
        <v>1513</v>
      </c>
    </row>
    <row r="777" spans="1:22" s="2944" customFormat="1" ht="46.8" hidden="1">
      <c r="A777" s="2948">
        <v>776</v>
      </c>
      <c r="B777" s="2948" t="s">
        <v>635</v>
      </c>
      <c r="C777" s="2948" t="s">
        <v>636</v>
      </c>
      <c r="D777" s="2948" t="s">
        <v>1491</v>
      </c>
      <c r="E777" s="2948" t="s">
        <v>638</v>
      </c>
      <c r="F777" s="2948" t="s">
        <v>685</v>
      </c>
      <c r="G777" s="2948" t="s">
        <v>640</v>
      </c>
      <c r="H777" s="2948" t="s">
        <v>1496</v>
      </c>
      <c r="I777" s="2948" t="s">
        <v>642</v>
      </c>
      <c r="J777" s="2948" t="s">
        <v>643</v>
      </c>
      <c r="K777" s="2950">
        <v>145.59</v>
      </c>
      <c r="L777" s="2950">
        <v>111.06</v>
      </c>
      <c r="M777" s="2951">
        <v>15480002</v>
      </c>
      <c r="N777" s="2951">
        <v>15480002</v>
      </c>
      <c r="O777" s="2952">
        <v>15480002</v>
      </c>
      <c r="P777" s="2953">
        <v>15480002</v>
      </c>
      <c r="Q777" s="2951">
        <v>15480002</v>
      </c>
      <c r="R777" s="2954">
        <v>44479</v>
      </c>
      <c r="S777" s="2954">
        <v>44479</v>
      </c>
      <c r="T777" s="2954">
        <v>44502</v>
      </c>
      <c r="U777" s="2954">
        <v>44502</v>
      </c>
      <c r="V777" s="2948" t="s">
        <v>1514</v>
      </c>
    </row>
    <row r="778" spans="1:22" s="2944" customFormat="1" ht="46.8" hidden="1">
      <c r="A778" s="2948">
        <v>777</v>
      </c>
      <c r="B778" s="2948" t="s">
        <v>635</v>
      </c>
      <c r="C778" s="2948" t="s">
        <v>636</v>
      </c>
      <c r="D778" s="2948" t="s">
        <v>1491</v>
      </c>
      <c r="E778" s="2948" t="s">
        <v>638</v>
      </c>
      <c r="F778" s="2948" t="s">
        <v>687</v>
      </c>
      <c r="G778" s="2948" t="s">
        <v>640</v>
      </c>
      <c r="H778" s="2948" t="s">
        <v>1494</v>
      </c>
      <c r="I778" s="2948" t="s">
        <v>642</v>
      </c>
      <c r="J778" s="2948" t="s">
        <v>643</v>
      </c>
      <c r="K778" s="2950">
        <v>125.4</v>
      </c>
      <c r="L778" s="2950">
        <v>95.66</v>
      </c>
      <c r="M778" s="2951">
        <v>13709480</v>
      </c>
      <c r="N778" s="2951">
        <v>13709480</v>
      </c>
      <c r="O778" s="2952">
        <v>13709480</v>
      </c>
      <c r="P778" s="2953">
        <v>13709480</v>
      </c>
      <c r="Q778" s="2951">
        <v>13709480</v>
      </c>
      <c r="R778" s="2954">
        <v>44457</v>
      </c>
      <c r="S778" s="2954">
        <v>44457</v>
      </c>
      <c r="T778" s="2954">
        <v>44502</v>
      </c>
      <c r="U778" s="2954">
        <v>44502</v>
      </c>
      <c r="V778" s="2948" t="s">
        <v>867</v>
      </c>
    </row>
    <row r="779" spans="1:22" s="2944" customFormat="1" ht="46.8" hidden="1">
      <c r="A779" s="2948">
        <v>778</v>
      </c>
      <c r="B779" s="2948" t="s">
        <v>635</v>
      </c>
      <c r="C779" s="2948" t="s">
        <v>636</v>
      </c>
      <c r="D779" s="2948" t="s">
        <v>1491</v>
      </c>
      <c r="E779" s="2948" t="s">
        <v>638</v>
      </c>
      <c r="F779" s="2948" t="s">
        <v>689</v>
      </c>
      <c r="G779" s="2948" t="s">
        <v>640</v>
      </c>
      <c r="H779" s="2948" t="s">
        <v>1496</v>
      </c>
      <c r="I779" s="2948" t="s">
        <v>642</v>
      </c>
      <c r="J779" s="2948" t="s">
        <v>643</v>
      </c>
      <c r="K779" s="2950">
        <v>145.59</v>
      </c>
      <c r="L779" s="2950">
        <v>111.06</v>
      </c>
      <c r="M779" s="2951">
        <v>15494561</v>
      </c>
      <c r="N779" s="2951">
        <v>15494561</v>
      </c>
      <c r="O779" s="2952">
        <v>15494561</v>
      </c>
      <c r="P779" s="2953">
        <v>15494561</v>
      </c>
      <c r="Q779" s="2951">
        <v>15494561</v>
      </c>
      <c r="R779" s="2954">
        <v>44452</v>
      </c>
      <c r="S779" s="2954">
        <v>44464</v>
      </c>
      <c r="T779" s="2954">
        <v>44640</v>
      </c>
      <c r="U779" s="2954">
        <v>44640</v>
      </c>
      <c r="V779" s="2948" t="s">
        <v>1515</v>
      </c>
    </row>
    <row r="780" spans="1:22" s="2944" customFormat="1" ht="46.8" hidden="1">
      <c r="A780" s="2948">
        <v>779</v>
      </c>
      <c r="B780" s="2948" t="s">
        <v>635</v>
      </c>
      <c r="C780" s="2948" t="s">
        <v>636</v>
      </c>
      <c r="D780" s="2948" t="s">
        <v>1491</v>
      </c>
      <c r="E780" s="2948" t="s">
        <v>638</v>
      </c>
      <c r="F780" s="2948" t="s">
        <v>691</v>
      </c>
      <c r="G780" s="2948" t="s">
        <v>640</v>
      </c>
      <c r="H780" s="2948" t="s">
        <v>1494</v>
      </c>
      <c r="I780" s="2948" t="s">
        <v>642</v>
      </c>
      <c r="J780" s="2948" t="s">
        <v>643</v>
      </c>
      <c r="K780" s="2950">
        <v>125.4</v>
      </c>
      <c r="L780" s="2950">
        <v>95.66</v>
      </c>
      <c r="M780" s="2951">
        <v>13722020</v>
      </c>
      <c r="N780" s="2951">
        <v>13722020</v>
      </c>
      <c r="O780" s="2952">
        <v>13722020</v>
      </c>
      <c r="P780" s="2953">
        <v>13722020</v>
      </c>
      <c r="Q780" s="2951">
        <v>13722020</v>
      </c>
      <c r="R780" s="2954">
        <v>44454</v>
      </c>
      <c r="S780" s="2954">
        <v>44464</v>
      </c>
      <c r="T780" s="2954">
        <v>44506</v>
      </c>
      <c r="U780" s="2954">
        <v>44506</v>
      </c>
      <c r="V780" s="2948" t="s">
        <v>1516</v>
      </c>
    </row>
    <row r="781" spans="1:22" s="2944" customFormat="1" ht="46.8" hidden="1">
      <c r="A781" s="2948">
        <v>780</v>
      </c>
      <c r="B781" s="2948" t="s">
        <v>635</v>
      </c>
      <c r="C781" s="2948" t="s">
        <v>636</v>
      </c>
      <c r="D781" s="2948" t="s">
        <v>1491</v>
      </c>
      <c r="E781" s="2948" t="s">
        <v>638</v>
      </c>
      <c r="F781" s="2948" t="s">
        <v>693</v>
      </c>
      <c r="G781" s="2948" t="s">
        <v>640</v>
      </c>
      <c r="H781" s="2948" t="s">
        <v>1496</v>
      </c>
      <c r="I781" s="2948" t="s">
        <v>642</v>
      </c>
      <c r="J781" s="2948" t="s">
        <v>643</v>
      </c>
      <c r="K781" s="2950">
        <v>145.59</v>
      </c>
      <c r="L781" s="2950">
        <v>111.06</v>
      </c>
      <c r="M781" s="2951">
        <v>15509120</v>
      </c>
      <c r="N781" s="2951">
        <v>15509120</v>
      </c>
      <c r="O781" s="2952">
        <v>15509120</v>
      </c>
      <c r="P781" s="2953">
        <v>15509120</v>
      </c>
      <c r="Q781" s="2951">
        <v>15509120</v>
      </c>
      <c r="R781" s="2954">
        <v>44453</v>
      </c>
      <c r="S781" s="2954">
        <v>44458</v>
      </c>
      <c r="T781" s="2954">
        <v>44506</v>
      </c>
      <c r="U781" s="2954">
        <v>44506</v>
      </c>
      <c r="V781" s="2948" t="s">
        <v>1517</v>
      </c>
    </row>
    <row r="782" spans="1:22" s="2944" customFormat="1" ht="46.8" hidden="1">
      <c r="A782" s="2948">
        <v>781</v>
      </c>
      <c r="B782" s="2948" t="s">
        <v>635</v>
      </c>
      <c r="C782" s="2948" t="s">
        <v>636</v>
      </c>
      <c r="D782" s="2948" t="s">
        <v>1491</v>
      </c>
      <c r="E782" s="2948" t="s">
        <v>638</v>
      </c>
      <c r="F782" s="2948" t="s">
        <v>694</v>
      </c>
      <c r="G782" s="2948" t="s">
        <v>640</v>
      </c>
      <c r="H782" s="2948" t="s">
        <v>1494</v>
      </c>
      <c r="I782" s="2948" t="s">
        <v>642</v>
      </c>
      <c r="J782" s="2948" t="s">
        <v>643</v>
      </c>
      <c r="K782" s="2950">
        <v>125.4</v>
      </c>
      <c r="L782" s="2950">
        <v>95.66</v>
      </c>
      <c r="M782" s="2951">
        <v>13734560</v>
      </c>
      <c r="N782" s="2951">
        <v>13734560</v>
      </c>
      <c r="O782" s="2952">
        <v>13734560</v>
      </c>
      <c r="P782" s="2953">
        <v>13734560</v>
      </c>
      <c r="Q782" s="2951">
        <v>13734560</v>
      </c>
      <c r="R782" s="2954">
        <v>44452</v>
      </c>
      <c r="S782" s="2954">
        <v>44459</v>
      </c>
      <c r="T782" s="2954">
        <v>44502</v>
      </c>
      <c r="U782" s="2954">
        <v>44502</v>
      </c>
      <c r="V782" s="2948" t="s">
        <v>1518</v>
      </c>
    </row>
    <row r="783" spans="1:22" s="2944" customFormat="1" ht="46.8" hidden="1">
      <c r="A783" s="2948">
        <v>782</v>
      </c>
      <c r="B783" s="2948" t="s">
        <v>635</v>
      </c>
      <c r="C783" s="2948" t="s">
        <v>636</v>
      </c>
      <c r="D783" s="2948" t="s">
        <v>1491</v>
      </c>
      <c r="E783" s="2948" t="s">
        <v>638</v>
      </c>
      <c r="F783" s="2948" t="s">
        <v>696</v>
      </c>
      <c r="G783" s="2948" t="s">
        <v>640</v>
      </c>
      <c r="H783" s="2948" t="s">
        <v>1496</v>
      </c>
      <c r="I783" s="2948" t="s">
        <v>642</v>
      </c>
      <c r="J783" s="2948" t="s">
        <v>643</v>
      </c>
      <c r="K783" s="2950">
        <v>145.59</v>
      </c>
      <c r="L783" s="2950">
        <v>111.06</v>
      </c>
      <c r="M783" s="2951">
        <v>15436325</v>
      </c>
      <c r="N783" s="2951">
        <v>15436325</v>
      </c>
      <c r="O783" s="2952">
        <v>15436325</v>
      </c>
      <c r="P783" s="2953">
        <v>15436325</v>
      </c>
      <c r="Q783" s="2951">
        <v>15436325</v>
      </c>
      <c r="R783" s="2954">
        <v>44557</v>
      </c>
      <c r="S783" s="2954">
        <v>44560</v>
      </c>
      <c r="T783" s="2954">
        <v>44654</v>
      </c>
      <c r="U783" s="2954">
        <v>44654</v>
      </c>
      <c r="V783" s="2948" t="s">
        <v>1519</v>
      </c>
    </row>
    <row r="784" spans="1:22" s="2944" customFormat="1" ht="46.8" hidden="1">
      <c r="A784" s="2948">
        <v>783</v>
      </c>
      <c r="B784" s="2948" t="s">
        <v>635</v>
      </c>
      <c r="C784" s="2948" t="s">
        <v>636</v>
      </c>
      <c r="D784" s="2948" t="s">
        <v>1491</v>
      </c>
      <c r="E784" s="2948" t="s">
        <v>638</v>
      </c>
      <c r="F784" s="2948" t="s">
        <v>698</v>
      </c>
      <c r="G784" s="2948" t="s">
        <v>640</v>
      </c>
      <c r="H784" s="2948" t="s">
        <v>1494</v>
      </c>
      <c r="I784" s="2948" t="s">
        <v>642</v>
      </c>
      <c r="J784" s="2948" t="s">
        <v>643</v>
      </c>
      <c r="K784" s="2950">
        <v>125.4</v>
      </c>
      <c r="L784" s="2950">
        <v>95.66</v>
      </c>
      <c r="M784" s="2951">
        <v>13671860</v>
      </c>
      <c r="N784" s="2951">
        <v>13671860</v>
      </c>
      <c r="O784" s="2952">
        <v>13671860</v>
      </c>
      <c r="P784" s="2953">
        <v>13671860</v>
      </c>
      <c r="Q784" s="2951">
        <v>13671860</v>
      </c>
      <c r="R784" s="2954">
        <v>44511</v>
      </c>
      <c r="S784" s="2954">
        <v>44527</v>
      </c>
      <c r="T784" s="2954">
        <v>44638</v>
      </c>
      <c r="U784" s="2954">
        <v>44638</v>
      </c>
      <c r="V784" s="2948" t="s">
        <v>1520</v>
      </c>
    </row>
    <row r="785" spans="1:22" s="2944" customFormat="1" ht="46.8" hidden="1">
      <c r="A785" s="2948">
        <v>784</v>
      </c>
      <c r="B785" s="2948" t="s">
        <v>635</v>
      </c>
      <c r="C785" s="2948" t="s">
        <v>636</v>
      </c>
      <c r="D785" s="2948" t="s">
        <v>1491</v>
      </c>
      <c r="E785" s="2948" t="s">
        <v>700</v>
      </c>
      <c r="F785" s="2948" t="s">
        <v>639</v>
      </c>
      <c r="G785" s="2948" t="s">
        <v>640</v>
      </c>
      <c r="H785" s="2948" t="s">
        <v>1494</v>
      </c>
      <c r="I785" s="2948" t="s">
        <v>642</v>
      </c>
      <c r="J785" s="2948" t="s">
        <v>643</v>
      </c>
      <c r="K785" s="2950">
        <v>125.4</v>
      </c>
      <c r="L785" s="2950">
        <v>95.66</v>
      </c>
      <c r="M785" s="2951">
        <v>12330080</v>
      </c>
      <c r="N785" s="2951">
        <v>12330080</v>
      </c>
      <c r="O785" s="2952">
        <v>12330080</v>
      </c>
      <c r="P785" s="2953">
        <v>12330080</v>
      </c>
      <c r="Q785" s="2951">
        <v>12330080</v>
      </c>
      <c r="R785" s="2954">
        <v>44498</v>
      </c>
      <c r="S785" s="2954">
        <v>44526</v>
      </c>
      <c r="T785" s="2954">
        <v>44726</v>
      </c>
      <c r="U785" s="2954">
        <v>44726</v>
      </c>
      <c r="V785" s="2948" t="s">
        <v>1521</v>
      </c>
    </row>
    <row r="786" spans="1:22" s="2944" customFormat="1" ht="46.8" hidden="1">
      <c r="A786" s="2948">
        <v>785</v>
      </c>
      <c r="B786" s="2948" t="s">
        <v>635</v>
      </c>
      <c r="C786" s="2948" t="s">
        <v>636</v>
      </c>
      <c r="D786" s="2948" t="s">
        <v>1491</v>
      </c>
      <c r="E786" s="2948" t="s">
        <v>700</v>
      </c>
      <c r="F786" s="2948" t="s">
        <v>645</v>
      </c>
      <c r="G786" s="2948" t="s">
        <v>640</v>
      </c>
      <c r="H786" s="2948" t="s">
        <v>1522</v>
      </c>
      <c r="I786" s="2948" t="s">
        <v>642</v>
      </c>
      <c r="J786" s="2948" t="s">
        <v>643</v>
      </c>
      <c r="K786" s="2950">
        <v>273.56</v>
      </c>
      <c r="L786" s="2950">
        <v>208.68</v>
      </c>
      <c r="M786" s="2951">
        <v>25530260</v>
      </c>
      <c r="N786" s="2951">
        <v>25530260</v>
      </c>
      <c r="O786" s="2952">
        <v>25530260</v>
      </c>
      <c r="P786" s="2953">
        <v>25530260</v>
      </c>
      <c r="Q786" s="2951">
        <v>25530260</v>
      </c>
      <c r="R786" s="2954">
        <v>44799</v>
      </c>
      <c r="S786" s="2954">
        <v>44803</v>
      </c>
      <c r="T786" s="2954">
        <v>44869</v>
      </c>
      <c r="U786" s="2954">
        <v>44869</v>
      </c>
      <c r="V786" s="2948" t="s">
        <v>1523</v>
      </c>
    </row>
    <row r="787" spans="1:22" s="2944" customFormat="1" ht="46.8" hidden="1">
      <c r="A787" s="2948">
        <v>786</v>
      </c>
      <c r="B787" s="2948" t="s">
        <v>635</v>
      </c>
      <c r="C787" s="2948" t="s">
        <v>636</v>
      </c>
      <c r="D787" s="2948" t="s">
        <v>1491</v>
      </c>
      <c r="E787" s="2948" t="s">
        <v>700</v>
      </c>
      <c r="F787" s="2948" t="s">
        <v>651</v>
      </c>
      <c r="G787" s="2948" t="s">
        <v>640</v>
      </c>
      <c r="H787" s="2948" t="s">
        <v>1494</v>
      </c>
      <c r="I787" s="2948" t="s">
        <v>642</v>
      </c>
      <c r="J787" s="2948" t="s">
        <v>643</v>
      </c>
      <c r="K787" s="2950">
        <v>125.4</v>
      </c>
      <c r="L787" s="2950">
        <v>95.66</v>
      </c>
      <c r="M787" s="2951">
        <v>13082480</v>
      </c>
      <c r="N787" s="2951">
        <v>13082480</v>
      </c>
      <c r="O787" s="2952">
        <v>13082480</v>
      </c>
      <c r="P787" s="2953">
        <v>13082480</v>
      </c>
      <c r="Q787" s="2951">
        <v>13082480</v>
      </c>
      <c r="R787" s="2954">
        <v>44618</v>
      </c>
      <c r="S787" s="2954">
        <v>44648</v>
      </c>
      <c r="T787" s="2954">
        <v>44726</v>
      </c>
      <c r="U787" s="2954">
        <v>44726</v>
      </c>
      <c r="V787" s="2948" t="s">
        <v>1524</v>
      </c>
    </row>
    <row r="788" spans="1:22" s="2944" customFormat="1" ht="46.8" hidden="1">
      <c r="A788" s="2948">
        <v>787</v>
      </c>
      <c r="B788" s="2948" t="s">
        <v>635</v>
      </c>
      <c r="C788" s="2948" t="s">
        <v>636</v>
      </c>
      <c r="D788" s="2948" t="s">
        <v>1491</v>
      </c>
      <c r="E788" s="2948" t="s">
        <v>700</v>
      </c>
      <c r="F788" s="2948" t="s">
        <v>653</v>
      </c>
      <c r="G788" s="2948" t="s">
        <v>640</v>
      </c>
      <c r="H788" s="2948" t="s">
        <v>1494</v>
      </c>
      <c r="I788" s="2948" t="s">
        <v>642</v>
      </c>
      <c r="J788" s="2948" t="s">
        <v>643</v>
      </c>
      <c r="K788" s="2950">
        <v>125.4</v>
      </c>
      <c r="L788" s="2950">
        <v>95.66</v>
      </c>
      <c r="M788" s="2951">
        <v>13207880</v>
      </c>
      <c r="N788" s="2951">
        <v>13207880</v>
      </c>
      <c r="O788" s="2952">
        <v>13207880</v>
      </c>
      <c r="P788" s="2953">
        <v>13207880</v>
      </c>
      <c r="Q788" s="2951">
        <v>13207880</v>
      </c>
      <c r="R788" s="2954">
        <v>44449</v>
      </c>
      <c r="S788" s="2954">
        <v>44455</v>
      </c>
      <c r="T788" s="2954">
        <v>44502</v>
      </c>
      <c r="U788" s="2954">
        <v>44502</v>
      </c>
      <c r="V788" s="2948" t="s">
        <v>1525</v>
      </c>
    </row>
    <row r="789" spans="1:22" s="2944" customFormat="1" ht="46.8" hidden="1">
      <c r="A789" s="2948">
        <v>788</v>
      </c>
      <c r="B789" s="2948" t="s">
        <v>635</v>
      </c>
      <c r="C789" s="2948" t="s">
        <v>636</v>
      </c>
      <c r="D789" s="2948" t="s">
        <v>1491</v>
      </c>
      <c r="E789" s="2948" t="s">
        <v>700</v>
      </c>
      <c r="F789" s="2948" t="s">
        <v>655</v>
      </c>
      <c r="G789" s="2948" t="s">
        <v>640</v>
      </c>
      <c r="H789" s="2948" t="s">
        <v>1496</v>
      </c>
      <c r="I789" s="2948" t="s">
        <v>642</v>
      </c>
      <c r="J789" s="2948" t="s">
        <v>643</v>
      </c>
      <c r="K789" s="2950">
        <v>145.59</v>
      </c>
      <c r="L789" s="2950">
        <v>111.06</v>
      </c>
      <c r="M789" s="2951">
        <v>15116027</v>
      </c>
      <c r="N789" s="2951">
        <v>15116027</v>
      </c>
      <c r="O789" s="2952">
        <v>15116027</v>
      </c>
      <c r="P789" s="2953">
        <v>15116027</v>
      </c>
      <c r="Q789" s="2951">
        <v>15116027</v>
      </c>
      <c r="R789" s="2954">
        <v>44451</v>
      </c>
      <c r="S789" s="2954">
        <v>44463</v>
      </c>
      <c r="T789" s="2954">
        <v>44496</v>
      </c>
      <c r="U789" s="2954">
        <v>44496</v>
      </c>
      <c r="V789" s="2948" t="s">
        <v>1526</v>
      </c>
    </row>
    <row r="790" spans="1:22" s="2944" customFormat="1" ht="46.8" hidden="1">
      <c r="A790" s="2948">
        <v>789</v>
      </c>
      <c r="B790" s="2948" t="s">
        <v>635</v>
      </c>
      <c r="C790" s="2948" t="s">
        <v>636</v>
      </c>
      <c r="D790" s="2948" t="s">
        <v>1491</v>
      </c>
      <c r="E790" s="2948" t="s">
        <v>700</v>
      </c>
      <c r="F790" s="2948" t="s">
        <v>657</v>
      </c>
      <c r="G790" s="2948" t="s">
        <v>640</v>
      </c>
      <c r="H790" s="2948" t="s">
        <v>1494</v>
      </c>
      <c r="I790" s="2948" t="s">
        <v>642</v>
      </c>
      <c r="J790" s="2948" t="s">
        <v>643</v>
      </c>
      <c r="K790" s="2950">
        <v>125.4</v>
      </c>
      <c r="L790" s="2950">
        <v>95.66</v>
      </c>
      <c r="M790" s="2951">
        <v>13333280</v>
      </c>
      <c r="N790" s="2951">
        <v>13333280</v>
      </c>
      <c r="O790" s="2952">
        <v>13333280</v>
      </c>
      <c r="P790" s="2953">
        <v>13333280</v>
      </c>
      <c r="Q790" s="2951">
        <v>13333280</v>
      </c>
      <c r="R790" s="2954">
        <v>44453</v>
      </c>
      <c r="S790" s="2954">
        <v>44459</v>
      </c>
      <c r="T790" s="2954">
        <v>44503</v>
      </c>
      <c r="U790" s="2954">
        <v>44503</v>
      </c>
      <c r="V790" s="2948" t="s">
        <v>1527</v>
      </c>
    </row>
    <row r="791" spans="1:22" s="2944" customFormat="1" ht="46.8" hidden="1">
      <c r="A791" s="2948">
        <v>790</v>
      </c>
      <c r="B791" s="2948" t="s">
        <v>635</v>
      </c>
      <c r="C791" s="2948" t="s">
        <v>636</v>
      </c>
      <c r="D791" s="2948" t="s">
        <v>1491</v>
      </c>
      <c r="E791" s="2948" t="s">
        <v>700</v>
      </c>
      <c r="F791" s="2948" t="s">
        <v>659</v>
      </c>
      <c r="G791" s="2948" t="s">
        <v>640</v>
      </c>
      <c r="H791" s="2948" t="s">
        <v>1496</v>
      </c>
      <c r="I791" s="2948" t="s">
        <v>642</v>
      </c>
      <c r="J791" s="2948" t="s">
        <v>643</v>
      </c>
      <c r="K791" s="2950">
        <v>145.59</v>
      </c>
      <c r="L791" s="2950">
        <v>111.06</v>
      </c>
      <c r="M791" s="2951">
        <v>15261617</v>
      </c>
      <c r="N791" s="2951">
        <v>15261617</v>
      </c>
      <c r="O791" s="2952">
        <v>15261617</v>
      </c>
      <c r="P791" s="2953">
        <v>15261617</v>
      </c>
      <c r="Q791" s="2951">
        <v>15261617</v>
      </c>
      <c r="R791" s="2954">
        <v>44456</v>
      </c>
      <c r="S791" s="2954">
        <v>44458</v>
      </c>
      <c r="T791" s="2954">
        <v>44523</v>
      </c>
      <c r="U791" s="2954">
        <v>44523</v>
      </c>
      <c r="V791" s="2948" t="s">
        <v>1528</v>
      </c>
    </row>
    <row r="792" spans="1:22" s="2944" customFormat="1" ht="46.8" hidden="1">
      <c r="A792" s="2948">
        <v>791</v>
      </c>
      <c r="B792" s="2948" t="s">
        <v>635</v>
      </c>
      <c r="C792" s="2948" t="s">
        <v>636</v>
      </c>
      <c r="D792" s="2948" t="s">
        <v>1491</v>
      </c>
      <c r="E792" s="2948" t="s">
        <v>700</v>
      </c>
      <c r="F792" s="2948" t="s">
        <v>661</v>
      </c>
      <c r="G792" s="2948" t="s">
        <v>640</v>
      </c>
      <c r="H792" s="2948" t="s">
        <v>1494</v>
      </c>
      <c r="I792" s="2948" t="s">
        <v>642</v>
      </c>
      <c r="J792" s="2948" t="s">
        <v>643</v>
      </c>
      <c r="K792" s="2950">
        <v>125.4</v>
      </c>
      <c r="L792" s="2950">
        <v>95.66</v>
      </c>
      <c r="M792" s="2951">
        <v>13458680</v>
      </c>
      <c r="N792" s="2951">
        <v>13458680</v>
      </c>
      <c r="O792" s="2952">
        <v>13458680</v>
      </c>
      <c r="P792" s="2953">
        <v>13458680</v>
      </c>
      <c r="Q792" s="2951">
        <v>13458680</v>
      </c>
      <c r="R792" s="2954">
        <v>44452</v>
      </c>
      <c r="S792" s="2954">
        <v>44462</v>
      </c>
      <c r="T792" s="2954">
        <v>44510</v>
      </c>
      <c r="U792" s="2954">
        <v>44510</v>
      </c>
      <c r="V792" s="2948" t="s">
        <v>1529</v>
      </c>
    </row>
    <row r="793" spans="1:22" s="2944" customFormat="1" ht="46.8" hidden="1">
      <c r="A793" s="2948">
        <v>792</v>
      </c>
      <c r="B793" s="2948" t="s">
        <v>635</v>
      </c>
      <c r="C793" s="2948" t="s">
        <v>636</v>
      </c>
      <c r="D793" s="2948" t="s">
        <v>1491</v>
      </c>
      <c r="E793" s="2948" t="s">
        <v>700</v>
      </c>
      <c r="F793" s="2948" t="s">
        <v>663</v>
      </c>
      <c r="G793" s="2948" t="s">
        <v>640</v>
      </c>
      <c r="H793" s="2948" t="s">
        <v>1496</v>
      </c>
      <c r="I793" s="2948" t="s">
        <v>642</v>
      </c>
      <c r="J793" s="2948" t="s">
        <v>643</v>
      </c>
      <c r="K793" s="2950">
        <v>145.59</v>
      </c>
      <c r="L793" s="2950">
        <v>111.06</v>
      </c>
      <c r="M793" s="2951">
        <v>15407207</v>
      </c>
      <c r="N793" s="2951">
        <v>15407207</v>
      </c>
      <c r="O793" s="2952">
        <v>15407207</v>
      </c>
      <c r="P793" s="2953">
        <v>15407207</v>
      </c>
      <c r="Q793" s="2951">
        <v>15407207</v>
      </c>
      <c r="R793" s="2954">
        <v>44449</v>
      </c>
      <c r="S793" s="2954">
        <v>44459</v>
      </c>
      <c r="T793" s="2954">
        <v>44510</v>
      </c>
      <c r="U793" s="2954">
        <v>44510</v>
      </c>
      <c r="V793" s="2948" t="s">
        <v>1530</v>
      </c>
    </row>
    <row r="794" spans="1:22" s="2944" customFormat="1" ht="46.8" hidden="1">
      <c r="A794" s="2948">
        <v>793</v>
      </c>
      <c r="B794" s="2948" t="s">
        <v>635</v>
      </c>
      <c r="C794" s="2948" t="s">
        <v>636</v>
      </c>
      <c r="D794" s="2948" t="s">
        <v>1491</v>
      </c>
      <c r="E794" s="2948" t="s">
        <v>700</v>
      </c>
      <c r="F794" s="2948" t="s">
        <v>665</v>
      </c>
      <c r="G794" s="2948" t="s">
        <v>640</v>
      </c>
      <c r="H794" s="2948" t="s">
        <v>1494</v>
      </c>
      <c r="I794" s="2948" t="s">
        <v>642</v>
      </c>
      <c r="J794" s="2948" t="s">
        <v>643</v>
      </c>
      <c r="K794" s="2950">
        <v>125.4</v>
      </c>
      <c r="L794" s="2950">
        <v>95.66</v>
      </c>
      <c r="M794" s="2951">
        <v>13646780</v>
      </c>
      <c r="N794" s="2951">
        <v>13646780</v>
      </c>
      <c r="O794" s="2952">
        <v>13646780</v>
      </c>
      <c r="P794" s="2953">
        <v>13646780</v>
      </c>
      <c r="Q794" s="2951">
        <v>13646780</v>
      </c>
      <c r="R794" s="2954">
        <v>44449</v>
      </c>
      <c r="S794" s="2954">
        <v>44461</v>
      </c>
      <c r="T794" s="2954">
        <v>44502</v>
      </c>
      <c r="U794" s="2954">
        <v>44502</v>
      </c>
      <c r="V794" s="2948" t="s">
        <v>1531</v>
      </c>
    </row>
    <row r="795" spans="1:22" s="2944" customFormat="1" ht="46.8" hidden="1">
      <c r="A795" s="2948">
        <v>794</v>
      </c>
      <c r="B795" s="2948" t="s">
        <v>635</v>
      </c>
      <c r="C795" s="2948" t="s">
        <v>636</v>
      </c>
      <c r="D795" s="2948" t="s">
        <v>1491</v>
      </c>
      <c r="E795" s="2948" t="s">
        <v>700</v>
      </c>
      <c r="F795" s="2948" t="s">
        <v>667</v>
      </c>
      <c r="G795" s="2948" t="s">
        <v>640</v>
      </c>
      <c r="H795" s="2948" t="s">
        <v>1496</v>
      </c>
      <c r="I795" s="2948" t="s">
        <v>642</v>
      </c>
      <c r="J795" s="2948" t="s">
        <v>643</v>
      </c>
      <c r="K795" s="2950">
        <v>145.59</v>
      </c>
      <c r="L795" s="2950">
        <v>111.06</v>
      </c>
      <c r="M795" s="2951">
        <v>15625592</v>
      </c>
      <c r="N795" s="2951">
        <v>15625592</v>
      </c>
      <c r="O795" s="2952">
        <v>15625592</v>
      </c>
      <c r="P795" s="2953">
        <v>15625592</v>
      </c>
      <c r="Q795" s="2951">
        <v>15625592</v>
      </c>
      <c r="R795" s="2954">
        <v>44453</v>
      </c>
      <c r="S795" s="2954">
        <v>44458</v>
      </c>
      <c r="T795" s="2954">
        <v>44523</v>
      </c>
      <c r="U795" s="2954">
        <v>44523</v>
      </c>
      <c r="V795" s="2948" t="s">
        <v>1532</v>
      </c>
    </row>
    <row r="796" spans="1:22" s="2944" customFormat="1" ht="46.8" hidden="1">
      <c r="A796" s="2948">
        <v>795</v>
      </c>
      <c r="B796" s="2948" t="s">
        <v>635</v>
      </c>
      <c r="C796" s="2948" t="s">
        <v>636</v>
      </c>
      <c r="D796" s="2948" t="s">
        <v>1491</v>
      </c>
      <c r="E796" s="2948" t="s">
        <v>700</v>
      </c>
      <c r="F796" s="2948" t="s">
        <v>669</v>
      </c>
      <c r="G796" s="2948" t="s">
        <v>640</v>
      </c>
      <c r="H796" s="2948" t="s">
        <v>1494</v>
      </c>
      <c r="I796" s="2948" t="s">
        <v>642</v>
      </c>
      <c r="J796" s="2948" t="s">
        <v>643</v>
      </c>
      <c r="K796" s="2950">
        <v>125.4</v>
      </c>
      <c r="L796" s="2950">
        <v>95.66</v>
      </c>
      <c r="M796" s="2951">
        <v>13659320</v>
      </c>
      <c r="N796" s="2951">
        <v>13659320</v>
      </c>
      <c r="O796" s="2952">
        <v>13659320</v>
      </c>
      <c r="P796" s="2953">
        <v>13659320</v>
      </c>
      <c r="Q796" s="2951">
        <v>13659320</v>
      </c>
      <c r="R796" s="2954">
        <v>44454</v>
      </c>
      <c r="S796" s="2954">
        <v>44463</v>
      </c>
      <c r="T796" s="2954">
        <v>44509</v>
      </c>
      <c r="U796" s="2954">
        <v>44509</v>
      </c>
      <c r="V796" s="2948" t="s">
        <v>1533</v>
      </c>
    </row>
    <row r="797" spans="1:22" s="2944" customFormat="1" ht="46.8" hidden="1">
      <c r="A797" s="2948">
        <v>796</v>
      </c>
      <c r="B797" s="2948" t="s">
        <v>635</v>
      </c>
      <c r="C797" s="2948" t="s">
        <v>636</v>
      </c>
      <c r="D797" s="2948" t="s">
        <v>1491</v>
      </c>
      <c r="E797" s="2948" t="s">
        <v>700</v>
      </c>
      <c r="F797" s="2948" t="s">
        <v>671</v>
      </c>
      <c r="G797" s="2948" t="s">
        <v>640</v>
      </c>
      <c r="H797" s="2948" t="s">
        <v>1496</v>
      </c>
      <c r="I797" s="2948" t="s">
        <v>642</v>
      </c>
      <c r="J797" s="2948" t="s">
        <v>643</v>
      </c>
      <c r="K797" s="2950">
        <v>145.59</v>
      </c>
      <c r="L797" s="2950">
        <v>111.06</v>
      </c>
      <c r="M797" s="2951">
        <v>15640151</v>
      </c>
      <c r="N797" s="2951">
        <v>15640151</v>
      </c>
      <c r="O797" s="2952">
        <v>15640151</v>
      </c>
      <c r="P797" s="2953">
        <v>15640151</v>
      </c>
      <c r="Q797" s="2951">
        <v>15640151</v>
      </c>
      <c r="R797" s="2954">
        <v>44453</v>
      </c>
      <c r="S797" s="2954">
        <v>44463</v>
      </c>
      <c r="T797" s="2954">
        <v>44637</v>
      </c>
      <c r="U797" s="2954">
        <v>44637</v>
      </c>
      <c r="V797" s="2948" t="s">
        <v>1534</v>
      </c>
    </row>
    <row r="798" spans="1:22" s="2944" customFormat="1" ht="46.8" hidden="1">
      <c r="A798" s="2948">
        <v>797</v>
      </c>
      <c r="B798" s="2948" t="s">
        <v>635</v>
      </c>
      <c r="C798" s="2948" t="s">
        <v>636</v>
      </c>
      <c r="D798" s="2948" t="s">
        <v>1491</v>
      </c>
      <c r="E798" s="2948" t="s">
        <v>700</v>
      </c>
      <c r="F798" s="2948" t="s">
        <v>673</v>
      </c>
      <c r="G798" s="2948" t="s">
        <v>640</v>
      </c>
      <c r="H798" s="2948" t="s">
        <v>1494</v>
      </c>
      <c r="I798" s="2948" t="s">
        <v>642</v>
      </c>
      <c r="J798" s="2948" t="s">
        <v>643</v>
      </c>
      <c r="K798" s="2950">
        <v>125.4</v>
      </c>
      <c r="L798" s="2950">
        <v>95.66</v>
      </c>
      <c r="M798" s="2951">
        <v>13671860</v>
      </c>
      <c r="N798" s="2951">
        <v>13671860</v>
      </c>
      <c r="O798" s="2952">
        <v>13671860</v>
      </c>
      <c r="P798" s="2953">
        <v>13671860</v>
      </c>
      <c r="Q798" s="2951">
        <v>13671860</v>
      </c>
      <c r="R798" s="2954">
        <v>44454</v>
      </c>
      <c r="S798" s="2954">
        <v>44458</v>
      </c>
      <c r="T798" s="2954">
        <v>44505</v>
      </c>
      <c r="U798" s="2954">
        <v>44505</v>
      </c>
      <c r="V798" s="2948" t="s">
        <v>1535</v>
      </c>
    </row>
    <row r="799" spans="1:22" s="2944" customFormat="1" ht="46.8" hidden="1">
      <c r="A799" s="2948">
        <v>798</v>
      </c>
      <c r="B799" s="2948" t="s">
        <v>635</v>
      </c>
      <c r="C799" s="2948" t="s">
        <v>636</v>
      </c>
      <c r="D799" s="2948" t="s">
        <v>1491</v>
      </c>
      <c r="E799" s="2948" t="s">
        <v>700</v>
      </c>
      <c r="F799" s="2948" t="s">
        <v>675</v>
      </c>
      <c r="G799" s="2948" t="s">
        <v>640</v>
      </c>
      <c r="H799" s="2948" t="s">
        <v>1496</v>
      </c>
      <c r="I799" s="2948" t="s">
        <v>642</v>
      </c>
      <c r="J799" s="2948" t="s">
        <v>643</v>
      </c>
      <c r="K799" s="2950">
        <v>145.59</v>
      </c>
      <c r="L799" s="2950">
        <v>111.06</v>
      </c>
      <c r="M799" s="2951">
        <v>15654710</v>
      </c>
      <c r="N799" s="2951">
        <v>15654710</v>
      </c>
      <c r="O799" s="2952">
        <v>15654710</v>
      </c>
      <c r="P799" s="2953">
        <v>15654710</v>
      </c>
      <c r="Q799" s="2951">
        <v>15654710</v>
      </c>
      <c r="R799" s="2954">
        <v>44456</v>
      </c>
      <c r="S799" s="2954">
        <v>44461</v>
      </c>
      <c r="T799" s="2954">
        <v>44502</v>
      </c>
      <c r="U799" s="2954">
        <v>44502</v>
      </c>
      <c r="V799" s="2948" t="s">
        <v>1536</v>
      </c>
    </row>
    <row r="800" spans="1:22" s="2944" customFormat="1" ht="46.8" hidden="1">
      <c r="A800" s="2948">
        <v>799</v>
      </c>
      <c r="B800" s="2948" t="s">
        <v>635</v>
      </c>
      <c r="C800" s="2948" t="s">
        <v>636</v>
      </c>
      <c r="D800" s="2948" t="s">
        <v>1491</v>
      </c>
      <c r="E800" s="2948" t="s">
        <v>700</v>
      </c>
      <c r="F800" s="2948" t="s">
        <v>677</v>
      </c>
      <c r="G800" s="2948" t="s">
        <v>640</v>
      </c>
      <c r="H800" s="2948" t="s">
        <v>1494</v>
      </c>
      <c r="I800" s="2948" t="s">
        <v>642</v>
      </c>
      <c r="J800" s="2948" t="s">
        <v>643</v>
      </c>
      <c r="K800" s="2950">
        <v>125.4</v>
      </c>
      <c r="L800" s="2950">
        <v>95.66</v>
      </c>
      <c r="M800" s="2951">
        <v>13684400</v>
      </c>
      <c r="N800" s="2951">
        <v>13684400</v>
      </c>
      <c r="O800" s="2952">
        <v>13684400</v>
      </c>
      <c r="P800" s="2953">
        <v>13684400</v>
      </c>
      <c r="Q800" s="2951">
        <v>13684400</v>
      </c>
      <c r="R800" s="2954">
        <v>44449</v>
      </c>
      <c r="S800" s="2954">
        <v>44460</v>
      </c>
      <c r="T800" s="2954">
        <v>44503</v>
      </c>
      <c r="U800" s="2954">
        <v>44503</v>
      </c>
      <c r="V800" s="2948" t="s">
        <v>1537</v>
      </c>
    </row>
    <row r="801" spans="1:22" s="2944" customFormat="1" ht="46.8" hidden="1">
      <c r="A801" s="2948">
        <v>800</v>
      </c>
      <c r="B801" s="2948" t="s">
        <v>635</v>
      </c>
      <c r="C801" s="2948" t="s">
        <v>636</v>
      </c>
      <c r="D801" s="2948" t="s">
        <v>1491</v>
      </c>
      <c r="E801" s="2948" t="s">
        <v>700</v>
      </c>
      <c r="F801" s="2948" t="s">
        <v>679</v>
      </c>
      <c r="G801" s="2948" t="s">
        <v>640</v>
      </c>
      <c r="H801" s="2948" t="s">
        <v>1496</v>
      </c>
      <c r="I801" s="2948" t="s">
        <v>642</v>
      </c>
      <c r="J801" s="2948" t="s">
        <v>643</v>
      </c>
      <c r="K801" s="2950">
        <v>145.59</v>
      </c>
      <c r="L801" s="2950">
        <v>111.06</v>
      </c>
      <c r="M801" s="2951">
        <v>15669269</v>
      </c>
      <c r="N801" s="2951">
        <v>15669269</v>
      </c>
      <c r="O801" s="2952">
        <v>15669269</v>
      </c>
      <c r="P801" s="2953">
        <v>15669269</v>
      </c>
      <c r="Q801" s="2951">
        <v>15669269</v>
      </c>
      <c r="R801" s="2954">
        <v>44461</v>
      </c>
      <c r="S801" s="2954">
        <v>44461</v>
      </c>
      <c r="T801" s="2954">
        <v>44502</v>
      </c>
      <c r="U801" s="2954">
        <v>44502</v>
      </c>
      <c r="V801" s="2948" t="s">
        <v>1538</v>
      </c>
    </row>
    <row r="802" spans="1:22" s="2944" customFormat="1" ht="46.8" hidden="1">
      <c r="A802" s="2948">
        <v>801</v>
      </c>
      <c r="B802" s="2948" t="s">
        <v>635</v>
      </c>
      <c r="C802" s="2948" t="s">
        <v>636</v>
      </c>
      <c r="D802" s="2948" t="s">
        <v>1491</v>
      </c>
      <c r="E802" s="2948" t="s">
        <v>700</v>
      </c>
      <c r="F802" s="2948" t="s">
        <v>681</v>
      </c>
      <c r="G802" s="2948" t="s">
        <v>640</v>
      </c>
      <c r="H802" s="2948" t="s">
        <v>1494</v>
      </c>
      <c r="I802" s="2948" t="s">
        <v>642</v>
      </c>
      <c r="J802" s="2948" t="s">
        <v>643</v>
      </c>
      <c r="K802" s="2950">
        <v>125.4</v>
      </c>
      <c r="L802" s="2950">
        <v>95.66</v>
      </c>
      <c r="M802" s="2951">
        <v>13696940</v>
      </c>
      <c r="N802" s="2951">
        <v>13696940</v>
      </c>
      <c r="O802" s="2952">
        <v>13696940</v>
      </c>
      <c r="P802" s="2953">
        <v>13696940</v>
      </c>
      <c r="Q802" s="2951">
        <v>13696940</v>
      </c>
      <c r="R802" s="2954">
        <v>44453</v>
      </c>
      <c r="S802" s="2954">
        <v>44458</v>
      </c>
      <c r="T802" s="2954">
        <v>44510</v>
      </c>
      <c r="U802" s="2954">
        <v>44510</v>
      </c>
      <c r="V802" s="2948" t="s">
        <v>1539</v>
      </c>
    </row>
    <row r="803" spans="1:22" s="2944" customFormat="1" ht="46.8" hidden="1">
      <c r="A803" s="2948">
        <v>802</v>
      </c>
      <c r="B803" s="2948" t="s">
        <v>635</v>
      </c>
      <c r="C803" s="2948" t="s">
        <v>636</v>
      </c>
      <c r="D803" s="2948" t="s">
        <v>1491</v>
      </c>
      <c r="E803" s="2948" t="s">
        <v>700</v>
      </c>
      <c r="F803" s="2948" t="s">
        <v>683</v>
      </c>
      <c r="G803" s="2948" t="s">
        <v>640</v>
      </c>
      <c r="H803" s="2948" t="s">
        <v>1496</v>
      </c>
      <c r="I803" s="2948" t="s">
        <v>642</v>
      </c>
      <c r="J803" s="2948" t="s">
        <v>643</v>
      </c>
      <c r="K803" s="2950">
        <v>145.59</v>
      </c>
      <c r="L803" s="2950">
        <v>111.06</v>
      </c>
      <c r="M803" s="2951">
        <v>15683828</v>
      </c>
      <c r="N803" s="2951">
        <v>15683828</v>
      </c>
      <c r="O803" s="2952">
        <v>15683828</v>
      </c>
      <c r="P803" s="2953">
        <v>15683828</v>
      </c>
      <c r="Q803" s="2951">
        <v>15683828</v>
      </c>
      <c r="R803" s="2954">
        <v>44453.622916666704</v>
      </c>
      <c r="S803" s="2954">
        <v>44461</v>
      </c>
      <c r="T803" s="2954">
        <v>44503</v>
      </c>
      <c r="U803" s="2954">
        <v>44503</v>
      </c>
      <c r="V803" s="2948" t="s">
        <v>1540</v>
      </c>
    </row>
    <row r="804" spans="1:22" s="2944" customFormat="1" ht="46.8" hidden="1">
      <c r="A804" s="2948">
        <v>803</v>
      </c>
      <c r="B804" s="2948" t="s">
        <v>635</v>
      </c>
      <c r="C804" s="2948" t="s">
        <v>636</v>
      </c>
      <c r="D804" s="2948" t="s">
        <v>1491</v>
      </c>
      <c r="E804" s="2948" t="s">
        <v>700</v>
      </c>
      <c r="F804" s="2948" t="s">
        <v>685</v>
      </c>
      <c r="G804" s="2948" t="s">
        <v>640</v>
      </c>
      <c r="H804" s="2948" t="s">
        <v>1494</v>
      </c>
      <c r="I804" s="2948" t="s">
        <v>642</v>
      </c>
      <c r="J804" s="2948" t="s">
        <v>643</v>
      </c>
      <c r="K804" s="2950">
        <v>125.4</v>
      </c>
      <c r="L804" s="2950">
        <v>95.66</v>
      </c>
      <c r="M804" s="2951">
        <v>13709480</v>
      </c>
      <c r="N804" s="2951">
        <v>13709480</v>
      </c>
      <c r="O804" s="2952">
        <v>13709480</v>
      </c>
      <c r="P804" s="2953">
        <v>13709480</v>
      </c>
      <c r="Q804" s="2951">
        <v>13709480</v>
      </c>
      <c r="R804" s="2954">
        <v>44453</v>
      </c>
      <c r="S804" s="2954">
        <v>44459</v>
      </c>
      <c r="T804" s="2954">
        <v>44509</v>
      </c>
      <c r="U804" s="2954">
        <v>44509</v>
      </c>
      <c r="V804" s="2948" t="s">
        <v>1541</v>
      </c>
    </row>
    <row r="805" spans="1:22" s="2944" customFormat="1" ht="46.8" hidden="1">
      <c r="A805" s="2948">
        <v>804</v>
      </c>
      <c r="B805" s="2948" t="s">
        <v>635</v>
      </c>
      <c r="C805" s="2948" t="s">
        <v>636</v>
      </c>
      <c r="D805" s="2948" t="s">
        <v>1491</v>
      </c>
      <c r="E805" s="2948" t="s">
        <v>700</v>
      </c>
      <c r="F805" s="2948" t="s">
        <v>687</v>
      </c>
      <c r="G805" s="2948" t="s">
        <v>640</v>
      </c>
      <c r="H805" s="2948" t="s">
        <v>1496</v>
      </c>
      <c r="I805" s="2948" t="s">
        <v>642</v>
      </c>
      <c r="J805" s="2948" t="s">
        <v>643</v>
      </c>
      <c r="K805" s="2950">
        <v>145.59</v>
      </c>
      <c r="L805" s="2950">
        <v>111.06</v>
      </c>
      <c r="M805" s="2951">
        <v>15698387</v>
      </c>
      <c r="N805" s="2951">
        <v>15698387</v>
      </c>
      <c r="O805" s="2952">
        <v>15698387</v>
      </c>
      <c r="P805" s="2953">
        <v>15698387</v>
      </c>
      <c r="Q805" s="2951">
        <v>15698387</v>
      </c>
      <c r="R805" s="2954">
        <v>44454</v>
      </c>
      <c r="S805" s="2954">
        <v>44464</v>
      </c>
      <c r="T805" s="2954">
        <v>44637</v>
      </c>
      <c r="U805" s="2954">
        <v>44637</v>
      </c>
      <c r="V805" s="2948" t="s">
        <v>1542</v>
      </c>
    </row>
    <row r="806" spans="1:22" s="2944" customFormat="1" ht="46.8" hidden="1">
      <c r="A806" s="2948">
        <v>805</v>
      </c>
      <c r="B806" s="2948" t="s">
        <v>635</v>
      </c>
      <c r="C806" s="2948" t="s">
        <v>636</v>
      </c>
      <c r="D806" s="2948" t="s">
        <v>1491</v>
      </c>
      <c r="E806" s="2948" t="s">
        <v>700</v>
      </c>
      <c r="F806" s="2948" t="s">
        <v>689</v>
      </c>
      <c r="G806" s="2948" t="s">
        <v>640</v>
      </c>
      <c r="H806" s="2948" t="s">
        <v>1494</v>
      </c>
      <c r="I806" s="2948" t="s">
        <v>642</v>
      </c>
      <c r="J806" s="2948" t="s">
        <v>643</v>
      </c>
      <c r="K806" s="2950">
        <v>125.4</v>
      </c>
      <c r="L806" s="2950">
        <v>95.66</v>
      </c>
      <c r="M806" s="2951">
        <v>13722020</v>
      </c>
      <c r="N806" s="2951">
        <v>13722020</v>
      </c>
      <c r="O806" s="2952">
        <v>13722020</v>
      </c>
      <c r="P806" s="2953">
        <v>13722020</v>
      </c>
      <c r="Q806" s="2951">
        <v>13722020</v>
      </c>
      <c r="R806" s="2954">
        <v>44452</v>
      </c>
      <c r="S806" s="2954">
        <v>44458</v>
      </c>
      <c r="T806" s="2954">
        <v>44507</v>
      </c>
      <c r="U806" s="2954">
        <v>44507</v>
      </c>
      <c r="V806" s="2948" t="s">
        <v>1543</v>
      </c>
    </row>
    <row r="807" spans="1:22" s="2944" customFormat="1" ht="46.8" hidden="1">
      <c r="A807" s="2948">
        <v>806</v>
      </c>
      <c r="B807" s="2948" t="s">
        <v>635</v>
      </c>
      <c r="C807" s="2948" t="s">
        <v>636</v>
      </c>
      <c r="D807" s="2948" t="s">
        <v>1491</v>
      </c>
      <c r="E807" s="2948" t="s">
        <v>700</v>
      </c>
      <c r="F807" s="2948" t="s">
        <v>691</v>
      </c>
      <c r="G807" s="2948" t="s">
        <v>640</v>
      </c>
      <c r="H807" s="2948" t="s">
        <v>1496</v>
      </c>
      <c r="I807" s="2948" t="s">
        <v>642</v>
      </c>
      <c r="J807" s="2948" t="s">
        <v>643</v>
      </c>
      <c r="K807" s="2950">
        <v>145.59</v>
      </c>
      <c r="L807" s="2950">
        <v>111.06</v>
      </c>
      <c r="M807" s="2951">
        <v>15712946</v>
      </c>
      <c r="N807" s="2951">
        <v>15712946</v>
      </c>
      <c r="O807" s="2952">
        <v>15712946</v>
      </c>
      <c r="P807" s="2953">
        <v>15712946</v>
      </c>
      <c r="Q807" s="2951">
        <v>15712946</v>
      </c>
      <c r="R807" s="2954">
        <v>44449</v>
      </c>
      <c r="S807" s="2954">
        <v>44458</v>
      </c>
      <c r="T807" s="2954">
        <v>44506</v>
      </c>
      <c r="U807" s="2954">
        <v>44506</v>
      </c>
      <c r="V807" s="2948" t="s">
        <v>1544</v>
      </c>
    </row>
    <row r="808" spans="1:22" s="2944" customFormat="1" ht="46.8" hidden="1">
      <c r="A808" s="2948">
        <v>807</v>
      </c>
      <c r="B808" s="2948" t="s">
        <v>635</v>
      </c>
      <c r="C808" s="2948" t="s">
        <v>636</v>
      </c>
      <c r="D808" s="2948" t="s">
        <v>1491</v>
      </c>
      <c r="E808" s="2948" t="s">
        <v>700</v>
      </c>
      <c r="F808" s="2948" t="s">
        <v>693</v>
      </c>
      <c r="G808" s="2948" t="s">
        <v>640</v>
      </c>
      <c r="H808" s="2948" t="s">
        <v>1494</v>
      </c>
      <c r="I808" s="2948" t="s">
        <v>642</v>
      </c>
      <c r="J808" s="2948" t="s">
        <v>643</v>
      </c>
      <c r="K808" s="2950">
        <v>125.4</v>
      </c>
      <c r="L808" s="2950">
        <v>95.66</v>
      </c>
      <c r="M808" s="2951">
        <v>13734560</v>
      </c>
      <c r="N808" s="2951">
        <v>13734560</v>
      </c>
      <c r="O808" s="2952">
        <v>13734560</v>
      </c>
      <c r="P808" s="2953">
        <v>13734560</v>
      </c>
      <c r="Q808" s="2951">
        <v>13734560</v>
      </c>
      <c r="R808" s="2954">
        <v>44450</v>
      </c>
      <c r="S808" s="2954">
        <v>44457</v>
      </c>
      <c r="T808" s="2954">
        <v>44525</v>
      </c>
      <c r="U808" s="2954">
        <v>44524</v>
      </c>
      <c r="V808" s="2948" t="s">
        <v>1545</v>
      </c>
    </row>
    <row r="809" spans="1:22" s="2944" customFormat="1" ht="46.8" hidden="1">
      <c r="A809" s="2948">
        <v>808</v>
      </c>
      <c r="B809" s="2948" t="s">
        <v>635</v>
      </c>
      <c r="C809" s="2948" t="s">
        <v>636</v>
      </c>
      <c r="D809" s="2948" t="s">
        <v>1491</v>
      </c>
      <c r="E809" s="2948" t="s">
        <v>700</v>
      </c>
      <c r="F809" s="2948" t="s">
        <v>694</v>
      </c>
      <c r="G809" s="2948" t="s">
        <v>640</v>
      </c>
      <c r="H809" s="2948" t="s">
        <v>1496</v>
      </c>
      <c r="I809" s="2948" t="s">
        <v>642</v>
      </c>
      <c r="J809" s="2948" t="s">
        <v>643</v>
      </c>
      <c r="K809" s="2950">
        <v>145.59</v>
      </c>
      <c r="L809" s="2950">
        <v>111.06</v>
      </c>
      <c r="M809" s="2951">
        <v>15727505</v>
      </c>
      <c r="N809" s="2951">
        <v>15727505</v>
      </c>
      <c r="O809" s="2952">
        <v>15727505</v>
      </c>
      <c r="P809" s="2953">
        <v>15727505</v>
      </c>
      <c r="Q809" s="2951">
        <v>15727505</v>
      </c>
      <c r="R809" s="2954">
        <v>44470</v>
      </c>
      <c r="S809" s="2954">
        <v>44479</v>
      </c>
      <c r="T809" s="2954">
        <v>44516</v>
      </c>
      <c r="U809" s="2954">
        <v>44516</v>
      </c>
      <c r="V809" s="2948" t="s">
        <v>1546</v>
      </c>
    </row>
    <row r="810" spans="1:22" s="2944" customFormat="1" ht="46.8" hidden="1">
      <c r="A810" s="2948">
        <v>809</v>
      </c>
      <c r="B810" s="2948" t="s">
        <v>635</v>
      </c>
      <c r="C810" s="2948" t="s">
        <v>636</v>
      </c>
      <c r="D810" s="2948" t="s">
        <v>1491</v>
      </c>
      <c r="E810" s="2948" t="s">
        <v>700</v>
      </c>
      <c r="F810" s="2948" t="s">
        <v>696</v>
      </c>
      <c r="G810" s="2948" t="s">
        <v>640</v>
      </c>
      <c r="H810" s="2948" t="s">
        <v>1494</v>
      </c>
      <c r="I810" s="2948" t="s">
        <v>642</v>
      </c>
      <c r="J810" s="2948" t="s">
        <v>643</v>
      </c>
      <c r="K810" s="2950">
        <v>125.4</v>
      </c>
      <c r="L810" s="2950">
        <v>95.66</v>
      </c>
      <c r="M810" s="2951">
        <v>13671860</v>
      </c>
      <c r="N810" s="2951">
        <v>13671860</v>
      </c>
      <c r="O810" s="2952">
        <v>13671860</v>
      </c>
      <c r="P810" s="2953">
        <v>13671860</v>
      </c>
      <c r="Q810" s="2951">
        <v>13671860</v>
      </c>
      <c r="R810" s="2954">
        <v>44454</v>
      </c>
      <c r="S810" s="2954">
        <v>44459</v>
      </c>
      <c r="T810" s="2954">
        <v>44502</v>
      </c>
      <c r="U810" s="2954">
        <v>44502</v>
      </c>
      <c r="V810" s="2948" t="s">
        <v>1547</v>
      </c>
    </row>
    <row r="811" spans="1:22" s="2944" customFormat="1" ht="46.8" hidden="1">
      <c r="A811" s="2948">
        <v>810</v>
      </c>
      <c r="B811" s="2948" t="s">
        <v>635</v>
      </c>
      <c r="C811" s="2948" t="s">
        <v>636</v>
      </c>
      <c r="D811" s="2948" t="s">
        <v>1491</v>
      </c>
      <c r="E811" s="2948" t="s">
        <v>700</v>
      </c>
      <c r="F811" s="2948" t="s">
        <v>698</v>
      </c>
      <c r="G811" s="2948" t="s">
        <v>640</v>
      </c>
      <c r="H811" s="2948" t="s">
        <v>1496</v>
      </c>
      <c r="I811" s="2948" t="s">
        <v>642</v>
      </c>
      <c r="J811" s="2948" t="s">
        <v>643</v>
      </c>
      <c r="K811" s="2950">
        <v>145.59</v>
      </c>
      <c r="L811" s="2950">
        <v>111.06</v>
      </c>
      <c r="M811" s="2951">
        <v>15654710</v>
      </c>
      <c r="N811" s="2951">
        <v>15654710</v>
      </c>
      <c r="O811" s="2952">
        <v>15654710</v>
      </c>
      <c r="P811" s="2953">
        <v>15654710</v>
      </c>
      <c r="Q811" s="2951">
        <v>15654710</v>
      </c>
      <c r="R811" s="2954">
        <v>44635</v>
      </c>
      <c r="S811" s="2954">
        <v>44638</v>
      </c>
      <c r="T811" s="2954">
        <v>44638</v>
      </c>
      <c r="U811" s="2954">
        <v>44638</v>
      </c>
      <c r="V811" s="2948" t="s">
        <v>1548</v>
      </c>
    </row>
    <row r="812" spans="1:22" s="2944" customFormat="1" ht="46.8" hidden="1">
      <c r="A812" s="2948">
        <v>811</v>
      </c>
      <c r="B812" s="2948" t="s">
        <v>635</v>
      </c>
      <c r="C812" s="2948" t="s">
        <v>636</v>
      </c>
      <c r="D812" s="2948" t="s">
        <v>1549</v>
      </c>
      <c r="E812" s="2948" t="s">
        <v>729</v>
      </c>
      <c r="F812" s="2948" t="s">
        <v>639</v>
      </c>
      <c r="G812" s="2948" t="s">
        <v>640</v>
      </c>
      <c r="H812" s="2948" t="s">
        <v>1550</v>
      </c>
      <c r="I812" s="2948" t="s">
        <v>642</v>
      </c>
      <c r="J812" s="2948" t="s">
        <v>643</v>
      </c>
      <c r="K812" s="2950">
        <v>127.5</v>
      </c>
      <c r="L812" s="2950">
        <v>96.23</v>
      </c>
      <c r="M812" s="2951">
        <v>13416315</v>
      </c>
      <c r="N812" s="2951">
        <v>13416315</v>
      </c>
      <c r="O812" s="2952">
        <v>13416315</v>
      </c>
      <c r="P812" s="2953">
        <v>13416315</v>
      </c>
      <c r="Q812" s="2951">
        <v>5378475</v>
      </c>
      <c r="R812" s="2954">
        <v>45285</v>
      </c>
      <c r="S812" s="2954">
        <v>45285</v>
      </c>
      <c r="T812" s="2948"/>
      <c r="U812" s="2948"/>
      <c r="V812" s="2948" t="s">
        <v>1551</v>
      </c>
    </row>
    <row r="813" spans="1:22" s="2944" customFormat="1" ht="46.8" hidden="1">
      <c r="A813" s="2948">
        <v>812</v>
      </c>
      <c r="B813" s="2948" t="s">
        <v>635</v>
      </c>
      <c r="C813" s="2948" t="s">
        <v>636</v>
      </c>
      <c r="D813" s="2948" t="s">
        <v>1549</v>
      </c>
      <c r="E813" s="2948" t="s">
        <v>729</v>
      </c>
      <c r="F813" s="2948" t="s">
        <v>645</v>
      </c>
      <c r="G813" s="2948" t="s">
        <v>640</v>
      </c>
      <c r="H813" s="2948" t="s">
        <v>1552</v>
      </c>
      <c r="I813" s="2948" t="s">
        <v>642</v>
      </c>
      <c r="J813" s="2948" t="s">
        <v>643</v>
      </c>
      <c r="K813" s="2950">
        <v>128.99</v>
      </c>
      <c r="L813" s="2950">
        <v>97.35</v>
      </c>
      <c r="M813" s="2951">
        <v>13637596</v>
      </c>
      <c r="N813" s="2951">
        <v>13637596</v>
      </c>
      <c r="O813" s="2952">
        <v>13637596</v>
      </c>
      <c r="P813" s="2953">
        <v>13637596</v>
      </c>
      <c r="Q813" s="2951">
        <v>13637596</v>
      </c>
      <c r="R813" s="2954">
        <v>45104</v>
      </c>
      <c r="S813" s="2954">
        <v>45107</v>
      </c>
      <c r="T813" s="2954">
        <v>45108</v>
      </c>
      <c r="U813" s="2954">
        <v>45108</v>
      </c>
      <c r="V813" s="2948" t="s">
        <v>1553</v>
      </c>
    </row>
    <row r="814" spans="1:22" s="2944" customFormat="1" ht="46.8" hidden="1">
      <c r="A814" s="2948">
        <v>813</v>
      </c>
      <c r="B814" s="2948" t="s">
        <v>635</v>
      </c>
      <c r="C814" s="2948" t="s">
        <v>636</v>
      </c>
      <c r="D814" s="2948" t="s">
        <v>1549</v>
      </c>
      <c r="E814" s="2948" t="s">
        <v>729</v>
      </c>
      <c r="F814" s="2948" t="s">
        <v>648</v>
      </c>
      <c r="G814" s="2948" t="s">
        <v>640</v>
      </c>
      <c r="H814" s="2948" t="s">
        <v>1550</v>
      </c>
      <c r="I814" s="2948" t="s">
        <v>642</v>
      </c>
      <c r="J814" s="2948" t="s">
        <v>643</v>
      </c>
      <c r="K814" s="2950">
        <v>127.5</v>
      </c>
      <c r="L814" s="2950">
        <v>96.23</v>
      </c>
      <c r="M814" s="2951">
        <v>13543815</v>
      </c>
      <c r="N814" s="2951">
        <v>13543815</v>
      </c>
      <c r="O814" s="2952">
        <v>12866624</v>
      </c>
      <c r="P814" s="2953">
        <v>12866624</v>
      </c>
      <c r="Q814" s="2951">
        <v>12866624</v>
      </c>
      <c r="R814" s="2954">
        <v>44651</v>
      </c>
      <c r="S814" s="2954">
        <v>44651</v>
      </c>
      <c r="T814" s="2954">
        <v>44783</v>
      </c>
      <c r="U814" s="2954">
        <v>44783</v>
      </c>
      <c r="V814" s="2948" t="s">
        <v>1554</v>
      </c>
    </row>
    <row r="815" spans="1:22" s="2944" customFormat="1" ht="46.8" hidden="1">
      <c r="A815" s="2948">
        <v>814</v>
      </c>
      <c r="B815" s="2948" t="s">
        <v>635</v>
      </c>
      <c r="C815" s="2948" t="s">
        <v>636</v>
      </c>
      <c r="D815" s="2948" t="s">
        <v>1549</v>
      </c>
      <c r="E815" s="2948" t="s">
        <v>729</v>
      </c>
      <c r="F815" s="2948" t="s">
        <v>651</v>
      </c>
      <c r="G815" s="2948" t="s">
        <v>640</v>
      </c>
      <c r="H815" s="2948" t="s">
        <v>1555</v>
      </c>
      <c r="I815" s="2948" t="s">
        <v>642</v>
      </c>
      <c r="J815" s="2948" t="s">
        <v>643</v>
      </c>
      <c r="K815" s="2950">
        <v>128.97</v>
      </c>
      <c r="L815" s="2950">
        <v>97.34</v>
      </c>
      <c r="M815" s="2951">
        <v>13764452</v>
      </c>
      <c r="N815" s="2951">
        <v>13764452</v>
      </c>
      <c r="O815" s="2952">
        <v>13764452</v>
      </c>
      <c r="P815" s="2953">
        <v>13764452</v>
      </c>
      <c r="Q815" s="2951">
        <v>13764452</v>
      </c>
      <c r="R815" s="2954">
        <v>44617</v>
      </c>
      <c r="S815" s="2954">
        <v>44651</v>
      </c>
      <c r="T815" s="2954">
        <v>44851</v>
      </c>
      <c r="U815" s="2954">
        <v>44851</v>
      </c>
      <c r="V815" s="2948" t="s">
        <v>1556</v>
      </c>
    </row>
    <row r="816" spans="1:22" s="2944" customFormat="1" ht="46.8" hidden="1">
      <c r="A816" s="2948">
        <v>815</v>
      </c>
      <c r="B816" s="2948" t="s">
        <v>635</v>
      </c>
      <c r="C816" s="2948" t="s">
        <v>636</v>
      </c>
      <c r="D816" s="2948" t="s">
        <v>1549</v>
      </c>
      <c r="E816" s="2948" t="s">
        <v>729</v>
      </c>
      <c r="F816" s="2948" t="s">
        <v>653</v>
      </c>
      <c r="G816" s="2948" t="s">
        <v>640</v>
      </c>
      <c r="H816" s="2948" t="s">
        <v>1550</v>
      </c>
      <c r="I816" s="2948" t="s">
        <v>642</v>
      </c>
      <c r="J816" s="2948" t="s">
        <v>643</v>
      </c>
      <c r="K816" s="2950">
        <v>127.5</v>
      </c>
      <c r="L816" s="2950">
        <v>96.23</v>
      </c>
      <c r="M816" s="2951">
        <v>13671315</v>
      </c>
      <c r="N816" s="2951">
        <v>13671315</v>
      </c>
      <c r="O816" s="2952">
        <v>13671315</v>
      </c>
      <c r="P816" s="2953">
        <v>13671315</v>
      </c>
      <c r="Q816" s="2951">
        <v>13671315</v>
      </c>
      <c r="R816" s="2954">
        <v>44638</v>
      </c>
      <c r="S816" s="2954">
        <v>44651</v>
      </c>
      <c r="T816" s="2954">
        <v>44726</v>
      </c>
      <c r="U816" s="2954">
        <v>44726</v>
      </c>
      <c r="V816" s="2948" t="s">
        <v>1557</v>
      </c>
    </row>
    <row r="817" spans="1:22" s="2944" customFormat="1" ht="46.8" hidden="1">
      <c r="A817" s="2948">
        <v>816</v>
      </c>
      <c r="B817" s="2948" t="s">
        <v>635</v>
      </c>
      <c r="C817" s="2948" t="s">
        <v>636</v>
      </c>
      <c r="D817" s="2948" t="s">
        <v>1549</v>
      </c>
      <c r="E817" s="2948" t="s">
        <v>729</v>
      </c>
      <c r="F817" s="2948" t="s">
        <v>655</v>
      </c>
      <c r="G817" s="2948" t="s">
        <v>640</v>
      </c>
      <c r="H817" s="2948" t="s">
        <v>1558</v>
      </c>
      <c r="I817" s="2948" t="s">
        <v>642</v>
      </c>
      <c r="J817" s="2948" t="s">
        <v>643</v>
      </c>
      <c r="K817" s="2950">
        <v>129.13</v>
      </c>
      <c r="L817" s="2950">
        <v>97.46</v>
      </c>
      <c r="M817" s="2951">
        <v>13910658</v>
      </c>
      <c r="N817" s="2951">
        <v>13910658</v>
      </c>
      <c r="O817" s="2952">
        <v>13910658</v>
      </c>
      <c r="P817" s="2953">
        <v>13910658</v>
      </c>
      <c r="Q817" s="2951">
        <v>13910658</v>
      </c>
      <c r="R817" s="2954">
        <v>44453</v>
      </c>
      <c r="S817" s="2954">
        <v>44458</v>
      </c>
      <c r="T817" s="2954">
        <v>44505</v>
      </c>
      <c r="U817" s="2954">
        <v>44505</v>
      </c>
      <c r="V817" s="2948" t="s">
        <v>1559</v>
      </c>
    </row>
    <row r="818" spans="1:22" s="2944" customFormat="1" ht="46.8" hidden="1">
      <c r="A818" s="2948">
        <v>817</v>
      </c>
      <c r="B818" s="2948" t="s">
        <v>635</v>
      </c>
      <c r="C818" s="2948" t="s">
        <v>636</v>
      </c>
      <c r="D818" s="2948" t="s">
        <v>1549</v>
      </c>
      <c r="E818" s="2948" t="s">
        <v>729</v>
      </c>
      <c r="F818" s="2948" t="s">
        <v>657</v>
      </c>
      <c r="G818" s="2948" t="s">
        <v>640</v>
      </c>
      <c r="H818" s="2948" t="s">
        <v>1550</v>
      </c>
      <c r="I818" s="2948" t="s">
        <v>642</v>
      </c>
      <c r="J818" s="2948" t="s">
        <v>643</v>
      </c>
      <c r="K818" s="2950">
        <v>127.5</v>
      </c>
      <c r="L818" s="2950">
        <v>96.23</v>
      </c>
      <c r="M818" s="2951">
        <v>13798815</v>
      </c>
      <c r="N818" s="2951">
        <v>13798815</v>
      </c>
      <c r="O818" s="2952">
        <v>13798815</v>
      </c>
      <c r="P818" s="2953">
        <v>13798815</v>
      </c>
      <c r="Q818" s="2951">
        <v>13798815</v>
      </c>
      <c r="R818" s="2948"/>
      <c r="S818" s="2954">
        <v>44571.401076388902</v>
      </c>
      <c r="T818" s="2954">
        <v>44658</v>
      </c>
      <c r="U818" s="2954">
        <v>44658</v>
      </c>
      <c r="V818" s="2948" t="s">
        <v>1560</v>
      </c>
    </row>
    <row r="819" spans="1:22" s="2944" customFormat="1" ht="46.8" hidden="1">
      <c r="A819" s="2948">
        <v>818</v>
      </c>
      <c r="B819" s="2948" t="s">
        <v>635</v>
      </c>
      <c r="C819" s="2948" t="s">
        <v>636</v>
      </c>
      <c r="D819" s="2948" t="s">
        <v>1549</v>
      </c>
      <c r="E819" s="2948" t="s">
        <v>729</v>
      </c>
      <c r="F819" s="2948" t="s">
        <v>659</v>
      </c>
      <c r="G819" s="2948" t="s">
        <v>640</v>
      </c>
      <c r="H819" s="2948" t="s">
        <v>1558</v>
      </c>
      <c r="I819" s="2948" t="s">
        <v>642</v>
      </c>
      <c r="J819" s="2948" t="s">
        <v>643</v>
      </c>
      <c r="K819" s="2950">
        <v>129.13</v>
      </c>
      <c r="L819" s="2950">
        <v>97.46</v>
      </c>
      <c r="M819" s="2951">
        <v>14039788</v>
      </c>
      <c r="N819" s="2951">
        <v>14039788</v>
      </c>
      <c r="O819" s="2952">
        <v>14039788</v>
      </c>
      <c r="P819" s="2953">
        <v>14039788</v>
      </c>
      <c r="Q819" s="2951">
        <v>14039788</v>
      </c>
      <c r="R819" s="2954">
        <v>44453</v>
      </c>
      <c r="S819" s="2954">
        <v>44457</v>
      </c>
      <c r="T819" s="2954">
        <v>44496</v>
      </c>
      <c r="U819" s="2954">
        <v>44496</v>
      </c>
      <c r="V819" s="2948" t="s">
        <v>1561</v>
      </c>
    </row>
    <row r="820" spans="1:22" s="2944" customFormat="1" ht="46.8" hidden="1">
      <c r="A820" s="2948">
        <v>819</v>
      </c>
      <c r="B820" s="2948" t="s">
        <v>635</v>
      </c>
      <c r="C820" s="2948" t="s">
        <v>636</v>
      </c>
      <c r="D820" s="2948" t="s">
        <v>1549</v>
      </c>
      <c r="E820" s="2948" t="s">
        <v>729</v>
      </c>
      <c r="F820" s="2948" t="s">
        <v>661</v>
      </c>
      <c r="G820" s="2948" t="s">
        <v>640</v>
      </c>
      <c r="H820" s="2948" t="s">
        <v>1550</v>
      </c>
      <c r="I820" s="2948" t="s">
        <v>642</v>
      </c>
      <c r="J820" s="2948" t="s">
        <v>643</v>
      </c>
      <c r="K820" s="2950">
        <v>127.5</v>
      </c>
      <c r="L820" s="2950">
        <v>96.23</v>
      </c>
      <c r="M820" s="2951">
        <v>13926315</v>
      </c>
      <c r="N820" s="2951">
        <v>13926315</v>
      </c>
      <c r="O820" s="2952">
        <v>13926315</v>
      </c>
      <c r="P820" s="2953">
        <v>13926315</v>
      </c>
      <c r="Q820" s="2951">
        <v>13926315</v>
      </c>
      <c r="R820" s="2954">
        <v>44453</v>
      </c>
      <c r="S820" s="2954">
        <v>44458</v>
      </c>
      <c r="T820" s="2954">
        <v>44496</v>
      </c>
      <c r="U820" s="2954">
        <v>44496</v>
      </c>
      <c r="V820" s="2948" t="s">
        <v>1562</v>
      </c>
    </row>
    <row r="821" spans="1:22" s="2944" customFormat="1" ht="46.8" hidden="1">
      <c r="A821" s="2948">
        <v>820</v>
      </c>
      <c r="B821" s="2948" t="s">
        <v>635</v>
      </c>
      <c r="C821" s="2948" t="s">
        <v>636</v>
      </c>
      <c r="D821" s="2948" t="s">
        <v>1549</v>
      </c>
      <c r="E821" s="2948" t="s">
        <v>729</v>
      </c>
      <c r="F821" s="2948" t="s">
        <v>663</v>
      </c>
      <c r="G821" s="2948" t="s">
        <v>640</v>
      </c>
      <c r="H821" s="2948" t="s">
        <v>1558</v>
      </c>
      <c r="I821" s="2948" t="s">
        <v>642</v>
      </c>
      <c r="J821" s="2948" t="s">
        <v>643</v>
      </c>
      <c r="K821" s="2950">
        <v>129.13</v>
      </c>
      <c r="L821" s="2950">
        <v>97.46</v>
      </c>
      <c r="M821" s="2951">
        <v>14168918</v>
      </c>
      <c r="N821" s="2951">
        <v>14168918</v>
      </c>
      <c r="O821" s="2952">
        <v>14168918</v>
      </c>
      <c r="P821" s="2953">
        <v>14168918</v>
      </c>
      <c r="Q821" s="2951">
        <v>14168918</v>
      </c>
      <c r="R821" s="2954">
        <v>44453</v>
      </c>
      <c r="S821" s="2954">
        <v>44458</v>
      </c>
      <c r="T821" s="2954">
        <v>44502</v>
      </c>
      <c r="U821" s="2954">
        <v>44502</v>
      </c>
      <c r="V821" s="2948" t="s">
        <v>1563</v>
      </c>
    </row>
    <row r="822" spans="1:22" s="2944" customFormat="1" ht="46.8" hidden="1">
      <c r="A822" s="2948">
        <v>821</v>
      </c>
      <c r="B822" s="2948" t="s">
        <v>635</v>
      </c>
      <c r="C822" s="2948" t="s">
        <v>636</v>
      </c>
      <c r="D822" s="2948" t="s">
        <v>1549</v>
      </c>
      <c r="E822" s="2948" t="s">
        <v>729</v>
      </c>
      <c r="F822" s="2948" t="s">
        <v>665</v>
      </c>
      <c r="G822" s="2948" t="s">
        <v>640</v>
      </c>
      <c r="H822" s="2948" t="s">
        <v>1550</v>
      </c>
      <c r="I822" s="2948" t="s">
        <v>642</v>
      </c>
      <c r="J822" s="2948" t="s">
        <v>643</v>
      </c>
      <c r="K822" s="2950">
        <v>127.5</v>
      </c>
      <c r="L822" s="2950">
        <v>96.23</v>
      </c>
      <c r="M822" s="2951">
        <v>13939065</v>
      </c>
      <c r="N822" s="2951">
        <v>13939065</v>
      </c>
      <c r="O822" s="2952">
        <v>13939065</v>
      </c>
      <c r="P822" s="2953">
        <v>13939065</v>
      </c>
      <c r="Q822" s="2951">
        <v>13939065</v>
      </c>
      <c r="R822" s="2954">
        <v>44454</v>
      </c>
      <c r="S822" s="2954">
        <v>44459</v>
      </c>
      <c r="T822" s="2954">
        <v>44496</v>
      </c>
      <c r="U822" s="2954">
        <v>44496</v>
      </c>
      <c r="V822" s="2948" t="s">
        <v>1564</v>
      </c>
    </row>
    <row r="823" spans="1:22" s="2944" customFormat="1" ht="46.8" hidden="1">
      <c r="A823" s="2948">
        <v>822</v>
      </c>
      <c r="B823" s="2948" t="s">
        <v>635</v>
      </c>
      <c r="C823" s="2948" t="s">
        <v>636</v>
      </c>
      <c r="D823" s="2948" t="s">
        <v>1549</v>
      </c>
      <c r="E823" s="2948" t="s">
        <v>729</v>
      </c>
      <c r="F823" s="2948" t="s">
        <v>667</v>
      </c>
      <c r="G823" s="2948" t="s">
        <v>640</v>
      </c>
      <c r="H823" s="2948" t="s">
        <v>1558</v>
      </c>
      <c r="I823" s="2948" t="s">
        <v>642</v>
      </c>
      <c r="J823" s="2948" t="s">
        <v>643</v>
      </c>
      <c r="K823" s="2950">
        <v>129.13</v>
      </c>
      <c r="L823" s="2950">
        <v>97.46</v>
      </c>
      <c r="M823" s="2951">
        <v>14181831</v>
      </c>
      <c r="N823" s="2951">
        <v>14181831</v>
      </c>
      <c r="O823" s="2952">
        <v>14181831</v>
      </c>
      <c r="P823" s="2953">
        <v>14181831</v>
      </c>
      <c r="Q823" s="2951">
        <v>14181831</v>
      </c>
      <c r="R823" s="2954">
        <v>45000</v>
      </c>
      <c r="S823" s="2954">
        <v>45000</v>
      </c>
      <c r="T823" s="2954">
        <v>44999</v>
      </c>
      <c r="U823" s="2954">
        <v>45002</v>
      </c>
      <c r="V823" s="2948" t="s">
        <v>1565</v>
      </c>
    </row>
    <row r="824" spans="1:22" s="2944" customFormat="1" ht="46.8" hidden="1">
      <c r="A824" s="2948">
        <v>823</v>
      </c>
      <c r="B824" s="2948" t="s">
        <v>635</v>
      </c>
      <c r="C824" s="2948" t="s">
        <v>636</v>
      </c>
      <c r="D824" s="2948" t="s">
        <v>1549</v>
      </c>
      <c r="E824" s="2948" t="s">
        <v>729</v>
      </c>
      <c r="F824" s="2948" t="s">
        <v>669</v>
      </c>
      <c r="G824" s="2948" t="s">
        <v>640</v>
      </c>
      <c r="H824" s="2948" t="s">
        <v>1550</v>
      </c>
      <c r="I824" s="2948" t="s">
        <v>642</v>
      </c>
      <c r="J824" s="2948" t="s">
        <v>643</v>
      </c>
      <c r="K824" s="2950">
        <v>127.5</v>
      </c>
      <c r="L824" s="2950">
        <v>96.23</v>
      </c>
      <c r="M824" s="2951">
        <v>13951815</v>
      </c>
      <c r="N824" s="2951">
        <v>13951815</v>
      </c>
      <c r="O824" s="2952">
        <v>13951815</v>
      </c>
      <c r="P824" s="2953">
        <v>13951815</v>
      </c>
      <c r="Q824" s="2951">
        <v>13951815</v>
      </c>
      <c r="R824" s="2954">
        <v>44554</v>
      </c>
      <c r="S824" s="2954">
        <v>44557</v>
      </c>
      <c r="T824" s="2954">
        <v>44726</v>
      </c>
      <c r="U824" s="2954">
        <v>44726</v>
      </c>
      <c r="V824" s="2948" t="s">
        <v>1566</v>
      </c>
    </row>
    <row r="825" spans="1:22" s="2944" customFormat="1" ht="46.8" hidden="1">
      <c r="A825" s="2948">
        <v>824</v>
      </c>
      <c r="B825" s="2948" t="s">
        <v>635</v>
      </c>
      <c r="C825" s="2948" t="s">
        <v>636</v>
      </c>
      <c r="D825" s="2948" t="s">
        <v>1549</v>
      </c>
      <c r="E825" s="2948" t="s">
        <v>729</v>
      </c>
      <c r="F825" s="2948" t="s">
        <v>671</v>
      </c>
      <c r="G825" s="2948" t="s">
        <v>640</v>
      </c>
      <c r="H825" s="2948" t="s">
        <v>1558</v>
      </c>
      <c r="I825" s="2948" t="s">
        <v>642</v>
      </c>
      <c r="J825" s="2948" t="s">
        <v>643</v>
      </c>
      <c r="K825" s="2950">
        <v>129.13</v>
      </c>
      <c r="L825" s="2950">
        <v>97.46</v>
      </c>
      <c r="M825" s="2951">
        <v>14194744</v>
      </c>
      <c r="N825" s="2951">
        <v>14194744</v>
      </c>
      <c r="O825" s="2952">
        <v>14194744</v>
      </c>
      <c r="P825" s="2953">
        <v>14194744</v>
      </c>
      <c r="Q825" s="2951">
        <v>14194744</v>
      </c>
      <c r="R825" s="2954">
        <v>44455</v>
      </c>
      <c r="S825" s="2954">
        <v>44459</v>
      </c>
      <c r="T825" s="2954">
        <v>44859</v>
      </c>
      <c r="U825" s="2954">
        <v>44859</v>
      </c>
      <c r="V825" s="2948" t="s">
        <v>1567</v>
      </c>
    </row>
    <row r="826" spans="1:22" s="2944" customFormat="1" ht="46.8" hidden="1">
      <c r="A826" s="2948">
        <v>825</v>
      </c>
      <c r="B826" s="2948" t="s">
        <v>635</v>
      </c>
      <c r="C826" s="2948" t="s">
        <v>636</v>
      </c>
      <c r="D826" s="2948" t="s">
        <v>1549</v>
      </c>
      <c r="E826" s="2948" t="s">
        <v>729</v>
      </c>
      <c r="F826" s="2948" t="s">
        <v>673</v>
      </c>
      <c r="G826" s="2948" t="s">
        <v>640</v>
      </c>
      <c r="H826" s="2948" t="s">
        <v>1550</v>
      </c>
      <c r="I826" s="2948" t="s">
        <v>642</v>
      </c>
      <c r="J826" s="2948" t="s">
        <v>643</v>
      </c>
      <c r="K826" s="2950">
        <v>127.5</v>
      </c>
      <c r="L826" s="2950">
        <v>96.23</v>
      </c>
      <c r="M826" s="2951">
        <v>13964565</v>
      </c>
      <c r="N826" s="2951">
        <v>13964565</v>
      </c>
      <c r="O826" s="2952">
        <v>13964565</v>
      </c>
      <c r="P826" s="2953">
        <v>13964565</v>
      </c>
      <c r="Q826" s="2951">
        <v>13964565</v>
      </c>
      <c r="R826" s="2954">
        <v>44565</v>
      </c>
      <c r="S826" s="2954">
        <v>44567</v>
      </c>
      <c r="T826" s="2954">
        <v>44639</v>
      </c>
      <c r="U826" s="2954">
        <v>44639</v>
      </c>
      <c r="V826" s="2948" t="s">
        <v>1568</v>
      </c>
    </row>
    <row r="827" spans="1:22" s="2944" customFormat="1" ht="46.8" hidden="1">
      <c r="A827" s="2948">
        <v>826</v>
      </c>
      <c r="B827" s="2948" t="s">
        <v>635</v>
      </c>
      <c r="C827" s="2948" t="s">
        <v>636</v>
      </c>
      <c r="D827" s="2948" t="s">
        <v>1549</v>
      </c>
      <c r="E827" s="2948" t="s">
        <v>729</v>
      </c>
      <c r="F827" s="2948" t="s">
        <v>675</v>
      </c>
      <c r="G827" s="2948" t="s">
        <v>640</v>
      </c>
      <c r="H827" s="2948" t="s">
        <v>1558</v>
      </c>
      <c r="I827" s="2948" t="s">
        <v>642</v>
      </c>
      <c r="J827" s="2948" t="s">
        <v>643</v>
      </c>
      <c r="K827" s="2950">
        <v>129.13</v>
      </c>
      <c r="L827" s="2950">
        <v>97.46</v>
      </c>
      <c r="M827" s="2951">
        <v>14204300</v>
      </c>
      <c r="N827" s="2951">
        <v>14204300</v>
      </c>
      <c r="O827" s="2952">
        <v>14204300</v>
      </c>
      <c r="P827" s="2953">
        <v>14204300</v>
      </c>
      <c r="Q827" s="2951">
        <v>14204300</v>
      </c>
      <c r="R827" s="2954">
        <v>44450</v>
      </c>
      <c r="S827" s="2954">
        <v>44458</v>
      </c>
      <c r="T827" s="2954">
        <v>44506</v>
      </c>
      <c r="U827" s="2954">
        <v>44506</v>
      </c>
      <c r="V827" s="2948" t="s">
        <v>1569</v>
      </c>
    </row>
    <row r="828" spans="1:22" s="2944" customFormat="1" ht="46.8" hidden="1">
      <c r="A828" s="2948">
        <v>827</v>
      </c>
      <c r="B828" s="2948" t="s">
        <v>635</v>
      </c>
      <c r="C828" s="2948" t="s">
        <v>636</v>
      </c>
      <c r="D828" s="2948" t="s">
        <v>1549</v>
      </c>
      <c r="E828" s="2948" t="s">
        <v>729</v>
      </c>
      <c r="F828" s="2948" t="s">
        <v>677</v>
      </c>
      <c r="G828" s="2948" t="s">
        <v>640</v>
      </c>
      <c r="H828" s="2948" t="s">
        <v>1550</v>
      </c>
      <c r="I828" s="2948" t="s">
        <v>642</v>
      </c>
      <c r="J828" s="2948" t="s">
        <v>643</v>
      </c>
      <c r="K828" s="2950">
        <v>127.5</v>
      </c>
      <c r="L828" s="2950">
        <v>96.23</v>
      </c>
      <c r="M828" s="2951">
        <v>13977315</v>
      </c>
      <c r="N828" s="2951">
        <v>13977315</v>
      </c>
      <c r="O828" s="2952">
        <v>13977315</v>
      </c>
      <c r="P828" s="2953">
        <v>13977315</v>
      </c>
      <c r="Q828" s="2951">
        <v>13977315</v>
      </c>
      <c r="R828" s="2954">
        <v>45113</v>
      </c>
      <c r="S828" s="2954">
        <v>45113</v>
      </c>
      <c r="T828" s="2954">
        <v>45113</v>
      </c>
      <c r="U828" s="2954">
        <v>45113</v>
      </c>
      <c r="V828" s="2948" t="s">
        <v>1570</v>
      </c>
    </row>
    <row r="829" spans="1:22" s="2944" customFormat="1" ht="46.8" hidden="1">
      <c r="A829" s="2948">
        <v>828</v>
      </c>
      <c r="B829" s="2948" t="s">
        <v>635</v>
      </c>
      <c r="C829" s="2948" t="s">
        <v>636</v>
      </c>
      <c r="D829" s="2948" t="s">
        <v>1549</v>
      </c>
      <c r="E829" s="2948" t="s">
        <v>729</v>
      </c>
      <c r="F829" s="2948" t="s">
        <v>679</v>
      </c>
      <c r="G829" s="2948" t="s">
        <v>640</v>
      </c>
      <c r="H829" s="2948" t="s">
        <v>1558</v>
      </c>
      <c r="I829" s="2948" t="s">
        <v>642</v>
      </c>
      <c r="J829" s="2948" t="s">
        <v>643</v>
      </c>
      <c r="K829" s="2950">
        <v>129.13</v>
      </c>
      <c r="L829" s="2950">
        <v>97.46</v>
      </c>
      <c r="M829" s="2951">
        <v>14204300</v>
      </c>
      <c r="N829" s="2951">
        <v>14204300</v>
      </c>
      <c r="O829" s="2952">
        <v>14204300</v>
      </c>
      <c r="P829" s="2953">
        <v>14204300</v>
      </c>
      <c r="Q829" s="2951">
        <v>14204300</v>
      </c>
      <c r="R829" s="2954">
        <v>44453</v>
      </c>
      <c r="S829" s="2954">
        <v>44461</v>
      </c>
      <c r="T829" s="2954">
        <v>44496</v>
      </c>
      <c r="U829" s="2954">
        <v>44496</v>
      </c>
      <c r="V829" s="2948" t="s">
        <v>1571</v>
      </c>
    </row>
    <row r="830" spans="1:22" s="2944" customFormat="1" ht="46.8" hidden="1">
      <c r="A830" s="2948">
        <v>829</v>
      </c>
      <c r="B830" s="2948" t="s">
        <v>635</v>
      </c>
      <c r="C830" s="2948" t="s">
        <v>636</v>
      </c>
      <c r="D830" s="2948" t="s">
        <v>1549</v>
      </c>
      <c r="E830" s="2948" t="s">
        <v>729</v>
      </c>
      <c r="F830" s="2948" t="s">
        <v>681</v>
      </c>
      <c r="G830" s="2948" t="s">
        <v>640</v>
      </c>
      <c r="H830" s="2948" t="s">
        <v>1550</v>
      </c>
      <c r="I830" s="2948" t="s">
        <v>642</v>
      </c>
      <c r="J830" s="2948" t="s">
        <v>643</v>
      </c>
      <c r="K830" s="2950">
        <v>127.5</v>
      </c>
      <c r="L830" s="2950">
        <v>96.23</v>
      </c>
      <c r="M830" s="2951">
        <v>13990065</v>
      </c>
      <c r="N830" s="2951">
        <v>13990065</v>
      </c>
      <c r="O830" s="2952">
        <v>13990065</v>
      </c>
      <c r="P830" s="2953">
        <v>13990065</v>
      </c>
      <c r="Q830" s="2951">
        <v>13990065</v>
      </c>
      <c r="R830" s="2954">
        <v>44455</v>
      </c>
      <c r="S830" s="2954">
        <v>44462</v>
      </c>
      <c r="T830" s="2954">
        <v>44524</v>
      </c>
      <c r="U830" s="2954">
        <v>44524</v>
      </c>
      <c r="V830" s="2948" t="s">
        <v>1572</v>
      </c>
    </row>
    <row r="831" spans="1:22" s="2944" customFormat="1" ht="46.8" hidden="1">
      <c r="A831" s="2948">
        <v>830</v>
      </c>
      <c r="B831" s="2948" t="s">
        <v>635</v>
      </c>
      <c r="C831" s="2948" t="s">
        <v>636</v>
      </c>
      <c r="D831" s="2948" t="s">
        <v>1549</v>
      </c>
      <c r="E831" s="2948" t="s">
        <v>729</v>
      </c>
      <c r="F831" s="2948" t="s">
        <v>683</v>
      </c>
      <c r="G831" s="2948" t="s">
        <v>640</v>
      </c>
      <c r="H831" s="2948" t="s">
        <v>1558</v>
      </c>
      <c r="I831" s="2948" t="s">
        <v>642</v>
      </c>
      <c r="J831" s="2948" t="s">
        <v>643</v>
      </c>
      <c r="K831" s="2950">
        <v>129.13</v>
      </c>
      <c r="L831" s="2950">
        <v>97.46</v>
      </c>
      <c r="M831" s="2951">
        <v>14204300</v>
      </c>
      <c r="N831" s="2951">
        <v>14204300</v>
      </c>
      <c r="O831" s="2952">
        <v>14204300</v>
      </c>
      <c r="P831" s="2953">
        <v>14204300</v>
      </c>
      <c r="Q831" s="2951">
        <v>14204300</v>
      </c>
      <c r="R831" s="2954">
        <v>44454</v>
      </c>
      <c r="S831" s="2954">
        <v>44458</v>
      </c>
      <c r="T831" s="2954">
        <v>44496</v>
      </c>
      <c r="U831" s="2954">
        <v>44496</v>
      </c>
      <c r="V831" s="2948" t="s">
        <v>1573</v>
      </c>
    </row>
    <row r="832" spans="1:22" s="2944" customFormat="1" ht="46.8" hidden="1">
      <c r="A832" s="2948">
        <v>831</v>
      </c>
      <c r="B832" s="2948" t="s">
        <v>635</v>
      </c>
      <c r="C832" s="2948" t="s">
        <v>636</v>
      </c>
      <c r="D832" s="2948" t="s">
        <v>1549</v>
      </c>
      <c r="E832" s="2948" t="s">
        <v>729</v>
      </c>
      <c r="F832" s="2948" t="s">
        <v>685</v>
      </c>
      <c r="G832" s="2948" t="s">
        <v>640</v>
      </c>
      <c r="H832" s="2948" t="s">
        <v>1550</v>
      </c>
      <c r="I832" s="2948" t="s">
        <v>642</v>
      </c>
      <c r="J832" s="2948" t="s">
        <v>643</v>
      </c>
      <c r="K832" s="2950">
        <v>127.5</v>
      </c>
      <c r="L832" s="2950">
        <v>96.23</v>
      </c>
      <c r="M832" s="2951">
        <v>13951815</v>
      </c>
      <c r="N832" s="2951">
        <v>13951815</v>
      </c>
      <c r="O832" s="2952">
        <v>13951815</v>
      </c>
      <c r="P832" s="2953">
        <v>13951815</v>
      </c>
      <c r="Q832" s="2951">
        <v>13951815</v>
      </c>
      <c r="R832" s="2954">
        <v>44453</v>
      </c>
      <c r="S832" s="2954">
        <v>44458</v>
      </c>
      <c r="T832" s="2954">
        <v>44504</v>
      </c>
      <c r="U832" s="2954">
        <v>44504</v>
      </c>
      <c r="V832" s="2948" t="s">
        <v>1574</v>
      </c>
    </row>
    <row r="833" spans="1:22" s="2944" customFormat="1" ht="46.8" hidden="1">
      <c r="A833" s="2948">
        <v>832</v>
      </c>
      <c r="B833" s="2948" t="s">
        <v>635</v>
      </c>
      <c r="C833" s="2948" t="s">
        <v>636</v>
      </c>
      <c r="D833" s="2948" t="s">
        <v>1549</v>
      </c>
      <c r="E833" s="2948" t="s">
        <v>729</v>
      </c>
      <c r="F833" s="2948" t="s">
        <v>687</v>
      </c>
      <c r="G833" s="2948" t="s">
        <v>640</v>
      </c>
      <c r="H833" s="2948" t="s">
        <v>1558</v>
      </c>
      <c r="I833" s="2948" t="s">
        <v>642</v>
      </c>
      <c r="J833" s="2948" t="s">
        <v>643</v>
      </c>
      <c r="K833" s="2950">
        <v>129.13</v>
      </c>
      <c r="L833" s="2950">
        <v>97.46</v>
      </c>
      <c r="M833" s="2951">
        <v>14139735</v>
      </c>
      <c r="N833" s="2951">
        <v>14139735</v>
      </c>
      <c r="O833" s="2952">
        <v>14139735</v>
      </c>
      <c r="P833" s="2953">
        <v>14139735</v>
      </c>
      <c r="Q833" s="2951">
        <v>14139735</v>
      </c>
      <c r="R833" s="2954">
        <v>44453</v>
      </c>
      <c r="S833" s="2954">
        <v>44459</v>
      </c>
      <c r="T833" s="2954">
        <v>44639</v>
      </c>
      <c r="U833" s="2954">
        <v>44639</v>
      </c>
      <c r="V833" s="2948" t="s">
        <v>1575</v>
      </c>
    </row>
    <row r="834" spans="1:22" s="2944" customFormat="1" ht="46.8" hidden="1">
      <c r="A834" s="2948">
        <v>833</v>
      </c>
      <c r="B834" s="2948" t="s">
        <v>635</v>
      </c>
      <c r="C834" s="2948" t="s">
        <v>636</v>
      </c>
      <c r="D834" s="2948" t="s">
        <v>1576</v>
      </c>
      <c r="E834" s="2948" t="s">
        <v>638</v>
      </c>
      <c r="F834" s="2948" t="s">
        <v>639</v>
      </c>
      <c r="G834" s="2948" t="s">
        <v>640</v>
      </c>
      <c r="H834" s="2948" t="s">
        <v>1577</v>
      </c>
      <c r="I834" s="2948" t="s">
        <v>642</v>
      </c>
      <c r="J834" s="2948" t="s">
        <v>643</v>
      </c>
      <c r="K834" s="2950">
        <v>146.36000000000001</v>
      </c>
      <c r="L834" s="2950">
        <v>111.06</v>
      </c>
      <c r="M834" s="2951">
        <v>15108157</v>
      </c>
      <c r="N834" s="2951">
        <v>15108157</v>
      </c>
      <c r="O834" s="2952">
        <v>15108157</v>
      </c>
      <c r="P834" s="2953">
        <v>15108157</v>
      </c>
      <c r="Q834" s="2951">
        <v>15108157</v>
      </c>
      <c r="R834" s="2954">
        <v>45075</v>
      </c>
      <c r="S834" s="2954">
        <v>45075</v>
      </c>
      <c r="T834" s="2954">
        <v>45080</v>
      </c>
      <c r="U834" s="2954">
        <v>45080</v>
      </c>
      <c r="V834" s="2948" t="s">
        <v>1578</v>
      </c>
    </row>
    <row r="835" spans="1:22" s="2944" customFormat="1" ht="46.8" hidden="1">
      <c r="A835" s="2948">
        <v>834</v>
      </c>
      <c r="B835" s="2948" t="s">
        <v>635</v>
      </c>
      <c r="C835" s="2948" t="s">
        <v>636</v>
      </c>
      <c r="D835" s="2948" t="s">
        <v>1576</v>
      </c>
      <c r="E835" s="2948" t="s">
        <v>638</v>
      </c>
      <c r="F835" s="2948" t="s">
        <v>645</v>
      </c>
      <c r="G835" s="2948" t="s">
        <v>640</v>
      </c>
      <c r="H835" s="2948" t="s">
        <v>1579</v>
      </c>
      <c r="I835" s="2948" t="s">
        <v>642</v>
      </c>
      <c r="J835" s="2948" t="s">
        <v>643</v>
      </c>
      <c r="K835" s="2950">
        <v>125.96</v>
      </c>
      <c r="L835" s="2950">
        <v>95.58</v>
      </c>
      <c r="M835" s="2951">
        <v>13317246</v>
      </c>
      <c r="N835" s="2951">
        <v>13317246</v>
      </c>
      <c r="O835" s="2952">
        <v>13317246</v>
      </c>
      <c r="P835" s="2953">
        <v>13317246</v>
      </c>
      <c r="Q835" s="2951">
        <v>13317246</v>
      </c>
      <c r="R835" s="2954">
        <v>44825</v>
      </c>
      <c r="S835" s="2954">
        <v>44832</v>
      </c>
      <c r="T835" s="2954">
        <v>45015</v>
      </c>
      <c r="U835" s="2954">
        <v>45015</v>
      </c>
      <c r="V835" s="2948" t="s">
        <v>1580</v>
      </c>
    </row>
    <row r="836" spans="1:22" s="2944" customFormat="1" ht="46.8" hidden="1">
      <c r="A836" s="2948">
        <v>835</v>
      </c>
      <c r="B836" s="2948" t="s">
        <v>635</v>
      </c>
      <c r="C836" s="2948" t="s">
        <v>636</v>
      </c>
      <c r="D836" s="2948" t="s">
        <v>1576</v>
      </c>
      <c r="E836" s="2948" t="s">
        <v>638</v>
      </c>
      <c r="F836" s="2948" t="s">
        <v>648</v>
      </c>
      <c r="G836" s="2948" t="s">
        <v>640</v>
      </c>
      <c r="H836" s="2948" t="s">
        <v>1577</v>
      </c>
      <c r="I836" s="2948" t="s">
        <v>642</v>
      </c>
      <c r="J836" s="2948" t="s">
        <v>643</v>
      </c>
      <c r="K836" s="2950">
        <v>146.36000000000001</v>
      </c>
      <c r="L836" s="2950">
        <v>111.06</v>
      </c>
      <c r="M836" s="2951">
        <v>15254517</v>
      </c>
      <c r="N836" s="2951">
        <v>15254517</v>
      </c>
      <c r="O836" s="2952">
        <v>15254517</v>
      </c>
      <c r="P836" s="2953">
        <v>15254517</v>
      </c>
      <c r="Q836" s="2951">
        <v>15254517</v>
      </c>
      <c r="R836" s="2954">
        <v>44452</v>
      </c>
      <c r="S836" s="2954">
        <v>44459</v>
      </c>
      <c r="T836" s="2954">
        <v>44525</v>
      </c>
      <c r="U836" s="2954">
        <v>44525</v>
      </c>
      <c r="V836" s="2948" t="s">
        <v>1581</v>
      </c>
    </row>
    <row r="837" spans="1:22" s="2944" customFormat="1" ht="46.8" hidden="1">
      <c r="A837" s="2948">
        <v>836</v>
      </c>
      <c r="B837" s="2948" t="s">
        <v>635</v>
      </c>
      <c r="C837" s="2948" t="s">
        <v>636</v>
      </c>
      <c r="D837" s="2948" t="s">
        <v>1576</v>
      </c>
      <c r="E837" s="2948" t="s">
        <v>638</v>
      </c>
      <c r="F837" s="2948" t="s">
        <v>651</v>
      </c>
      <c r="G837" s="2948" t="s">
        <v>640</v>
      </c>
      <c r="H837" s="2948" t="s">
        <v>1582</v>
      </c>
      <c r="I837" s="2948" t="s">
        <v>642</v>
      </c>
      <c r="J837" s="2948" t="s">
        <v>643</v>
      </c>
      <c r="K837" s="2950">
        <v>125.95</v>
      </c>
      <c r="L837" s="2950">
        <v>95.57</v>
      </c>
      <c r="M837" s="2951">
        <v>13442139</v>
      </c>
      <c r="N837" s="2951">
        <v>13442139</v>
      </c>
      <c r="O837" s="2952">
        <v>13442139</v>
      </c>
      <c r="P837" s="2953">
        <v>13442139</v>
      </c>
      <c r="Q837" s="2951">
        <v>13442139</v>
      </c>
      <c r="R837" s="2954">
        <v>44706</v>
      </c>
      <c r="S837" s="2954">
        <v>44707</v>
      </c>
      <c r="T837" s="2954">
        <v>44736</v>
      </c>
      <c r="U837" s="2954">
        <v>44736</v>
      </c>
      <c r="V837" s="2948" t="s">
        <v>1583</v>
      </c>
    </row>
    <row r="838" spans="1:22" s="2944" customFormat="1" ht="46.8" hidden="1">
      <c r="A838" s="2948">
        <v>837</v>
      </c>
      <c r="B838" s="2948" t="s">
        <v>635</v>
      </c>
      <c r="C838" s="2948" t="s">
        <v>636</v>
      </c>
      <c r="D838" s="2948" t="s">
        <v>1576</v>
      </c>
      <c r="E838" s="2948" t="s">
        <v>638</v>
      </c>
      <c r="F838" s="2948" t="s">
        <v>653</v>
      </c>
      <c r="G838" s="2948" t="s">
        <v>640</v>
      </c>
      <c r="H838" s="2948" t="s">
        <v>1577</v>
      </c>
      <c r="I838" s="2948" t="s">
        <v>642</v>
      </c>
      <c r="J838" s="2948" t="s">
        <v>643</v>
      </c>
      <c r="K838" s="2950">
        <v>146.36000000000001</v>
      </c>
      <c r="L838" s="2950">
        <v>111.06</v>
      </c>
      <c r="M838" s="2951">
        <v>15400877</v>
      </c>
      <c r="N838" s="2951">
        <v>15400877</v>
      </c>
      <c r="O838" s="2952">
        <v>14630833</v>
      </c>
      <c r="P838" s="2953">
        <v>14630833</v>
      </c>
      <c r="Q838" s="2951">
        <v>14630833</v>
      </c>
      <c r="R838" s="2954">
        <v>44650</v>
      </c>
      <c r="S838" s="2954">
        <v>44650</v>
      </c>
      <c r="T838" s="2954">
        <v>44743</v>
      </c>
      <c r="U838" s="2954">
        <v>44743</v>
      </c>
      <c r="V838" s="2948" t="s">
        <v>1584</v>
      </c>
    </row>
    <row r="839" spans="1:22" s="2944" customFormat="1" ht="46.8" hidden="1">
      <c r="A839" s="2948">
        <v>838</v>
      </c>
      <c r="B839" s="2948" t="s">
        <v>635</v>
      </c>
      <c r="C839" s="2948" t="s">
        <v>636</v>
      </c>
      <c r="D839" s="2948" t="s">
        <v>1576</v>
      </c>
      <c r="E839" s="2948" t="s">
        <v>638</v>
      </c>
      <c r="F839" s="2948" t="s">
        <v>655</v>
      </c>
      <c r="G839" s="2948" t="s">
        <v>640</v>
      </c>
      <c r="H839" s="2948" t="s">
        <v>1585</v>
      </c>
      <c r="I839" s="2948" t="s">
        <v>642</v>
      </c>
      <c r="J839" s="2948" t="s">
        <v>643</v>
      </c>
      <c r="K839" s="2950">
        <v>126.07</v>
      </c>
      <c r="L839" s="2950">
        <v>95.66</v>
      </c>
      <c r="M839" s="2951">
        <v>13581016</v>
      </c>
      <c r="N839" s="2951">
        <v>13581016</v>
      </c>
      <c r="O839" s="2952">
        <v>13581016</v>
      </c>
      <c r="P839" s="2953">
        <v>13581016</v>
      </c>
      <c r="Q839" s="2951">
        <v>13581016</v>
      </c>
      <c r="R839" s="2954">
        <v>44697</v>
      </c>
      <c r="S839" s="2954">
        <v>44707</v>
      </c>
      <c r="T839" s="2954">
        <v>44737</v>
      </c>
      <c r="U839" s="2954">
        <v>44737</v>
      </c>
      <c r="V839" s="2948" t="s">
        <v>1586</v>
      </c>
    </row>
    <row r="840" spans="1:22" s="2944" customFormat="1" ht="46.8" hidden="1">
      <c r="A840" s="2948">
        <v>839</v>
      </c>
      <c r="B840" s="2948" t="s">
        <v>635</v>
      </c>
      <c r="C840" s="2948" t="s">
        <v>636</v>
      </c>
      <c r="D840" s="2948" t="s">
        <v>1576</v>
      </c>
      <c r="E840" s="2948" t="s">
        <v>638</v>
      </c>
      <c r="F840" s="2948" t="s">
        <v>657</v>
      </c>
      <c r="G840" s="2948" t="s">
        <v>640</v>
      </c>
      <c r="H840" s="2948" t="s">
        <v>1577</v>
      </c>
      <c r="I840" s="2948" t="s">
        <v>642</v>
      </c>
      <c r="J840" s="2948" t="s">
        <v>643</v>
      </c>
      <c r="K840" s="2950">
        <v>146.36000000000001</v>
      </c>
      <c r="L840" s="2950">
        <v>111.06</v>
      </c>
      <c r="M840" s="2951">
        <v>15547237</v>
      </c>
      <c r="N840" s="2951">
        <v>15547237</v>
      </c>
      <c r="O840" s="2952">
        <v>14769875</v>
      </c>
      <c r="P840" s="2953">
        <v>14769875</v>
      </c>
      <c r="Q840" s="2951">
        <v>14769875</v>
      </c>
      <c r="R840" s="2954">
        <v>44638</v>
      </c>
      <c r="S840" s="2954">
        <v>44648</v>
      </c>
      <c r="T840" s="2954">
        <v>44804</v>
      </c>
      <c r="U840" s="2954">
        <v>44804</v>
      </c>
      <c r="V840" s="2948" t="s">
        <v>1587</v>
      </c>
    </row>
    <row r="841" spans="1:22" s="2944" customFormat="1" ht="46.8" hidden="1">
      <c r="A841" s="2948">
        <v>840</v>
      </c>
      <c r="B841" s="2948" t="s">
        <v>635</v>
      </c>
      <c r="C841" s="2948" t="s">
        <v>636</v>
      </c>
      <c r="D841" s="2948" t="s">
        <v>1576</v>
      </c>
      <c r="E841" s="2948" t="s">
        <v>638</v>
      </c>
      <c r="F841" s="2948" t="s">
        <v>659</v>
      </c>
      <c r="G841" s="2948" t="s">
        <v>640</v>
      </c>
      <c r="H841" s="2948" t="s">
        <v>1585</v>
      </c>
      <c r="I841" s="2948" t="s">
        <v>642</v>
      </c>
      <c r="J841" s="2948" t="s">
        <v>643</v>
      </c>
      <c r="K841" s="2950">
        <v>126.07</v>
      </c>
      <c r="L841" s="2950">
        <v>95.66</v>
      </c>
      <c r="M841" s="2951">
        <v>13707086</v>
      </c>
      <c r="N841" s="2951">
        <v>13707086</v>
      </c>
      <c r="O841" s="2952">
        <v>13707086</v>
      </c>
      <c r="P841" s="2953">
        <v>13707086</v>
      </c>
      <c r="Q841" s="2951">
        <v>13707086</v>
      </c>
      <c r="R841" s="2954">
        <v>44590</v>
      </c>
      <c r="S841" s="2954">
        <v>44651</v>
      </c>
      <c r="T841" s="2954">
        <v>44726</v>
      </c>
      <c r="U841" s="2954">
        <v>44726</v>
      </c>
      <c r="V841" s="2948" t="s">
        <v>1588</v>
      </c>
    </row>
    <row r="842" spans="1:22" s="2944" customFormat="1" ht="46.8" hidden="1">
      <c r="A842" s="2948">
        <v>841</v>
      </c>
      <c r="B842" s="2948" t="s">
        <v>635</v>
      </c>
      <c r="C842" s="2948" t="s">
        <v>636</v>
      </c>
      <c r="D842" s="2948" t="s">
        <v>1576</v>
      </c>
      <c r="E842" s="2948" t="s">
        <v>638</v>
      </c>
      <c r="F842" s="2948" t="s">
        <v>661</v>
      </c>
      <c r="G842" s="2948" t="s">
        <v>640</v>
      </c>
      <c r="H842" s="2948" t="s">
        <v>1577</v>
      </c>
      <c r="I842" s="2948" t="s">
        <v>642</v>
      </c>
      <c r="J842" s="2948" t="s">
        <v>643</v>
      </c>
      <c r="K842" s="2950">
        <v>146.36000000000001</v>
      </c>
      <c r="L842" s="2950">
        <v>111.06</v>
      </c>
      <c r="M842" s="2951">
        <v>15693597</v>
      </c>
      <c r="N842" s="2951">
        <v>15693597</v>
      </c>
      <c r="O842" s="2952">
        <v>15693597</v>
      </c>
      <c r="P842" s="2953">
        <v>15693597</v>
      </c>
      <c r="Q842" s="2951">
        <v>15693597</v>
      </c>
      <c r="R842" s="2954">
        <v>44453</v>
      </c>
      <c r="S842" s="2954">
        <v>44459</v>
      </c>
      <c r="T842" s="2954">
        <v>44506</v>
      </c>
      <c r="U842" s="2954">
        <v>44506</v>
      </c>
      <c r="V842" s="2948" t="s">
        <v>1589</v>
      </c>
    </row>
    <row r="843" spans="1:22" s="2944" customFormat="1" ht="46.8" hidden="1">
      <c r="A843" s="2948">
        <v>842</v>
      </c>
      <c r="B843" s="2948" t="s">
        <v>635</v>
      </c>
      <c r="C843" s="2948" t="s">
        <v>636</v>
      </c>
      <c r="D843" s="2948" t="s">
        <v>1576</v>
      </c>
      <c r="E843" s="2948" t="s">
        <v>638</v>
      </c>
      <c r="F843" s="2948" t="s">
        <v>663</v>
      </c>
      <c r="G843" s="2948" t="s">
        <v>640</v>
      </c>
      <c r="H843" s="2948" t="s">
        <v>1585</v>
      </c>
      <c r="I843" s="2948" t="s">
        <v>642</v>
      </c>
      <c r="J843" s="2948" t="s">
        <v>643</v>
      </c>
      <c r="K843" s="2950">
        <v>126.07</v>
      </c>
      <c r="L843" s="2950">
        <v>95.66</v>
      </c>
      <c r="M843" s="2951">
        <v>13833156</v>
      </c>
      <c r="N843" s="2951">
        <v>13833156</v>
      </c>
      <c r="O843" s="2952">
        <v>13833156</v>
      </c>
      <c r="P843" s="2953">
        <v>13833156</v>
      </c>
      <c r="Q843" s="2951">
        <v>13833156</v>
      </c>
      <c r="R843" s="2954">
        <v>44455</v>
      </c>
      <c r="S843" s="2954">
        <v>44460</v>
      </c>
      <c r="T843" s="2954">
        <v>44506</v>
      </c>
      <c r="U843" s="2954">
        <v>44506</v>
      </c>
      <c r="V843" s="2948" t="s">
        <v>1590</v>
      </c>
    </row>
    <row r="844" spans="1:22" s="2944" customFormat="1" ht="46.8" hidden="1">
      <c r="A844" s="2948">
        <v>843</v>
      </c>
      <c r="B844" s="2948" t="s">
        <v>635</v>
      </c>
      <c r="C844" s="2948" t="s">
        <v>636</v>
      </c>
      <c r="D844" s="2948" t="s">
        <v>1576</v>
      </c>
      <c r="E844" s="2948" t="s">
        <v>638</v>
      </c>
      <c r="F844" s="2948" t="s">
        <v>665</v>
      </c>
      <c r="G844" s="2948" t="s">
        <v>640</v>
      </c>
      <c r="H844" s="2948" t="s">
        <v>1577</v>
      </c>
      <c r="I844" s="2948" t="s">
        <v>642</v>
      </c>
      <c r="J844" s="2948" t="s">
        <v>643</v>
      </c>
      <c r="K844" s="2950">
        <v>146.36000000000001</v>
      </c>
      <c r="L844" s="2950">
        <v>111.06</v>
      </c>
      <c r="M844" s="2951">
        <v>15708233</v>
      </c>
      <c r="N844" s="2951">
        <v>15708233</v>
      </c>
      <c r="O844" s="2952">
        <v>14922821</v>
      </c>
      <c r="P844" s="2953">
        <v>14922821</v>
      </c>
      <c r="Q844" s="2951">
        <v>14922821</v>
      </c>
      <c r="R844" s="2954">
        <v>44453</v>
      </c>
      <c r="S844" s="2954">
        <v>44460</v>
      </c>
      <c r="T844" s="2954">
        <v>44506</v>
      </c>
      <c r="U844" s="2954">
        <v>44506</v>
      </c>
      <c r="V844" s="2948" t="s">
        <v>1591</v>
      </c>
    </row>
    <row r="845" spans="1:22" s="2944" customFormat="1" ht="46.8" hidden="1">
      <c r="A845" s="2948">
        <v>844</v>
      </c>
      <c r="B845" s="2948" t="s">
        <v>635</v>
      </c>
      <c r="C845" s="2948" t="s">
        <v>636</v>
      </c>
      <c r="D845" s="2948" t="s">
        <v>1576</v>
      </c>
      <c r="E845" s="2948" t="s">
        <v>638</v>
      </c>
      <c r="F845" s="2948" t="s">
        <v>667</v>
      </c>
      <c r="G845" s="2948" t="s">
        <v>640</v>
      </c>
      <c r="H845" s="2948" t="s">
        <v>1585</v>
      </c>
      <c r="I845" s="2948" t="s">
        <v>642</v>
      </c>
      <c r="J845" s="2948" t="s">
        <v>643</v>
      </c>
      <c r="K845" s="2950">
        <v>126.07</v>
      </c>
      <c r="L845" s="2950">
        <v>95.66</v>
      </c>
      <c r="M845" s="2951">
        <v>13845763</v>
      </c>
      <c r="N845" s="2951">
        <v>13845763</v>
      </c>
      <c r="O845" s="2952">
        <v>13845763</v>
      </c>
      <c r="P845" s="2953">
        <v>13845763</v>
      </c>
      <c r="Q845" s="2951">
        <v>13845763</v>
      </c>
      <c r="R845" s="2954">
        <v>44453</v>
      </c>
      <c r="S845" s="2954">
        <v>44459</v>
      </c>
      <c r="T845" s="2954">
        <v>44501</v>
      </c>
      <c r="U845" s="2954">
        <v>44501</v>
      </c>
      <c r="V845" s="2948" t="s">
        <v>1592</v>
      </c>
    </row>
    <row r="846" spans="1:22" s="2944" customFormat="1" ht="46.8" hidden="1">
      <c r="A846" s="2948">
        <v>845</v>
      </c>
      <c r="B846" s="2948" t="s">
        <v>635</v>
      </c>
      <c r="C846" s="2948" t="s">
        <v>636</v>
      </c>
      <c r="D846" s="2948" t="s">
        <v>1576</v>
      </c>
      <c r="E846" s="2948" t="s">
        <v>638</v>
      </c>
      <c r="F846" s="2948" t="s">
        <v>669</v>
      </c>
      <c r="G846" s="2948" t="s">
        <v>640</v>
      </c>
      <c r="H846" s="2948" t="s">
        <v>1577</v>
      </c>
      <c r="I846" s="2948" t="s">
        <v>642</v>
      </c>
      <c r="J846" s="2948" t="s">
        <v>643</v>
      </c>
      <c r="K846" s="2950">
        <v>146.36000000000001</v>
      </c>
      <c r="L846" s="2950">
        <v>111.06</v>
      </c>
      <c r="M846" s="2951">
        <v>15722869</v>
      </c>
      <c r="N846" s="2951">
        <v>15722869</v>
      </c>
      <c r="O846" s="2952">
        <v>15722869</v>
      </c>
      <c r="P846" s="2953">
        <v>15722869</v>
      </c>
      <c r="Q846" s="2951">
        <v>15722869</v>
      </c>
      <c r="R846" s="2948"/>
      <c r="S846" s="2954">
        <v>44453.626921296302</v>
      </c>
      <c r="T846" s="2954">
        <v>44503</v>
      </c>
      <c r="U846" s="2954">
        <v>44503</v>
      </c>
      <c r="V846" s="2948" t="s">
        <v>1593</v>
      </c>
    </row>
    <row r="847" spans="1:22" s="2944" customFormat="1" ht="46.8" hidden="1">
      <c r="A847" s="2948">
        <v>846</v>
      </c>
      <c r="B847" s="2948" t="s">
        <v>635</v>
      </c>
      <c r="C847" s="2948" t="s">
        <v>636</v>
      </c>
      <c r="D847" s="2948" t="s">
        <v>1576</v>
      </c>
      <c r="E847" s="2948" t="s">
        <v>638</v>
      </c>
      <c r="F847" s="2948" t="s">
        <v>671</v>
      </c>
      <c r="G847" s="2948" t="s">
        <v>640</v>
      </c>
      <c r="H847" s="2948" t="s">
        <v>1585</v>
      </c>
      <c r="I847" s="2948" t="s">
        <v>642</v>
      </c>
      <c r="J847" s="2948" t="s">
        <v>643</v>
      </c>
      <c r="K847" s="2950">
        <v>126.07</v>
      </c>
      <c r="L847" s="2950">
        <v>95.66</v>
      </c>
      <c r="M847" s="2951">
        <v>13858370</v>
      </c>
      <c r="N847" s="2951">
        <v>13858370</v>
      </c>
      <c r="O847" s="2952">
        <v>13858370</v>
      </c>
      <c r="P847" s="2953">
        <v>13858370</v>
      </c>
      <c r="Q847" s="2951">
        <v>13858370</v>
      </c>
      <c r="R847" s="2954">
        <v>44453</v>
      </c>
      <c r="S847" s="2954">
        <v>44459</v>
      </c>
      <c r="T847" s="2954">
        <v>44515</v>
      </c>
      <c r="U847" s="2954">
        <v>44515</v>
      </c>
      <c r="V847" s="2948" t="s">
        <v>1594</v>
      </c>
    </row>
    <row r="848" spans="1:22" s="2944" customFormat="1" ht="46.8" hidden="1">
      <c r="A848" s="2948">
        <v>847</v>
      </c>
      <c r="B848" s="2948" t="s">
        <v>635</v>
      </c>
      <c r="C848" s="2948" t="s">
        <v>636</v>
      </c>
      <c r="D848" s="2948" t="s">
        <v>1576</v>
      </c>
      <c r="E848" s="2948" t="s">
        <v>638</v>
      </c>
      <c r="F848" s="2948" t="s">
        <v>673</v>
      </c>
      <c r="G848" s="2948" t="s">
        <v>640</v>
      </c>
      <c r="H848" s="2948" t="s">
        <v>1577</v>
      </c>
      <c r="I848" s="2948" t="s">
        <v>642</v>
      </c>
      <c r="J848" s="2948" t="s">
        <v>643</v>
      </c>
      <c r="K848" s="2950">
        <v>146.36000000000001</v>
      </c>
      <c r="L848" s="2950">
        <v>111.06</v>
      </c>
      <c r="M848" s="2951">
        <v>15737505</v>
      </c>
      <c r="N848" s="2951">
        <v>15737505</v>
      </c>
      <c r="O848" s="2952">
        <v>15737505</v>
      </c>
      <c r="P848" s="2953">
        <v>15737505</v>
      </c>
      <c r="Q848" s="2951">
        <v>15737505</v>
      </c>
      <c r="R848" s="2954">
        <v>44730</v>
      </c>
      <c r="S848" s="2954">
        <v>44730</v>
      </c>
      <c r="T848" s="2954">
        <v>44736</v>
      </c>
      <c r="U848" s="2954">
        <v>44736</v>
      </c>
      <c r="V848" s="2948" t="s">
        <v>1595</v>
      </c>
    </row>
    <row r="849" spans="1:22" s="2944" customFormat="1" ht="46.8" hidden="1">
      <c r="A849" s="2948">
        <v>848</v>
      </c>
      <c r="B849" s="2948" t="s">
        <v>635</v>
      </c>
      <c r="C849" s="2948" t="s">
        <v>636</v>
      </c>
      <c r="D849" s="2948" t="s">
        <v>1576</v>
      </c>
      <c r="E849" s="2948" t="s">
        <v>638</v>
      </c>
      <c r="F849" s="2948" t="s">
        <v>675</v>
      </c>
      <c r="G849" s="2948" t="s">
        <v>640</v>
      </c>
      <c r="H849" s="2948" t="s">
        <v>1585</v>
      </c>
      <c r="I849" s="2948" t="s">
        <v>642</v>
      </c>
      <c r="J849" s="2948" t="s">
        <v>643</v>
      </c>
      <c r="K849" s="2950">
        <v>126.07</v>
      </c>
      <c r="L849" s="2950">
        <v>95.66</v>
      </c>
      <c r="M849" s="2951">
        <v>13867700</v>
      </c>
      <c r="N849" s="2951">
        <v>13867700</v>
      </c>
      <c r="O849" s="2952">
        <v>13867700</v>
      </c>
      <c r="P849" s="2953">
        <v>13867700</v>
      </c>
      <c r="Q849" s="2951">
        <v>13867700</v>
      </c>
      <c r="R849" s="2954">
        <v>44454</v>
      </c>
      <c r="S849" s="2954">
        <v>44462</v>
      </c>
      <c r="T849" s="2954">
        <v>44519</v>
      </c>
      <c r="U849" s="2954">
        <v>44519</v>
      </c>
      <c r="V849" s="2948" t="s">
        <v>1596</v>
      </c>
    </row>
    <row r="850" spans="1:22" s="2944" customFormat="1" ht="46.8" hidden="1">
      <c r="A850" s="2948">
        <v>849</v>
      </c>
      <c r="B850" s="2948" t="s">
        <v>635</v>
      </c>
      <c r="C850" s="2948" t="s">
        <v>636</v>
      </c>
      <c r="D850" s="2948" t="s">
        <v>1576</v>
      </c>
      <c r="E850" s="2948" t="s">
        <v>638</v>
      </c>
      <c r="F850" s="2948" t="s">
        <v>677</v>
      </c>
      <c r="G850" s="2948" t="s">
        <v>640</v>
      </c>
      <c r="H850" s="2948" t="s">
        <v>1577</v>
      </c>
      <c r="I850" s="2948" t="s">
        <v>642</v>
      </c>
      <c r="J850" s="2948" t="s">
        <v>643</v>
      </c>
      <c r="K850" s="2950">
        <v>146.36000000000001</v>
      </c>
      <c r="L850" s="2950">
        <v>111.06</v>
      </c>
      <c r="M850" s="2951">
        <v>15752141</v>
      </c>
      <c r="N850" s="2951">
        <v>15752141</v>
      </c>
      <c r="O850" s="2952">
        <v>15752141</v>
      </c>
      <c r="P850" s="2953">
        <v>15752141</v>
      </c>
      <c r="Q850" s="2951">
        <v>15752141</v>
      </c>
      <c r="R850" s="2954">
        <v>44454</v>
      </c>
      <c r="S850" s="2954">
        <v>44455</v>
      </c>
      <c r="T850" s="2954">
        <v>44501</v>
      </c>
      <c r="U850" s="2954">
        <v>44501</v>
      </c>
      <c r="V850" s="2948" t="s">
        <v>1597</v>
      </c>
    </row>
    <row r="851" spans="1:22" s="2944" customFormat="1" ht="46.8" hidden="1">
      <c r="A851" s="2948">
        <v>850</v>
      </c>
      <c r="B851" s="2948" t="s">
        <v>635</v>
      </c>
      <c r="C851" s="2948" t="s">
        <v>636</v>
      </c>
      <c r="D851" s="2948" t="s">
        <v>1576</v>
      </c>
      <c r="E851" s="2948" t="s">
        <v>638</v>
      </c>
      <c r="F851" s="2948" t="s">
        <v>679</v>
      </c>
      <c r="G851" s="2948" t="s">
        <v>640</v>
      </c>
      <c r="H851" s="2948" t="s">
        <v>1585</v>
      </c>
      <c r="I851" s="2948" t="s">
        <v>642</v>
      </c>
      <c r="J851" s="2948" t="s">
        <v>643</v>
      </c>
      <c r="K851" s="2950">
        <v>126.07</v>
      </c>
      <c r="L851" s="2950">
        <v>95.66</v>
      </c>
      <c r="M851" s="2951">
        <v>13867700</v>
      </c>
      <c r="N851" s="2951">
        <v>13867700</v>
      </c>
      <c r="O851" s="2952">
        <v>13867700</v>
      </c>
      <c r="P851" s="2953">
        <v>13867700</v>
      </c>
      <c r="Q851" s="2951">
        <v>13867700</v>
      </c>
      <c r="R851" s="2954">
        <v>44453</v>
      </c>
      <c r="S851" s="2954">
        <v>44458</v>
      </c>
      <c r="T851" s="2954">
        <v>44505</v>
      </c>
      <c r="U851" s="2954">
        <v>44505</v>
      </c>
      <c r="V851" s="2948" t="s">
        <v>1598</v>
      </c>
    </row>
    <row r="852" spans="1:22" s="2944" customFormat="1" ht="46.8" hidden="1">
      <c r="A852" s="2948">
        <v>851</v>
      </c>
      <c r="B852" s="2948" t="s">
        <v>635</v>
      </c>
      <c r="C852" s="2948" t="s">
        <v>636</v>
      </c>
      <c r="D852" s="2948" t="s">
        <v>1576</v>
      </c>
      <c r="E852" s="2948" t="s">
        <v>638</v>
      </c>
      <c r="F852" s="2948" t="s">
        <v>681</v>
      </c>
      <c r="G852" s="2948" t="s">
        <v>640</v>
      </c>
      <c r="H852" s="2948" t="s">
        <v>1577</v>
      </c>
      <c r="I852" s="2948" t="s">
        <v>642</v>
      </c>
      <c r="J852" s="2948" t="s">
        <v>643</v>
      </c>
      <c r="K852" s="2950">
        <v>146.36000000000001</v>
      </c>
      <c r="L852" s="2950">
        <v>111.06</v>
      </c>
      <c r="M852" s="2951">
        <v>15766777</v>
      </c>
      <c r="N852" s="2951">
        <v>15766777</v>
      </c>
      <c r="O852" s="2952">
        <v>15766777</v>
      </c>
      <c r="P852" s="2953">
        <v>15766777</v>
      </c>
      <c r="Q852" s="2951">
        <v>15766777</v>
      </c>
      <c r="R852" s="2948"/>
      <c r="S852" s="2954">
        <v>44462.639618055597</v>
      </c>
      <c r="T852" s="2954">
        <v>44502</v>
      </c>
      <c r="U852" s="2954">
        <v>44502</v>
      </c>
      <c r="V852" s="2948" t="s">
        <v>1599</v>
      </c>
    </row>
    <row r="853" spans="1:22" s="2944" customFormat="1" ht="46.8" hidden="1">
      <c r="A853" s="2948">
        <v>852</v>
      </c>
      <c r="B853" s="2948" t="s">
        <v>635</v>
      </c>
      <c r="C853" s="2948" t="s">
        <v>636</v>
      </c>
      <c r="D853" s="2948" t="s">
        <v>1576</v>
      </c>
      <c r="E853" s="2948" t="s">
        <v>638</v>
      </c>
      <c r="F853" s="2948" t="s">
        <v>683</v>
      </c>
      <c r="G853" s="2948" t="s">
        <v>640</v>
      </c>
      <c r="H853" s="2948" t="s">
        <v>1585</v>
      </c>
      <c r="I853" s="2948" t="s">
        <v>642</v>
      </c>
      <c r="J853" s="2948" t="s">
        <v>643</v>
      </c>
      <c r="K853" s="2950">
        <v>126.07</v>
      </c>
      <c r="L853" s="2950">
        <v>95.66</v>
      </c>
      <c r="M853" s="2951">
        <v>13867700</v>
      </c>
      <c r="N853" s="2951">
        <v>13867700</v>
      </c>
      <c r="O853" s="2952">
        <v>13867700</v>
      </c>
      <c r="P853" s="2953">
        <v>13867700</v>
      </c>
      <c r="Q853" s="2951">
        <v>13867700</v>
      </c>
      <c r="R853" s="2954">
        <v>44452</v>
      </c>
      <c r="S853" s="2954">
        <v>44458</v>
      </c>
      <c r="T853" s="2954">
        <v>44777</v>
      </c>
      <c r="U853" s="2954">
        <v>44777</v>
      </c>
      <c r="V853" s="2948" t="s">
        <v>1600</v>
      </c>
    </row>
    <row r="854" spans="1:22" s="2944" customFormat="1" ht="46.8" hidden="1">
      <c r="A854" s="2948">
        <v>853</v>
      </c>
      <c r="B854" s="2948" t="s">
        <v>635</v>
      </c>
      <c r="C854" s="2948" t="s">
        <v>636</v>
      </c>
      <c r="D854" s="2948" t="s">
        <v>1576</v>
      </c>
      <c r="E854" s="2948" t="s">
        <v>638</v>
      </c>
      <c r="F854" s="2948" t="s">
        <v>685</v>
      </c>
      <c r="G854" s="2948" t="s">
        <v>640</v>
      </c>
      <c r="H854" s="2948" t="s">
        <v>1577</v>
      </c>
      <c r="I854" s="2948" t="s">
        <v>642</v>
      </c>
      <c r="J854" s="2948" t="s">
        <v>643</v>
      </c>
      <c r="K854" s="2950">
        <v>146.36000000000001</v>
      </c>
      <c r="L854" s="2950">
        <v>111.06</v>
      </c>
      <c r="M854" s="2951">
        <v>15781413</v>
      </c>
      <c r="N854" s="2951">
        <v>15781413</v>
      </c>
      <c r="O854" s="2952">
        <v>15781413</v>
      </c>
      <c r="P854" s="2953">
        <v>15781413</v>
      </c>
      <c r="Q854" s="2951">
        <v>15781413</v>
      </c>
      <c r="R854" s="2954">
        <v>44452</v>
      </c>
      <c r="S854" s="2954">
        <v>44459</v>
      </c>
      <c r="T854" s="2954">
        <v>44506</v>
      </c>
      <c r="U854" s="2954">
        <v>44506</v>
      </c>
      <c r="V854" s="2948" t="s">
        <v>1601</v>
      </c>
    </row>
    <row r="855" spans="1:22" s="2944" customFormat="1" ht="46.8" hidden="1">
      <c r="A855" s="2948">
        <v>854</v>
      </c>
      <c r="B855" s="2948" t="s">
        <v>635</v>
      </c>
      <c r="C855" s="2948" t="s">
        <v>636</v>
      </c>
      <c r="D855" s="2948" t="s">
        <v>1576</v>
      </c>
      <c r="E855" s="2948" t="s">
        <v>638</v>
      </c>
      <c r="F855" s="2948" t="s">
        <v>687</v>
      </c>
      <c r="G855" s="2948" t="s">
        <v>640</v>
      </c>
      <c r="H855" s="2948" t="s">
        <v>1585</v>
      </c>
      <c r="I855" s="2948" t="s">
        <v>642</v>
      </c>
      <c r="J855" s="2948" t="s">
        <v>643</v>
      </c>
      <c r="K855" s="2950">
        <v>126.07</v>
      </c>
      <c r="L855" s="2950">
        <v>95.66</v>
      </c>
      <c r="M855" s="2951">
        <v>13867700</v>
      </c>
      <c r="N855" s="2951">
        <v>13867700</v>
      </c>
      <c r="O855" s="2952">
        <v>13867700</v>
      </c>
      <c r="P855" s="2953">
        <v>13867700</v>
      </c>
      <c r="Q855" s="2951">
        <v>13867700</v>
      </c>
      <c r="R855" s="2954">
        <v>44456</v>
      </c>
      <c r="S855" s="2954">
        <v>44459</v>
      </c>
      <c r="T855" s="2954">
        <v>44778</v>
      </c>
      <c r="U855" s="2954">
        <v>44778</v>
      </c>
      <c r="V855" s="2948" t="s">
        <v>1602</v>
      </c>
    </row>
    <row r="856" spans="1:22" s="2944" customFormat="1" ht="46.8" hidden="1">
      <c r="A856" s="2948">
        <v>855</v>
      </c>
      <c r="B856" s="2948" t="s">
        <v>635</v>
      </c>
      <c r="C856" s="2948" t="s">
        <v>636</v>
      </c>
      <c r="D856" s="2948" t="s">
        <v>1576</v>
      </c>
      <c r="E856" s="2948" t="s">
        <v>638</v>
      </c>
      <c r="F856" s="2948" t="s">
        <v>689</v>
      </c>
      <c r="G856" s="2948" t="s">
        <v>640</v>
      </c>
      <c r="H856" s="2948" t="s">
        <v>1577</v>
      </c>
      <c r="I856" s="2948" t="s">
        <v>642</v>
      </c>
      <c r="J856" s="2948" t="s">
        <v>643</v>
      </c>
      <c r="K856" s="2950">
        <v>146.36000000000001</v>
      </c>
      <c r="L856" s="2950">
        <v>111.06</v>
      </c>
      <c r="M856" s="2951">
        <v>15796049</v>
      </c>
      <c r="N856" s="2951">
        <v>15796049</v>
      </c>
      <c r="O856" s="2952">
        <v>15796049</v>
      </c>
      <c r="P856" s="2953">
        <v>15796049</v>
      </c>
      <c r="Q856" s="2951">
        <v>15796049</v>
      </c>
      <c r="R856" s="2954">
        <v>44453</v>
      </c>
      <c r="S856" s="2954">
        <v>44459</v>
      </c>
      <c r="T856" s="2954">
        <v>44523</v>
      </c>
      <c r="U856" s="2954">
        <v>44523</v>
      </c>
      <c r="V856" s="2948" t="s">
        <v>1603</v>
      </c>
    </row>
    <row r="857" spans="1:22" s="2944" customFormat="1" ht="46.8" hidden="1">
      <c r="A857" s="2948">
        <v>856</v>
      </c>
      <c r="B857" s="2948" t="s">
        <v>635</v>
      </c>
      <c r="C857" s="2948" t="s">
        <v>636</v>
      </c>
      <c r="D857" s="2948" t="s">
        <v>1576</v>
      </c>
      <c r="E857" s="2948" t="s">
        <v>638</v>
      </c>
      <c r="F857" s="2948" t="s">
        <v>691</v>
      </c>
      <c r="G857" s="2948" t="s">
        <v>640</v>
      </c>
      <c r="H857" s="2948" t="s">
        <v>1585</v>
      </c>
      <c r="I857" s="2948" t="s">
        <v>642</v>
      </c>
      <c r="J857" s="2948" t="s">
        <v>643</v>
      </c>
      <c r="K857" s="2950">
        <v>126.07</v>
      </c>
      <c r="L857" s="2950">
        <v>95.66</v>
      </c>
      <c r="M857" s="2951">
        <v>13867700</v>
      </c>
      <c r="N857" s="2951">
        <v>13867700</v>
      </c>
      <c r="O857" s="2952">
        <v>13174315</v>
      </c>
      <c r="P857" s="2953">
        <v>13174315</v>
      </c>
      <c r="Q857" s="2951">
        <v>13174315</v>
      </c>
      <c r="R857" s="2954">
        <v>44696.5611921296</v>
      </c>
      <c r="S857" s="2954">
        <v>44707</v>
      </c>
      <c r="T857" s="2954">
        <v>44726</v>
      </c>
      <c r="U857" s="2954">
        <v>44726</v>
      </c>
      <c r="V857" s="2948" t="s">
        <v>1604</v>
      </c>
    </row>
    <row r="858" spans="1:22" s="2944" customFormat="1" ht="46.8" hidden="1">
      <c r="A858" s="2948">
        <v>857</v>
      </c>
      <c r="B858" s="2948" t="s">
        <v>635</v>
      </c>
      <c r="C858" s="2948" t="s">
        <v>636</v>
      </c>
      <c r="D858" s="2948" t="s">
        <v>1576</v>
      </c>
      <c r="E858" s="2948" t="s">
        <v>638</v>
      </c>
      <c r="F858" s="2948" t="s">
        <v>693</v>
      </c>
      <c r="G858" s="2948" t="s">
        <v>640</v>
      </c>
      <c r="H858" s="2948" t="s">
        <v>1577</v>
      </c>
      <c r="I858" s="2948" t="s">
        <v>642</v>
      </c>
      <c r="J858" s="2948" t="s">
        <v>643</v>
      </c>
      <c r="K858" s="2950">
        <v>146.36000000000001</v>
      </c>
      <c r="L858" s="2950">
        <v>111.06</v>
      </c>
      <c r="M858" s="2951">
        <v>15810685</v>
      </c>
      <c r="N858" s="2951">
        <v>15810685</v>
      </c>
      <c r="O858" s="2952">
        <v>15810685</v>
      </c>
      <c r="P858" s="2953">
        <v>15810685</v>
      </c>
      <c r="Q858" s="2951">
        <v>15810685</v>
      </c>
      <c r="R858" s="2954">
        <v>44448</v>
      </c>
      <c r="S858" s="2954">
        <v>44448</v>
      </c>
      <c r="T858" s="2954">
        <v>44501</v>
      </c>
      <c r="U858" s="2954">
        <v>44501</v>
      </c>
      <c r="V858" s="2948" t="s">
        <v>1605</v>
      </c>
    </row>
    <row r="859" spans="1:22" s="2944" customFormat="1" ht="46.8" hidden="1">
      <c r="A859" s="2948">
        <v>858</v>
      </c>
      <c r="B859" s="2948" t="s">
        <v>635</v>
      </c>
      <c r="C859" s="2948" t="s">
        <v>636</v>
      </c>
      <c r="D859" s="2948" t="s">
        <v>1576</v>
      </c>
      <c r="E859" s="2948" t="s">
        <v>638</v>
      </c>
      <c r="F859" s="2948" t="s">
        <v>694</v>
      </c>
      <c r="G859" s="2948" t="s">
        <v>640</v>
      </c>
      <c r="H859" s="2948" t="s">
        <v>1585</v>
      </c>
      <c r="I859" s="2948" t="s">
        <v>642</v>
      </c>
      <c r="J859" s="2948" t="s">
        <v>643</v>
      </c>
      <c r="K859" s="2950">
        <v>126.07</v>
      </c>
      <c r="L859" s="2950">
        <v>95.66</v>
      </c>
      <c r="M859" s="2951">
        <v>13867700</v>
      </c>
      <c r="N859" s="2951">
        <v>13867700</v>
      </c>
      <c r="O859" s="2952">
        <v>13867700</v>
      </c>
      <c r="P859" s="2953">
        <v>13867700</v>
      </c>
      <c r="Q859" s="2951">
        <v>13867700</v>
      </c>
      <c r="R859" s="2954">
        <v>44453</v>
      </c>
      <c r="S859" s="2954">
        <v>44462</v>
      </c>
      <c r="T859" s="2954">
        <v>44504</v>
      </c>
      <c r="U859" s="2954">
        <v>44504</v>
      </c>
      <c r="V859" s="2948" t="s">
        <v>1606</v>
      </c>
    </row>
    <row r="860" spans="1:22" s="2944" customFormat="1" ht="46.8" hidden="1">
      <c r="A860" s="2948">
        <v>859</v>
      </c>
      <c r="B860" s="2948" t="s">
        <v>635</v>
      </c>
      <c r="C860" s="2948" t="s">
        <v>636</v>
      </c>
      <c r="D860" s="2948" t="s">
        <v>1576</v>
      </c>
      <c r="E860" s="2948" t="s">
        <v>638</v>
      </c>
      <c r="F860" s="2948" t="s">
        <v>696</v>
      </c>
      <c r="G860" s="2948" t="s">
        <v>640</v>
      </c>
      <c r="H860" s="2948" t="s">
        <v>1577</v>
      </c>
      <c r="I860" s="2948" t="s">
        <v>642</v>
      </c>
      <c r="J860" s="2948" t="s">
        <v>643</v>
      </c>
      <c r="K860" s="2950">
        <v>146.36000000000001</v>
      </c>
      <c r="L860" s="2950">
        <v>111.06</v>
      </c>
      <c r="M860" s="2951">
        <v>15737505</v>
      </c>
      <c r="N860" s="2951">
        <v>15737505</v>
      </c>
      <c r="O860" s="2952">
        <v>15737505</v>
      </c>
      <c r="P860" s="2953">
        <v>15737505</v>
      </c>
      <c r="Q860" s="2951">
        <v>15737505</v>
      </c>
      <c r="R860" s="2954">
        <v>44454</v>
      </c>
      <c r="S860" s="2954">
        <v>44459</v>
      </c>
      <c r="T860" s="2954">
        <v>44502</v>
      </c>
      <c r="U860" s="2954">
        <v>44502</v>
      </c>
      <c r="V860" s="2948" t="s">
        <v>1607</v>
      </c>
    </row>
    <row r="861" spans="1:22" s="2944" customFormat="1" ht="46.8" hidden="1">
      <c r="A861" s="2948">
        <v>860</v>
      </c>
      <c r="B861" s="2948" t="s">
        <v>635</v>
      </c>
      <c r="C861" s="2948" t="s">
        <v>636</v>
      </c>
      <c r="D861" s="2948" t="s">
        <v>1576</v>
      </c>
      <c r="E861" s="2948" t="s">
        <v>638</v>
      </c>
      <c r="F861" s="2948" t="s">
        <v>698</v>
      </c>
      <c r="G861" s="2948" t="s">
        <v>640</v>
      </c>
      <c r="H861" s="2948" t="s">
        <v>1585</v>
      </c>
      <c r="I861" s="2948" t="s">
        <v>642</v>
      </c>
      <c r="J861" s="2948" t="s">
        <v>643</v>
      </c>
      <c r="K861" s="2950">
        <v>126.07</v>
      </c>
      <c r="L861" s="2950">
        <v>95.66</v>
      </c>
      <c r="M861" s="2951">
        <v>13804665</v>
      </c>
      <c r="N861" s="2951">
        <v>13804665</v>
      </c>
      <c r="O861" s="2952">
        <v>13804665</v>
      </c>
      <c r="P861" s="2953">
        <v>13804665</v>
      </c>
      <c r="Q861" s="2951">
        <v>13804665</v>
      </c>
      <c r="R861" s="2954">
        <v>44453</v>
      </c>
      <c r="S861" s="2954">
        <v>44463</v>
      </c>
      <c r="T861" s="2954">
        <v>44532</v>
      </c>
      <c r="U861" s="2954">
        <v>44532</v>
      </c>
      <c r="V861" s="2948" t="s">
        <v>1608</v>
      </c>
    </row>
    <row r="862" spans="1:22" s="2944" customFormat="1" ht="46.8" hidden="1">
      <c r="A862" s="2948">
        <v>861</v>
      </c>
      <c r="B862" s="2948" t="s">
        <v>635</v>
      </c>
      <c r="C862" s="2948" t="s">
        <v>636</v>
      </c>
      <c r="D862" s="2948" t="s">
        <v>1576</v>
      </c>
      <c r="E862" s="2948" t="s">
        <v>700</v>
      </c>
      <c r="F862" s="2948" t="s">
        <v>639</v>
      </c>
      <c r="G862" s="2948" t="s">
        <v>640</v>
      </c>
      <c r="H862" s="2948" t="s">
        <v>1579</v>
      </c>
      <c r="I862" s="2948" t="s">
        <v>642</v>
      </c>
      <c r="J862" s="2948" t="s">
        <v>643</v>
      </c>
      <c r="K862" s="2950">
        <v>125.96</v>
      </c>
      <c r="L862" s="2950">
        <v>95.58</v>
      </c>
      <c r="M862" s="2951">
        <v>13317246</v>
      </c>
      <c r="N862" s="2951">
        <v>13317246</v>
      </c>
      <c r="O862" s="2952">
        <v>13317246</v>
      </c>
      <c r="P862" s="2953">
        <v>13317246</v>
      </c>
      <c r="Q862" s="2951">
        <v>13317246</v>
      </c>
      <c r="R862" s="2954">
        <v>44955</v>
      </c>
      <c r="S862" s="2954">
        <v>44994</v>
      </c>
      <c r="T862" s="2954">
        <v>45044</v>
      </c>
      <c r="U862" s="2954">
        <v>45044</v>
      </c>
      <c r="V862" s="2948" t="s">
        <v>1609</v>
      </c>
    </row>
    <row r="863" spans="1:22" s="2944" customFormat="1" ht="46.8" hidden="1">
      <c r="A863" s="2948">
        <v>862</v>
      </c>
      <c r="B863" s="2948" t="s">
        <v>635</v>
      </c>
      <c r="C863" s="2948" t="s">
        <v>636</v>
      </c>
      <c r="D863" s="2948" t="s">
        <v>1576</v>
      </c>
      <c r="E863" s="2948" t="s">
        <v>700</v>
      </c>
      <c r="F863" s="2948" t="s">
        <v>645</v>
      </c>
      <c r="G863" s="2948" t="s">
        <v>640</v>
      </c>
      <c r="H863" s="2948" t="s">
        <v>1577</v>
      </c>
      <c r="I863" s="2948" t="s">
        <v>642</v>
      </c>
      <c r="J863" s="2948" t="s">
        <v>643</v>
      </c>
      <c r="K863" s="2950">
        <v>146.36000000000001</v>
      </c>
      <c r="L863" s="2950">
        <v>111.06</v>
      </c>
      <c r="M863" s="2951">
        <v>15254517</v>
      </c>
      <c r="N863" s="2951">
        <v>15254517</v>
      </c>
      <c r="O863" s="2952">
        <v>15254517</v>
      </c>
      <c r="P863" s="2953">
        <v>15254517</v>
      </c>
      <c r="Q863" s="2951">
        <v>15254517</v>
      </c>
      <c r="R863" s="2954">
        <v>45014</v>
      </c>
      <c r="S863" s="2954">
        <v>45014</v>
      </c>
      <c r="T863" s="2954">
        <v>45063</v>
      </c>
      <c r="U863" s="2954">
        <v>45063</v>
      </c>
      <c r="V863" s="2948" t="s">
        <v>1610</v>
      </c>
    </row>
    <row r="864" spans="1:22" s="2944" customFormat="1" ht="46.8" hidden="1">
      <c r="A864" s="2948">
        <v>863</v>
      </c>
      <c r="B864" s="2948" t="s">
        <v>635</v>
      </c>
      <c r="C864" s="2948" t="s">
        <v>636</v>
      </c>
      <c r="D864" s="2948" t="s">
        <v>1576</v>
      </c>
      <c r="E864" s="2948" t="s">
        <v>700</v>
      </c>
      <c r="F864" s="2948" t="s">
        <v>648</v>
      </c>
      <c r="G864" s="2948" t="s">
        <v>640</v>
      </c>
      <c r="H864" s="2948" t="s">
        <v>1582</v>
      </c>
      <c r="I864" s="2948" t="s">
        <v>642</v>
      </c>
      <c r="J864" s="2948" t="s">
        <v>643</v>
      </c>
      <c r="K864" s="2950">
        <v>125.95</v>
      </c>
      <c r="L864" s="2950">
        <v>95.57</v>
      </c>
      <c r="M864" s="2951">
        <v>13442139</v>
      </c>
      <c r="N864" s="2951">
        <v>13442139</v>
      </c>
      <c r="O864" s="2952">
        <v>13442139</v>
      </c>
      <c r="P864" s="2953">
        <v>13442139</v>
      </c>
      <c r="Q864" s="2951">
        <v>13442139</v>
      </c>
      <c r="R864" s="2954">
        <v>44454</v>
      </c>
      <c r="S864" s="2954">
        <v>44458</v>
      </c>
      <c r="T864" s="2954">
        <v>44502</v>
      </c>
      <c r="U864" s="2954">
        <v>44502</v>
      </c>
      <c r="V864" s="2948" t="s">
        <v>1611</v>
      </c>
    </row>
    <row r="865" spans="1:22" s="2944" customFormat="1" ht="46.8" hidden="1">
      <c r="A865" s="2948">
        <v>864</v>
      </c>
      <c r="B865" s="2948" t="s">
        <v>635</v>
      </c>
      <c r="C865" s="2948" t="s">
        <v>636</v>
      </c>
      <c r="D865" s="2948" t="s">
        <v>1576</v>
      </c>
      <c r="E865" s="2948" t="s">
        <v>700</v>
      </c>
      <c r="F865" s="2948" t="s">
        <v>651</v>
      </c>
      <c r="G865" s="2948" t="s">
        <v>640</v>
      </c>
      <c r="H865" s="2948" t="s">
        <v>1577</v>
      </c>
      <c r="I865" s="2948" t="s">
        <v>642</v>
      </c>
      <c r="J865" s="2948" t="s">
        <v>643</v>
      </c>
      <c r="K865" s="2950">
        <v>146.36000000000001</v>
      </c>
      <c r="L865" s="2950">
        <v>111.06</v>
      </c>
      <c r="M865" s="2951">
        <v>15400877</v>
      </c>
      <c r="N865" s="2951">
        <v>15400877</v>
      </c>
      <c r="O865" s="2952">
        <v>15400877</v>
      </c>
      <c r="P865" s="2953">
        <v>15400877</v>
      </c>
      <c r="Q865" s="2951">
        <v>15400877</v>
      </c>
      <c r="R865" s="2954">
        <v>44863</v>
      </c>
      <c r="S865" s="2954">
        <v>44863</v>
      </c>
      <c r="T865" s="2954">
        <v>44932</v>
      </c>
      <c r="U865" s="2954">
        <v>44931</v>
      </c>
      <c r="V865" s="2948" t="s">
        <v>1612</v>
      </c>
    </row>
    <row r="866" spans="1:22" s="2944" customFormat="1" ht="46.8" hidden="1">
      <c r="A866" s="2948">
        <v>865</v>
      </c>
      <c r="B866" s="2948" t="s">
        <v>635</v>
      </c>
      <c r="C866" s="2948" t="s">
        <v>636</v>
      </c>
      <c r="D866" s="2948" t="s">
        <v>1576</v>
      </c>
      <c r="E866" s="2948" t="s">
        <v>700</v>
      </c>
      <c r="F866" s="2948" t="s">
        <v>653</v>
      </c>
      <c r="G866" s="2948" t="s">
        <v>640</v>
      </c>
      <c r="H866" s="2948" t="s">
        <v>1585</v>
      </c>
      <c r="I866" s="2948" t="s">
        <v>642</v>
      </c>
      <c r="J866" s="2948" t="s">
        <v>643</v>
      </c>
      <c r="K866" s="2950">
        <v>126.07</v>
      </c>
      <c r="L866" s="2950">
        <v>95.66</v>
      </c>
      <c r="M866" s="2951">
        <v>13581016</v>
      </c>
      <c r="N866" s="2951">
        <v>13581016</v>
      </c>
      <c r="O866" s="2952">
        <v>13581016</v>
      </c>
      <c r="P866" s="2953">
        <v>13581016</v>
      </c>
      <c r="Q866" s="2951">
        <v>13581016</v>
      </c>
      <c r="R866" s="2954">
        <v>44454</v>
      </c>
      <c r="S866" s="2954">
        <v>44460</v>
      </c>
      <c r="T866" s="2954">
        <v>44509</v>
      </c>
      <c r="U866" s="2954">
        <v>44508</v>
      </c>
      <c r="V866" s="2948" t="s">
        <v>1613</v>
      </c>
    </row>
    <row r="867" spans="1:22" s="2944" customFormat="1" ht="46.8" hidden="1">
      <c r="A867" s="2948">
        <v>866</v>
      </c>
      <c r="B867" s="2948" t="s">
        <v>635</v>
      </c>
      <c r="C867" s="2948" t="s">
        <v>636</v>
      </c>
      <c r="D867" s="2948" t="s">
        <v>1576</v>
      </c>
      <c r="E867" s="2948" t="s">
        <v>700</v>
      </c>
      <c r="F867" s="2948" t="s">
        <v>655</v>
      </c>
      <c r="G867" s="2948" t="s">
        <v>640</v>
      </c>
      <c r="H867" s="2948" t="s">
        <v>1577</v>
      </c>
      <c r="I867" s="2948" t="s">
        <v>642</v>
      </c>
      <c r="J867" s="2948" t="s">
        <v>643</v>
      </c>
      <c r="K867" s="2950">
        <v>146.36000000000001</v>
      </c>
      <c r="L867" s="2950">
        <v>111.06</v>
      </c>
      <c r="M867" s="2951">
        <v>15547237</v>
      </c>
      <c r="N867" s="2951">
        <v>15547237</v>
      </c>
      <c r="O867" s="2952">
        <v>15547237</v>
      </c>
      <c r="P867" s="2953">
        <v>15547237</v>
      </c>
      <c r="Q867" s="2951">
        <v>15547237</v>
      </c>
      <c r="R867" s="2954">
        <v>44557</v>
      </c>
      <c r="S867" s="2954">
        <v>44579</v>
      </c>
      <c r="T867" s="2954">
        <v>44726</v>
      </c>
      <c r="U867" s="2954">
        <v>44726</v>
      </c>
      <c r="V867" s="2948" t="s">
        <v>1614</v>
      </c>
    </row>
    <row r="868" spans="1:22" s="2944" customFormat="1" ht="46.8" hidden="1">
      <c r="A868" s="2948">
        <v>867</v>
      </c>
      <c r="B868" s="2948" t="s">
        <v>635</v>
      </c>
      <c r="C868" s="2948" t="s">
        <v>636</v>
      </c>
      <c r="D868" s="2948" t="s">
        <v>1576</v>
      </c>
      <c r="E868" s="2948" t="s">
        <v>700</v>
      </c>
      <c r="F868" s="2948" t="s">
        <v>657</v>
      </c>
      <c r="G868" s="2948" t="s">
        <v>640</v>
      </c>
      <c r="H868" s="2948" t="s">
        <v>1585</v>
      </c>
      <c r="I868" s="2948" t="s">
        <v>642</v>
      </c>
      <c r="J868" s="2948" t="s">
        <v>643</v>
      </c>
      <c r="K868" s="2950">
        <v>126.07</v>
      </c>
      <c r="L868" s="2950">
        <v>95.66</v>
      </c>
      <c r="M868" s="2951">
        <v>13707086</v>
      </c>
      <c r="N868" s="2951">
        <v>13707086</v>
      </c>
      <c r="O868" s="2952">
        <v>13021732</v>
      </c>
      <c r="P868" s="2953">
        <v>13021732</v>
      </c>
      <c r="Q868" s="2951">
        <v>13021732</v>
      </c>
      <c r="R868" s="2954">
        <v>44449</v>
      </c>
      <c r="S868" s="2954">
        <v>44463</v>
      </c>
      <c r="T868" s="2954">
        <v>44498</v>
      </c>
      <c r="U868" s="2954">
        <v>44498</v>
      </c>
      <c r="V868" s="2948" t="s">
        <v>1615</v>
      </c>
    </row>
    <row r="869" spans="1:22" s="2944" customFormat="1" ht="46.8" hidden="1">
      <c r="A869" s="2948">
        <v>868</v>
      </c>
      <c r="B869" s="2948" t="s">
        <v>635</v>
      </c>
      <c r="C869" s="2948" t="s">
        <v>636</v>
      </c>
      <c r="D869" s="2948" t="s">
        <v>1576</v>
      </c>
      <c r="E869" s="2948" t="s">
        <v>700</v>
      </c>
      <c r="F869" s="2948" t="s">
        <v>659</v>
      </c>
      <c r="G869" s="2948" t="s">
        <v>640</v>
      </c>
      <c r="H869" s="2948" t="s">
        <v>1577</v>
      </c>
      <c r="I869" s="2948" t="s">
        <v>642</v>
      </c>
      <c r="J869" s="2948" t="s">
        <v>643</v>
      </c>
      <c r="K869" s="2950">
        <v>146.36000000000001</v>
      </c>
      <c r="L869" s="2950">
        <v>111.06</v>
      </c>
      <c r="M869" s="2951">
        <v>15693597</v>
      </c>
      <c r="N869" s="2951">
        <v>15693597</v>
      </c>
      <c r="O869" s="2952">
        <v>15693597</v>
      </c>
      <c r="P869" s="2953">
        <v>15693597</v>
      </c>
      <c r="Q869" s="2951">
        <v>15693597</v>
      </c>
      <c r="R869" s="2954">
        <v>44453</v>
      </c>
      <c r="S869" s="2954">
        <v>44458</v>
      </c>
      <c r="T869" s="2954">
        <v>44637</v>
      </c>
      <c r="U869" s="2954">
        <v>44637</v>
      </c>
      <c r="V869" s="2948" t="s">
        <v>1616</v>
      </c>
    </row>
    <row r="870" spans="1:22" s="2944" customFormat="1" ht="46.8" hidden="1">
      <c r="A870" s="2948">
        <v>869</v>
      </c>
      <c r="B870" s="2948" t="s">
        <v>635</v>
      </c>
      <c r="C870" s="2948" t="s">
        <v>636</v>
      </c>
      <c r="D870" s="2948" t="s">
        <v>1576</v>
      </c>
      <c r="E870" s="2948" t="s">
        <v>700</v>
      </c>
      <c r="F870" s="2948" t="s">
        <v>661</v>
      </c>
      <c r="G870" s="2948" t="s">
        <v>640</v>
      </c>
      <c r="H870" s="2948" t="s">
        <v>1585</v>
      </c>
      <c r="I870" s="2948" t="s">
        <v>642</v>
      </c>
      <c r="J870" s="2948" t="s">
        <v>643</v>
      </c>
      <c r="K870" s="2950">
        <v>126.07</v>
      </c>
      <c r="L870" s="2950">
        <v>95.66</v>
      </c>
      <c r="M870" s="2951">
        <v>13833156</v>
      </c>
      <c r="N870" s="2951">
        <v>13833156</v>
      </c>
      <c r="O870" s="2952">
        <v>13141498</v>
      </c>
      <c r="P870" s="2953">
        <v>13141498</v>
      </c>
      <c r="Q870" s="2951">
        <v>13141498</v>
      </c>
      <c r="R870" s="2954">
        <v>44454</v>
      </c>
      <c r="S870" s="2954">
        <v>44463</v>
      </c>
      <c r="T870" s="2954">
        <v>44502</v>
      </c>
      <c r="U870" s="2954">
        <v>44502</v>
      </c>
      <c r="V870" s="2948" t="s">
        <v>1617</v>
      </c>
    </row>
    <row r="871" spans="1:22" s="2944" customFormat="1" ht="46.8" hidden="1">
      <c r="A871" s="2948">
        <v>870</v>
      </c>
      <c r="B871" s="2948" t="s">
        <v>635</v>
      </c>
      <c r="C871" s="2948" t="s">
        <v>636</v>
      </c>
      <c r="D871" s="2948" t="s">
        <v>1576</v>
      </c>
      <c r="E871" s="2948" t="s">
        <v>700</v>
      </c>
      <c r="F871" s="2948" t="s">
        <v>663</v>
      </c>
      <c r="G871" s="2948" t="s">
        <v>640</v>
      </c>
      <c r="H871" s="2948" t="s">
        <v>1577</v>
      </c>
      <c r="I871" s="2948" t="s">
        <v>642</v>
      </c>
      <c r="J871" s="2948" t="s">
        <v>643</v>
      </c>
      <c r="K871" s="2950">
        <v>146.36000000000001</v>
      </c>
      <c r="L871" s="2950">
        <v>111.06</v>
      </c>
      <c r="M871" s="2951">
        <v>15839957</v>
      </c>
      <c r="N871" s="2951">
        <v>15839957</v>
      </c>
      <c r="O871" s="2952">
        <v>15839957</v>
      </c>
      <c r="P871" s="2953">
        <v>15839957</v>
      </c>
      <c r="Q871" s="2951">
        <v>15839957</v>
      </c>
      <c r="R871" s="2954">
        <v>44453</v>
      </c>
      <c r="S871" s="2954">
        <v>44458</v>
      </c>
      <c r="T871" s="2954">
        <v>44537</v>
      </c>
      <c r="U871" s="2954">
        <v>44526</v>
      </c>
      <c r="V871" s="2948" t="s">
        <v>1618</v>
      </c>
    </row>
    <row r="872" spans="1:22" s="2944" customFormat="1" ht="46.8" hidden="1">
      <c r="A872" s="2948">
        <v>871</v>
      </c>
      <c r="B872" s="2948" t="s">
        <v>635</v>
      </c>
      <c r="C872" s="2948" t="s">
        <v>636</v>
      </c>
      <c r="D872" s="2948" t="s">
        <v>1576</v>
      </c>
      <c r="E872" s="2948" t="s">
        <v>700</v>
      </c>
      <c r="F872" s="2948" t="s">
        <v>665</v>
      </c>
      <c r="G872" s="2948" t="s">
        <v>640</v>
      </c>
      <c r="H872" s="2948" t="s">
        <v>1585</v>
      </c>
      <c r="I872" s="2948" t="s">
        <v>642</v>
      </c>
      <c r="J872" s="2948" t="s">
        <v>643</v>
      </c>
      <c r="K872" s="2950">
        <v>126.07</v>
      </c>
      <c r="L872" s="2950">
        <v>95.66</v>
      </c>
      <c r="M872" s="2951">
        <v>13845763</v>
      </c>
      <c r="N872" s="2951">
        <v>13845763</v>
      </c>
      <c r="O872" s="2952">
        <v>13845763</v>
      </c>
      <c r="P872" s="2953">
        <v>13845763</v>
      </c>
      <c r="Q872" s="2951">
        <v>13845763</v>
      </c>
      <c r="R872" s="2954">
        <v>44452</v>
      </c>
      <c r="S872" s="2954">
        <v>44459</v>
      </c>
      <c r="T872" s="2954">
        <v>44502</v>
      </c>
      <c r="U872" s="2954">
        <v>44502</v>
      </c>
      <c r="V872" s="2948" t="s">
        <v>1619</v>
      </c>
    </row>
    <row r="873" spans="1:22" s="2944" customFormat="1" ht="46.8" hidden="1">
      <c r="A873" s="2948">
        <v>872</v>
      </c>
      <c r="B873" s="2948" t="s">
        <v>635</v>
      </c>
      <c r="C873" s="2948" t="s">
        <v>636</v>
      </c>
      <c r="D873" s="2948" t="s">
        <v>1576</v>
      </c>
      <c r="E873" s="2948" t="s">
        <v>700</v>
      </c>
      <c r="F873" s="2948" t="s">
        <v>667</v>
      </c>
      <c r="G873" s="2948" t="s">
        <v>640</v>
      </c>
      <c r="H873" s="2948" t="s">
        <v>1577</v>
      </c>
      <c r="I873" s="2948" t="s">
        <v>642</v>
      </c>
      <c r="J873" s="2948" t="s">
        <v>643</v>
      </c>
      <c r="K873" s="2950">
        <v>146.36000000000001</v>
      </c>
      <c r="L873" s="2950">
        <v>111.06</v>
      </c>
      <c r="M873" s="2951">
        <v>15854593</v>
      </c>
      <c r="N873" s="2951">
        <v>15854593</v>
      </c>
      <c r="O873" s="2952">
        <v>15854593</v>
      </c>
      <c r="P873" s="2953">
        <v>15854593</v>
      </c>
      <c r="Q873" s="2951">
        <v>15854593</v>
      </c>
      <c r="R873" s="2954">
        <v>44456</v>
      </c>
      <c r="S873" s="2954">
        <v>44459</v>
      </c>
      <c r="T873" s="2954">
        <v>44531</v>
      </c>
      <c r="U873" s="2954">
        <v>44531</v>
      </c>
      <c r="V873" s="2948" t="s">
        <v>1620</v>
      </c>
    </row>
    <row r="874" spans="1:22" s="2944" customFormat="1" ht="46.8" hidden="1">
      <c r="A874" s="2948">
        <v>873</v>
      </c>
      <c r="B874" s="2948" t="s">
        <v>635</v>
      </c>
      <c r="C874" s="2948" t="s">
        <v>636</v>
      </c>
      <c r="D874" s="2948" t="s">
        <v>1576</v>
      </c>
      <c r="E874" s="2948" t="s">
        <v>700</v>
      </c>
      <c r="F874" s="2948" t="s">
        <v>669</v>
      </c>
      <c r="G874" s="2948" t="s">
        <v>640</v>
      </c>
      <c r="H874" s="2948" t="s">
        <v>1585</v>
      </c>
      <c r="I874" s="2948" t="s">
        <v>642</v>
      </c>
      <c r="J874" s="2948" t="s">
        <v>643</v>
      </c>
      <c r="K874" s="2950">
        <v>126.07</v>
      </c>
      <c r="L874" s="2950">
        <v>95.66</v>
      </c>
      <c r="M874" s="2951">
        <v>13858370</v>
      </c>
      <c r="N874" s="2951">
        <v>13858370</v>
      </c>
      <c r="O874" s="2952">
        <v>13858370</v>
      </c>
      <c r="P874" s="2953">
        <v>13858370</v>
      </c>
      <c r="Q874" s="2951">
        <v>13858370</v>
      </c>
      <c r="R874" s="2954">
        <v>44453</v>
      </c>
      <c r="S874" s="2954">
        <v>44461</v>
      </c>
      <c r="T874" s="2954">
        <v>44525</v>
      </c>
      <c r="U874" s="2954">
        <v>44525</v>
      </c>
      <c r="V874" s="2948" t="s">
        <v>1621</v>
      </c>
    </row>
    <row r="875" spans="1:22" s="2944" customFormat="1" ht="46.8" hidden="1">
      <c r="A875" s="2948">
        <v>874</v>
      </c>
      <c r="B875" s="2948" t="s">
        <v>635</v>
      </c>
      <c r="C875" s="2948" t="s">
        <v>636</v>
      </c>
      <c r="D875" s="2948" t="s">
        <v>1576</v>
      </c>
      <c r="E875" s="2948" t="s">
        <v>700</v>
      </c>
      <c r="F875" s="2948" t="s">
        <v>671</v>
      </c>
      <c r="G875" s="2948" t="s">
        <v>640</v>
      </c>
      <c r="H875" s="2948" t="s">
        <v>1577</v>
      </c>
      <c r="I875" s="2948" t="s">
        <v>642</v>
      </c>
      <c r="J875" s="2948" t="s">
        <v>643</v>
      </c>
      <c r="K875" s="2950">
        <v>146.36000000000001</v>
      </c>
      <c r="L875" s="2950">
        <v>111.06</v>
      </c>
      <c r="M875" s="2951">
        <v>15869229</v>
      </c>
      <c r="N875" s="2951">
        <v>15869229</v>
      </c>
      <c r="O875" s="2952">
        <v>15869229</v>
      </c>
      <c r="P875" s="2953">
        <v>15869229</v>
      </c>
      <c r="Q875" s="2951">
        <v>15869229</v>
      </c>
      <c r="R875" s="2954">
        <v>44450</v>
      </c>
      <c r="S875" s="2954">
        <v>44458</v>
      </c>
      <c r="T875" s="2954">
        <v>44537</v>
      </c>
      <c r="U875" s="2954">
        <v>44537</v>
      </c>
      <c r="V875" s="2948" t="s">
        <v>1622</v>
      </c>
    </row>
    <row r="876" spans="1:22" s="2944" customFormat="1" ht="46.8" hidden="1">
      <c r="A876" s="2948">
        <v>875</v>
      </c>
      <c r="B876" s="2948" t="s">
        <v>635</v>
      </c>
      <c r="C876" s="2948" t="s">
        <v>636</v>
      </c>
      <c r="D876" s="2948" t="s">
        <v>1576</v>
      </c>
      <c r="E876" s="2948" t="s">
        <v>700</v>
      </c>
      <c r="F876" s="2948" t="s">
        <v>673</v>
      </c>
      <c r="G876" s="2948" t="s">
        <v>640</v>
      </c>
      <c r="H876" s="2948" t="s">
        <v>1585</v>
      </c>
      <c r="I876" s="2948" t="s">
        <v>642</v>
      </c>
      <c r="J876" s="2948" t="s">
        <v>643</v>
      </c>
      <c r="K876" s="2950">
        <v>126.07</v>
      </c>
      <c r="L876" s="2950">
        <v>95.66</v>
      </c>
      <c r="M876" s="2951">
        <v>13867700</v>
      </c>
      <c r="N876" s="2951">
        <v>13867700</v>
      </c>
      <c r="O876" s="2952">
        <v>13867700</v>
      </c>
      <c r="P876" s="2953">
        <v>13867700</v>
      </c>
      <c r="Q876" s="2951">
        <v>13867700</v>
      </c>
      <c r="R876" s="2954">
        <v>44452</v>
      </c>
      <c r="S876" s="2954">
        <v>44459</v>
      </c>
      <c r="T876" s="2954">
        <v>44502</v>
      </c>
      <c r="U876" s="2954">
        <v>44502</v>
      </c>
      <c r="V876" s="2948" t="s">
        <v>1623</v>
      </c>
    </row>
    <row r="877" spans="1:22" s="2944" customFormat="1" ht="46.8" hidden="1">
      <c r="A877" s="2948">
        <v>876</v>
      </c>
      <c r="B877" s="2948" t="s">
        <v>635</v>
      </c>
      <c r="C877" s="2948" t="s">
        <v>636</v>
      </c>
      <c r="D877" s="2948" t="s">
        <v>1576</v>
      </c>
      <c r="E877" s="2948" t="s">
        <v>700</v>
      </c>
      <c r="F877" s="2948" t="s">
        <v>675</v>
      </c>
      <c r="G877" s="2948" t="s">
        <v>640</v>
      </c>
      <c r="H877" s="2948" t="s">
        <v>1577</v>
      </c>
      <c r="I877" s="2948" t="s">
        <v>642</v>
      </c>
      <c r="J877" s="2948" t="s">
        <v>643</v>
      </c>
      <c r="K877" s="2950">
        <v>146.36000000000001</v>
      </c>
      <c r="L877" s="2950">
        <v>111.06</v>
      </c>
      <c r="M877" s="2951">
        <v>15883865</v>
      </c>
      <c r="N877" s="2951">
        <v>15883865</v>
      </c>
      <c r="O877" s="2952">
        <v>15883865</v>
      </c>
      <c r="P877" s="2953">
        <v>15883865</v>
      </c>
      <c r="Q877" s="2951">
        <v>15883865</v>
      </c>
      <c r="R877" s="2954">
        <v>44454</v>
      </c>
      <c r="S877" s="2954">
        <v>44461</v>
      </c>
      <c r="T877" s="2954">
        <v>44506</v>
      </c>
      <c r="U877" s="2954">
        <v>44506</v>
      </c>
      <c r="V877" s="2948" t="s">
        <v>1624</v>
      </c>
    </row>
    <row r="878" spans="1:22" s="2944" customFormat="1" ht="46.8" hidden="1">
      <c r="A878" s="2948">
        <v>877</v>
      </c>
      <c r="B878" s="2948" t="s">
        <v>635</v>
      </c>
      <c r="C878" s="2948" t="s">
        <v>636</v>
      </c>
      <c r="D878" s="2948" t="s">
        <v>1576</v>
      </c>
      <c r="E878" s="2948" t="s">
        <v>700</v>
      </c>
      <c r="F878" s="2948" t="s">
        <v>677</v>
      </c>
      <c r="G878" s="2948" t="s">
        <v>640</v>
      </c>
      <c r="H878" s="2948" t="s">
        <v>1585</v>
      </c>
      <c r="I878" s="2948" t="s">
        <v>642</v>
      </c>
      <c r="J878" s="2948" t="s">
        <v>643</v>
      </c>
      <c r="K878" s="2950">
        <v>126.07</v>
      </c>
      <c r="L878" s="2950">
        <v>95.66</v>
      </c>
      <c r="M878" s="2951">
        <v>13867700</v>
      </c>
      <c r="N878" s="2951">
        <v>13867700</v>
      </c>
      <c r="O878" s="2952">
        <v>13867700</v>
      </c>
      <c r="P878" s="2953">
        <v>13867700</v>
      </c>
      <c r="Q878" s="2951">
        <v>13867700</v>
      </c>
      <c r="R878" s="2954">
        <v>44452</v>
      </c>
      <c r="S878" s="2954">
        <v>44457</v>
      </c>
      <c r="T878" s="2954">
        <v>44503</v>
      </c>
      <c r="U878" s="2954">
        <v>44503</v>
      </c>
      <c r="V878" s="2948" t="s">
        <v>1625</v>
      </c>
    </row>
    <row r="879" spans="1:22" s="2944" customFormat="1" ht="46.8" hidden="1">
      <c r="A879" s="2948">
        <v>878</v>
      </c>
      <c r="B879" s="2948" t="s">
        <v>635</v>
      </c>
      <c r="C879" s="2948" t="s">
        <v>636</v>
      </c>
      <c r="D879" s="2948" t="s">
        <v>1576</v>
      </c>
      <c r="E879" s="2948" t="s">
        <v>700</v>
      </c>
      <c r="F879" s="2948" t="s">
        <v>679</v>
      </c>
      <c r="G879" s="2948" t="s">
        <v>640</v>
      </c>
      <c r="H879" s="2948" t="s">
        <v>1577</v>
      </c>
      <c r="I879" s="2948" t="s">
        <v>642</v>
      </c>
      <c r="J879" s="2948" t="s">
        <v>643</v>
      </c>
      <c r="K879" s="2950">
        <v>146.36000000000001</v>
      </c>
      <c r="L879" s="2950">
        <v>111.06</v>
      </c>
      <c r="M879" s="2951">
        <v>15898501</v>
      </c>
      <c r="N879" s="2951">
        <v>15898501</v>
      </c>
      <c r="O879" s="2952">
        <v>15898501</v>
      </c>
      <c r="P879" s="2953">
        <v>15898501</v>
      </c>
      <c r="Q879" s="2951">
        <v>15898501</v>
      </c>
      <c r="R879" s="2954">
        <v>44452</v>
      </c>
      <c r="S879" s="2954">
        <v>44457</v>
      </c>
      <c r="T879" s="2954">
        <v>44503</v>
      </c>
      <c r="U879" s="2954">
        <v>44503</v>
      </c>
      <c r="V879" s="2948" t="s">
        <v>1625</v>
      </c>
    </row>
    <row r="880" spans="1:22" s="2944" customFormat="1" ht="46.8" hidden="1">
      <c r="A880" s="2948">
        <v>879</v>
      </c>
      <c r="B880" s="2948" t="s">
        <v>635</v>
      </c>
      <c r="C880" s="2948" t="s">
        <v>636</v>
      </c>
      <c r="D880" s="2948" t="s">
        <v>1576</v>
      </c>
      <c r="E880" s="2948" t="s">
        <v>700</v>
      </c>
      <c r="F880" s="2948" t="s">
        <v>681</v>
      </c>
      <c r="G880" s="2948" t="s">
        <v>640</v>
      </c>
      <c r="H880" s="2948" t="s">
        <v>1585</v>
      </c>
      <c r="I880" s="2948" t="s">
        <v>642</v>
      </c>
      <c r="J880" s="2948" t="s">
        <v>643</v>
      </c>
      <c r="K880" s="2950">
        <v>126.07</v>
      </c>
      <c r="L880" s="2950">
        <v>95.66</v>
      </c>
      <c r="M880" s="2951">
        <v>13867700</v>
      </c>
      <c r="N880" s="2951">
        <v>13867700</v>
      </c>
      <c r="O880" s="2952">
        <v>13867700</v>
      </c>
      <c r="P880" s="2953">
        <v>13867700</v>
      </c>
      <c r="Q880" s="2951">
        <v>13867700</v>
      </c>
      <c r="R880" s="2954">
        <v>44452</v>
      </c>
      <c r="S880" s="2954">
        <v>44457</v>
      </c>
      <c r="T880" s="2954">
        <v>44502</v>
      </c>
      <c r="U880" s="2954">
        <v>44502</v>
      </c>
      <c r="V880" s="2948" t="s">
        <v>1626</v>
      </c>
    </row>
    <row r="881" spans="1:22" s="2944" customFormat="1" ht="46.8" hidden="1">
      <c r="A881" s="2948">
        <v>880</v>
      </c>
      <c r="B881" s="2948" t="s">
        <v>635</v>
      </c>
      <c r="C881" s="2948" t="s">
        <v>636</v>
      </c>
      <c r="D881" s="2948" t="s">
        <v>1576</v>
      </c>
      <c r="E881" s="2948" t="s">
        <v>700</v>
      </c>
      <c r="F881" s="2948" t="s">
        <v>683</v>
      </c>
      <c r="G881" s="2948" t="s">
        <v>640</v>
      </c>
      <c r="H881" s="2948" t="s">
        <v>1577</v>
      </c>
      <c r="I881" s="2948" t="s">
        <v>642</v>
      </c>
      <c r="J881" s="2948" t="s">
        <v>643</v>
      </c>
      <c r="K881" s="2950">
        <v>146.36000000000001</v>
      </c>
      <c r="L881" s="2950">
        <v>111.06</v>
      </c>
      <c r="M881" s="2951">
        <v>15913137</v>
      </c>
      <c r="N881" s="2951">
        <v>15913137</v>
      </c>
      <c r="O881" s="2952">
        <v>15913137</v>
      </c>
      <c r="P881" s="2953">
        <v>15913137</v>
      </c>
      <c r="Q881" s="2951">
        <v>15913137</v>
      </c>
      <c r="R881" s="2954">
        <v>44452</v>
      </c>
      <c r="S881" s="2954">
        <v>44459</v>
      </c>
      <c r="T881" s="2954">
        <v>44501</v>
      </c>
      <c r="U881" s="2954">
        <v>44501</v>
      </c>
      <c r="V881" s="2948" t="s">
        <v>1627</v>
      </c>
    </row>
    <row r="882" spans="1:22" s="2944" customFormat="1" ht="46.8" hidden="1">
      <c r="A882" s="2948">
        <v>881</v>
      </c>
      <c r="B882" s="2948" t="s">
        <v>635</v>
      </c>
      <c r="C882" s="2948" t="s">
        <v>636</v>
      </c>
      <c r="D882" s="2948" t="s">
        <v>1576</v>
      </c>
      <c r="E882" s="2948" t="s">
        <v>700</v>
      </c>
      <c r="F882" s="2948" t="s">
        <v>685</v>
      </c>
      <c r="G882" s="2948" t="s">
        <v>640</v>
      </c>
      <c r="H882" s="2948" t="s">
        <v>1585</v>
      </c>
      <c r="I882" s="2948" t="s">
        <v>642</v>
      </c>
      <c r="J882" s="2948" t="s">
        <v>643</v>
      </c>
      <c r="K882" s="2950">
        <v>126.07</v>
      </c>
      <c r="L882" s="2950">
        <v>95.66</v>
      </c>
      <c r="M882" s="2951">
        <v>13867700</v>
      </c>
      <c r="N882" s="2951">
        <v>13867700</v>
      </c>
      <c r="O882" s="2952">
        <v>13867700</v>
      </c>
      <c r="P882" s="2953">
        <v>13867700</v>
      </c>
      <c r="Q882" s="2951">
        <v>13867700</v>
      </c>
      <c r="R882" s="2954">
        <v>44603</v>
      </c>
      <c r="S882" s="2954">
        <v>44620</v>
      </c>
      <c r="T882" s="2954">
        <v>44736</v>
      </c>
      <c r="U882" s="2954">
        <v>44736</v>
      </c>
      <c r="V882" s="2948" t="s">
        <v>1628</v>
      </c>
    </row>
    <row r="883" spans="1:22" s="2944" customFormat="1" ht="46.8" hidden="1">
      <c r="A883" s="2948">
        <v>882</v>
      </c>
      <c r="B883" s="2948" t="s">
        <v>635</v>
      </c>
      <c r="C883" s="2948" t="s">
        <v>636</v>
      </c>
      <c r="D883" s="2948" t="s">
        <v>1576</v>
      </c>
      <c r="E883" s="2948" t="s">
        <v>700</v>
      </c>
      <c r="F883" s="2948" t="s">
        <v>687</v>
      </c>
      <c r="G883" s="2948" t="s">
        <v>640</v>
      </c>
      <c r="H883" s="2948" t="s">
        <v>1577</v>
      </c>
      <c r="I883" s="2948" t="s">
        <v>642</v>
      </c>
      <c r="J883" s="2948" t="s">
        <v>643</v>
      </c>
      <c r="K883" s="2950">
        <v>146.36000000000001</v>
      </c>
      <c r="L883" s="2950">
        <v>111.06</v>
      </c>
      <c r="M883" s="2951">
        <v>15927773</v>
      </c>
      <c r="N883" s="2951">
        <v>15927773</v>
      </c>
      <c r="O883" s="2952">
        <v>15927773</v>
      </c>
      <c r="P883" s="2953">
        <v>15927773</v>
      </c>
      <c r="Q883" s="2951">
        <v>15927773</v>
      </c>
      <c r="R883" s="2954">
        <v>44453</v>
      </c>
      <c r="S883" s="2954">
        <v>44460</v>
      </c>
      <c r="T883" s="2954">
        <v>44504</v>
      </c>
      <c r="U883" s="2954">
        <v>44504</v>
      </c>
      <c r="V883" s="2948" t="s">
        <v>1629</v>
      </c>
    </row>
    <row r="884" spans="1:22" s="2944" customFormat="1" ht="46.8" hidden="1">
      <c r="A884" s="2948">
        <v>883</v>
      </c>
      <c r="B884" s="2948" t="s">
        <v>635</v>
      </c>
      <c r="C884" s="2948" t="s">
        <v>636</v>
      </c>
      <c r="D884" s="2948" t="s">
        <v>1576</v>
      </c>
      <c r="E884" s="2948" t="s">
        <v>700</v>
      </c>
      <c r="F884" s="2948" t="s">
        <v>689</v>
      </c>
      <c r="G884" s="2948" t="s">
        <v>640</v>
      </c>
      <c r="H884" s="2948" t="s">
        <v>1585</v>
      </c>
      <c r="I884" s="2948" t="s">
        <v>642</v>
      </c>
      <c r="J884" s="2948" t="s">
        <v>643</v>
      </c>
      <c r="K884" s="2950">
        <v>126.07</v>
      </c>
      <c r="L884" s="2950">
        <v>95.66</v>
      </c>
      <c r="M884" s="2951">
        <v>13867700</v>
      </c>
      <c r="N884" s="2951">
        <v>13867700</v>
      </c>
      <c r="O884" s="2952">
        <v>13867700</v>
      </c>
      <c r="P884" s="2953">
        <v>13867700</v>
      </c>
      <c r="Q884" s="2951">
        <v>13867700</v>
      </c>
      <c r="R884" s="2954">
        <v>44452</v>
      </c>
      <c r="S884" s="2954">
        <v>44462</v>
      </c>
      <c r="T884" s="2954">
        <v>44501</v>
      </c>
      <c r="U884" s="2954">
        <v>44501</v>
      </c>
      <c r="V884" s="2948" t="s">
        <v>1630</v>
      </c>
    </row>
    <row r="885" spans="1:22" s="2944" customFormat="1" ht="46.8" hidden="1">
      <c r="A885" s="2948">
        <v>884</v>
      </c>
      <c r="B885" s="2948" t="s">
        <v>635</v>
      </c>
      <c r="C885" s="2948" t="s">
        <v>636</v>
      </c>
      <c r="D885" s="2948" t="s">
        <v>1576</v>
      </c>
      <c r="E885" s="2948" t="s">
        <v>700</v>
      </c>
      <c r="F885" s="2948" t="s">
        <v>691</v>
      </c>
      <c r="G885" s="2948" t="s">
        <v>640</v>
      </c>
      <c r="H885" s="2948" t="s">
        <v>1577</v>
      </c>
      <c r="I885" s="2948" t="s">
        <v>642</v>
      </c>
      <c r="J885" s="2948" t="s">
        <v>643</v>
      </c>
      <c r="K885" s="2950">
        <v>146.36000000000001</v>
      </c>
      <c r="L885" s="2950">
        <v>111.06</v>
      </c>
      <c r="M885" s="2951">
        <v>15942409</v>
      </c>
      <c r="N885" s="2951">
        <v>15942409</v>
      </c>
      <c r="O885" s="2952">
        <v>15942409</v>
      </c>
      <c r="P885" s="2953">
        <v>15942409</v>
      </c>
      <c r="Q885" s="2951">
        <v>15942409</v>
      </c>
      <c r="R885" s="2954">
        <v>44453</v>
      </c>
      <c r="S885" s="2954">
        <v>44458</v>
      </c>
      <c r="T885" s="2954">
        <v>44510</v>
      </c>
      <c r="U885" s="2954">
        <v>44510</v>
      </c>
      <c r="V885" s="2948" t="s">
        <v>1631</v>
      </c>
    </row>
    <row r="886" spans="1:22" s="2944" customFormat="1" ht="46.8" hidden="1">
      <c r="A886" s="2948">
        <v>885</v>
      </c>
      <c r="B886" s="2948" t="s">
        <v>635</v>
      </c>
      <c r="C886" s="2948" t="s">
        <v>636</v>
      </c>
      <c r="D886" s="2948" t="s">
        <v>1576</v>
      </c>
      <c r="E886" s="2948" t="s">
        <v>700</v>
      </c>
      <c r="F886" s="2948" t="s">
        <v>693</v>
      </c>
      <c r="G886" s="2948" t="s">
        <v>640</v>
      </c>
      <c r="H886" s="2948" t="s">
        <v>1585</v>
      </c>
      <c r="I886" s="2948" t="s">
        <v>642</v>
      </c>
      <c r="J886" s="2948" t="s">
        <v>643</v>
      </c>
      <c r="K886" s="2950">
        <v>126.07</v>
      </c>
      <c r="L886" s="2950">
        <v>95.66</v>
      </c>
      <c r="M886" s="2951">
        <v>13867700</v>
      </c>
      <c r="N886" s="2951">
        <v>13867700</v>
      </c>
      <c r="O886" s="2952">
        <v>13867700</v>
      </c>
      <c r="P886" s="2953">
        <v>13867700</v>
      </c>
      <c r="Q886" s="2951">
        <v>13867700</v>
      </c>
      <c r="R886" s="2954">
        <v>44453</v>
      </c>
      <c r="S886" s="2954">
        <v>44453</v>
      </c>
      <c r="T886" s="2954">
        <v>44505</v>
      </c>
      <c r="U886" s="2954">
        <v>44505</v>
      </c>
      <c r="V886" s="2948" t="s">
        <v>1632</v>
      </c>
    </row>
    <row r="887" spans="1:22" s="2944" customFormat="1" ht="46.8" hidden="1">
      <c r="A887" s="2948">
        <v>886</v>
      </c>
      <c r="B887" s="2948" t="s">
        <v>635</v>
      </c>
      <c r="C887" s="2948" t="s">
        <v>636</v>
      </c>
      <c r="D887" s="2948" t="s">
        <v>1576</v>
      </c>
      <c r="E887" s="2948" t="s">
        <v>700</v>
      </c>
      <c r="F887" s="2948" t="s">
        <v>694</v>
      </c>
      <c r="G887" s="2948" t="s">
        <v>640</v>
      </c>
      <c r="H887" s="2948" t="s">
        <v>1577</v>
      </c>
      <c r="I887" s="2948" t="s">
        <v>642</v>
      </c>
      <c r="J887" s="2948" t="s">
        <v>643</v>
      </c>
      <c r="K887" s="2950">
        <v>146.36000000000001</v>
      </c>
      <c r="L887" s="2950">
        <v>111.06</v>
      </c>
      <c r="M887" s="2951">
        <v>15957045</v>
      </c>
      <c r="N887" s="2951">
        <v>15957045</v>
      </c>
      <c r="O887" s="2952">
        <v>15957045</v>
      </c>
      <c r="P887" s="2953">
        <v>15957045</v>
      </c>
      <c r="Q887" s="2951">
        <v>15957045</v>
      </c>
      <c r="R887" s="2954">
        <v>44490</v>
      </c>
      <c r="S887" s="2954">
        <v>44500</v>
      </c>
      <c r="T887" s="2954">
        <v>44637</v>
      </c>
      <c r="U887" s="2954">
        <v>44637</v>
      </c>
      <c r="V887" s="2948" t="s">
        <v>1633</v>
      </c>
    </row>
    <row r="888" spans="1:22" s="2944" customFormat="1" ht="46.8" hidden="1">
      <c r="A888" s="2948">
        <v>887</v>
      </c>
      <c r="B888" s="2948" t="s">
        <v>635</v>
      </c>
      <c r="C888" s="2948" t="s">
        <v>636</v>
      </c>
      <c r="D888" s="2948" t="s">
        <v>1576</v>
      </c>
      <c r="E888" s="2948" t="s">
        <v>700</v>
      </c>
      <c r="F888" s="2948" t="s">
        <v>696</v>
      </c>
      <c r="G888" s="2948" t="s">
        <v>640</v>
      </c>
      <c r="H888" s="2948" t="s">
        <v>1585</v>
      </c>
      <c r="I888" s="2948" t="s">
        <v>642</v>
      </c>
      <c r="J888" s="2948" t="s">
        <v>643</v>
      </c>
      <c r="K888" s="2950">
        <v>126.07</v>
      </c>
      <c r="L888" s="2950">
        <v>95.66</v>
      </c>
      <c r="M888" s="2951">
        <v>13804665</v>
      </c>
      <c r="N888" s="2951">
        <v>13804665</v>
      </c>
      <c r="O888" s="2952">
        <v>13804665</v>
      </c>
      <c r="P888" s="2953">
        <v>13804665</v>
      </c>
      <c r="Q888" s="2951">
        <v>13804665</v>
      </c>
      <c r="R888" s="2954">
        <v>44457</v>
      </c>
      <c r="S888" s="2954">
        <v>44459</v>
      </c>
      <c r="T888" s="2954">
        <v>44502</v>
      </c>
      <c r="U888" s="2954">
        <v>44502</v>
      </c>
      <c r="V888" s="2948" t="s">
        <v>1634</v>
      </c>
    </row>
    <row r="889" spans="1:22" s="2944" customFormat="1" ht="46.8" hidden="1">
      <c r="A889" s="2948">
        <v>888</v>
      </c>
      <c r="B889" s="2948" t="s">
        <v>635</v>
      </c>
      <c r="C889" s="2948" t="s">
        <v>636</v>
      </c>
      <c r="D889" s="2948" t="s">
        <v>1576</v>
      </c>
      <c r="E889" s="2948" t="s">
        <v>700</v>
      </c>
      <c r="F889" s="2948" t="s">
        <v>698</v>
      </c>
      <c r="G889" s="2948" t="s">
        <v>640</v>
      </c>
      <c r="H889" s="2948" t="s">
        <v>1577</v>
      </c>
      <c r="I889" s="2948" t="s">
        <v>642</v>
      </c>
      <c r="J889" s="2948" t="s">
        <v>643</v>
      </c>
      <c r="K889" s="2950">
        <v>146.36000000000001</v>
      </c>
      <c r="L889" s="2950">
        <v>111.06</v>
      </c>
      <c r="M889" s="2951">
        <v>15883865</v>
      </c>
      <c r="N889" s="2951">
        <v>15883865</v>
      </c>
      <c r="O889" s="2952">
        <v>15883865</v>
      </c>
      <c r="P889" s="2953">
        <v>15883865</v>
      </c>
      <c r="Q889" s="2951">
        <v>15883865</v>
      </c>
      <c r="R889" s="2954">
        <v>44449</v>
      </c>
      <c r="S889" s="2954">
        <v>44459</v>
      </c>
      <c r="T889" s="2954">
        <v>44509</v>
      </c>
      <c r="U889" s="2954">
        <v>44509</v>
      </c>
      <c r="V889" s="2948" t="s">
        <v>1635</v>
      </c>
    </row>
    <row r="890" spans="1:22" s="2944" customFormat="1" ht="46.8" hidden="1">
      <c r="A890" s="2948">
        <v>889</v>
      </c>
      <c r="B890" s="2948" t="s">
        <v>635</v>
      </c>
      <c r="C890" s="2948" t="s">
        <v>636</v>
      </c>
      <c r="D890" s="2948" t="s">
        <v>1636</v>
      </c>
      <c r="E890" s="2948" t="s">
        <v>638</v>
      </c>
      <c r="F890" s="2948" t="s">
        <v>639</v>
      </c>
      <c r="G890" s="2948" t="s">
        <v>640</v>
      </c>
      <c r="H890" s="2948" t="s">
        <v>1637</v>
      </c>
      <c r="I890" s="2948" t="s">
        <v>642</v>
      </c>
      <c r="J890" s="2948" t="s">
        <v>643</v>
      </c>
      <c r="K890" s="2950">
        <v>145.63999999999999</v>
      </c>
      <c r="L890" s="2950">
        <v>111.06</v>
      </c>
      <c r="M890" s="2951">
        <v>15397934</v>
      </c>
      <c r="N890" s="2951">
        <v>15397934</v>
      </c>
      <c r="O890" s="2952">
        <v>15397934</v>
      </c>
      <c r="P890" s="2953">
        <v>15397934</v>
      </c>
      <c r="Q890" s="2951">
        <v>15397934</v>
      </c>
      <c r="R890" s="2948"/>
      <c r="S890" s="2954">
        <v>45182</v>
      </c>
      <c r="T890" s="2948"/>
      <c r="U890" s="2948"/>
      <c r="V890" s="2948" t="s">
        <v>1638</v>
      </c>
    </row>
    <row r="891" spans="1:22" s="2944" customFormat="1" ht="46.8" hidden="1">
      <c r="A891" s="2948">
        <v>890</v>
      </c>
      <c r="B891" s="2948" t="s">
        <v>635</v>
      </c>
      <c r="C891" s="2948" t="s">
        <v>636</v>
      </c>
      <c r="D891" s="2948" t="s">
        <v>1636</v>
      </c>
      <c r="E891" s="2948" t="s">
        <v>638</v>
      </c>
      <c r="F891" s="2948" t="s">
        <v>645</v>
      </c>
      <c r="G891" s="2948" t="s">
        <v>640</v>
      </c>
      <c r="H891" s="2948" t="s">
        <v>1639</v>
      </c>
      <c r="I891" s="2948" t="s">
        <v>642</v>
      </c>
      <c r="J891" s="2948" t="s">
        <v>643</v>
      </c>
      <c r="K891" s="2950">
        <v>125.34</v>
      </c>
      <c r="L891" s="2950">
        <v>95.58</v>
      </c>
      <c r="M891" s="2951">
        <v>13411380</v>
      </c>
      <c r="N891" s="2951">
        <v>13411380</v>
      </c>
      <c r="O891" s="2952">
        <v>13411380</v>
      </c>
      <c r="P891" s="2953">
        <v>13411380</v>
      </c>
      <c r="Q891" s="2951">
        <v>13411380</v>
      </c>
      <c r="R891" s="2954">
        <v>44704</v>
      </c>
      <c r="S891" s="2954">
        <v>44770</v>
      </c>
      <c r="T891" s="2954">
        <v>44788</v>
      </c>
      <c r="U891" s="2954">
        <v>44788</v>
      </c>
      <c r="V891" s="2948" t="s">
        <v>1640</v>
      </c>
    </row>
    <row r="892" spans="1:22" s="2944" customFormat="1" ht="46.8" hidden="1">
      <c r="A892" s="2948">
        <v>891</v>
      </c>
      <c r="B892" s="2948" t="s">
        <v>635</v>
      </c>
      <c r="C892" s="2948" t="s">
        <v>636</v>
      </c>
      <c r="D892" s="2948" t="s">
        <v>1636</v>
      </c>
      <c r="E892" s="2948" t="s">
        <v>638</v>
      </c>
      <c r="F892" s="2948" t="s">
        <v>648</v>
      </c>
      <c r="G892" s="2948" t="s">
        <v>640</v>
      </c>
      <c r="H892" s="2948" t="s">
        <v>1637</v>
      </c>
      <c r="I892" s="2948" t="s">
        <v>642</v>
      </c>
      <c r="J892" s="2948" t="s">
        <v>643</v>
      </c>
      <c r="K892" s="2950">
        <v>145.63999999999999</v>
      </c>
      <c r="L892" s="2950">
        <v>111.06</v>
      </c>
      <c r="M892" s="2951">
        <v>15543574</v>
      </c>
      <c r="N892" s="2951">
        <v>15543574</v>
      </c>
      <c r="O892" s="2952">
        <v>15543574</v>
      </c>
      <c r="P892" s="2953">
        <v>15543574</v>
      </c>
      <c r="Q892" s="2951">
        <v>15543574</v>
      </c>
      <c r="R892" s="2954">
        <v>44648</v>
      </c>
      <c r="S892" s="2954">
        <v>44651</v>
      </c>
      <c r="T892" s="2954">
        <v>44748</v>
      </c>
      <c r="U892" s="2954">
        <v>44748</v>
      </c>
      <c r="V892" s="2948" t="s">
        <v>1641</v>
      </c>
    </row>
    <row r="893" spans="1:22" s="2944" customFormat="1" ht="46.8" hidden="1">
      <c r="A893" s="2948">
        <v>892</v>
      </c>
      <c r="B893" s="2948" t="s">
        <v>635</v>
      </c>
      <c r="C893" s="2948" t="s">
        <v>636</v>
      </c>
      <c r="D893" s="2948" t="s">
        <v>1636</v>
      </c>
      <c r="E893" s="2948" t="s">
        <v>638</v>
      </c>
      <c r="F893" s="2948" t="s">
        <v>651</v>
      </c>
      <c r="G893" s="2948" t="s">
        <v>640</v>
      </c>
      <c r="H893" s="2948" t="s">
        <v>1642</v>
      </c>
      <c r="I893" s="2948" t="s">
        <v>642</v>
      </c>
      <c r="J893" s="2948" t="s">
        <v>643</v>
      </c>
      <c r="K893" s="2950">
        <v>125.33</v>
      </c>
      <c r="L893" s="2950">
        <v>95.57</v>
      </c>
      <c r="M893" s="2951">
        <v>13535640</v>
      </c>
      <c r="N893" s="2951">
        <v>13535640</v>
      </c>
      <c r="O893" s="2952">
        <v>13535640</v>
      </c>
      <c r="P893" s="2953">
        <v>13535640</v>
      </c>
      <c r="Q893" s="2951">
        <v>13535640</v>
      </c>
      <c r="R893" s="2954">
        <v>44669</v>
      </c>
      <c r="S893" s="2954">
        <v>44678</v>
      </c>
      <c r="T893" s="2954">
        <v>44726</v>
      </c>
      <c r="U893" s="2954">
        <v>44726</v>
      </c>
      <c r="V893" s="2948" t="s">
        <v>1643</v>
      </c>
    </row>
    <row r="894" spans="1:22" s="2944" customFormat="1" ht="46.8" hidden="1">
      <c r="A894" s="2948">
        <v>893</v>
      </c>
      <c r="B894" s="2948" t="s">
        <v>635</v>
      </c>
      <c r="C894" s="2948" t="s">
        <v>636</v>
      </c>
      <c r="D894" s="2948" t="s">
        <v>1636</v>
      </c>
      <c r="E894" s="2948" t="s">
        <v>638</v>
      </c>
      <c r="F894" s="2948" t="s">
        <v>653</v>
      </c>
      <c r="G894" s="2948" t="s">
        <v>640</v>
      </c>
      <c r="H894" s="2948" t="s">
        <v>1637</v>
      </c>
      <c r="I894" s="2948" t="s">
        <v>642</v>
      </c>
      <c r="J894" s="2948" t="s">
        <v>643</v>
      </c>
      <c r="K894" s="2950">
        <v>145.63999999999999</v>
      </c>
      <c r="L894" s="2950">
        <v>111.06</v>
      </c>
      <c r="M894" s="2951">
        <v>15689214</v>
      </c>
      <c r="N894" s="2951">
        <v>15689214</v>
      </c>
      <c r="O894" s="2952">
        <v>15689214</v>
      </c>
      <c r="P894" s="2953">
        <v>15689214</v>
      </c>
      <c r="Q894" s="2951">
        <v>15689214</v>
      </c>
      <c r="R894" s="2954">
        <v>44519</v>
      </c>
      <c r="S894" s="2954">
        <v>44553</v>
      </c>
      <c r="T894" s="2954">
        <v>44636</v>
      </c>
      <c r="U894" s="2954">
        <v>44636</v>
      </c>
      <c r="V894" s="2948" t="s">
        <v>1644</v>
      </c>
    </row>
    <row r="895" spans="1:22" s="2944" customFormat="1" ht="46.8" hidden="1">
      <c r="A895" s="2948">
        <v>894</v>
      </c>
      <c r="B895" s="2948" t="s">
        <v>635</v>
      </c>
      <c r="C895" s="2948" t="s">
        <v>636</v>
      </c>
      <c r="D895" s="2948" t="s">
        <v>1636</v>
      </c>
      <c r="E895" s="2948" t="s">
        <v>638</v>
      </c>
      <c r="F895" s="2948" t="s">
        <v>655</v>
      </c>
      <c r="G895" s="2948" t="s">
        <v>640</v>
      </c>
      <c r="H895" s="2948" t="s">
        <v>1645</v>
      </c>
      <c r="I895" s="2948" t="s">
        <v>642</v>
      </c>
      <c r="J895" s="2948" t="s">
        <v>643</v>
      </c>
      <c r="K895" s="2950">
        <v>125.45</v>
      </c>
      <c r="L895" s="2950">
        <v>95.66</v>
      </c>
      <c r="M895" s="2951">
        <v>13674050</v>
      </c>
      <c r="N895" s="2951">
        <v>13674050</v>
      </c>
      <c r="O895" s="2952">
        <v>13674050</v>
      </c>
      <c r="P895" s="2953">
        <v>13674050</v>
      </c>
      <c r="Q895" s="2951">
        <v>13674050</v>
      </c>
      <c r="R895" s="2954">
        <v>44453</v>
      </c>
      <c r="S895" s="2954">
        <v>44457</v>
      </c>
      <c r="T895" s="2954">
        <v>44502</v>
      </c>
      <c r="U895" s="2954">
        <v>44502</v>
      </c>
      <c r="V895" s="2948" t="s">
        <v>1646</v>
      </c>
    </row>
    <row r="896" spans="1:22" s="2944" customFormat="1" ht="46.8" hidden="1">
      <c r="A896" s="2948">
        <v>895</v>
      </c>
      <c r="B896" s="2948" t="s">
        <v>635</v>
      </c>
      <c r="C896" s="2948" t="s">
        <v>636</v>
      </c>
      <c r="D896" s="2948" t="s">
        <v>1636</v>
      </c>
      <c r="E896" s="2948" t="s">
        <v>638</v>
      </c>
      <c r="F896" s="2948" t="s">
        <v>657</v>
      </c>
      <c r="G896" s="2948" t="s">
        <v>640</v>
      </c>
      <c r="H896" s="2948" t="s">
        <v>1637</v>
      </c>
      <c r="I896" s="2948" t="s">
        <v>642</v>
      </c>
      <c r="J896" s="2948" t="s">
        <v>643</v>
      </c>
      <c r="K896" s="2950">
        <v>145.63999999999999</v>
      </c>
      <c r="L896" s="2950">
        <v>111.06</v>
      </c>
      <c r="M896" s="2951">
        <v>15834854</v>
      </c>
      <c r="N896" s="2951">
        <v>15834854</v>
      </c>
      <c r="O896" s="2952">
        <v>15834854</v>
      </c>
      <c r="P896" s="2953">
        <v>15834854</v>
      </c>
      <c r="Q896" s="2951">
        <v>15834854</v>
      </c>
      <c r="R896" s="2954">
        <v>44521</v>
      </c>
      <c r="S896" s="2954">
        <v>44525</v>
      </c>
      <c r="T896" s="2954">
        <v>44644</v>
      </c>
      <c r="U896" s="2954">
        <v>44644</v>
      </c>
      <c r="V896" s="2948" t="s">
        <v>1647</v>
      </c>
    </row>
    <row r="897" spans="1:22" s="2944" customFormat="1" ht="46.8" hidden="1">
      <c r="A897" s="2948">
        <v>896</v>
      </c>
      <c r="B897" s="2948" t="s">
        <v>635</v>
      </c>
      <c r="C897" s="2948" t="s">
        <v>636</v>
      </c>
      <c r="D897" s="2948" t="s">
        <v>1636</v>
      </c>
      <c r="E897" s="2948" t="s">
        <v>638</v>
      </c>
      <c r="F897" s="2948" t="s">
        <v>659</v>
      </c>
      <c r="G897" s="2948" t="s">
        <v>640</v>
      </c>
      <c r="H897" s="2948" t="s">
        <v>1645</v>
      </c>
      <c r="I897" s="2948" t="s">
        <v>642</v>
      </c>
      <c r="J897" s="2948" t="s">
        <v>643</v>
      </c>
      <c r="K897" s="2950">
        <v>125.45</v>
      </c>
      <c r="L897" s="2950">
        <v>95.66</v>
      </c>
      <c r="M897" s="2951">
        <v>13799500</v>
      </c>
      <c r="N897" s="2951">
        <v>13799500</v>
      </c>
      <c r="O897" s="2952">
        <v>13799500</v>
      </c>
      <c r="P897" s="2953">
        <v>13799500</v>
      </c>
      <c r="Q897" s="2951">
        <v>13799500</v>
      </c>
      <c r="R897" s="2954">
        <v>44453</v>
      </c>
      <c r="S897" s="2954">
        <v>44459</v>
      </c>
      <c r="T897" s="2954">
        <v>44524</v>
      </c>
      <c r="U897" s="2954">
        <v>44524</v>
      </c>
      <c r="V897" s="2948" t="s">
        <v>1648</v>
      </c>
    </row>
    <row r="898" spans="1:22" s="2944" customFormat="1" ht="46.8" hidden="1">
      <c r="A898" s="2948">
        <v>897</v>
      </c>
      <c r="B898" s="2948" t="s">
        <v>635</v>
      </c>
      <c r="C898" s="2948" t="s">
        <v>636</v>
      </c>
      <c r="D898" s="2948" t="s">
        <v>1636</v>
      </c>
      <c r="E898" s="2948" t="s">
        <v>638</v>
      </c>
      <c r="F898" s="2948" t="s">
        <v>661</v>
      </c>
      <c r="G898" s="2948" t="s">
        <v>640</v>
      </c>
      <c r="H898" s="2948" t="s">
        <v>1637</v>
      </c>
      <c r="I898" s="2948" t="s">
        <v>642</v>
      </c>
      <c r="J898" s="2948" t="s">
        <v>643</v>
      </c>
      <c r="K898" s="2950">
        <v>145.63999999999999</v>
      </c>
      <c r="L898" s="2950">
        <v>111.06</v>
      </c>
      <c r="M898" s="2951">
        <v>15980494</v>
      </c>
      <c r="N898" s="2951">
        <v>15980494</v>
      </c>
      <c r="O898" s="2952">
        <v>15980494</v>
      </c>
      <c r="P898" s="2953">
        <v>15980494</v>
      </c>
      <c r="Q898" s="2951">
        <v>15980494</v>
      </c>
      <c r="R898" s="2948"/>
      <c r="S898" s="2954">
        <v>44517.460324074098</v>
      </c>
      <c r="T898" s="2954">
        <v>44639</v>
      </c>
      <c r="U898" s="2954">
        <v>44639</v>
      </c>
      <c r="V898" s="2948" t="s">
        <v>1649</v>
      </c>
    </row>
    <row r="899" spans="1:22" s="2944" customFormat="1" ht="46.8" hidden="1">
      <c r="A899" s="2948">
        <v>898</v>
      </c>
      <c r="B899" s="2948" t="s">
        <v>635</v>
      </c>
      <c r="C899" s="2948" t="s">
        <v>636</v>
      </c>
      <c r="D899" s="2948" t="s">
        <v>1636</v>
      </c>
      <c r="E899" s="2948" t="s">
        <v>638</v>
      </c>
      <c r="F899" s="2948" t="s">
        <v>663</v>
      </c>
      <c r="G899" s="2948" t="s">
        <v>640</v>
      </c>
      <c r="H899" s="2948" t="s">
        <v>1645</v>
      </c>
      <c r="I899" s="2948" t="s">
        <v>642</v>
      </c>
      <c r="J899" s="2948" t="s">
        <v>643</v>
      </c>
      <c r="K899" s="2950">
        <v>125.45</v>
      </c>
      <c r="L899" s="2950">
        <v>95.66</v>
      </c>
      <c r="M899" s="2951">
        <v>13799500</v>
      </c>
      <c r="N899" s="2951">
        <v>13799500</v>
      </c>
      <c r="O899" s="2952">
        <v>13799500</v>
      </c>
      <c r="P899" s="2953">
        <v>13799500</v>
      </c>
      <c r="Q899" s="2951">
        <v>13799500</v>
      </c>
      <c r="R899" s="2954">
        <v>44453</v>
      </c>
      <c r="S899" s="2954">
        <v>44459</v>
      </c>
      <c r="T899" s="2954">
        <v>44502</v>
      </c>
      <c r="U899" s="2954">
        <v>44502</v>
      </c>
      <c r="V899" s="2948" t="s">
        <v>1650</v>
      </c>
    </row>
    <row r="900" spans="1:22" s="2944" customFormat="1" ht="46.8" hidden="1">
      <c r="A900" s="2948">
        <v>899</v>
      </c>
      <c r="B900" s="2948" t="s">
        <v>635</v>
      </c>
      <c r="C900" s="2948" t="s">
        <v>636</v>
      </c>
      <c r="D900" s="2948" t="s">
        <v>1636</v>
      </c>
      <c r="E900" s="2948" t="s">
        <v>638</v>
      </c>
      <c r="F900" s="2948" t="s">
        <v>665</v>
      </c>
      <c r="G900" s="2948" t="s">
        <v>640</v>
      </c>
      <c r="H900" s="2948" t="s">
        <v>1637</v>
      </c>
      <c r="I900" s="2948" t="s">
        <v>642</v>
      </c>
      <c r="J900" s="2948" t="s">
        <v>643</v>
      </c>
      <c r="K900" s="2950">
        <v>145.63999999999999</v>
      </c>
      <c r="L900" s="2950">
        <v>111.06</v>
      </c>
      <c r="M900" s="2951">
        <v>15995058</v>
      </c>
      <c r="N900" s="2951">
        <v>15995058</v>
      </c>
      <c r="O900" s="2952">
        <v>15995058</v>
      </c>
      <c r="P900" s="2953">
        <v>15995058</v>
      </c>
      <c r="Q900" s="2951">
        <v>15995058</v>
      </c>
      <c r="R900" s="2948"/>
      <c r="S900" s="2954">
        <v>44489.570381944402</v>
      </c>
      <c r="T900" s="2954">
        <v>44817</v>
      </c>
      <c r="U900" s="2954">
        <v>44817</v>
      </c>
      <c r="V900" s="2948" t="s">
        <v>1651</v>
      </c>
    </row>
    <row r="901" spans="1:22" s="2944" customFormat="1" ht="46.8" hidden="1">
      <c r="A901" s="2948">
        <v>900</v>
      </c>
      <c r="B901" s="2948" t="s">
        <v>635</v>
      </c>
      <c r="C901" s="2948" t="s">
        <v>636</v>
      </c>
      <c r="D901" s="2948" t="s">
        <v>1636</v>
      </c>
      <c r="E901" s="2948" t="s">
        <v>638</v>
      </c>
      <c r="F901" s="2948" t="s">
        <v>667</v>
      </c>
      <c r="G901" s="2948" t="s">
        <v>640</v>
      </c>
      <c r="H901" s="2948" t="s">
        <v>1645</v>
      </c>
      <c r="I901" s="2948" t="s">
        <v>642</v>
      </c>
      <c r="J901" s="2948" t="s">
        <v>643</v>
      </c>
      <c r="K901" s="2950">
        <v>125.45</v>
      </c>
      <c r="L901" s="2950">
        <v>95.66</v>
      </c>
      <c r="M901" s="2951">
        <v>13799500</v>
      </c>
      <c r="N901" s="2951">
        <v>13799500</v>
      </c>
      <c r="O901" s="2952">
        <v>13799500</v>
      </c>
      <c r="P901" s="2953">
        <v>13799500</v>
      </c>
      <c r="Q901" s="2951">
        <v>13799500</v>
      </c>
      <c r="R901" s="2954">
        <v>44453</v>
      </c>
      <c r="S901" s="2954">
        <v>44459</v>
      </c>
      <c r="T901" s="2954">
        <v>44658</v>
      </c>
      <c r="U901" s="2954">
        <v>44658</v>
      </c>
      <c r="V901" s="2948" t="s">
        <v>1652</v>
      </c>
    </row>
    <row r="902" spans="1:22" s="2944" customFormat="1" ht="46.8" hidden="1">
      <c r="A902" s="2948">
        <v>901</v>
      </c>
      <c r="B902" s="2948" t="s">
        <v>635</v>
      </c>
      <c r="C902" s="2948" t="s">
        <v>636</v>
      </c>
      <c r="D902" s="2948" t="s">
        <v>1636</v>
      </c>
      <c r="E902" s="2948" t="s">
        <v>638</v>
      </c>
      <c r="F902" s="2948" t="s">
        <v>669</v>
      </c>
      <c r="G902" s="2948" t="s">
        <v>640</v>
      </c>
      <c r="H902" s="2948" t="s">
        <v>1637</v>
      </c>
      <c r="I902" s="2948" t="s">
        <v>642</v>
      </c>
      <c r="J902" s="2948" t="s">
        <v>643</v>
      </c>
      <c r="K902" s="2950">
        <v>145.63999999999999</v>
      </c>
      <c r="L902" s="2950">
        <v>111.06</v>
      </c>
      <c r="M902" s="2951">
        <v>16009622</v>
      </c>
      <c r="N902" s="2951">
        <v>16009622</v>
      </c>
      <c r="O902" s="2952">
        <v>16009622</v>
      </c>
      <c r="P902" s="2953">
        <v>16009622</v>
      </c>
      <c r="Q902" s="2951">
        <v>16009622</v>
      </c>
      <c r="R902" s="2954">
        <v>44495.5847685185</v>
      </c>
      <c r="S902" s="2954">
        <v>44496</v>
      </c>
      <c r="T902" s="2954">
        <v>44509</v>
      </c>
      <c r="U902" s="2954">
        <v>44509</v>
      </c>
      <c r="V902" s="2948" t="s">
        <v>1653</v>
      </c>
    </row>
    <row r="903" spans="1:22" s="2944" customFormat="1" ht="46.8" hidden="1">
      <c r="A903" s="2948">
        <v>902</v>
      </c>
      <c r="B903" s="2948" t="s">
        <v>635</v>
      </c>
      <c r="C903" s="2948" t="s">
        <v>636</v>
      </c>
      <c r="D903" s="2948" t="s">
        <v>1636</v>
      </c>
      <c r="E903" s="2948" t="s">
        <v>638</v>
      </c>
      <c r="F903" s="2948" t="s">
        <v>671</v>
      </c>
      <c r="G903" s="2948" t="s">
        <v>640</v>
      </c>
      <c r="H903" s="2948" t="s">
        <v>1645</v>
      </c>
      <c r="I903" s="2948" t="s">
        <v>642</v>
      </c>
      <c r="J903" s="2948" t="s">
        <v>643</v>
      </c>
      <c r="K903" s="2950">
        <v>125.45</v>
      </c>
      <c r="L903" s="2950">
        <v>95.66</v>
      </c>
      <c r="M903" s="2951">
        <v>13799500</v>
      </c>
      <c r="N903" s="2951">
        <v>13799500</v>
      </c>
      <c r="O903" s="2952">
        <v>13799500</v>
      </c>
      <c r="P903" s="2953">
        <v>13799500</v>
      </c>
      <c r="Q903" s="2951">
        <v>13799500</v>
      </c>
      <c r="R903" s="2954">
        <v>44454</v>
      </c>
      <c r="S903" s="2954">
        <v>44462</v>
      </c>
      <c r="T903" s="2954">
        <v>44726</v>
      </c>
      <c r="U903" s="2954">
        <v>44726</v>
      </c>
      <c r="V903" s="2948" t="s">
        <v>1654</v>
      </c>
    </row>
    <row r="904" spans="1:22" s="2944" customFormat="1" ht="46.8" hidden="1">
      <c r="A904" s="2948">
        <v>903</v>
      </c>
      <c r="B904" s="2948" t="s">
        <v>635</v>
      </c>
      <c r="C904" s="2948" t="s">
        <v>636</v>
      </c>
      <c r="D904" s="2948" t="s">
        <v>1636</v>
      </c>
      <c r="E904" s="2948" t="s">
        <v>638</v>
      </c>
      <c r="F904" s="2948" t="s">
        <v>673</v>
      </c>
      <c r="G904" s="2948" t="s">
        <v>640</v>
      </c>
      <c r="H904" s="2948" t="s">
        <v>1637</v>
      </c>
      <c r="I904" s="2948" t="s">
        <v>642</v>
      </c>
      <c r="J904" s="2948" t="s">
        <v>643</v>
      </c>
      <c r="K904" s="2950">
        <v>145.63999999999999</v>
      </c>
      <c r="L904" s="2950">
        <v>111.06</v>
      </c>
      <c r="M904" s="2951">
        <v>16020400</v>
      </c>
      <c r="N904" s="2951">
        <v>16020400</v>
      </c>
      <c r="O904" s="2952">
        <v>16020400</v>
      </c>
      <c r="P904" s="2953">
        <v>16020400</v>
      </c>
      <c r="Q904" s="2951">
        <v>16020400</v>
      </c>
      <c r="R904" s="2954">
        <v>44510</v>
      </c>
      <c r="S904" s="2954">
        <v>44545</v>
      </c>
      <c r="T904" s="2954">
        <v>44753</v>
      </c>
      <c r="U904" s="2954">
        <v>44753</v>
      </c>
      <c r="V904" s="2948" t="s">
        <v>1655</v>
      </c>
    </row>
    <row r="905" spans="1:22" s="2944" customFormat="1" ht="46.8" hidden="1">
      <c r="A905" s="2948">
        <v>904</v>
      </c>
      <c r="B905" s="2948" t="s">
        <v>635</v>
      </c>
      <c r="C905" s="2948" t="s">
        <v>636</v>
      </c>
      <c r="D905" s="2948" t="s">
        <v>1636</v>
      </c>
      <c r="E905" s="2948" t="s">
        <v>638</v>
      </c>
      <c r="F905" s="2948" t="s">
        <v>675</v>
      </c>
      <c r="G905" s="2948" t="s">
        <v>640</v>
      </c>
      <c r="H905" s="2948" t="s">
        <v>1645</v>
      </c>
      <c r="I905" s="2948" t="s">
        <v>642</v>
      </c>
      <c r="J905" s="2948" t="s">
        <v>643</v>
      </c>
      <c r="K905" s="2950">
        <v>125.45</v>
      </c>
      <c r="L905" s="2950">
        <v>95.66</v>
      </c>
      <c r="M905" s="2951">
        <v>13799500</v>
      </c>
      <c r="N905" s="2951">
        <v>13799500</v>
      </c>
      <c r="O905" s="2952">
        <v>13799500</v>
      </c>
      <c r="P905" s="2953">
        <v>13799500</v>
      </c>
      <c r="Q905" s="2951">
        <v>13799500</v>
      </c>
      <c r="R905" s="2954">
        <v>44454</v>
      </c>
      <c r="S905" s="2954">
        <v>44458</v>
      </c>
      <c r="T905" s="2954">
        <v>44504</v>
      </c>
      <c r="U905" s="2954">
        <v>44504</v>
      </c>
      <c r="V905" s="2948" t="s">
        <v>1656</v>
      </c>
    </row>
    <row r="906" spans="1:22" s="2944" customFormat="1" ht="46.8" hidden="1">
      <c r="A906" s="2948">
        <v>905</v>
      </c>
      <c r="B906" s="2948" t="s">
        <v>635</v>
      </c>
      <c r="C906" s="2948" t="s">
        <v>636</v>
      </c>
      <c r="D906" s="2948" t="s">
        <v>1636</v>
      </c>
      <c r="E906" s="2948" t="s">
        <v>638</v>
      </c>
      <c r="F906" s="2948" t="s">
        <v>677</v>
      </c>
      <c r="G906" s="2948" t="s">
        <v>640</v>
      </c>
      <c r="H906" s="2948" t="s">
        <v>1637</v>
      </c>
      <c r="I906" s="2948" t="s">
        <v>642</v>
      </c>
      <c r="J906" s="2948" t="s">
        <v>643</v>
      </c>
      <c r="K906" s="2950">
        <v>145.63999999999999</v>
      </c>
      <c r="L906" s="2950">
        <v>111.06</v>
      </c>
      <c r="M906" s="2951">
        <v>16020400</v>
      </c>
      <c r="N906" s="2951">
        <v>16020400</v>
      </c>
      <c r="O906" s="2952">
        <v>16020400</v>
      </c>
      <c r="P906" s="2953">
        <v>16020400</v>
      </c>
      <c r="Q906" s="2951">
        <v>16020400</v>
      </c>
      <c r="R906" s="2954">
        <v>44498</v>
      </c>
      <c r="S906" s="2954">
        <v>44500</v>
      </c>
      <c r="T906" s="2954">
        <v>44642</v>
      </c>
      <c r="U906" s="2954">
        <v>44642</v>
      </c>
      <c r="V906" s="2948" t="s">
        <v>1657</v>
      </c>
    </row>
    <row r="907" spans="1:22" s="2944" customFormat="1" ht="46.8" hidden="1">
      <c r="A907" s="2948">
        <v>906</v>
      </c>
      <c r="B907" s="2948" t="s">
        <v>635</v>
      </c>
      <c r="C907" s="2948" t="s">
        <v>636</v>
      </c>
      <c r="D907" s="2948" t="s">
        <v>1636</v>
      </c>
      <c r="E907" s="2948" t="s">
        <v>638</v>
      </c>
      <c r="F907" s="2948" t="s">
        <v>679</v>
      </c>
      <c r="G907" s="2948" t="s">
        <v>640</v>
      </c>
      <c r="H907" s="2948" t="s">
        <v>1645</v>
      </c>
      <c r="I907" s="2948" t="s">
        <v>642</v>
      </c>
      <c r="J907" s="2948" t="s">
        <v>643</v>
      </c>
      <c r="K907" s="2950">
        <v>125.45</v>
      </c>
      <c r="L907" s="2950">
        <v>95.66</v>
      </c>
      <c r="M907" s="2951">
        <v>13799500</v>
      </c>
      <c r="N907" s="2951">
        <v>13799500</v>
      </c>
      <c r="O907" s="2952">
        <v>13799500</v>
      </c>
      <c r="P907" s="2953">
        <v>13799500</v>
      </c>
      <c r="Q907" s="2951">
        <v>13799500</v>
      </c>
      <c r="R907" s="2954">
        <v>44454</v>
      </c>
      <c r="S907" s="2954">
        <v>44464</v>
      </c>
      <c r="T907" s="2954">
        <v>44510</v>
      </c>
      <c r="U907" s="2954">
        <v>44510</v>
      </c>
      <c r="V907" s="2948" t="s">
        <v>1658</v>
      </c>
    </row>
    <row r="908" spans="1:22" s="2944" customFormat="1" ht="46.8" hidden="1">
      <c r="A908" s="2948">
        <v>907</v>
      </c>
      <c r="B908" s="2948" t="s">
        <v>635</v>
      </c>
      <c r="C908" s="2948" t="s">
        <v>636</v>
      </c>
      <c r="D908" s="2948" t="s">
        <v>1636</v>
      </c>
      <c r="E908" s="2948" t="s">
        <v>638</v>
      </c>
      <c r="F908" s="2948" t="s">
        <v>681</v>
      </c>
      <c r="G908" s="2948" t="s">
        <v>640</v>
      </c>
      <c r="H908" s="2948" t="s">
        <v>1637</v>
      </c>
      <c r="I908" s="2948" t="s">
        <v>642</v>
      </c>
      <c r="J908" s="2948" t="s">
        <v>643</v>
      </c>
      <c r="K908" s="2950">
        <v>145.63999999999999</v>
      </c>
      <c r="L908" s="2950">
        <v>111.06</v>
      </c>
      <c r="M908" s="2951">
        <v>16020400</v>
      </c>
      <c r="N908" s="2951">
        <v>16020400</v>
      </c>
      <c r="O908" s="2952">
        <v>16020400</v>
      </c>
      <c r="P908" s="2953">
        <v>16020400</v>
      </c>
      <c r="Q908" s="2951">
        <v>16020400</v>
      </c>
      <c r="R908" s="2954">
        <v>44483</v>
      </c>
      <c r="S908" s="2954">
        <v>44488</v>
      </c>
      <c r="T908" s="2954">
        <v>44506</v>
      </c>
      <c r="U908" s="2954">
        <v>44506</v>
      </c>
      <c r="V908" s="2948" t="s">
        <v>1659</v>
      </c>
    </row>
    <row r="909" spans="1:22" s="2944" customFormat="1" ht="46.8" hidden="1">
      <c r="A909" s="2948">
        <v>908</v>
      </c>
      <c r="B909" s="2948" t="s">
        <v>635</v>
      </c>
      <c r="C909" s="2948" t="s">
        <v>636</v>
      </c>
      <c r="D909" s="2948" t="s">
        <v>1636</v>
      </c>
      <c r="E909" s="2948" t="s">
        <v>638</v>
      </c>
      <c r="F909" s="2948" t="s">
        <v>683</v>
      </c>
      <c r="G909" s="2948" t="s">
        <v>640</v>
      </c>
      <c r="H909" s="2948" t="s">
        <v>1645</v>
      </c>
      <c r="I909" s="2948" t="s">
        <v>642</v>
      </c>
      <c r="J909" s="2948" t="s">
        <v>643</v>
      </c>
      <c r="K909" s="2950">
        <v>125.45</v>
      </c>
      <c r="L909" s="2950">
        <v>95.66</v>
      </c>
      <c r="M909" s="2951">
        <v>13799500</v>
      </c>
      <c r="N909" s="2951">
        <v>13799500</v>
      </c>
      <c r="O909" s="2952">
        <v>13799500</v>
      </c>
      <c r="P909" s="2953">
        <v>13799500</v>
      </c>
      <c r="Q909" s="2951">
        <v>13799500</v>
      </c>
      <c r="R909" s="2954">
        <v>44455</v>
      </c>
      <c r="S909" s="2954">
        <v>44460</v>
      </c>
      <c r="T909" s="2954">
        <v>44496</v>
      </c>
      <c r="U909" s="2954">
        <v>44496</v>
      </c>
      <c r="V909" s="2948" t="s">
        <v>1660</v>
      </c>
    </row>
    <row r="910" spans="1:22" s="2944" customFormat="1" ht="46.8" hidden="1">
      <c r="A910" s="2948">
        <v>909</v>
      </c>
      <c r="B910" s="2948" t="s">
        <v>635</v>
      </c>
      <c r="C910" s="2948" t="s">
        <v>636</v>
      </c>
      <c r="D910" s="2948" t="s">
        <v>1636</v>
      </c>
      <c r="E910" s="2948" t="s">
        <v>638</v>
      </c>
      <c r="F910" s="2948" t="s">
        <v>685</v>
      </c>
      <c r="G910" s="2948" t="s">
        <v>640</v>
      </c>
      <c r="H910" s="2948" t="s">
        <v>1637</v>
      </c>
      <c r="I910" s="2948" t="s">
        <v>642</v>
      </c>
      <c r="J910" s="2948" t="s">
        <v>643</v>
      </c>
      <c r="K910" s="2950">
        <v>145.63999999999999</v>
      </c>
      <c r="L910" s="2950">
        <v>111.06</v>
      </c>
      <c r="M910" s="2951">
        <v>16020400</v>
      </c>
      <c r="N910" s="2951">
        <v>16020400</v>
      </c>
      <c r="O910" s="2952">
        <v>16020400</v>
      </c>
      <c r="P910" s="2953">
        <v>16020400</v>
      </c>
      <c r="Q910" s="2951">
        <v>16020400</v>
      </c>
      <c r="R910" s="2954">
        <v>44490.394606481503</v>
      </c>
      <c r="S910" s="2954">
        <v>44492</v>
      </c>
      <c r="T910" s="2954">
        <v>44506</v>
      </c>
      <c r="U910" s="2954">
        <v>44506</v>
      </c>
      <c r="V910" s="2948" t="s">
        <v>1661</v>
      </c>
    </row>
    <row r="911" spans="1:22" s="2944" customFormat="1" ht="46.8" hidden="1">
      <c r="A911" s="2948">
        <v>910</v>
      </c>
      <c r="B911" s="2948" t="s">
        <v>635</v>
      </c>
      <c r="C911" s="2948" t="s">
        <v>636</v>
      </c>
      <c r="D911" s="2948" t="s">
        <v>1636</v>
      </c>
      <c r="E911" s="2948" t="s">
        <v>638</v>
      </c>
      <c r="F911" s="2948" t="s">
        <v>687</v>
      </c>
      <c r="G911" s="2948" t="s">
        <v>640</v>
      </c>
      <c r="H911" s="2948" t="s">
        <v>1645</v>
      </c>
      <c r="I911" s="2948" t="s">
        <v>642</v>
      </c>
      <c r="J911" s="2948" t="s">
        <v>643</v>
      </c>
      <c r="K911" s="2950">
        <v>125.45</v>
      </c>
      <c r="L911" s="2950">
        <v>95.66</v>
      </c>
      <c r="M911" s="2951">
        <v>13799500</v>
      </c>
      <c r="N911" s="2951">
        <v>13799500</v>
      </c>
      <c r="O911" s="2952">
        <v>13799500</v>
      </c>
      <c r="P911" s="2953">
        <v>13799500</v>
      </c>
      <c r="Q911" s="2951">
        <v>13799500</v>
      </c>
      <c r="R911" s="2954">
        <v>44454</v>
      </c>
      <c r="S911" s="2954">
        <v>44457</v>
      </c>
      <c r="T911" s="2954">
        <v>44509</v>
      </c>
      <c r="U911" s="2954">
        <v>44509</v>
      </c>
      <c r="V911" s="2948" t="s">
        <v>1662</v>
      </c>
    </row>
    <row r="912" spans="1:22" s="2944" customFormat="1" ht="46.8" hidden="1">
      <c r="A912" s="2948">
        <v>911</v>
      </c>
      <c r="B912" s="2948" t="s">
        <v>635</v>
      </c>
      <c r="C912" s="2948" t="s">
        <v>636</v>
      </c>
      <c r="D912" s="2948" t="s">
        <v>1636</v>
      </c>
      <c r="E912" s="2948" t="s">
        <v>638</v>
      </c>
      <c r="F912" s="2948" t="s">
        <v>689</v>
      </c>
      <c r="G912" s="2948" t="s">
        <v>640</v>
      </c>
      <c r="H912" s="2948" t="s">
        <v>1637</v>
      </c>
      <c r="I912" s="2948" t="s">
        <v>642</v>
      </c>
      <c r="J912" s="2948" t="s">
        <v>643</v>
      </c>
      <c r="K912" s="2950">
        <v>145.63999999999999</v>
      </c>
      <c r="L912" s="2950">
        <v>111.06</v>
      </c>
      <c r="M912" s="2951">
        <v>16020400</v>
      </c>
      <c r="N912" s="2951">
        <v>16020400</v>
      </c>
      <c r="O912" s="2952">
        <v>16020400</v>
      </c>
      <c r="P912" s="2953">
        <v>16020400</v>
      </c>
      <c r="Q912" s="2951">
        <v>16020400</v>
      </c>
      <c r="R912" s="2948"/>
      <c r="S912" s="2954">
        <v>44483.4458564815</v>
      </c>
      <c r="T912" s="2954">
        <v>44503</v>
      </c>
      <c r="U912" s="2954">
        <v>44503</v>
      </c>
      <c r="V912" s="2948" t="s">
        <v>1663</v>
      </c>
    </row>
    <row r="913" spans="1:22" s="2944" customFormat="1" ht="46.8" hidden="1">
      <c r="A913" s="2948">
        <v>912</v>
      </c>
      <c r="B913" s="2948" t="s">
        <v>635</v>
      </c>
      <c r="C913" s="2948" t="s">
        <v>636</v>
      </c>
      <c r="D913" s="2948" t="s">
        <v>1636</v>
      </c>
      <c r="E913" s="2948" t="s">
        <v>638</v>
      </c>
      <c r="F913" s="2948" t="s">
        <v>691</v>
      </c>
      <c r="G913" s="2948" t="s">
        <v>640</v>
      </c>
      <c r="H913" s="2948" t="s">
        <v>1645</v>
      </c>
      <c r="I913" s="2948" t="s">
        <v>642</v>
      </c>
      <c r="J913" s="2948" t="s">
        <v>643</v>
      </c>
      <c r="K913" s="2950">
        <v>125.45</v>
      </c>
      <c r="L913" s="2950">
        <v>95.66</v>
      </c>
      <c r="M913" s="2951">
        <v>13799500</v>
      </c>
      <c r="N913" s="2951">
        <v>13799500</v>
      </c>
      <c r="O913" s="2952">
        <v>13799500</v>
      </c>
      <c r="P913" s="2953">
        <v>13799500</v>
      </c>
      <c r="Q913" s="2951">
        <v>13799500</v>
      </c>
      <c r="R913" s="2954">
        <v>44453</v>
      </c>
      <c r="S913" s="2954">
        <v>44459</v>
      </c>
      <c r="T913" s="2954">
        <v>44502</v>
      </c>
      <c r="U913" s="2954">
        <v>44502</v>
      </c>
      <c r="V913" s="2948" t="s">
        <v>1664</v>
      </c>
    </row>
    <row r="914" spans="1:22" s="2944" customFormat="1" ht="46.8" hidden="1">
      <c r="A914" s="2948">
        <v>913</v>
      </c>
      <c r="B914" s="2948" t="s">
        <v>635</v>
      </c>
      <c r="C914" s="2948" t="s">
        <v>636</v>
      </c>
      <c r="D914" s="2948" t="s">
        <v>1636</v>
      </c>
      <c r="E914" s="2948" t="s">
        <v>638</v>
      </c>
      <c r="F914" s="2948" t="s">
        <v>693</v>
      </c>
      <c r="G914" s="2948" t="s">
        <v>640</v>
      </c>
      <c r="H914" s="2948" t="s">
        <v>1637</v>
      </c>
      <c r="I914" s="2948" t="s">
        <v>642</v>
      </c>
      <c r="J914" s="2948" t="s">
        <v>643</v>
      </c>
      <c r="K914" s="2950">
        <v>145.63999999999999</v>
      </c>
      <c r="L914" s="2950">
        <v>111.06</v>
      </c>
      <c r="M914" s="2951">
        <v>16020400</v>
      </c>
      <c r="N914" s="2951">
        <v>16020400</v>
      </c>
      <c r="O914" s="2952">
        <v>16020400</v>
      </c>
      <c r="P914" s="2953">
        <v>16020400</v>
      </c>
      <c r="Q914" s="2951">
        <v>16020400</v>
      </c>
      <c r="R914" s="2954">
        <v>44508</v>
      </c>
      <c r="S914" s="2954">
        <v>44545</v>
      </c>
      <c r="T914" s="2954">
        <v>44641</v>
      </c>
      <c r="U914" s="2954">
        <v>44641</v>
      </c>
      <c r="V914" s="2948" t="s">
        <v>1665</v>
      </c>
    </row>
    <row r="915" spans="1:22" s="2944" customFormat="1" ht="46.8" hidden="1">
      <c r="A915" s="2948">
        <v>914</v>
      </c>
      <c r="B915" s="2948" t="s">
        <v>635</v>
      </c>
      <c r="C915" s="2948" t="s">
        <v>636</v>
      </c>
      <c r="D915" s="2948" t="s">
        <v>1636</v>
      </c>
      <c r="E915" s="2948" t="s">
        <v>638</v>
      </c>
      <c r="F915" s="2948" t="s">
        <v>694</v>
      </c>
      <c r="G915" s="2948" t="s">
        <v>640</v>
      </c>
      <c r="H915" s="2948" t="s">
        <v>1645</v>
      </c>
      <c r="I915" s="2948" t="s">
        <v>642</v>
      </c>
      <c r="J915" s="2948" t="s">
        <v>643</v>
      </c>
      <c r="K915" s="2950">
        <v>125.45</v>
      </c>
      <c r="L915" s="2950">
        <v>95.66</v>
      </c>
      <c r="M915" s="2951">
        <v>13799500</v>
      </c>
      <c r="N915" s="2951">
        <v>13799500</v>
      </c>
      <c r="O915" s="2952">
        <v>13799500</v>
      </c>
      <c r="P915" s="2953">
        <v>13799500</v>
      </c>
      <c r="Q915" s="2951">
        <v>13799500</v>
      </c>
      <c r="R915" s="2954">
        <v>44453</v>
      </c>
      <c r="S915" s="2954">
        <v>44459</v>
      </c>
      <c r="T915" s="2954">
        <v>44505</v>
      </c>
      <c r="U915" s="2954">
        <v>44505</v>
      </c>
      <c r="V915" s="2948" t="s">
        <v>1666</v>
      </c>
    </row>
    <row r="916" spans="1:22" s="2944" customFormat="1" ht="46.8" hidden="1">
      <c r="A916" s="2948">
        <v>915</v>
      </c>
      <c r="B916" s="2948" t="s">
        <v>635</v>
      </c>
      <c r="C916" s="2948" t="s">
        <v>636</v>
      </c>
      <c r="D916" s="2948" t="s">
        <v>1636</v>
      </c>
      <c r="E916" s="2948" t="s">
        <v>638</v>
      </c>
      <c r="F916" s="2948" t="s">
        <v>696</v>
      </c>
      <c r="G916" s="2948" t="s">
        <v>640</v>
      </c>
      <c r="H916" s="2948" t="s">
        <v>1637</v>
      </c>
      <c r="I916" s="2948" t="s">
        <v>642</v>
      </c>
      <c r="J916" s="2948" t="s">
        <v>643</v>
      </c>
      <c r="K916" s="2950">
        <v>145.63999999999999</v>
      </c>
      <c r="L916" s="2950">
        <v>111.06</v>
      </c>
      <c r="M916" s="2951">
        <v>16020400</v>
      </c>
      <c r="N916" s="2951">
        <v>16020400</v>
      </c>
      <c r="O916" s="2952">
        <v>16020400</v>
      </c>
      <c r="P916" s="2953">
        <v>16020400</v>
      </c>
      <c r="Q916" s="2951">
        <v>16020400</v>
      </c>
      <c r="R916" s="2954">
        <v>44498</v>
      </c>
      <c r="S916" s="2954">
        <v>44500</v>
      </c>
      <c r="T916" s="2954">
        <v>44737</v>
      </c>
      <c r="U916" s="2954">
        <v>44737</v>
      </c>
      <c r="V916" s="2948" t="s">
        <v>1667</v>
      </c>
    </row>
    <row r="917" spans="1:22" s="2944" customFormat="1" ht="46.8" hidden="1">
      <c r="A917" s="2948">
        <v>916</v>
      </c>
      <c r="B917" s="2948" t="s">
        <v>635</v>
      </c>
      <c r="C917" s="2948" t="s">
        <v>636</v>
      </c>
      <c r="D917" s="2948" t="s">
        <v>1636</v>
      </c>
      <c r="E917" s="2948" t="s">
        <v>638</v>
      </c>
      <c r="F917" s="2948" t="s">
        <v>698</v>
      </c>
      <c r="G917" s="2948" t="s">
        <v>640</v>
      </c>
      <c r="H917" s="2948" t="s">
        <v>1645</v>
      </c>
      <c r="I917" s="2948" t="s">
        <v>642</v>
      </c>
      <c r="J917" s="2948" t="s">
        <v>643</v>
      </c>
      <c r="K917" s="2950">
        <v>125.45</v>
      </c>
      <c r="L917" s="2950">
        <v>95.66</v>
      </c>
      <c r="M917" s="2951">
        <v>13799500</v>
      </c>
      <c r="N917" s="2951">
        <v>13799500</v>
      </c>
      <c r="O917" s="2952">
        <v>13799500</v>
      </c>
      <c r="P917" s="2953">
        <v>13799500</v>
      </c>
      <c r="Q917" s="2951">
        <v>13799500</v>
      </c>
      <c r="R917" s="2954">
        <v>44528</v>
      </c>
      <c r="S917" s="2954">
        <v>44530</v>
      </c>
      <c r="T917" s="2954">
        <v>44532</v>
      </c>
      <c r="U917" s="2954">
        <v>44532</v>
      </c>
      <c r="V917" s="2948" t="s">
        <v>1668</v>
      </c>
    </row>
    <row r="918" spans="1:22" s="2944" customFormat="1" ht="46.8" hidden="1">
      <c r="A918" s="2948">
        <v>917</v>
      </c>
      <c r="B918" s="2948" t="s">
        <v>635</v>
      </c>
      <c r="C918" s="2948" t="s">
        <v>636</v>
      </c>
      <c r="D918" s="2948" t="s">
        <v>1636</v>
      </c>
      <c r="E918" s="2948" t="s">
        <v>638</v>
      </c>
      <c r="F918" s="2948" t="s">
        <v>760</v>
      </c>
      <c r="G918" s="2948" t="s">
        <v>640</v>
      </c>
      <c r="H918" s="2948" t="s">
        <v>1637</v>
      </c>
      <c r="I918" s="2948" t="s">
        <v>642</v>
      </c>
      <c r="J918" s="2948" t="s">
        <v>643</v>
      </c>
      <c r="K918" s="2950">
        <v>145.63999999999999</v>
      </c>
      <c r="L918" s="2950">
        <v>111.06</v>
      </c>
      <c r="M918" s="2951">
        <v>16020400</v>
      </c>
      <c r="N918" s="2951">
        <v>16020400</v>
      </c>
      <c r="O918" s="2952">
        <v>15219380</v>
      </c>
      <c r="P918" s="2953">
        <v>15219380</v>
      </c>
      <c r="Q918" s="2951">
        <v>15219380</v>
      </c>
      <c r="R918" s="2954">
        <v>44824</v>
      </c>
      <c r="S918" s="2954">
        <v>44833</v>
      </c>
      <c r="T918" s="2954">
        <v>44834</v>
      </c>
      <c r="U918" s="2954">
        <v>44834</v>
      </c>
      <c r="V918" s="2948" t="s">
        <v>1669</v>
      </c>
    </row>
    <row r="919" spans="1:22" s="2944" customFormat="1" ht="46.8" hidden="1">
      <c r="A919" s="2948">
        <v>918</v>
      </c>
      <c r="B919" s="2948" t="s">
        <v>635</v>
      </c>
      <c r="C919" s="2948" t="s">
        <v>636</v>
      </c>
      <c r="D919" s="2948" t="s">
        <v>1636</v>
      </c>
      <c r="E919" s="2948" t="s">
        <v>638</v>
      </c>
      <c r="F919" s="2948" t="s">
        <v>762</v>
      </c>
      <c r="G919" s="2948" t="s">
        <v>640</v>
      </c>
      <c r="H919" s="2948" t="s">
        <v>1645</v>
      </c>
      <c r="I919" s="2948" t="s">
        <v>642</v>
      </c>
      <c r="J919" s="2948" t="s">
        <v>643</v>
      </c>
      <c r="K919" s="2950">
        <v>125.45</v>
      </c>
      <c r="L919" s="2950">
        <v>95.66</v>
      </c>
      <c r="M919" s="2951">
        <v>13799500</v>
      </c>
      <c r="N919" s="2951">
        <v>13799500</v>
      </c>
      <c r="O919" s="2952">
        <v>13661505</v>
      </c>
      <c r="P919" s="2953">
        <v>13661505</v>
      </c>
      <c r="Q919" s="2951">
        <v>13661505</v>
      </c>
      <c r="R919" s="2954">
        <v>44452</v>
      </c>
      <c r="S919" s="2954">
        <v>44469</v>
      </c>
      <c r="T919" s="2954">
        <v>44641</v>
      </c>
      <c r="U919" s="2954">
        <v>44641</v>
      </c>
      <c r="V919" s="2948" t="s">
        <v>1670</v>
      </c>
    </row>
    <row r="920" spans="1:22" s="2944" customFormat="1" ht="46.8" hidden="1">
      <c r="A920" s="2948">
        <v>919</v>
      </c>
      <c r="B920" s="2948" t="s">
        <v>635</v>
      </c>
      <c r="C920" s="2948" t="s">
        <v>636</v>
      </c>
      <c r="D920" s="2948" t="s">
        <v>1636</v>
      </c>
      <c r="E920" s="2948" t="s">
        <v>638</v>
      </c>
      <c r="F920" s="2948" t="s">
        <v>764</v>
      </c>
      <c r="G920" s="2948" t="s">
        <v>640</v>
      </c>
      <c r="H920" s="2948" t="s">
        <v>1637</v>
      </c>
      <c r="I920" s="2948" t="s">
        <v>642</v>
      </c>
      <c r="J920" s="2948" t="s">
        <v>643</v>
      </c>
      <c r="K920" s="2950">
        <v>145.63999999999999</v>
      </c>
      <c r="L920" s="2950">
        <v>111.06</v>
      </c>
      <c r="M920" s="2951">
        <v>15947580</v>
      </c>
      <c r="N920" s="2951">
        <v>15947580</v>
      </c>
      <c r="O920" s="2952">
        <v>15947580</v>
      </c>
      <c r="P920" s="2953">
        <v>15947580</v>
      </c>
      <c r="Q920" s="2951">
        <v>15947580</v>
      </c>
      <c r="R920" s="2954">
        <v>44516</v>
      </c>
      <c r="S920" s="2954">
        <v>44560</v>
      </c>
      <c r="T920" s="2954">
        <v>44644</v>
      </c>
      <c r="U920" s="2954">
        <v>44644</v>
      </c>
      <c r="V920" s="2948" t="s">
        <v>1671</v>
      </c>
    </row>
    <row r="921" spans="1:22" s="2944" customFormat="1" ht="46.8" hidden="1">
      <c r="A921" s="2948">
        <v>920</v>
      </c>
      <c r="B921" s="2948" t="s">
        <v>635</v>
      </c>
      <c r="C921" s="2948" t="s">
        <v>636</v>
      </c>
      <c r="D921" s="2948" t="s">
        <v>1636</v>
      </c>
      <c r="E921" s="2948" t="s">
        <v>638</v>
      </c>
      <c r="F921" s="2948" t="s">
        <v>766</v>
      </c>
      <c r="G921" s="2948" t="s">
        <v>640</v>
      </c>
      <c r="H921" s="2948" t="s">
        <v>1645</v>
      </c>
      <c r="I921" s="2948" t="s">
        <v>642</v>
      </c>
      <c r="J921" s="2948" t="s">
        <v>643</v>
      </c>
      <c r="K921" s="2950">
        <v>125.45</v>
      </c>
      <c r="L921" s="2950">
        <v>95.66</v>
      </c>
      <c r="M921" s="2951">
        <v>13736775</v>
      </c>
      <c r="N921" s="2951">
        <v>13736775</v>
      </c>
      <c r="O921" s="2952">
        <v>13736775</v>
      </c>
      <c r="P921" s="2953">
        <v>13736775</v>
      </c>
      <c r="Q921" s="2951">
        <v>13736775</v>
      </c>
      <c r="R921" s="2954">
        <v>44450</v>
      </c>
      <c r="S921" s="2954">
        <v>44463</v>
      </c>
      <c r="T921" s="2954">
        <v>44640</v>
      </c>
      <c r="U921" s="2954">
        <v>44640</v>
      </c>
      <c r="V921" s="2948" t="s">
        <v>1672</v>
      </c>
    </row>
    <row r="922" spans="1:22" s="2944" customFormat="1" ht="46.8" hidden="1">
      <c r="A922" s="2948">
        <v>921</v>
      </c>
      <c r="B922" s="2948" t="s">
        <v>635</v>
      </c>
      <c r="C922" s="2948" t="s">
        <v>636</v>
      </c>
      <c r="D922" s="2948" t="s">
        <v>1636</v>
      </c>
      <c r="E922" s="2948" t="s">
        <v>700</v>
      </c>
      <c r="F922" s="2948" t="s">
        <v>639</v>
      </c>
      <c r="G922" s="2948" t="s">
        <v>640</v>
      </c>
      <c r="H922" s="2948" t="s">
        <v>1639</v>
      </c>
      <c r="I922" s="2948" t="s">
        <v>642</v>
      </c>
      <c r="J922" s="2948" t="s">
        <v>643</v>
      </c>
      <c r="K922" s="2950">
        <v>125.34</v>
      </c>
      <c r="L922" s="2950">
        <v>95.58</v>
      </c>
      <c r="M922" s="2951">
        <v>13411380</v>
      </c>
      <c r="N922" s="2951">
        <v>13411380</v>
      </c>
      <c r="O922" s="2952">
        <v>13411380</v>
      </c>
      <c r="P922" s="2953">
        <v>13411380</v>
      </c>
      <c r="Q922" s="2951">
        <v>13411380</v>
      </c>
      <c r="R922" s="2954">
        <v>44725</v>
      </c>
      <c r="S922" s="2954">
        <v>44741</v>
      </c>
      <c r="T922" s="2954">
        <v>44832</v>
      </c>
      <c r="U922" s="2954">
        <v>44832</v>
      </c>
      <c r="V922" s="2948" t="s">
        <v>1673</v>
      </c>
    </row>
    <row r="923" spans="1:22" s="2944" customFormat="1" ht="46.8" hidden="1">
      <c r="A923" s="2948">
        <v>922</v>
      </c>
      <c r="B923" s="2948" t="s">
        <v>635</v>
      </c>
      <c r="C923" s="2948" t="s">
        <v>636</v>
      </c>
      <c r="D923" s="2948" t="s">
        <v>1636</v>
      </c>
      <c r="E923" s="2948" t="s">
        <v>700</v>
      </c>
      <c r="F923" s="2948" t="s">
        <v>645</v>
      </c>
      <c r="G923" s="2948" t="s">
        <v>640</v>
      </c>
      <c r="H923" s="2948" t="s">
        <v>1637</v>
      </c>
      <c r="I923" s="2948" t="s">
        <v>642</v>
      </c>
      <c r="J923" s="2948" t="s">
        <v>643</v>
      </c>
      <c r="K923" s="2950">
        <v>145.63999999999999</v>
      </c>
      <c r="L923" s="2950">
        <v>111.06</v>
      </c>
      <c r="M923" s="2951">
        <v>15583480</v>
      </c>
      <c r="N923" s="2951">
        <v>15583480</v>
      </c>
      <c r="O923" s="2952">
        <v>15583480</v>
      </c>
      <c r="P923" s="2953">
        <v>15583480</v>
      </c>
      <c r="Q923" s="2951">
        <v>9000000</v>
      </c>
      <c r="R923" s="2954">
        <v>45046</v>
      </c>
      <c r="S923" s="2954">
        <v>45046</v>
      </c>
      <c r="T923" s="2948"/>
      <c r="U923" s="2948"/>
      <c r="V923" s="2948" t="s">
        <v>1674</v>
      </c>
    </row>
    <row r="924" spans="1:22" s="2944" customFormat="1" ht="46.8" hidden="1">
      <c r="A924" s="2948">
        <v>923</v>
      </c>
      <c r="B924" s="2948" t="s">
        <v>635</v>
      </c>
      <c r="C924" s="2948" t="s">
        <v>636</v>
      </c>
      <c r="D924" s="2948" t="s">
        <v>1636</v>
      </c>
      <c r="E924" s="2948" t="s">
        <v>700</v>
      </c>
      <c r="F924" s="2948" t="s">
        <v>648</v>
      </c>
      <c r="G924" s="2948" t="s">
        <v>640</v>
      </c>
      <c r="H924" s="2948" t="s">
        <v>1642</v>
      </c>
      <c r="I924" s="2948" t="s">
        <v>642</v>
      </c>
      <c r="J924" s="2948" t="s">
        <v>643</v>
      </c>
      <c r="K924" s="2950">
        <v>125.33</v>
      </c>
      <c r="L924" s="2950">
        <v>95.57</v>
      </c>
      <c r="M924" s="2951">
        <v>13535640</v>
      </c>
      <c r="N924" s="2951">
        <v>13535640</v>
      </c>
      <c r="O924" s="2952">
        <v>13535640</v>
      </c>
      <c r="P924" s="2953">
        <v>13535640</v>
      </c>
      <c r="Q924" s="2951">
        <v>13535640</v>
      </c>
      <c r="R924" s="2954">
        <v>44516</v>
      </c>
      <c r="S924" s="2954">
        <v>44529</v>
      </c>
      <c r="T924" s="2954">
        <v>44644</v>
      </c>
      <c r="U924" s="2954">
        <v>44643</v>
      </c>
      <c r="V924" s="2948" t="s">
        <v>1675</v>
      </c>
    </row>
    <row r="925" spans="1:22" s="2944" customFormat="1" ht="46.8" hidden="1">
      <c r="A925" s="2948">
        <v>924</v>
      </c>
      <c r="B925" s="2948" t="s">
        <v>635</v>
      </c>
      <c r="C925" s="2948" t="s">
        <v>636</v>
      </c>
      <c r="D925" s="2948" t="s">
        <v>1636</v>
      </c>
      <c r="E925" s="2948" t="s">
        <v>700</v>
      </c>
      <c r="F925" s="2948" t="s">
        <v>651</v>
      </c>
      <c r="G925" s="2948" t="s">
        <v>640</v>
      </c>
      <c r="H925" s="2948" t="s">
        <v>1637</v>
      </c>
      <c r="I925" s="2948" t="s">
        <v>642</v>
      </c>
      <c r="J925" s="2948" t="s">
        <v>643</v>
      </c>
      <c r="K925" s="2950">
        <v>145.63999999999999</v>
      </c>
      <c r="L925" s="2950">
        <v>111.06</v>
      </c>
      <c r="M925" s="2951">
        <v>15729120</v>
      </c>
      <c r="N925" s="2951">
        <v>15729120</v>
      </c>
      <c r="O925" s="2952">
        <v>15729120</v>
      </c>
      <c r="P925" s="2953">
        <v>15729120</v>
      </c>
      <c r="Q925" s="2951">
        <v>15729120</v>
      </c>
      <c r="R925" s="2954">
        <v>44523</v>
      </c>
      <c r="S925" s="2954">
        <v>44559</v>
      </c>
      <c r="T925" s="2954">
        <v>44636</v>
      </c>
      <c r="U925" s="2954">
        <v>44636</v>
      </c>
      <c r="V925" s="2948" t="s">
        <v>1676</v>
      </c>
    </row>
    <row r="926" spans="1:22" s="2944" customFormat="1" ht="46.8" hidden="1">
      <c r="A926" s="2948">
        <v>925</v>
      </c>
      <c r="B926" s="2948" t="s">
        <v>635</v>
      </c>
      <c r="C926" s="2948" t="s">
        <v>636</v>
      </c>
      <c r="D926" s="2948" t="s">
        <v>1636</v>
      </c>
      <c r="E926" s="2948" t="s">
        <v>700</v>
      </c>
      <c r="F926" s="2948" t="s">
        <v>653</v>
      </c>
      <c r="G926" s="2948" t="s">
        <v>640</v>
      </c>
      <c r="H926" s="2948" t="s">
        <v>1645</v>
      </c>
      <c r="I926" s="2948" t="s">
        <v>642</v>
      </c>
      <c r="J926" s="2948" t="s">
        <v>643</v>
      </c>
      <c r="K926" s="2950">
        <v>125.45</v>
      </c>
      <c r="L926" s="2950">
        <v>95.66</v>
      </c>
      <c r="M926" s="2951">
        <v>13674050</v>
      </c>
      <c r="N926" s="2951">
        <v>13674050</v>
      </c>
      <c r="O926" s="2952">
        <v>13674050</v>
      </c>
      <c r="P926" s="2953">
        <v>13674050</v>
      </c>
      <c r="Q926" s="2951">
        <v>13674050</v>
      </c>
      <c r="R926" s="2954">
        <v>44556</v>
      </c>
      <c r="S926" s="2954">
        <v>44559</v>
      </c>
      <c r="T926" s="2954">
        <v>44653</v>
      </c>
      <c r="U926" s="2954">
        <v>44653</v>
      </c>
      <c r="V926" s="2948" t="s">
        <v>1677</v>
      </c>
    </row>
    <row r="927" spans="1:22" s="2944" customFormat="1" ht="46.8" hidden="1">
      <c r="A927" s="2948">
        <v>926</v>
      </c>
      <c r="B927" s="2948" t="s">
        <v>635</v>
      </c>
      <c r="C927" s="2948" t="s">
        <v>636</v>
      </c>
      <c r="D927" s="2948" t="s">
        <v>1636</v>
      </c>
      <c r="E927" s="2948" t="s">
        <v>700</v>
      </c>
      <c r="F927" s="2948" t="s">
        <v>655</v>
      </c>
      <c r="G927" s="2948" t="s">
        <v>640</v>
      </c>
      <c r="H927" s="2948" t="s">
        <v>1637</v>
      </c>
      <c r="I927" s="2948" t="s">
        <v>642</v>
      </c>
      <c r="J927" s="2948" t="s">
        <v>643</v>
      </c>
      <c r="K927" s="2950">
        <v>145.63999999999999</v>
      </c>
      <c r="L927" s="2950">
        <v>111.06</v>
      </c>
      <c r="M927" s="2951">
        <v>15874760</v>
      </c>
      <c r="N927" s="2951">
        <v>15874760</v>
      </c>
      <c r="O927" s="2952">
        <v>15874760</v>
      </c>
      <c r="P927" s="2953">
        <v>15874760</v>
      </c>
      <c r="Q927" s="2951">
        <v>15874760</v>
      </c>
      <c r="R927" s="2954">
        <v>44490.544259259303</v>
      </c>
      <c r="S927" s="2954">
        <v>44496</v>
      </c>
      <c r="T927" s="2954">
        <v>44636</v>
      </c>
      <c r="U927" s="2954">
        <v>44636</v>
      </c>
      <c r="V927" s="2948" t="s">
        <v>1678</v>
      </c>
    </row>
    <row r="928" spans="1:22" s="2944" customFormat="1" ht="46.8" hidden="1">
      <c r="A928" s="2948">
        <v>927</v>
      </c>
      <c r="B928" s="2948" t="s">
        <v>635</v>
      </c>
      <c r="C928" s="2948" t="s">
        <v>636</v>
      </c>
      <c r="D928" s="2948" t="s">
        <v>1636</v>
      </c>
      <c r="E928" s="2948" t="s">
        <v>700</v>
      </c>
      <c r="F928" s="2948" t="s">
        <v>657</v>
      </c>
      <c r="G928" s="2948" t="s">
        <v>640</v>
      </c>
      <c r="H928" s="2948" t="s">
        <v>1645</v>
      </c>
      <c r="I928" s="2948" t="s">
        <v>642</v>
      </c>
      <c r="J928" s="2948" t="s">
        <v>643</v>
      </c>
      <c r="K928" s="2950">
        <v>125.45</v>
      </c>
      <c r="L928" s="2950">
        <v>95.66</v>
      </c>
      <c r="M928" s="2951">
        <v>13799500</v>
      </c>
      <c r="N928" s="2951">
        <v>13799500</v>
      </c>
      <c r="O928" s="2952">
        <v>13799500</v>
      </c>
      <c r="P928" s="2953">
        <v>13799500</v>
      </c>
      <c r="Q928" s="2951">
        <v>13799500</v>
      </c>
      <c r="R928" s="2954">
        <v>44498</v>
      </c>
      <c r="S928" s="2954">
        <v>44557</v>
      </c>
      <c r="T928" s="2954">
        <v>44799</v>
      </c>
      <c r="U928" s="2954">
        <v>44799</v>
      </c>
      <c r="V928" s="2948" t="s">
        <v>1679</v>
      </c>
    </row>
    <row r="929" spans="1:22" s="2944" customFormat="1" ht="46.8" hidden="1">
      <c r="A929" s="2948">
        <v>928</v>
      </c>
      <c r="B929" s="2948" t="s">
        <v>635</v>
      </c>
      <c r="C929" s="2948" t="s">
        <v>636</v>
      </c>
      <c r="D929" s="2948" t="s">
        <v>1636</v>
      </c>
      <c r="E929" s="2948" t="s">
        <v>700</v>
      </c>
      <c r="F929" s="2948" t="s">
        <v>659</v>
      </c>
      <c r="G929" s="2948" t="s">
        <v>640</v>
      </c>
      <c r="H929" s="2948" t="s">
        <v>1637</v>
      </c>
      <c r="I929" s="2948" t="s">
        <v>642</v>
      </c>
      <c r="J929" s="2948" t="s">
        <v>643</v>
      </c>
      <c r="K929" s="2950">
        <v>145.63999999999999</v>
      </c>
      <c r="L929" s="2950">
        <v>111.06</v>
      </c>
      <c r="M929" s="2951">
        <v>16020400</v>
      </c>
      <c r="N929" s="2951">
        <v>16020400</v>
      </c>
      <c r="O929" s="2952">
        <v>16020400</v>
      </c>
      <c r="P929" s="2953">
        <v>16020400</v>
      </c>
      <c r="Q929" s="2951">
        <v>16020400</v>
      </c>
      <c r="R929" s="2954">
        <v>44488</v>
      </c>
      <c r="S929" s="2954">
        <v>44488</v>
      </c>
      <c r="T929" s="2954">
        <v>44507</v>
      </c>
      <c r="U929" s="2954">
        <v>44507</v>
      </c>
      <c r="V929" s="2948" t="s">
        <v>1680</v>
      </c>
    </row>
    <row r="930" spans="1:22" s="2944" customFormat="1" ht="46.8" hidden="1">
      <c r="A930" s="2948">
        <v>929</v>
      </c>
      <c r="B930" s="2948" t="s">
        <v>635</v>
      </c>
      <c r="C930" s="2948" t="s">
        <v>636</v>
      </c>
      <c r="D930" s="2948" t="s">
        <v>1636</v>
      </c>
      <c r="E930" s="2948" t="s">
        <v>700</v>
      </c>
      <c r="F930" s="2948" t="s">
        <v>661</v>
      </c>
      <c r="G930" s="2948" t="s">
        <v>640</v>
      </c>
      <c r="H930" s="2948" t="s">
        <v>1645</v>
      </c>
      <c r="I930" s="2948" t="s">
        <v>642</v>
      </c>
      <c r="J930" s="2948" t="s">
        <v>643</v>
      </c>
      <c r="K930" s="2950">
        <v>125.45</v>
      </c>
      <c r="L930" s="2950">
        <v>95.66</v>
      </c>
      <c r="M930" s="2951">
        <v>13799500</v>
      </c>
      <c r="N930" s="2951">
        <v>13799500</v>
      </c>
      <c r="O930" s="2952">
        <v>13799500</v>
      </c>
      <c r="P930" s="2953">
        <v>13799500</v>
      </c>
      <c r="Q930" s="2951">
        <v>13799500</v>
      </c>
      <c r="R930" s="2954">
        <v>44491</v>
      </c>
      <c r="S930" s="2954">
        <v>44515</v>
      </c>
      <c r="T930" s="2954">
        <v>44726</v>
      </c>
      <c r="U930" s="2954">
        <v>44726</v>
      </c>
      <c r="V930" s="2948" t="s">
        <v>1681</v>
      </c>
    </row>
    <row r="931" spans="1:22" s="2944" customFormat="1" ht="46.8" hidden="1">
      <c r="A931" s="2948">
        <v>930</v>
      </c>
      <c r="B931" s="2948" t="s">
        <v>635</v>
      </c>
      <c r="C931" s="2948" t="s">
        <v>636</v>
      </c>
      <c r="D931" s="2948" t="s">
        <v>1636</v>
      </c>
      <c r="E931" s="2948" t="s">
        <v>700</v>
      </c>
      <c r="F931" s="2948" t="s">
        <v>663</v>
      </c>
      <c r="G931" s="2948" t="s">
        <v>640</v>
      </c>
      <c r="H931" s="2948" t="s">
        <v>1637</v>
      </c>
      <c r="I931" s="2948" t="s">
        <v>642</v>
      </c>
      <c r="J931" s="2948" t="s">
        <v>643</v>
      </c>
      <c r="K931" s="2950">
        <v>145.63999999999999</v>
      </c>
      <c r="L931" s="2950">
        <v>111.06</v>
      </c>
      <c r="M931" s="2951">
        <v>16020400</v>
      </c>
      <c r="N931" s="2951">
        <v>16020400</v>
      </c>
      <c r="O931" s="2952">
        <v>16020400</v>
      </c>
      <c r="P931" s="2953">
        <v>16020400</v>
      </c>
      <c r="Q931" s="2951">
        <v>16020400</v>
      </c>
      <c r="R931" s="2954">
        <v>44481</v>
      </c>
      <c r="S931" s="2954">
        <v>44488</v>
      </c>
      <c r="T931" s="2954">
        <v>44639</v>
      </c>
      <c r="U931" s="2954">
        <v>44639</v>
      </c>
      <c r="V931" s="2948" t="s">
        <v>1682</v>
      </c>
    </row>
    <row r="932" spans="1:22" s="2944" customFormat="1" ht="46.8" hidden="1">
      <c r="A932" s="2948">
        <v>931</v>
      </c>
      <c r="B932" s="2948" t="s">
        <v>635</v>
      </c>
      <c r="C932" s="2948" t="s">
        <v>636</v>
      </c>
      <c r="D932" s="2948" t="s">
        <v>1636</v>
      </c>
      <c r="E932" s="2948" t="s">
        <v>700</v>
      </c>
      <c r="F932" s="2948" t="s">
        <v>665</v>
      </c>
      <c r="G932" s="2948" t="s">
        <v>640</v>
      </c>
      <c r="H932" s="2948" t="s">
        <v>1645</v>
      </c>
      <c r="I932" s="2948" t="s">
        <v>642</v>
      </c>
      <c r="J932" s="2948" t="s">
        <v>643</v>
      </c>
      <c r="K932" s="2950">
        <v>125.45</v>
      </c>
      <c r="L932" s="2950">
        <v>95.66</v>
      </c>
      <c r="M932" s="2951">
        <v>13799500</v>
      </c>
      <c r="N932" s="2951">
        <v>13799500</v>
      </c>
      <c r="O932" s="2952">
        <v>13799500</v>
      </c>
      <c r="P932" s="2953">
        <v>13799500</v>
      </c>
      <c r="Q932" s="2951">
        <v>13799500</v>
      </c>
      <c r="R932" s="2954">
        <v>44490</v>
      </c>
      <c r="S932" s="2954">
        <v>44491</v>
      </c>
      <c r="T932" s="2954">
        <v>44502</v>
      </c>
      <c r="U932" s="2954">
        <v>44502</v>
      </c>
      <c r="V932" s="2948" t="s">
        <v>1683</v>
      </c>
    </row>
    <row r="933" spans="1:22" s="2944" customFormat="1" ht="46.8" hidden="1">
      <c r="A933" s="2948">
        <v>932</v>
      </c>
      <c r="B933" s="2948" t="s">
        <v>635</v>
      </c>
      <c r="C933" s="2948" t="s">
        <v>636</v>
      </c>
      <c r="D933" s="2948" t="s">
        <v>1636</v>
      </c>
      <c r="E933" s="2948" t="s">
        <v>700</v>
      </c>
      <c r="F933" s="2948" t="s">
        <v>667</v>
      </c>
      <c r="G933" s="2948" t="s">
        <v>640</v>
      </c>
      <c r="H933" s="2948" t="s">
        <v>1637</v>
      </c>
      <c r="I933" s="2948" t="s">
        <v>642</v>
      </c>
      <c r="J933" s="2948" t="s">
        <v>643</v>
      </c>
      <c r="K933" s="2950">
        <v>145.63999999999999</v>
      </c>
      <c r="L933" s="2950">
        <v>111.06</v>
      </c>
      <c r="M933" s="2951">
        <v>16020400</v>
      </c>
      <c r="N933" s="2951">
        <v>16020400</v>
      </c>
      <c r="O933" s="2952">
        <v>16020400</v>
      </c>
      <c r="P933" s="2953">
        <v>16020400</v>
      </c>
      <c r="Q933" s="2951">
        <v>16020400</v>
      </c>
      <c r="R933" s="2948"/>
      <c r="S933" s="2954">
        <v>44488.589502314797</v>
      </c>
      <c r="T933" s="2954">
        <v>44507</v>
      </c>
      <c r="U933" s="2954">
        <v>44507</v>
      </c>
      <c r="V933" s="2948" t="s">
        <v>1684</v>
      </c>
    </row>
    <row r="934" spans="1:22" s="2944" customFormat="1" ht="46.8" hidden="1">
      <c r="A934" s="2948">
        <v>933</v>
      </c>
      <c r="B934" s="2948" t="s">
        <v>635</v>
      </c>
      <c r="C934" s="2948" t="s">
        <v>636</v>
      </c>
      <c r="D934" s="2948" t="s">
        <v>1636</v>
      </c>
      <c r="E934" s="2948" t="s">
        <v>700</v>
      </c>
      <c r="F934" s="2948" t="s">
        <v>669</v>
      </c>
      <c r="G934" s="2948" t="s">
        <v>640</v>
      </c>
      <c r="H934" s="2948" t="s">
        <v>1645</v>
      </c>
      <c r="I934" s="2948" t="s">
        <v>642</v>
      </c>
      <c r="J934" s="2948" t="s">
        <v>643</v>
      </c>
      <c r="K934" s="2950">
        <v>125.45</v>
      </c>
      <c r="L934" s="2950">
        <v>95.66</v>
      </c>
      <c r="M934" s="2951">
        <v>13799500</v>
      </c>
      <c r="N934" s="2951">
        <v>13799500</v>
      </c>
      <c r="O934" s="2952">
        <v>13799500</v>
      </c>
      <c r="P934" s="2953">
        <v>13799500</v>
      </c>
      <c r="Q934" s="2951">
        <v>13799500</v>
      </c>
      <c r="R934" s="2954">
        <v>44525</v>
      </c>
      <c r="S934" s="2954">
        <v>44528</v>
      </c>
      <c r="T934" s="2954">
        <v>44639</v>
      </c>
      <c r="U934" s="2954">
        <v>44639</v>
      </c>
      <c r="V934" s="2948" t="s">
        <v>1685</v>
      </c>
    </row>
    <row r="935" spans="1:22" s="2944" customFormat="1" ht="46.8" hidden="1">
      <c r="A935" s="2948">
        <v>934</v>
      </c>
      <c r="B935" s="2948" t="s">
        <v>635</v>
      </c>
      <c r="C935" s="2948" t="s">
        <v>636</v>
      </c>
      <c r="D935" s="2948" t="s">
        <v>1636</v>
      </c>
      <c r="E935" s="2948" t="s">
        <v>700</v>
      </c>
      <c r="F935" s="2948" t="s">
        <v>671</v>
      </c>
      <c r="G935" s="2948" t="s">
        <v>640</v>
      </c>
      <c r="H935" s="2948" t="s">
        <v>1637</v>
      </c>
      <c r="I935" s="2948" t="s">
        <v>642</v>
      </c>
      <c r="J935" s="2948" t="s">
        <v>643</v>
      </c>
      <c r="K935" s="2950">
        <v>145.63999999999999</v>
      </c>
      <c r="L935" s="2950">
        <v>111.06</v>
      </c>
      <c r="M935" s="2951">
        <v>16020400</v>
      </c>
      <c r="N935" s="2951">
        <v>16020400</v>
      </c>
      <c r="O935" s="2952">
        <v>16020400</v>
      </c>
      <c r="P935" s="2953">
        <v>16020400</v>
      </c>
      <c r="Q935" s="2951">
        <v>16020400</v>
      </c>
      <c r="R935" s="2954">
        <v>44935</v>
      </c>
      <c r="S935" s="2954">
        <v>44935</v>
      </c>
      <c r="T935" s="2954">
        <v>44929</v>
      </c>
      <c r="U935" s="2954">
        <v>44929</v>
      </c>
      <c r="V935" s="2948" t="s">
        <v>1686</v>
      </c>
    </row>
    <row r="936" spans="1:22" s="2944" customFormat="1" ht="46.8" hidden="1">
      <c r="A936" s="2948">
        <v>935</v>
      </c>
      <c r="B936" s="2948" t="s">
        <v>635</v>
      </c>
      <c r="C936" s="2948" t="s">
        <v>636</v>
      </c>
      <c r="D936" s="2948" t="s">
        <v>1636</v>
      </c>
      <c r="E936" s="2948" t="s">
        <v>700</v>
      </c>
      <c r="F936" s="2948" t="s">
        <v>673</v>
      </c>
      <c r="G936" s="2948" t="s">
        <v>640</v>
      </c>
      <c r="H936" s="2948" t="s">
        <v>1645</v>
      </c>
      <c r="I936" s="2948" t="s">
        <v>642</v>
      </c>
      <c r="J936" s="2948" t="s">
        <v>643</v>
      </c>
      <c r="K936" s="2950">
        <v>125.45</v>
      </c>
      <c r="L936" s="2950">
        <v>95.66</v>
      </c>
      <c r="M936" s="2951">
        <v>13799500</v>
      </c>
      <c r="N936" s="2951">
        <v>13799500</v>
      </c>
      <c r="O936" s="2952">
        <v>13799500</v>
      </c>
      <c r="P936" s="2953">
        <v>13799500</v>
      </c>
      <c r="Q936" s="2951">
        <v>13799500</v>
      </c>
      <c r="R936" s="2954">
        <v>44498</v>
      </c>
      <c r="S936" s="2954">
        <v>44498</v>
      </c>
      <c r="T936" s="2954">
        <v>44524</v>
      </c>
      <c r="U936" s="2954">
        <v>44524</v>
      </c>
      <c r="V936" s="2948" t="s">
        <v>1687</v>
      </c>
    </row>
    <row r="937" spans="1:22" s="2944" customFormat="1" ht="46.8" hidden="1">
      <c r="A937" s="2948">
        <v>936</v>
      </c>
      <c r="B937" s="2948" t="s">
        <v>635</v>
      </c>
      <c r="C937" s="2948" t="s">
        <v>636</v>
      </c>
      <c r="D937" s="2948" t="s">
        <v>1636</v>
      </c>
      <c r="E937" s="2948" t="s">
        <v>700</v>
      </c>
      <c r="F937" s="2948" t="s">
        <v>675</v>
      </c>
      <c r="G937" s="2948" t="s">
        <v>640</v>
      </c>
      <c r="H937" s="2948" t="s">
        <v>1637</v>
      </c>
      <c r="I937" s="2948" t="s">
        <v>642</v>
      </c>
      <c r="J937" s="2948" t="s">
        <v>643</v>
      </c>
      <c r="K937" s="2950">
        <v>145.63999999999999</v>
      </c>
      <c r="L937" s="2950">
        <v>111.06</v>
      </c>
      <c r="M937" s="2951">
        <v>16020400</v>
      </c>
      <c r="N937" s="2951">
        <v>16020400</v>
      </c>
      <c r="O937" s="2952">
        <v>16020400</v>
      </c>
      <c r="P937" s="2953">
        <v>16020400</v>
      </c>
      <c r="Q937" s="2951">
        <v>16020400</v>
      </c>
      <c r="R937" s="2954">
        <v>44619</v>
      </c>
      <c r="S937" s="2954">
        <v>44620</v>
      </c>
      <c r="T937" s="2954">
        <v>44644</v>
      </c>
      <c r="U937" s="2954">
        <v>44644</v>
      </c>
      <c r="V937" s="2948" t="s">
        <v>1688</v>
      </c>
    </row>
    <row r="938" spans="1:22" s="2944" customFormat="1" ht="46.8" hidden="1">
      <c r="A938" s="2948">
        <v>937</v>
      </c>
      <c r="B938" s="2948" t="s">
        <v>635</v>
      </c>
      <c r="C938" s="2948" t="s">
        <v>636</v>
      </c>
      <c r="D938" s="2948" t="s">
        <v>1636</v>
      </c>
      <c r="E938" s="2948" t="s">
        <v>700</v>
      </c>
      <c r="F938" s="2948" t="s">
        <v>677</v>
      </c>
      <c r="G938" s="2948" t="s">
        <v>640</v>
      </c>
      <c r="H938" s="2948" t="s">
        <v>1645</v>
      </c>
      <c r="I938" s="2948" t="s">
        <v>642</v>
      </c>
      <c r="J938" s="2948" t="s">
        <v>643</v>
      </c>
      <c r="K938" s="2950">
        <v>125.45</v>
      </c>
      <c r="L938" s="2950">
        <v>95.66</v>
      </c>
      <c r="M938" s="2951">
        <v>13799500</v>
      </c>
      <c r="N938" s="2951">
        <v>13799500</v>
      </c>
      <c r="O938" s="2952">
        <v>13109525</v>
      </c>
      <c r="P938" s="2953">
        <v>13109525</v>
      </c>
      <c r="Q938" s="2951">
        <v>13109525</v>
      </c>
      <c r="R938" s="2954">
        <v>44498</v>
      </c>
      <c r="S938" s="2954">
        <v>44499</v>
      </c>
      <c r="T938" s="2954">
        <v>44883</v>
      </c>
      <c r="U938" s="2954">
        <v>44883</v>
      </c>
      <c r="V938" s="2948" t="s">
        <v>1689</v>
      </c>
    </row>
    <row r="939" spans="1:22" s="2944" customFormat="1" ht="46.8" hidden="1">
      <c r="A939" s="2948">
        <v>938</v>
      </c>
      <c r="B939" s="2948" t="s">
        <v>635</v>
      </c>
      <c r="C939" s="2948" t="s">
        <v>636</v>
      </c>
      <c r="D939" s="2948" t="s">
        <v>1636</v>
      </c>
      <c r="E939" s="2948" t="s">
        <v>700</v>
      </c>
      <c r="F939" s="2948" t="s">
        <v>679</v>
      </c>
      <c r="G939" s="2948" t="s">
        <v>640</v>
      </c>
      <c r="H939" s="2948" t="s">
        <v>1637</v>
      </c>
      <c r="I939" s="2948" t="s">
        <v>642</v>
      </c>
      <c r="J939" s="2948" t="s">
        <v>643</v>
      </c>
      <c r="K939" s="2950">
        <v>145.63999999999999</v>
      </c>
      <c r="L939" s="2950">
        <v>111.06</v>
      </c>
      <c r="M939" s="2951">
        <v>16020400</v>
      </c>
      <c r="N939" s="2951">
        <v>16020400</v>
      </c>
      <c r="O939" s="2952">
        <v>16020400</v>
      </c>
      <c r="P939" s="2953">
        <v>16020400</v>
      </c>
      <c r="Q939" s="2951">
        <v>16020400</v>
      </c>
      <c r="R939" s="2954">
        <v>44488</v>
      </c>
      <c r="S939" s="2954">
        <v>44488</v>
      </c>
      <c r="T939" s="2954">
        <v>44523</v>
      </c>
      <c r="U939" s="2954">
        <v>44523</v>
      </c>
      <c r="V939" s="2948" t="s">
        <v>1690</v>
      </c>
    </row>
    <row r="940" spans="1:22" s="2944" customFormat="1" ht="46.8" hidden="1">
      <c r="A940" s="2948">
        <v>939</v>
      </c>
      <c r="B940" s="2948" t="s">
        <v>635</v>
      </c>
      <c r="C940" s="2948" t="s">
        <v>636</v>
      </c>
      <c r="D940" s="2948" t="s">
        <v>1636</v>
      </c>
      <c r="E940" s="2948" t="s">
        <v>700</v>
      </c>
      <c r="F940" s="2948" t="s">
        <v>681</v>
      </c>
      <c r="G940" s="2948" t="s">
        <v>640</v>
      </c>
      <c r="H940" s="2948" t="s">
        <v>1645</v>
      </c>
      <c r="I940" s="2948" t="s">
        <v>642</v>
      </c>
      <c r="J940" s="2948" t="s">
        <v>643</v>
      </c>
      <c r="K940" s="2950">
        <v>125.45</v>
      </c>
      <c r="L940" s="2950">
        <v>95.66</v>
      </c>
      <c r="M940" s="2951">
        <v>13799500</v>
      </c>
      <c r="N940" s="2951">
        <v>13799500</v>
      </c>
      <c r="O940" s="2952">
        <v>13799500</v>
      </c>
      <c r="P940" s="2953">
        <v>13799500</v>
      </c>
      <c r="Q940" s="2951">
        <v>13799500</v>
      </c>
      <c r="R940" s="2954">
        <v>44525</v>
      </c>
      <c r="S940" s="2954">
        <v>44529</v>
      </c>
      <c r="T940" s="2954">
        <v>44637</v>
      </c>
      <c r="U940" s="2954">
        <v>44637</v>
      </c>
      <c r="V940" s="2948" t="s">
        <v>1691</v>
      </c>
    </row>
    <row r="941" spans="1:22" s="2944" customFormat="1" ht="46.8" hidden="1">
      <c r="A941" s="2948">
        <v>940</v>
      </c>
      <c r="B941" s="2948" t="s">
        <v>635</v>
      </c>
      <c r="C941" s="2948" t="s">
        <v>636</v>
      </c>
      <c r="D941" s="2948" t="s">
        <v>1636</v>
      </c>
      <c r="E941" s="2948" t="s">
        <v>700</v>
      </c>
      <c r="F941" s="2948" t="s">
        <v>683</v>
      </c>
      <c r="G941" s="2948" t="s">
        <v>640</v>
      </c>
      <c r="H941" s="2948" t="s">
        <v>1637</v>
      </c>
      <c r="I941" s="2948" t="s">
        <v>642</v>
      </c>
      <c r="J941" s="2948" t="s">
        <v>643</v>
      </c>
      <c r="K941" s="2950">
        <v>145.63999999999999</v>
      </c>
      <c r="L941" s="2950">
        <v>111.06</v>
      </c>
      <c r="M941" s="2951">
        <v>16020400</v>
      </c>
      <c r="N941" s="2951">
        <v>16020400</v>
      </c>
      <c r="O941" s="2952">
        <v>16020400</v>
      </c>
      <c r="P941" s="2953">
        <v>16020400</v>
      </c>
      <c r="Q941" s="2951">
        <v>16020400</v>
      </c>
      <c r="R941" s="2954">
        <v>44481</v>
      </c>
      <c r="S941" s="2954">
        <v>44494</v>
      </c>
      <c r="T941" s="2954">
        <v>44523</v>
      </c>
      <c r="U941" s="2954">
        <v>44523</v>
      </c>
      <c r="V941" s="2948" t="s">
        <v>1692</v>
      </c>
    </row>
    <row r="942" spans="1:22" s="2944" customFormat="1" ht="46.8" hidden="1">
      <c r="A942" s="2948">
        <v>941</v>
      </c>
      <c r="B942" s="2948" t="s">
        <v>635</v>
      </c>
      <c r="C942" s="2948" t="s">
        <v>636</v>
      </c>
      <c r="D942" s="2948" t="s">
        <v>1636</v>
      </c>
      <c r="E942" s="2948" t="s">
        <v>700</v>
      </c>
      <c r="F942" s="2948" t="s">
        <v>685</v>
      </c>
      <c r="G942" s="2948" t="s">
        <v>640</v>
      </c>
      <c r="H942" s="2948" t="s">
        <v>1645</v>
      </c>
      <c r="I942" s="2948" t="s">
        <v>642</v>
      </c>
      <c r="J942" s="2948" t="s">
        <v>643</v>
      </c>
      <c r="K942" s="2950">
        <v>125.45</v>
      </c>
      <c r="L942" s="2950">
        <v>95.66</v>
      </c>
      <c r="M942" s="2951">
        <v>13799500</v>
      </c>
      <c r="N942" s="2951">
        <v>13799500</v>
      </c>
      <c r="O942" s="2952">
        <v>13799500</v>
      </c>
      <c r="P942" s="2953">
        <v>13799500</v>
      </c>
      <c r="Q942" s="2951">
        <v>13799500</v>
      </c>
      <c r="R942" s="2954">
        <v>44494</v>
      </c>
      <c r="S942" s="2954">
        <v>44496</v>
      </c>
      <c r="T942" s="2954">
        <v>44517</v>
      </c>
      <c r="U942" s="2954">
        <v>44517</v>
      </c>
      <c r="V942" s="2948" t="s">
        <v>1693</v>
      </c>
    </row>
    <row r="943" spans="1:22" s="2944" customFormat="1" ht="46.8" hidden="1">
      <c r="A943" s="2948">
        <v>942</v>
      </c>
      <c r="B943" s="2948" t="s">
        <v>635</v>
      </c>
      <c r="C943" s="2948" t="s">
        <v>636</v>
      </c>
      <c r="D943" s="2948" t="s">
        <v>1636</v>
      </c>
      <c r="E943" s="2948" t="s">
        <v>700</v>
      </c>
      <c r="F943" s="2948" t="s">
        <v>687</v>
      </c>
      <c r="G943" s="2948" t="s">
        <v>640</v>
      </c>
      <c r="H943" s="2948" t="s">
        <v>1637</v>
      </c>
      <c r="I943" s="2948" t="s">
        <v>642</v>
      </c>
      <c r="J943" s="2948" t="s">
        <v>643</v>
      </c>
      <c r="K943" s="2950">
        <v>145.63999999999999</v>
      </c>
      <c r="L943" s="2950">
        <v>111.06</v>
      </c>
      <c r="M943" s="2951">
        <v>16020400</v>
      </c>
      <c r="N943" s="2951">
        <v>16020400</v>
      </c>
      <c r="O943" s="2952">
        <v>16020400</v>
      </c>
      <c r="P943" s="2953">
        <v>16020400</v>
      </c>
      <c r="Q943" s="2951">
        <v>16020400</v>
      </c>
      <c r="R943" s="2954">
        <v>44496</v>
      </c>
      <c r="S943" s="2954">
        <v>44500</v>
      </c>
      <c r="T943" s="2954">
        <v>44740</v>
      </c>
      <c r="U943" s="2954">
        <v>44740</v>
      </c>
      <c r="V943" s="2948" t="s">
        <v>1694</v>
      </c>
    </row>
    <row r="944" spans="1:22" s="2944" customFormat="1" ht="46.8" hidden="1">
      <c r="A944" s="2948">
        <v>943</v>
      </c>
      <c r="B944" s="2948" t="s">
        <v>635</v>
      </c>
      <c r="C944" s="2948" t="s">
        <v>636</v>
      </c>
      <c r="D944" s="2948" t="s">
        <v>1636</v>
      </c>
      <c r="E944" s="2948" t="s">
        <v>700</v>
      </c>
      <c r="F944" s="2948" t="s">
        <v>689</v>
      </c>
      <c r="G944" s="2948" t="s">
        <v>640</v>
      </c>
      <c r="H944" s="2948" t="s">
        <v>1645</v>
      </c>
      <c r="I944" s="2948" t="s">
        <v>642</v>
      </c>
      <c r="J944" s="2948" t="s">
        <v>643</v>
      </c>
      <c r="K944" s="2950">
        <v>125.45</v>
      </c>
      <c r="L944" s="2950">
        <v>95.66</v>
      </c>
      <c r="M944" s="2951">
        <v>13799500</v>
      </c>
      <c r="N944" s="2951">
        <v>13799500</v>
      </c>
      <c r="O944" s="2952">
        <v>13799500</v>
      </c>
      <c r="P944" s="2953">
        <v>13799500</v>
      </c>
      <c r="Q944" s="2951">
        <v>13799500</v>
      </c>
      <c r="R944" s="2954">
        <v>44499</v>
      </c>
      <c r="S944" s="2954">
        <v>44500</v>
      </c>
      <c r="T944" s="2954">
        <v>44638</v>
      </c>
      <c r="U944" s="2954">
        <v>44638</v>
      </c>
      <c r="V944" s="2948" t="s">
        <v>1695</v>
      </c>
    </row>
    <row r="945" spans="1:22" s="2944" customFormat="1" ht="46.8" hidden="1">
      <c r="A945" s="2948">
        <v>944</v>
      </c>
      <c r="B945" s="2948" t="s">
        <v>635</v>
      </c>
      <c r="C945" s="2948" t="s">
        <v>636</v>
      </c>
      <c r="D945" s="2948" t="s">
        <v>1636</v>
      </c>
      <c r="E945" s="2948" t="s">
        <v>700</v>
      </c>
      <c r="F945" s="2948" t="s">
        <v>691</v>
      </c>
      <c r="G945" s="2948" t="s">
        <v>640</v>
      </c>
      <c r="H945" s="2948" t="s">
        <v>1637</v>
      </c>
      <c r="I945" s="2948" t="s">
        <v>642</v>
      </c>
      <c r="J945" s="2948" t="s">
        <v>643</v>
      </c>
      <c r="K945" s="2950">
        <v>145.63999999999999</v>
      </c>
      <c r="L945" s="2950">
        <v>111.06</v>
      </c>
      <c r="M945" s="2951">
        <v>16020400</v>
      </c>
      <c r="N945" s="2951">
        <v>16020400</v>
      </c>
      <c r="O945" s="2952">
        <v>16020400</v>
      </c>
      <c r="P945" s="2953">
        <v>16020400</v>
      </c>
      <c r="Q945" s="2951">
        <v>16020400</v>
      </c>
      <c r="R945" s="2954">
        <v>44481</v>
      </c>
      <c r="S945" s="2954">
        <v>44487</v>
      </c>
      <c r="T945" s="2954">
        <v>44510</v>
      </c>
      <c r="U945" s="2954">
        <v>44510</v>
      </c>
      <c r="V945" s="2948" t="s">
        <v>1696</v>
      </c>
    </row>
    <row r="946" spans="1:22" s="2944" customFormat="1" ht="46.8" hidden="1">
      <c r="A946" s="2948">
        <v>945</v>
      </c>
      <c r="B946" s="2948" t="s">
        <v>635</v>
      </c>
      <c r="C946" s="2948" t="s">
        <v>636</v>
      </c>
      <c r="D946" s="2948" t="s">
        <v>1636</v>
      </c>
      <c r="E946" s="2948" t="s">
        <v>700</v>
      </c>
      <c r="F946" s="2948" t="s">
        <v>693</v>
      </c>
      <c r="G946" s="2948" t="s">
        <v>640</v>
      </c>
      <c r="H946" s="2948" t="s">
        <v>1645</v>
      </c>
      <c r="I946" s="2948" t="s">
        <v>642</v>
      </c>
      <c r="J946" s="2948" t="s">
        <v>643</v>
      </c>
      <c r="K946" s="2950">
        <v>125.45</v>
      </c>
      <c r="L946" s="2950">
        <v>95.66</v>
      </c>
      <c r="M946" s="2951">
        <v>13799500</v>
      </c>
      <c r="N946" s="2951">
        <v>13799500</v>
      </c>
      <c r="O946" s="2952">
        <v>13799500</v>
      </c>
      <c r="P946" s="2953">
        <v>13799500</v>
      </c>
      <c r="Q946" s="2951">
        <v>13799500</v>
      </c>
      <c r="R946" s="2948"/>
      <c r="S946" s="2954">
        <v>44570.436585648102</v>
      </c>
      <c r="T946" s="2954">
        <v>44726</v>
      </c>
      <c r="U946" s="2954">
        <v>44726</v>
      </c>
      <c r="V946" s="2948" t="s">
        <v>1697</v>
      </c>
    </row>
    <row r="947" spans="1:22" s="2944" customFormat="1" ht="46.8" hidden="1">
      <c r="A947" s="2948">
        <v>946</v>
      </c>
      <c r="B947" s="2948" t="s">
        <v>635</v>
      </c>
      <c r="C947" s="2948" t="s">
        <v>636</v>
      </c>
      <c r="D947" s="2948" t="s">
        <v>1636</v>
      </c>
      <c r="E947" s="2948" t="s">
        <v>700</v>
      </c>
      <c r="F947" s="2948" t="s">
        <v>694</v>
      </c>
      <c r="G947" s="2948" t="s">
        <v>640</v>
      </c>
      <c r="H947" s="2948" t="s">
        <v>1637</v>
      </c>
      <c r="I947" s="2948" t="s">
        <v>642</v>
      </c>
      <c r="J947" s="2948" t="s">
        <v>643</v>
      </c>
      <c r="K947" s="2950">
        <v>145.63999999999999</v>
      </c>
      <c r="L947" s="2950">
        <v>111.06</v>
      </c>
      <c r="M947" s="2951">
        <v>16020400</v>
      </c>
      <c r="N947" s="2951">
        <v>16020400</v>
      </c>
      <c r="O947" s="2952">
        <v>16020400</v>
      </c>
      <c r="P947" s="2953">
        <v>16020400</v>
      </c>
      <c r="Q947" s="2951">
        <v>16020400</v>
      </c>
      <c r="R947" s="2954">
        <v>44831</v>
      </c>
      <c r="S947" s="2954">
        <v>44832</v>
      </c>
      <c r="T947" s="2954">
        <v>44834</v>
      </c>
      <c r="U947" s="2954">
        <v>44834</v>
      </c>
      <c r="V947" s="2948" t="s">
        <v>1698</v>
      </c>
    </row>
    <row r="948" spans="1:22" s="2944" customFormat="1" ht="46.8" hidden="1">
      <c r="A948" s="2948">
        <v>947</v>
      </c>
      <c r="B948" s="2948" t="s">
        <v>635</v>
      </c>
      <c r="C948" s="2948" t="s">
        <v>636</v>
      </c>
      <c r="D948" s="2948" t="s">
        <v>1636</v>
      </c>
      <c r="E948" s="2948" t="s">
        <v>700</v>
      </c>
      <c r="F948" s="2948" t="s">
        <v>696</v>
      </c>
      <c r="G948" s="2948" t="s">
        <v>640</v>
      </c>
      <c r="H948" s="2948" t="s">
        <v>1645</v>
      </c>
      <c r="I948" s="2948" t="s">
        <v>642</v>
      </c>
      <c r="J948" s="2948" t="s">
        <v>643</v>
      </c>
      <c r="K948" s="2950">
        <v>125.45</v>
      </c>
      <c r="L948" s="2950">
        <v>95.66</v>
      </c>
      <c r="M948" s="2951">
        <v>13799500</v>
      </c>
      <c r="N948" s="2951">
        <v>13799500</v>
      </c>
      <c r="O948" s="2952">
        <v>13799500</v>
      </c>
      <c r="P948" s="2953">
        <v>13799500</v>
      </c>
      <c r="Q948" s="2951">
        <v>13799500</v>
      </c>
      <c r="R948" s="2954">
        <v>44481</v>
      </c>
      <c r="S948" s="2954">
        <v>44485</v>
      </c>
      <c r="T948" s="2954">
        <v>44515</v>
      </c>
      <c r="U948" s="2954">
        <v>44515</v>
      </c>
      <c r="V948" s="2948" t="s">
        <v>1699</v>
      </c>
    </row>
    <row r="949" spans="1:22" s="2944" customFormat="1" ht="46.8" hidden="1">
      <c r="A949" s="2948">
        <v>948</v>
      </c>
      <c r="B949" s="2948" t="s">
        <v>635</v>
      </c>
      <c r="C949" s="2948" t="s">
        <v>636</v>
      </c>
      <c r="D949" s="2948" t="s">
        <v>1636</v>
      </c>
      <c r="E949" s="2948" t="s">
        <v>700</v>
      </c>
      <c r="F949" s="2948" t="s">
        <v>698</v>
      </c>
      <c r="G949" s="2948" t="s">
        <v>640</v>
      </c>
      <c r="H949" s="2948" t="s">
        <v>1637</v>
      </c>
      <c r="I949" s="2948" t="s">
        <v>642</v>
      </c>
      <c r="J949" s="2948" t="s">
        <v>643</v>
      </c>
      <c r="K949" s="2950">
        <v>145.63999999999999</v>
      </c>
      <c r="L949" s="2950">
        <v>111.06</v>
      </c>
      <c r="M949" s="2951">
        <v>16020400</v>
      </c>
      <c r="N949" s="2951">
        <v>16020400</v>
      </c>
      <c r="O949" s="2952">
        <v>16020400</v>
      </c>
      <c r="P949" s="2953">
        <v>16020400</v>
      </c>
      <c r="Q949" s="2951">
        <v>16020400</v>
      </c>
      <c r="R949" s="2954">
        <v>44482</v>
      </c>
      <c r="S949" s="2954">
        <v>44528</v>
      </c>
      <c r="T949" s="2954">
        <v>44532</v>
      </c>
      <c r="U949" s="2954">
        <v>44532</v>
      </c>
      <c r="V949" s="2948" t="s">
        <v>1700</v>
      </c>
    </row>
    <row r="950" spans="1:22" s="2944" customFormat="1" ht="46.8" hidden="1">
      <c r="A950" s="2948">
        <v>949</v>
      </c>
      <c r="B950" s="2948" t="s">
        <v>635</v>
      </c>
      <c r="C950" s="2948" t="s">
        <v>636</v>
      </c>
      <c r="D950" s="2948" t="s">
        <v>1636</v>
      </c>
      <c r="E950" s="2948" t="s">
        <v>700</v>
      </c>
      <c r="F950" s="2948" t="s">
        <v>760</v>
      </c>
      <c r="G950" s="2948" t="s">
        <v>640</v>
      </c>
      <c r="H950" s="2948" t="s">
        <v>1645</v>
      </c>
      <c r="I950" s="2948" t="s">
        <v>642</v>
      </c>
      <c r="J950" s="2948" t="s">
        <v>643</v>
      </c>
      <c r="K950" s="2950">
        <v>125.45</v>
      </c>
      <c r="L950" s="2950">
        <v>95.66</v>
      </c>
      <c r="M950" s="2951">
        <v>13799500</v>
      </c>
      <c r="N950" s="2951">
        <v>13799500</v>
      </c>
      <c r="O950" s="2952">
        <v>13799500</v>
      </c>
      <c r="P950" s="2953">
        <v>13799500</v>
      </c>
      <c r="Q950" s="2951">
        <v>13799500</v>
      </c>
      <c r="R950" s="2954">
        <v>44516</v>
      </c>
      <c r="S950" s="2954">
        <v>44525</v>
      </c>
      <c r="T950" s="2954">
        <v>44637</v>
      </c>
      <c r="U950" s="2954">
        <v>44637</v>
      </c>
      <c r="V950" s="2948" t="s">
        <v>1701</v>
      </c>
    </row>
    <row r="951" spans="1:22" s="2944" customFormat="1" ht="46.8" hidden="1">
      <c r="A951" s="2948">
        <v>950</v>
      </c>
      <c r="B951" s="2948" t="s">
        <v>635</v>
      </c>
      <c r="C951" s="2948" t="s">
        <v>636</v>
      </c>
      <c r="D951" s="2948" t="s">
        <v>1636</v>
      </c>
      <c r="E951" s="2948" t="s">
        <v>700</v>
      </c>
      <c r="F951" s="2948" t="s">
        <v>762</v>
      </c>
      <c r="G951" s="2948" t="s">
        <v>640</v>
      </c>
      <c r="H951" s="2948" t="s">
        <v>1637</v>
      </c>
      <c r="I951" s="2948" t="s">
        <v>642</v>
      </c>
      <c r="J951" s="2948" t="s">
        <v>643</v>
      </c>
      <c r="K951" s="2950">
        <v>145.63999999999999</v>
      </c>
      <c r="L951" s="2950">
        <v>111.06</v>
      </c>
      <c r="M951" s="2951">
        <v>16020400</v>
      </c>
      <c r="N951" s="2951">
        <v>16020400</v>
      </c>
      <c r="O951" s="2952">
        <v>16020400</v>
      </c>
      <c r="P951" s="2953">
        <v>16020400</v>
      </c>
      <c r="Q951" s="2951">
        <v>16020400</v>
      </c>
      <c r="R951" s="2954">
        <v>44964</v>
      </c>
      <c r="S951" s="2954">
        <v>44967</v>
      </c>
      <c r="T951" s="2954">
        <v>44967</v>
      </c>
      <c r="U951" s="2954">
        <v>44967</v>
      </c>
      <c r="V951" s="2948" t="s">
        <v>1702</v>
      </c>
    </row>
    <row r="952" spans="1:22" s="2944" customFormat="1" ht="46.8" hidden="1">
      <c r="A952" s="2948">
        <v>951</v>
      </c>
      <c r="B952" s="2948" t="s">
        <v>635</v>
      </c>
      <c r="C952" s="2948" t="s">
        <v>636</v>
      </c>
      <c r="D952" s="2948" t="s">
        <v>1636</v>
      </c>
      <c r="E952" s="2948" t="s">
        <v>700</v>
      </c>
      <c r="F952" s="2948" t="s">
        <v>764</v>
      </c>
      <c r="G952" s="2948" t="s">
        <v>640</v>
      </c>
      <c r="H952" s="2948" t="s">
        <v>1645</v>
      </c>
      <c r="I952" s="2948" t="s">
        <v>642</v>
      </c>
      <c r="J952" s="2948" t="s">
        <v>643</v>
      </c>
      <c r="K952" s="2950">
        <v>125.45</v>
      </c>
      <c r="L952" s="2950">
        <v>95.66</v>
      </c>
      <c r="M952" s="2951">
        <v>13736775</v>
      </c>
      <c r="N952" s="2951">
        <v>13736775</v>
      </c>
      <c r="O952" s="2952">
        <v>13736775</v>
      </c>
      <c r="P952" s="2953">
        <v>13736775</v>
      </c>
      <c r="Q952" s="2951">
        <v>13736775</v>
      </c>
      <c r="R952" s="2954">
        <v>44579</v>
      </c>
      <c r="S952" s="2954">
        <v>44646</v>
      </c>
      <c r="T952" s="2954">
        <v>44654</v>
      </c>
      <c r="U952" s="2954">
        <v>44654</v>
      </c>
      <c r="V952" s="2948" t="s">
        <v>1703</v>
      </c>
    </row>
    <row r="953" spans="1:22" s="2944" customFormat="1" ht="46.8" hidden="1">
      <c r="A953" s="2948">
        <v>952</v>
      </c>
      <c r="B953" s="2948" t="s">
        <v>635</v>
      </c>
      <c r="C953" s="2948" t="s">
        <v>636</v>
      </c>
      <c r="D953" s="2948" t="s">
        <v>1636</v>
      </c>
      <c r="E953" s="2948" t="s">
        <v>700</v>
      </c>
      <c r="F953" s="2948" t="s">
        <v>766</v>
      </c>
      <c r="G953" s="2948" t="s">
        <v>640</v>
      </c>
      <c r="H953" s="2948" t="s">
        <v>1637</v>
      </c>
      <c r="I953" s="2948" t="s">
        <v>642</v>
      </c>
      <c r="J953" s="2948" t="s">
        <v>643</v>
      </c>
      <c r="K953" s="2950">
        <v>145.63999999999999</v>
      </c>
      <c r="L953" s="2950">
        <v>111.06</v>
      </c>
      <c r="M953" s="2951">
        <v>15947580</v>
      </c>
      <c r="N953" s="2951">
        <v>15947580</v>
      </c>
      <c r="O953" s="2952">
        <v>15947580</v>
      </c>
      <c r="P953" s="2953">
        <v>15947580</v>
      </c>
      <c r="Q953" s="2951">
        <v>15947580</v>
      </c>
      <c r="R953" s="2954">
        <v>44557</v>
      </c>
      <c r="S953" s="2954">
        <v>44559</v>
      </c>
      <c r="T953" s="2954">
        <v>44658</v>
      </c>
      <c r="U953" s="2954">
        <v>44658</v>
      </c>
      <c r="V953" s="2948" t="s">
        <v>1704</v>
      </c>
    </row>
    <row r="954" spans="1:22" s="2944" customFormat="1" ht="46.8" hidden="1">
      <c r="A954" s="2948">
        <v>953</v>
      </c>
      <c r="B954" s="2948" t="s">
        <v>635</v>
      </c>
      <c r="C954" s="2948" t="s">
        <v>636</v>
      </c>
      <c r="D954" s="2948" t="s">
        <v>1705</v>
      </c>
      <c r="E954" s="2948" t="s">
        <v>729</v>
      </c>
      <c r="F954" s="2948" t="s">
        <v>639</v>
      </c>
      <c r="G954" s="2948" t="s">
        <v>640</v>
      </c>
      <c r="H954" s="2948" t="s">
        <v>1706</v>
      </c>
      <c r="I954" s="2948" t="s">
        <v>854</v>
      </c>
      <c r="J954" s="2948" t="s">
        <v>643</v>
      </c>
      <c r="K954" s="2950">
        <v>116.32</v>
      </c>
      <c r="L954" s="2950">
        <v>84.85</v>
      </c>
      <c r="M954" s="2951">
        <v>10870801</v>
      </c>
      <c r="N954" s="2951">
        <v>10870801</v>
      </c>
      <c r="O954" s="2952">
        <v>10870801</v>
      </c>
      <c r="P954" s="2953">
        <v>10870801</v>
      </c>
      <c r="Q954" s="2951">
        <v>10870801</v>
      </c>
      <c r="R954" s="2954">
        <v>44887</v>
      </c>
      <c r="S954" s="2954">
        <v>44887</v>
      </c>
      <c r="T954" s="2954">
        <v>45005</v>
      </c>
      <c r="U954" s="2954">
        <v>45005</v>
      </c>
      <c r="V954" s="2948" t="s">
        <v>1707</v>
      </c>
    </row>
    <row r="955" spans="1:22" s="2944" customFormat="1" ht="46.8" hidden="1">
      <c r="A955" s="2948">
        <v>954</v>
      </c>
      <c r="B955" s="2948" t="s">
        <v>635</v>
      </c>
      <c r="C955" s="2948" t="s">
        <v>636</v>
      </c>
      <c r="D955" s="2948" t="s">
        <v>1705</v>
      </c>
      <c r="E955" s="2948" t="s">
        <v>729</v>
      </c>
      <c r="F955" s="2948" t="s">
        <v>645</v>
      </c>
      <c r="G955" s="2948" t="s">
        <v>640</v>
      </c>
      <c r="H955" s="2948" t="s">
        <v>1708</v>
      </c>
      <c r="I955" s="2948" t="s">
        <v>854</v>
      </c>
      <c r="J955" s="2948" t="s">
        <v>643</v>
      </c>
      <c r="K955" s="2950">
        <v>175.54</v>
      </c>
      <c r="L955" s="2950">
        <v>128.05000000000001</v>
      </c>
      <c r="M955" s="2951">
        <v>16185841</v>
      </c>
      <c r="N955" s="2951">
        <v>16185841</v>
      </c>
      <c r="O955" s="2952">
        <v>16185841</v>
      </c>
      <c r="P955" s="2953">
        <v>16185841</v>
      </c>
      <c r="Q955" s="2951">
        <v>9512649.2200000007</v>
      </c>
      <c r="R955" s="2954">
        <v>45044</v>
      </c>
      <c r="S955" s="2954">
        <v>45044</v>
      </c>
      <c r="T955" s="2948"/>
      <c r="U955" s="2948"/>
      <c r="V955" s="2948" t="s">
        <v>1371</v>
      </c>
    </row>
    <row r="956" spans="1:22" s="2944" customFormat="1" ht="46.8" hidden="1">
      <c r="A956" s="2948">
        <v>955</v>
      </c>
      <c r="B956" s="2948" t="s">
        <v>635</v>
      </c>
      <c r="C956" s="2948" t="s">
        <v>636</v>
      </c>
      <c r="D956" s="2948" t="s">
        <v>1705</v>
      </c>
      <c r="E956" s="2948" t="s">
        <v>729</v>
      </c>
      <c r="F956" s="2948" t="s">
        <v>648</v>
      </c>
      <c r="G956" s="2948" t="s">
        <v>640</v>
      </c>
      <c r="H956" s="2948" t="s">
        <v>1709</v>
      </c>
      <c r="I956" s="2948" t="s">
        <v>854</v>
      </c>
      <c r="J956" s="2948" t="s">
        <v>643</v>
      </c>
      <c r="K956" s="2950">
        <v>145.97</v>
      </c>
      <c r="L956" s="2950">
        <v>106.48</v>
      </c>
      <c r="M956" s="2951">
        <v>14666481</v>
      </c>
      <c r="N956" s="2951">
        <v>14666481</v>
      </c>
      <c r="O956" s="2952">
        <v>14666481</v>
      </c>
      <c r="P956" s="2953">
        <v>14666481</v>
      </c>
      <c r="Q956" s="2951">
        <v>14666481</v>
      </c>
      <c r="R956" s="2954">
        <v>44517</v>
      </c>
      <c r="S956" s="2954">
        <v>44517</v>
      </c>
      <c r="T956" s="2954">
        <v>44524</v>
      </c>
      <c r="U956" s="2954">
        <v>44524</v>
      </c>
      <c r="V956" s="2948" t="s">
        <v>1710</v>
      </c>
    </row>
    <row r="957" spans="1:22" s="2944" customFormat="1" ht="46.8" hidden="1">
      <c r="A957" s="2948">
        <v>956</v>
      </c>
      <c r="B957" s="2948" t="s">
        <v>635</v>
      </c>
      <c r="C957" s="2948" t="s">
        <v>636</v>
      </c>
      <c r="D957" s="2948" t="s">
        <v>1705</v>
      </c>
      <c r="E957" s="2948" t="s">
        <v>729</v>
      </c>
      <c r="F957" s="2948" t="s">
        <v>651</v>
      </c>
      <c r="G957" s="2948" t="s">
        <v>640</v>
      </c>
      <c r="H957" s="2948" t="s">
        <v>1708</v>
      </c>
      <c r="I957" s="2948" t="s">
        <v>854</v>
      </c>
      <c r="J957" s="2948" t="s">
        <v>643</v>
      </c>
      <c r="K957" s="2950">
        <v>175.54</v>
      </c>
      <c r="L957" s="2950">
        <v>128.05000000000001</v>
      </c>
      <c r="M957" s="2951">
        <v>17418132</v>
      </c>
      <c r="N957" s="2951">
        <v>17418132</v>
      </c>
      <c r="O957" s="2952">
        <v>17418132</v>
      </c>
      <c r="P957" s="2953">
        <v>17418132</v>
      </c>
      <c r="Q957" s="2951">
        <v>17418132</v>
      </c>
      <c r="R957" s="2954">
        <v>44957</v>
      </c>
      <c r="S957" s="2954">
        <v>45016</v>
      </c>
      <c r="T957" s="2954">
        <v>45097</v>
      </c>
      <c r="U957" s="2954">
        <v>45097</v>
      </c>
      <c r="V957" s="2948" t="s">
        <v>1711</v>
      </c>
    </row>
    <row r="958" spans="1:22" s="2944" customFormat="1" ht="46.8" hidden="1">
      <c r="A958" s="2948">
        <v>957</v>
      </c>
      <c r="B958" s="2948" t="s">
        <v>635</v>
      </c>
      <c r="C958" s="2948" t="s">
        <v>636</v>
      </c>
      <c r="D958" s="2948" t="s">
        <v>1705</v>
      </c>
      <c r="E958" s="2948" t="s">
        <v>729</v>
      </c>
      <c r="F958" s="2948" t="s">
        <v>653</v>
      </c>
      <c r="G958" s="2948" t="s">
        <v>640</v>
      </c>
      <c r="H958" s="2948" t="s">
        <v>1709</v>
      </c>
      <c r="I958" s="2948" t="s">
        <v>854</v>
      </c>
      <c r="J958" s="2948" t="s">
        <v>643</v>
      </c>
      <c r="K958" s="2950">
        <v>145.97</v>
      </c>
      <c r="L958" s="2950">
        <v>106.48</v>
      </c>
      <c r="M958" s="2951">
        <v>14812451</v>
      </c>
      <c r="N958" s="2951">
        <v>14812451</v>
      </c>
      <c r="O958" s="2952">
        <v>14812451</v>
      </c>
      <c r="P958" s="2953">
        <v>14812451</v>
      </c>
      <c r="Q958" s="2951">
        <v>14812451</v>
      </c>
      <c r="R958" s="2954">
        <v>44452</v>
      </c>
      <c r="S958" s="2954">
        <v>44469</v>
      </c>
      <c r="T958" s="2954">
        <v>44503</v>
      </c>
      <c r="U958" s="2954">
        <v>44503</v>
      </c>
      <c r="V958" s="2948" t="s">
        <v>1712</v>
      </c>
    </row>
    <row r="959" spans="1:22" s="2944" customFormat="1" ht="46.8" hidden="1">
      <c r="A959" s="2948">
        <v>958</v>
      </c>
      <c r="B959" s="2948" t="s">
        <v>635</v>
      </c>
      <c r="C959" s="2948" t="s">
        <v>636</v>
      </c>
      <c r="D959" s="2948" t="s">
        <v>1705</v>
      </c>
      <c r="E959" s="2948" t="s">
        <v>729</v>
      </c>
      <c r="F959" s="2948" t="s">
        <v>655</v>
      </c>
      <c r="G959" s="2948" t="s">
        <v>640</v>
      </c>
      <c r="H959" s="2948" t="s">
        <v>1708</v>
      </c>
      <c r="I959" s="2948" t="s">
        <v>854</v>
      </c>
      <c r="J959" s="2948" t="s">
        <v>643</v>
      </c>
      <c r="K959" s="2950">
        <v>175.54</v>
      </c>
      <c r="L959" s="2950">
        <v>128.05000000000001</v>
      </c>
      <c r="M959" s="2951">
        <v>17593672</v>
      </c>
      <c r="N959" s="2951">
        <v>17593672</v>
      </c>
      <c r="O959" s="2952">
        <v>17593672</v>
      </c>
      <c r="P959" s="2953">
        <v>17593672</v>
      </c>
      <c r="Q959" s="2951">
        <v>17593672</v>
      </c>
      <c r="R959" s="2954">
        <v>44860.716550925899</v>
      </c>
      <c r="S959" s="2954">
        <v>44860</v>
      </c>
      <c r="T959" s="2954">
        <v>44921</v>
      </c>
      <c r="U959" s="2954">
        <v>44921</v>
      </c>
      <c r="V959" s="2948" t="s">
        <v>1713</v>
      </c>
    </row>
    <row r="960" spans="1:22" s="2944" customFormat="1" ht="46.8" hidden="1">
      <c r="A960" s="2948">
        <v>959</v>
      </c>
      <c r="B960" s="2948" t="s">
        <v>635</v>
      </c>
      <c r="C960" s="2948" t="s">
        <v>636</v>
      </c>
      <c r="D960" s="2948" t="s">
        <v>1705</v>
      </c>
      <c r="E960" s="2948" t="s">
        <v>729</v>
      </c>
      <c r="F960" s="2948" t="s">
        <v>657</v>
      </c>
      <c r="G960" s="2948" t="s">
        <v>640</v>
      </c>
      <c r="H960" s="2948" t="s">
        <v>1709</v>
      </c>
      <c r="I960" s="2948" t="s">
        <v>854</v>
      </c>
      <c r="J960" s="2948" t="s">
        <v>643</v>
      </c>
      <c r="K960" s="2950">
        <v>145.97</v>
      </c>
      <c r="L960" s="2950">
        <v>106.48</v>
      </c>
      <c r="M960" s="2951">
        <v>14958421</v>
      </c>
      <c r="N960" s="2951">
        <v>14958421</v>
      </c>
      <c r="O960" s="2952">
        <v>14958421</v>
      </c>
      <c r="P960" s="2953">
        <v>14958421</v>
      </c>
      <c r="Q960" s="2951">
        <v>14958421</v>
      </c>
      <c r="R960" s="2954">
        <v>44451</v>
      </c>
      <c r="S960" s="2954">
        <v>44459</v>
      </c>
      <c r="T960" s="2954">
        <v>44505</v>
      </c>
      <c r="U960" s="2954">
        <v>44505</v>
      </c>
      <c r="V960" s="2948" t="s">
        <v>1714</v>
      </c>
    </row>
    <row r="961" spans="1:22" s="2944" customFormat="1" ht="46.8" hidden="1">
      <c r="A961" s="2948">
        <v>960</v>
      </c>
      <c r="B961" s="2948" t="s">
        <v>635</v>
      </c>
      <c r="C961" s="2948" t="s">
        <v>636</v>
      </c>
      <c r="D961" s="2948" t="s">
        <v>1705</v>
      </c>
      <c r="E961" s="2948" t="s">
        <v>729</v>
      </c>
      <c r="F961" s="2948" t="s">
        <v>659</v>
      </c>
      <c r="G961" s="2948" t="s">
        <v>640</v>
      </c>
      <c r="H961" s="2948" t="s">
        <v>1708</v>
      </c>
      <c r="I961" s="2948" t="s">
        <v>854</v>
      </c>
      <c r="J961" s="2948" t="s">
        <v>643</v>
      </c>
      <c r="K961" s="2950">
        <v>175.54</v>
      </c>
      <c r="L961" s="2950">
        <v>128.05000000000001</v>
      </c>
      <c r="M961" s="2951">
        <v>17769212</v>
      </c>
      <c r="N961" s="2951">
        <v>17769212</v>
      </c>
      <c r="O961" s="2952">
        <v>17769212</v>
      </c>
      <c r="P961" s="2953">
        <v>17769212</v>
      </c>
      <c r="Q961" s="2951">
        <v>17769212</v>
      </c>
      <c r="R961" s="2954">
        <v>44769</v>
      </c>
      <c r="S961" s="2954">
        <v>44831</v>
      </c>
      <c r="T961" s="2954">
        <v>45117</v>
      </c>
      <c r="U961" s="2954">
        <v>45117</v>
      </c>
      <c r="V961" s="2948" t="s">
        <v>1715</v>
      </c>
    </row>
    <row r="962" spans="1:22" s="2944" customFormat="1" ht="46.8" hidden="1">
      <c r="A962" s="2948">
        <v>961</v>
      </c>
      <c r="B962" s="2948" t="s">
        <v>635</v>
      </c>
      <c r="C962" s="2948" t="s">
        <v>636</v>
      </c>
      <c r="D962" s="2948" t="s">
        <v>1705</v>
      </c>
      <c r="E962" s="2948" t="s">
        <v>729</v>
      </c>
      <c r="F962" s="2948" t="s">
        <v>661</v>
      </c>
      <c r="G962" s="2948" t="s">
        <v>640</v>
      </c>
      <c r="H962" s="2948" t="s">
        <v>1709</v>
      </c>
      <c r="I962" s="2948" t="s">
        <v>854</v>
      </c>
      <c r="J962" s="2948" t="s">
        <v>643</v>
      </c>
      <c r="K962" s="2950">
        <v>145.97</v>
      </c>
      <c r="L962" s="2950">
        <v>106.48</v>
      </c>
      <c r="M962" s="2951">
        <v>15104391</v>
      </c>
      <c r="N962" s="2951">
        <v>15104391</v>
      </c>
      <c r="O962" s="2952">
        <v>15104391</v>
      </c>
      <c r="P962" s="2953">
        <v>15104391</v>
      </c>
      <c r="Q962" s="2951">
        <v>15104391</v>
      </c>
      <c r="R962" s="2954">
        <v>44453</v>
      </c>
      <c r="S962" s="2954">
        <v>44460</v>
      </c>
      <c r="T962" s="2954">
        <v>44498</v>
      </c>
      <c r="U962" s="2954">
        <v>44498</v>
      </c>
      <c r="V962" s="2948" t="s">
        <v>1716</v>
      </c>
    </row>
    <row r="963" spans="1:22" s="2944" customFormat="1" ht="46.8" hidden="1">
      <c r="A963" s="2948">
        <v>962</v>
      </c>
      <c r="B963" s="2948" t="s">
        <v>635</v>
      </c>
      <c r="C963" s="2948" t="s">
        <v>636</v>
      </c>
      <c r="D963" s="2948" t="s">
        <v>1705</v>
      </c>
      <c r="E963" s="2948" t="s">
        <v>729</v>
      </c>
      <c r="F963" s="2948" t="s">
        <v>663</v>
      </c>
      <c r="G963" s="2948" t="s">
        <v>640</v>
      </c>
      <c r="H963" s="2948" t="s">
        <v>1708</v>
      </c>
      <c r="I963" s="2948" t="s">
        <v>854</v>
      </c>
      <c r="J963" s="2948" t="s">
        <v>643</v>
      </c>
      <c r="K963" s="2950">
        <v>175.54</v>
      </c>
      <c r="L963" s="2950">
        <v>128.05000000000001</v>
      </c>
      <c r="M963" s="2951">
        <v>17944752</v>
      </c>
      <c r="N963" s="2951">
        <v>17944752</v>
      </c>
      <c r="O963" s="2952">
        <v>17944752</v>
      </c>
      <c r="P963" s="2953">
        <v>17944752</v>
      </c>
      <c r="Q963" s="2951">
        <v>17944752</v>
      </c>
      <c r="R963" s="2954">
        <v>44740</v>
      </c>
      <c r="S963" s="2954">
        <v>44772</v>
      </c>
      <c r="T963" s="2954">
        <v>44844</v>
      </c>
      <c r="U963" s="2954">
        <v>44844</v>
      </c>
      <c r="V963" s="2948" t="s">
        <v>1717</v>
      </c>
    </row>
    <row r="964" spans="1:22" s="2944" customFormat="1" ht="46.8" hidden="1">
      <c r="A964" s="2948">
        <v>963</v>
      </c>
      <c r="B964" s="2948" t="s">
        <v>635</v>
      </c>
      <c r="C964" s="2948" t="s">
        <v>636</v>
      </c>
      <c r="D964" s="2948" t="s">
        <v>1705</v>
      </c>
      <c r="E964" s="2948" t="s">
        <v>729</v>
      </c>
      <c r="F964" s="2948" t="s">
        <v>665</v>
      </c>
      <c r="G964" s="2948" t="s">
        <v>640</v>
      </c>
      <c r="H964" s="2948" t="s">
        <v>1709</v>
      </c>
      <c r="I964" s="2948" t="s">
        <v>854</v>
      </c>
      <c r="J964" s="2948" t="s">
        <v>643</v>
      </c>
      <c r="K964" s="2950">
        <v>145.97</v>
      </c>
      <c r="L964" s="2950">
        <v>106.48</v>
      </c>
      <c r="M964" s="2951">
        <v>15118988</v>
      </c>
      <c r="N964" s="2951">
        <v>15118988</v>
      </c>
      <c r="O964" s="2952">
        <v>15118988</v>
      </c>
      <c r="P964" s="2953">
        <v>15118988</v>
      </c>
      <c r="Q964" s="2951">
        <v>15118988</v>
      </c>
      <c r="R964" s="2954">
        <v>44452</v>
      </c>
      <c r="S964" s="2954">
        <v>44458</v>
      </c>
      <c r="T964" s="2954">
        <v>44504</v>
      </c>
      <c r="U964" s="2954">
        <v>44504</v>
      </c>
      <c r="V964" s="2948" t="s">
        <v>1718</v>
      </c>
    </row>
    <row r="965" spans="1:22" s="2944" customFormat="1" ht="46.8" hidden="1">
      <c r="A965" s="2948">
        <v>964</v>
      </c>
      <c r="B965" s="2948" t="s">
        <v>635</v>
      </c>
      <c r="C965" s="2948" t="s">
        <v>636</v>
      </c>
      <c r="D965" s="2948" t="s">
        <v>1705</v>
      </c>
      <c r="E965" s="2948" t="s">
        <v>729</v>
      </c>
      <c r="F965" s="2948" t="s">
        <v>667</v>
      </c>
      <c r="G965" s="2948" t="s">
        <v>640</v>
      </c>
      <c r="H965" s="2948" t="s">
        <v>1708</v>
      </c>
      <c r="I965" s="2948" t="s">
        <v>854</v>
      </c>
      <c r="J965" s="2948" t="s">
        <v>643</v>
      </c>
      <c r="K965" s="2950">
        <v>175.54</v>
      </c>
      <c r="L965" s="2950">
        <v>128.05000000000001</v>
      </c>
      <c r="M965" s="2951">
        <v>17962306</v>
      </c>
      <c r="N965" s="2951">
        <v>17962306</v>
      </c>
      <c r="O965" s="2952">
        <v>17962306</v>
      </c>
      <c r="P965" s="2953">
        <v>17962306</v>
      </c>
      <c r="Q965" s="2951">
        <v>17962306</v>
      </c>
      <c r="R965" s="2954">
        <v>44709</v>
      </c>
      <c r="S965" s="2954">
        <v>44709</v>
      </c>
      <c r="T965" s="2954">
        <v>44735</v>
      </c>
      <c r="U965" s="2954">
        <v>44735</v>
      </c>
      <c r="V965" s="2948" t="s">
        <v>1719</v>
      </c>
    </row>
    <row r="966" spans="1:22" s="2944" customFormat="1" ht="46.8" hidden="1">
      <c r="A966" s="2948">
        <v>965</v>
      </c>
      <c r="B966" s="2948" t="s">
        <v>635</v>
      </c>
      <c r="C966" s="2948" t="s">
        <v>636</v>
      </c>
      <c r="D966" s="2948" t="s">
        <v>1705</v>
      </c>
      <c r="E966" s="2948" t="s">
        <v>729</v>
      </c>
      <c r="F966" s="2948" t="s">
        <v>669</v>
      </c>
      <c r="G966" s="2948" t="s">
        <v>640</v>
      </c>
      <c r="H966" s="2948" t="s">
        <v>1709</v>
      </c>
      <c r="I966" s="2948" t="s">
        <v>854</v>
      </c>
      <c r="J966" s="2948" t="s">
        <v>643</v>
      </c>
      <c r="K966" s="2950">
        <v>145.97</v>
      </c>
      <c r="L966" s="2950">
        <v>106.48</v>
      </c>
      <c r="M966" s="2951">
        <v>15133585</v>
      </c>
      <c r="N966" s="2951">
        <v>15133585</v>
      </c>
      <c r="O966" s="2952">
        <v>15133585</v>
      </c>
      <c r="P966" s="2953">
        <v>15133585</v>
      </c>
      <c r="Q966" s="2951">
        <v>15133585</v>
      </c>
      <c r="R966" s="2954">
        <v>44453</v>
      </c>
      <c r="S966" s="2954">
        <v>44459</v>
      </c>
      <c r="T966" s="2954">
        <v>44506</v>
      </c>
      <c r="U966" s="2954">
        <v>44506</v>
      </c>
      <c r="V966" s="2948" t="s">
        <v>1720</v>
      </c>
    </row>
    <row r="967" spans="1:22" s="2944" customFormat="1" ht="46.8" hidden="1">
      <c r="A967" s="2948">
        <v>966</v>
      </c>
      <c r="B967" s="2948" t="s">
        <v>635</v>
      </c>
      <c r="C967" s="2948" t="s">
        <v>636</v>
      </c>
      <c r="D967" s="2948" t="s">
        <v>1705</v>
      </c>
      <c r="E967" s="2948" t="s">
        <v>729</v>
      </c>
      <c r="F967" s="2948" t="s">
        <v>671</v>
      </c>
      <c r="G967" s="2948" t="s">
        <v>640</v>
      </c>
      <c r="H967" s="2948" t="s">
        <v>1708</v>
      </c>
      <c r="I967" s="2948" t="s">
        <v>854</v>
      </c>
      <c r="J967" s="2948" t="s">
        <v>643</v>
      </c>
      <c r="K967" s="2950">
        <v>175.54</v>
      </c>
      <c r="L967" s="2950">
        <v>128.05000000000001</v>
      </c>
      <c r="M967" s="2951">
        <v>17979860</v>
      </c>
      <c r="N967" s="2951">
        <v>17979860</v>
      </c>
      <c r="O967" s="2952">
        <v>17979860</v>
      </c>
      <c r="P967" s="2953">
        <v>17979860</v>
      </c>
      <c r="Q967" s="2951">
        <v>17979860</v>
      </c>
      <c r="R967" s="2954">
        <v>44712</v>
      </c>
      <c r="S967" s="2954">
        <v>44739</v>
      </c>
      <c r="T967" s="2954">
        <v>44854</v>
      </c>
      <c r="U967" s="2954">
        <v>44854</v>
      </c>
      <c r="V967" s="2948" t="s">
        <v>1721</v>
      </c>
    </row>
    <row r="968" spans="1:22" s="2944" customFormat="1" ht="46.8" hidden="1">
      <c r="A968" s="2948">
        <v>967</v>
      </c>
      <c r="B968" s="2948" t="s">
        <v>635</v>
      </c>
      <c r="C968" s="2948" t="s">
        <v>636</v>
      </c>
      <c r="D968" s="2948" t="s">
        <v>1705</v>
      </c>
      <c r="E968" s="2948" t="s">
        <v>729</v>
      </c>
      <c r="F968" s="2948" t="s">
        <v>673</v>
      </c>
      <c r="G968" s="2948" t="s">
        <v>640</v>
      </c>
      <c r="H968" s="2948" t="s">
        <v>1709</v>
      </c>
      <c r="I968" s="2948" t="s">
        <v>854</v>
      </c>
      <c r="J968" s="2948" t="s">
        <v>643</v>
      </c>
      <c r="K968" s="2950">
        <v>145.97</v>
      </c>
      <c r="L968" s="2950">
        <v>106.48</v>
      </c>
      <c r="M968" s="2951">
        <v>15148182</v>
      </c>
      <c r="N968" s="2951">
        <v>15148182</v>
      </c>
      <c r="O968" s="2952">
        <v>15148182</v>
      </c>
      <c r="P968" s="2953">
        <v>15148182</v>
      </c>
      <c r="Q968" s="2951">
        <v>15148182</v>
      </c>
      <c r="R968" s="2954">
        <v>44452</v>
      </c>
      <c r="S968" s="2954">
        <v>44454</v>
      </c>
      <c r="T968" s="2954">
        <v>44501</v>
      </c>
      <c r="U968" s="2954">
        <v>44501</v>
      </c>
      <c r="V968" s="2948" t="s">
        <v>1722</v>
      </c>
    </row>
    <row r="969" spans="1:22" s="2944" customFormat="1" ht="46.8" hidden="1">
      <c r="A969" s="2948">
        <v>968</v>
      </c>
      <c r="B969" s="2948" t="s">
        <v>635</v>
      </c>
      <c r="C969" s="2948" t="s">
        <v>636</v>
      </c>
      <c r="D969" s="2948" t="s">
        <v>1705</v>
      </c>
      <c r="E969" s="2948" t="s">
        <v>729</v>
      </c>
      <c r="F969" s="2948" t="s">
        <v>675</v>
      </c>
      <c r="G969" s="2948" t="s">
        <v>640</v>
      </c>
      <c r="H969" s="2948" t="s">
        <v>1708</v>
      </c>
      <c r="I969" s="2948" t="s">
        <v>854</v>
      </c>
      <c r="J969" s="2948" t="s">
        <v>643</v>
      </c>
      <c r="K969" s="2950">
        <v>175.54</v>
      </c>
      <c r="L969" s="2950">
        <v>128.05000000000001</v>
      </c>
      <c r="M969" s="2951">
        <v>17997414</v>
      </c>
      <c r="N969" s="2951">
        <v>17997414</v>
      </c>
      <c r="O969" s="2952">
        <v>17997414</v>
      </c>
      <c r="P969" s="2953">
        <v>17997414</v>
      </c>
      <c r="Q969" s="2951">
        <v>17997414</v>
      </c>
      <c r="R969" s="2954">
        <v>44669</v>
      </c>
      <c r="S969" s="2954">
        <v>44678</v>
      </c>
      <c r="T969" s="2954">
        <v>44726</v>
      </c>
      <c r="U969" s="2954">
        <v>44726</v>
      </c>
      <c r="V969" s="2948" t="s">
        <v>1723</v>
      </c>
    </row>
    <row r="970" spans="1:22" s="2944" customFormat="1" ht="46.8" hidden="1">
      <c r="A970" s="2948">
        <v>969</v>
      </c>
      <c r="B970" s="2948" t="s">
        <v>635</v>
      </c>
      <c r="C970" s="2948" t="s">
        <v>636</v>
      </c>
      <c r="D970" s="2948" t="s">
        <v>1705</v>
      </c>
      <c r="E970" s="2948" t="s">
        <v>729</v>
      </c>
      <c r="F970" s="2948" t="s">
        <v>677</v>
      </c>
      <c r="G970" s="2948" t="s">
        <v>640</v>
      </c>
      <c r="H970" s="2948" t="s">
        <v>1709</v>
      </c>
      <c r="I970" s="2948" t="s">
        <v>854</v>
      </c>
      <c r="J970" s="2948" t="s">
        <v>643</v>
      </c>
      <c r="K970" s="2950">
        <v>145.97</v>
      </c>
      <c r="L970" s="2950">
        <v>106.48</v>
      </c>
      <c r="M970" s="2951">
        <v>15162779</v>
      </c>
      <c r="N970" s="2951">
        <v>15162779</v>
      </c>
      <c r="O970" s="2952">
        <v>15162779</v>
      </c>
      <c r="P970" s="2953">
        <v>15162779</v>
      </c>
      <c r="Q970" s="2951">
        <v>15162779</v>
      </c>
      <c r="R970" s="2954">
        <v>44453</v>
      </c>
      <c r="S970" s="2954">
        <v>44461</v>
      </c>
      <c r="T970" s="2954">
        <v>44644</v>
      </c>
      <c r="U970" s="2954">
        <v>44643</v>
      </c>
      <c r="V970" s="2948" t="s">
        <v>1724</v>
      </c>
    </row>
    <row r="971" spans="1:22" s="2944" customFormat="1" ht="46.8" hidden="1">
      <c r="A971" s="2948">
        <v>970</v>
      </c>
      <c r="B971" s="2948" t="s">
        <v>635</v>
      </c>
      <c r="C971" s="2948" t="s">
        <v>636</v>
      </c>
      <c r="D971" s="2948" t="s">
        <v>1705</v>
      </c>
      <c r="E971" s="2948" t="s">
        <v>729</v>
      </c>
      <c r="F971" s="2948" t="s">
        <v>679</v>
      </c>
      <c r="G971" s="2948" t="s">
        <v>640</v>
      </c>
      <c r="H971" s="2948" t="s">
        <v>1708</v>
      </c>
      <c r="I971" s="2948" t="s">
        <v>854</v>
      </c>
      <c r="J971" s="2948" t="s">
        <v>643</v>
      </c>
      <c r="K971" s="2950">
        <v>175.54</v>
      </c>
      <c r="L971" s="2950">
        <v>128.05000000000001</v>
      </c>
      <c r="M971" s="2951">
        <v>18014968</v>
      </c>
      <c r="N971" s="2951">
        <v>18014968</v>
      </c>
      <c r="O971" s="2952">
        <v>18014968</v>
      </c>
      <c r="P971" s="2953">
        <v>18014968</v>
      </c>
      <c r="Q971" s="2951">
        <v>18014968</v>
      </c>
      <c r="R971" s="2954">
        <v>44698</v>
      </c>
      <c r="S971" s="2954">
        <v>44741</v>
      </c>
      <c r="T971" s="2954">
        <v>44819</v>
      </c>
      <c r="U971" s="2954">
        <v>44819</v>
      </c>
      <c r="V971" s="2948" t="s">
        <v>1725</v>
      </c>
    </row>
    <row r="972" spans="1:22" s="2944" customFormat="1" ht="46.8" hidden="1">
      <c r="A972" s="2948">
        <v>971</v>
      </c>
      <c r="B972" s="2948" t="s">
        <v>635</v>
      </c>
      <c r="C972" s="2948" t="s">
        <v>636</v>
      </c>
      <c r="D972" s="2948" t="s">
        <v>1705</v>
      </c>
      <c r="E972" s="2948" t="s">
        <v>729</v>
      </c>
      <c r="F972" s="2948" t="s">
        <v>681</v>
      </c>
      <c r="G972" s="2948" t="s">
        <v>640</v>
      </c>
      <c r="H972" s="2948" t="s">
        <v>1709</v>
      </c>
      <c r="I972" s="2948" t="s">
        <v>854</v>
      </c>
      <c r="J972" s="2948" t="s">
        <v>643</v>
      </c>
      <c r="K972" s="2950">
        <v>145.97</v>
      </c>
      <c r="L972" s="2950">
        <v>106.48</v>
      </c>
      <c r="M972" s="2951">
        <v>15177376</v>
      </c>
      <c r="N972" s="2951">
        <v>15177376</v>
      </c>
      <c r="O972" s="2952">
        <v>15177376</v>
      </c>
      <c r="P972" s="2953">
        <v>15177376</v>
      </c>
      <c r="Q972" s="2951">
        <v>15177376</v>
      </c>
      <c r="R972" s="2954">
        <v>44450</v>
      </c>
      <c r="S972" s="2954">
        <v>44467</v>
      </c>
      <c r="T972" s="2954">
        <v>45050</v>
      </c>
      <c r="U972" s="2954">
        <v>45050</v>
      </c>
      <c r="V972" s="2948" t="s">
        <v>1726</v>
      </c>
    </row>
    <row r="973" spans="1:22" s="2944" customFormat="1" ht="46.8" hidden="1">
      <c r="A973" s="2948">
        <v>972</v>
      </c>
      <c r="B973" s="2948" t="s">
        <v>635</v>
      </c>
      <c r="C973" s="2948" t="s">
        <v>636</v>
      </c>
      <c r="D973" s="2948" t="s">
        <v>1705</v>
      </c>
      <c r="E973" s="2948" t="s">
        <v>729</v>
      </c>
      <c r="F973" s="2948" t="s">
        <v>683</v>
      </c>
      <c r="G973" s="2948" t="s">
        <v>640</v>
      </c>
      <c r="H973" s="2948" t="s">
        <v>1708</v>
      </c>
      <c r="I973" s="2948" t="s">
        <v>854</v>
      </c>
      <c r="J973" s="2948" t="s">
        <v>643</v>
      </c>
      <c r="K973" s="2950">
        <v>175.54</v>
      </c>
      <c r="L973" s="2950">
        <v>128.05000000000001</v>
      </c>
      <c r="M973" s="2951">
        <v>18032522</v>
      </c>
      <c r="N973" s="2951">
        <v>18032522</v>
      </c>
      <c r="O973" s="2952">
        <v>18032522</v>
      </c>
      <c r="P973" s="2953">
        <v>18032522</v>
      </c>
      <c r="Q973" s="2951">
        <v>18032522</v>
      </c>
      <c r="R973" s="2954">
        <v>44641</v>
      </c>
      <c r="S973" s="2954">
        <v>44651</v>
      </c>
      <c r="T973" s="2954">
        <v>44859</v>
      </c>
      <c r="U973" s="2954">
        <v>44859</v>
      </c>
      <c r="V973" s="2948" t="s">
        <v>1727</v>
      </c>
    </row>
    <row r="974" spans="1:22" s="2944" customFormat="1" ht="46.8" hidden="1">
      <c r="A974" s="2948">
        <v>973</v>
      </c>
      <c r="B974" s="2948" t="s">
        <v>635</v>
      </c>
      <c r="C974" s="2948" t="s">
        <v>636</v>
      </c>
      <c r="D974" s="2948" t="s">
        <v>1705</v>
      </c>
      <c r="E974" s="2948" t="s">
        <v>729</v>
      </c>
      <c r="F974" s="2948" t="s">
        <v>685</v>
      </c>
      <c r="G974" s="2948" t="s">
        <v>640</v>
      </c>
      <c r="H974" s="2948" t="s">
        <v>1709</v>
      </c>
      <c r="I974" s="2948" t="s">
        <v>854</v>
      </c>
      <c r="J974" s="2948" t="s">
        <v>643</v>
      </c>
      <c r="K974" s="2950">
        <v>145.97</v>
      </c>
      <c r="L974" s="2950">
        <v>106.48</v>
      </c>
      <c r="M974" s="2951">
        <v>15191973</v>
      </c>
      <c r="N974" s="2951">
        <v>15191973</v>
      </c>
      <c r="O974" s="2952">
        <v>15191973</v>
      </c>
      <c r="P974" s="2953">
        <v>15191973</v>
      </c>
      <c r="Q974" s="2951">
        <v>15191973</v>
      </c>
      <c r="R974" s="2954">
        <v>44450</v>
      </c>
      <c r="S974" s="2954">
        <v>44459</v>
      </c>
      <c r="T974" s="2954">
        <v>44504</v>
      </c>
      <c r="U974" s="2954">
        <v>44504</v>
      </c>
      <c r="V974" s="2948" t="s">
        <v>1728</v>
      </c>
    </row>
    <row r="975" spans="1:22" s="2944" customFormat="1" ht="46.8" hidden="1">
      <c r="A975" s="2948">
        <v>974</v>
      </c>
      <c r="B975" s="2948" t="s">
        <v>635</v>
      </c>
      <c r="C975" s="2948" t="s">
        <v>636</v>
      </c>
      <c r="D975" s="2948" t="s">
        <v>1705</v>
      </c>
      <c r="E975" s="2948" t="s">
        <v>729</v>
      </c>
      <c r="F975" s="2948" t="s">
        <v>687</v>
      </c>
      <c r="G975" s="2948" t="s">
        <v>640</v>
      </c>
      <c r="H975" s="2948" t="s">
        <v>1708</v>
      </c>
      <c r="I975" s="2948" t="s">
        <v>854</v>
      </c>
      <c r="J975" s="2948" t="s">
        <v>643</v>
      </c>
      <c r="K975" s="2950">
        <v>175.54</v>
      </c>
      <c r="L975" s="2950">
        <v>128.05000000000001</v>
      </c>
      <c r="M975" s="2951">
        <v>18050076</v>
      </c>
      <c r="N975" s="2951">
        <v>18050076</v>
      </c>
      <c r="O975" s="2952">
        <v>18050076</v>
      </c>
      <c r="P975" s="2953">
        <v>18050076</v>
      </c>
      <c r="Q975" s="2951">
        <v>18050076</v>
      </c>
      <c r="R975" s="2954">
        <v>44797.692476851902</v>
      </c>
      <c r="S975" s="2954">
        <v>44830</v>
      </c>
      <c r="T975" s="2954">
        <v>45013</v>
      </c>
      <c r="U975" s="2954">
        <v>45013</v>
      </c>
      <c r="V975" s="2948" t="s">
        <v>1729</v>
      </c>
    </row>
    <row r="976" spans="1:22" s="2944" customFormat="1" ht="46.8" hidden="1">
      <c r="A976" s="2948">
        <v>975</v>
      </c>
      <c r="B976" s="2948" t="s">
        <v>635</v>
      </c>
      <c r="C976" s="2948" t="s">
        <v>636</v>
      </c>
      <c r="D976" s="2948" t="s">
        <v>1705</v>
      </c>
      <c r="E976" s="2948" t="s">
        <v>729</v>
      </c>
      <c r="F976" s="2948" t="s">
        <v>689</v>
      </c>
      <c r="G976" s="2948" t="s">
        <v>640</v>
      </c>
      <c r="H976" s="2948" t="s">
        <v>1709</v>
      </c>
      <c r="I976" s="2948" t="s">
        <v>854</v>
      </c>
      <c r="J976" s="2948" t="s">
        <v>643</v>
      </c>
      <c r="K976" s="2950">
        <v>145.97</v>
      </c>
      <c r="L976" s="2950">
        <v>106.48</v>
      </c>
      <c r="M976" s="2951">
        <v>15206570</v>
      </c>
      <c r="N976" s="2951">
        <v>15206570</v>
      </c>
      <c r="O976" s="2952">
        <v>15206570</v>
      </c>
      <c r="P976" s="2953">
        <v>15206570</v>
      </c>
      <c r="Q976" s="2951">
        <v>15206570</v>
      </c>
      <c r="R976" s="2954">
        <v>44453</v>
      </c>
      <c r="S976" s="2954">
        <v>44457</v>
      </c>
      <c r="T976" s="2954">
        <v>44506</v>
      </c>
      <c r="U976" s="2954">
        <v>44506</v>
      </c>
      <c r="V976" s="2948" t="s">
        <v>1730</v>
      </c>
    </row>
    <row r="977" spans="1:22" s="2944" customFormat="1" ht="46.8" hidden="1">
      <c r="A977" s="2948">
        <v>976</v>
      </c>
      <c r="B977" s="2948" t="s">
        <v>635</v>
      </c>
      <c r="C977" s="2948" t="s">
        <v>636</v>
      </c>
      <c r="D977" s="2948" t="s">
        <v>1705</v>
      </c>
      <c r="E977" s="2948" t="s">
        <v>729</v>
      </c>
      <c r="F977" s="2948" t="s">
        <v>691</v>
      </c>
      <c r="G977" s="2948" t="s">
        <v>640</v>
      </c>
      <c r="H977" s="2948" t="s">
        <v>1708</v>
      </c>
      <c r="I977" s="2948" t="s">
        <v>854</v>
      </c>
      <c r="J977" s="2948" t="s">
        <v>643</v>
      </c>
      <c r="K977" s="2950">
        <v>175.54</v>
      </c>
      <c r="L977" s="2950">
        <v>128.05000000000001</v>
      </c>
      <c r="M977" s="2951">
        <v>18067630</v>
      </c>
      <c r="N977" s="2951">
        <v>18067630</v>
      </c>
      <c r="O977" s="2952">
        <v>17164249</v>
      </c>
      <c r="P977" s="2953">
        <v>17164249</v>
      </c>
      <c r="Q977" s="2951">
        <v>17164249</v>
      </c>
      <c r="R977" s="2954">
        <v>44650</v>
      </c>
      <c r="S977" s="2954">
        <v>44679</v>
      </c>
      <c r="T977" s="2954">
        <v>44735</v>
      </c>
      <c r="U977" s="2954">
        <v>44735</v>
      </c>
      <c r="V977" s="2948" t="s">
        <v>1731</v>
      </c>
    </row>
    <row r="978" spans="1:22" s="2944" customFormat="1" ht="46.8" hidden="1">
      <c r="A978" s="2948">
        <v>977</v>
      </c>
      <c r="B978" s="2948" t="s">
        <v>635</v>
      </c>
      <c r="C978" s="2948" t="s">
        <v>636</v>
      </c>
      <c r="D978" s="2948" t="s">
        <v>1705</v>
      </c>
      <c r="E978" s="2948" t="s">
        <v>729</v>
      </c>
      <c r="F978" s="2948" t="s">
        <v>693</v>
      </c>
      <c r="G978" s="2948" t="s">
        <v>640</v>
      </c>
      <c r="H978" s="2948" t="s">
        <v>1709</v>
      </c>
      <c r="I978" s="2948" t="s">
        <v>854</v>
      </c>
      <c r="J978" s="2948" t="s">
        <v>643</v>
      </c>
      <c r="K978" s="2950">
        <v>145.97</v>
      </c>
      <c r="L978" s="2950">
        <v>106.48</v>
      </c>
      <c r="M978" s="2951">
        <v>15221167</v>
      </c>
      <c r="N978" s="2951">
        <v>15221167</v>
      </c>
      <c r="O978" s="2952">
        <v>15221167</v>
      </c>
      <c r="P978" s="2953">
        <v>15221167</v>
      </c>
      <c r="Q978" s="2951">
        <v>15221167</v>
      </c>
      <c r="R978" s="2954">
        <v>44457</v>
      </c>
      <c r="S978" s="2954">
        <v>44469</v>
      </c>
      <c r="T978" s="2954">
        <v>44643</v>
      </c>
      <c r="U978" s="2954">
        <v>44643</v>
      </c>
      <c r="V978" s="2948" t="s">
        <v>1732</v>
      </c>
    </row>
    <row r="979" spans="1:22" s="2944" customFormat="1" ht="46.8" hidden="1">
      <c r="A979" s="2948">
        <v>978</v>
      </c>
      <c r="B979" s="2948" t="s">
        <v>635</v>
      </c>
      <c r="C979" s="2948" t="s">
        <v>636</v>
      </c>
      <c r="D979" s="2948" t="s">
        <v>1705</v>
      </c>
      <c r="E979" s="2948" t="s">
        <v>729</v>
      </c>
      <c r="F979" s="2948" t="s">
        <v>694</v>
      </c>
      <c r="G979" s="2948" t="s">
        <v>640</v>
      </c>
      <c r="H979" s="2948" t="s">
        <v>1708</v>
      </c>
      <c r="I979" s="2948" t="s">
        <v>854</v>
      </c>
      <c r="J979" s="2948" t="s">
        <v>643</v>
      </c>
      <c r="K979" s="2950">
        <v>175.54</v>
      </c>
      <c r="L979" s="2950">
        <v>128.05000000000001</v>
      </c>
      <c r="M979" s="2951">
        <v>18085184</v>
      </c>
      <c r="N979" s="2951">
        <v>18085184</v>
      </c>
      <c r="O979" s="2952">
        <v>18085184</v>
      </c>
      <c r="P979" s="2953">
        <v>18085184</v>
      </c>
      <c r="Q979" s="2951">
        <v>18085184</v>
      </c>
      <c r="R979" s="2954">
        <v>44519</v>
      </c>
      <c r="S979" s="2954">
        <v>44588</v>
      </c>
      <c r="T979" s="2954">
        <v>44653</v>
      </c>
      <c r="U979" s="2954">
        <v>44653</v>
      </c>
      <c r="V979" s="2948" t="s">
        <v>1733</v>
      </c>
    </row>
    <row r="980" spans="1:22" s="2944" customFormat="1" ht="46.8" hidden="1">
      <c r="A980" s="2948">
        <v>979</v>
      </c>
      <c r="B980" s="2948" t="s">
        <v>635</v>
      </c>
      <c r="C980" s="2948" t="s">
        <v>636</v>
      </c>
      <c r="D980" s="2948" t="s">
        <v>1705</v>
      </c>
      <c r="E980" s="2948" t="s">
        <v>729</v>
      </c>
      <c r="F980" s="2948" t="s">
        <v>696</v>
      </c>
      <c r="G980" s="2948" t="s">
        <v>640</v>
      </c>
      <c r="H980" s="2948" t="s">
        <v>1709</v>
      </c>
      <c r="I980" s="2948" t="s">
        <v>854</v>
      </c>
      <c r="J980" s="2948" t="s">
        <v>643</v>
      </c>
      <c r="K980" s="2950">
        <v>145.97</v>
      </c>
      <c r="L980" s="2950">
        <v>106.48</v>
      </c>
      <c r="M980" s="2951">
        <v>15235764</v>
      </c>
      <c r="N980" s="2951">
        <v>15235764</v>
      </c>
      <c r="O980" s="2952">
        <v>15235764</v>
      </c>
      <c r="P980" s="2953">
        <v>15235764</v>
      </c>
      <c r="Q980" s="2951">
        <v>15235764</v>
      </c>
      <c r="R980" s="2954">
        <v>44449</v>
      </c>
      <c r="S980" s="2954">
        <v>44459</v>
      </c>
      <c r="T980" s="2954">
        <v>44637</v>
      </c>
      <c r="U980" s="2954">
        <v>44637</v>
      </c>
      <c r="V980" s="2948" t="s">
        <v>1734</v>
      </c>
    </row>
    <row r="981" spans="1:22" s="2944" customFormat="1" ht="46.8" hidden="1">
      <c r="A981" s="2948">
        <v>980</v>
      </c>
      <c r="B981" s="2948" t="s">
        <v>635</v>
      </c>
      <c r="C981" s="2948" t="s">
        <v>636</v>
      </c>
      <c r="D981" s="2948" t="s">
        <v>1705</v>
      </c>
      <c r="E981" s="2948" t="s">
        <v>729</v>
      </c>
      <c r="F981" s="2948" t="s">
        <v>698</v>
      </c>
      <c r="G981" s="2948" t="s">
        <v>640</v>
      </c>
      <c r="H981" s="2948" t="s">
        <v>1708</v>
      </c>
      <c r="I981" s="2948" t="s">
        <v>854</v>
      </c>
      <c r="J981" s="2948" t="s">
        <v>643</v>
      </c>
      <c r="K981" s="2950">
        <v>175.54</v>
      </c>
      <c r="L981" s="2950">
        <v>128.05000000000001</v>
      </c>
      <c r="M981" s="2951">
        <v>18102738</v>
      </c>
      <c r="N981" s="2951">
        <v>18102738</v>
      </c>
      <c r="O981" s="2952">
        <v>18102738</v>
      </c>
      <c r="P981" s="2953">
        <v>18102738</v>
      </c>
      <c r="Q981" s="2951">
        <v>18102738</v>
      </c>
      <c r="R981" s="2954">
        <v>44651</v>
      </c>
      <c r="S981" s="2954">
        <v>44707</v>
      </c>
      <c r="T981" s="2954">
        <v>44735</v>
      </c>
      <c r="U981" s="2954">
        <v>44735</v>
      </c>
      <c r="V981" s="2948" t="s">
        <v>1735</v>
      </c>
    </row>
    <row r="982" spans="1:22" s="2944" customFormat="1" ht="46.8" hidden="1">
      <c r="A982" s="2948">
        <v>981</v>
      </c>
      <c r="B982" s="2948" t="s">
        <v>635</v>
      </c>
      <c r="C982" s="2948" t="s">
        <v>636</v>
      </c>
      <c r="D982" s="2948" t="s">
        <v>1705</v>
      </c>
      <c r="E982" s="2948" t="s">
        <v>729</v>
      </c>
      <c r="F982" s="2948" t="s">
        <v>760</v>
      </c>
      <c r="G982" s="2948" t="s">
        <v>640</v>
      </c>
      <c r="H982" s="2948" t="s">
        <v>1709</v>
      </c>
      <c r="I982" s="2948" t="s">
        <v>854</v>
      </c>
      <c r="J982" s="2948" t="s">
        <v>643</v>
      </c>
      <c r="K982" s="2950">
        <v>145.97</v>
      </c>
      <c r="L982" s="2950">
        <v>106.48</v>
      </c>
      <c r="M982" s="2951">
        <v>15527704</v>
      </c>
      <c r="N982" s="2951">
        <v>15527704</v>
      </c>
      <c r="O982" s="2952">
        <v>15527704</v>
      </c>
      <c r="P982" s="2953">
        <v>15527704</v>
      </c>
      <c r="Q982" s="2951">
        <v>15527704</v>
      </c>
      <c r="R982" s="2954">
        <v>44453</v>
      </c>
      <c r="S982" s="2954">
        <v>44463</v>
      </c>
      <c r="T982" s="2954">
        <v>44496</v>
      </c>
      <c r="U982" s="2954">
        <v>44496</v>
      </c>
      <c r="V982" s="2948" t="s">
        <v>1736</v>
      </c>
    </row>
    <row r="983" spans="1:22" s="2944" customFormat="1" ht="46.8" hidden="1">
      <c r="A983" s="2948">
        <v>982</v>
      </c>
      <c r="B983" s="2948" t="s">
        <v>635</v>
      </c>
      <c r="C983" s="2948" t="s">
        <v>636</v>
      </c>
      <c r="D983" s="2948" t="s">
        <v>1705</v>
      </c>
      <c r="E983" s="2948" t="s">
        <v>729</v>
      </c>
      <c r="F983" s="2948" t="s">
        <v>762</v>
      </c>
      <c r="G983" s="2948" t="s">
        <v>640</v>
      </c>
      <c r="H983" s="2948" t="s">
        <v>1708</v>
      </c>
      <c r="I983" s="2948" t="s">
        <v>854</v>
      </c>
      <c r="J983" s="2948" t="s">
        <v>643</v>
      </c>
      <c r="K983" s="2950">
        <v>175.54</v>
      </c>
      <c r="L983" s="2950">
        <v>128.05000000000001</v>
      </c>
      <c r="M983" s="2951">
        <v>18453818</v>
      </c>
      <c r="N983" s="2951">
        <v>18453818</v>
      </c>
      <c r="O983" s="2952">
        <v>18453818</v>
      </c>
      <c r="P983" s="2953">
        <v>18453818</v>
      </c>
      <c r="Q983" s="2951">
        <v>18453818</v>
      </c>
      <c r="R983" s="2954">
        <v>44669.5324189815</v>
      </c>
      <c r="S983" s="2954">
        <v>44680</v>
      </c>
      <c r="T983" s="2954">
        <v>44726</v>
      </c>
      <c r="U983" s="2954">
        <v>44726</v>
      </c>
      <c r="V983" s="2948" t="s">
        <v>1737</v>
      </c>
    </row>
    <row r="984" spans="1:22" s="2944" customFormat="1" ht="46.8" hidden="1">
      <c r="A984" s="2948">
        <v>983</v>
      </c>
      <c r="B984" s="2948" t="s">
        <v>635</v>
      </c>
      <c r="C984" s="2948" t="s">
        <v>636</v>
      </c>
      <c r="D984" s="2948" t="s">
        <v>1705</v>
      </c>
      <c r="E984" s="2948" t="s">
        <v>729</v>
      </c>
      <c r="F984" s="2948" t="s">
        <v>764</v>
      </c>
      <c r="G984" s="2948" t="s">
        <v>640</v>
      </c>
      <c r="H984" s="2948" t="s">
        <v>1709</v>
      </c>
      <c r="I984" s="2948" t="s">
        <v>854</v>
      </c>
      <c r="J984" s="2948" t="s">
        <v>643</v>
      </c>
      <c r="K984" s="2950">
        <v>145.97</v>
      </c>
      <c r="L984" s="2950">
        <v>106.48</v>
      </c>
      <c r="M984" s="2951">
        <v>15542301</v>
      </c>
      <c r="N984" s="2951">
        <v>15542301</v>
      </c>
      <c r="O984" s="2952">
        <v>15542301</v>
      </c>
      <c r="P984" s="2953">
        <v>15542301</v>
      </c>
      <c r="Q984" s="2951">
        <v>15542301</v>
      </c>
      <c r="R984" s="2954">
        <v>44453</v>
      </c>
      <c r="S984" s="2954">
        <v>44464</v>
      </c>
      <c r="T984" s="2954">
        <v>44638</v>
      </c>
      <c r="U984" s="2954">
        <v>44638</v>
      </c>
      <c r="V984" s="2948" t="s">
        <v>1738</v>
      </c>
    </row>
    <row r="985" spans="1:22" s="2944" customFormat="1" ht="46.8" hidden="1">
      <c r="A985" s="2948">
        <v>984</v>
      </c>
      <c r="B985" s="2948" t="s">
        <v>635</v>
      </c>
      <c r="C985" s="2948" t="s">
        <v>636</v>
      </c>
      <c r="D985" s="2948" t="s">
        <v>1705</v>
      </c>
      <c r="E985" s="2948" t="s">
        <v>729</v>
      </c>
      <c r="F985" s="2948" t="s">
        <v>766</v>
      </c>
      <c r="G985" s="2948" t="s">
        <v>640</v>
      </c>
      <c r="H985" s="2948" t="s">
        <v>1708</v>
      </c>
      <c r="I985" s="2948" t="s">
        <v>854</v>
      </c>
      <c r="J985" s="2948" t="s">
        <v>643</v>
      </c>
      <c r="K985" s="2950">
        <v>175.54</v>
      </c>
      <c r="L985" s="2950">
        <v>128.05000000000001</v>
      </c>
      <c r="M985" s="2951">
        <v>18471372</v>
      </c>
      <c r="N985" s="2951">
        <v>18471372</v>
      </c>
      <c r="O985" s="2952">
        <v>18471372</v>
      </c>
      <c r="P985" s="2953">
        <v>18471372</v>
      </c>
      <c r="Q985" s="2951">
        <v>18471372</v>
      </c>
      <c r="R985" s="2948"/>
      <c r="S985" s="2954">
        <v>44525.582789351902</v>
      </c>
      <c r="T985" s="2954">
        <v>44644</v>
      </c>
      <c r="U985" s="2954">
        <v>44643</v>
      </c>
      <c r="V985" s="2948" t="s">
        <v>1739</v>
      </c>
    </row>
    <row r="986" spans="1:22" s="2944" customFormat="1" ht="46.8" hidden="1">
      <c r="A986" s="2948">
        <v>985</v>
      </c>
      <c r="B986" s="2948" t="s">
        <v>635</v>
      </c>
      <c r="C986" s="2948" t="s">
        <v>636</v>
      </c>
      <c r="D986" s="2948" t="s">
        <v>1705</v>
      </c>
      <c r="E986" s="2948" t="s">
        <v>729</v>
      </c>
      <c r="F986" s="2948" t="s">
        <v>768</v>
      </c>
      <c r="G986" s="2948" t="s">
        <v>640</v>
      </c>
      <c r="H986" s="2948" t="s">
        <v>1709</v>
      </c>
      <c r="I986" s="2948" t="s">
        <v>854</v>
      </c>
      <c r="J986" s="2948" t="s">
        <v>643</v>
      </c>
      <c r="K986" s="2950">
        <v>145.97</v>
      </c>
      <c r="L986" s="2950">
        <v>106.48</v>
      </c>
      <c r="M986" s="2951">
        <v>15556898</v>
      </c>
      <c r="N986" s="2951">
        <v>15556898</v>
      </c>
      <c r="O986" s="2952">
        <v>15556898</v>
      </c>
      <c r="P986" s="2953">
        <v>15556898</v>
      </c>
      <c r="Q986" s="2951">
        <v>15556898</v>
      </c>
      <c r="R986" s="2954">
        <v>44455</v>
      </c>
      <c r="S986" s="2954">
        <v>44461</v>
      </c>
      <c r="T986" s="2954">
        <v>44511</v>
      </c>
      <c r="U986" s="2954">
        <v>44511</v>
      </c>
      <c r="V986" s="2948" t="s">
        <v>1740</v>
      </c>
    </row>
    <row r="987" spans="1:22" s="2944" customFormat="1" ht="46.8" hidden="1">
      <c r="A987" s="2948">
        <v>986</v>
      </c>
      <c r="B987" s="2948" t="s">
        <v>635</v>
      </c>
      <c r="C987" s="2948" t="s">
        <v>636</v>
      </c>
      <c r="D987" s="2948" t="s">
        <v>1705</v>
      </c>
      <c r="E987" s="2948" t="s">
        <v>729</v>
      </c>
      <c r="F987" s="2948" t="s">
        <v>770</v>
      </c>
      <c r="G987" s="2948" t="s">
        <v>640</v>
      </c>
      <c r="H987" s="2948" t="s">
        <v>1708</v>
      </c>
      <c r="I987" s="2948" t="s">
        <v>854</v>
      </c>
      <c r="J987" s="2948" t="s">
        <v>643</v>
      </c>
      <c r="K987" s="2950">
        <v>175.54</v>
      </c>
      <c r="L987" s="2950">
        <v>128.05000000000001</v>
      </c>
      <c r="M987" s="2951">
        <v>18488926</v>
      </c>
      <c r="N987" s="2951">
        <v>18488926</v>
      </c>
      <c r="O987" s="2952">
        <v>18488926</v>
      </c>
      <c r="P987" s="2953">
        <v>18488926</v>
      </c>
      <c r="Q987" s="2951">
        <v>18488926</v>
      </c>
      <c r="R987" s="2954">
        <v>44543</v>
      </c>
      <c r="S987" s="2954">
        <v>44557</v>
      </c>
      <c r="T987" s="2954">
        <v>44735</v>
      </c>
      <c r="U987" s="2954">
        <v>44735</v>
      </c>
      <c r="V987" s="2948" t="s">
        <v>1741</v>
      </c>
    </row>
    <row r="988" spans="1:22" s="2944" customFormat="1" ht="46.8" hidden="1">
      <c r="A988" s="2948">
        <v>987</v>
      </c>
      <c r="B988" s="2948" t="s">
        <v>635</v>
      </c>
      <c r="C988" s="2948" t="s">
        <v>636</v>
      </c>
      <c r="D988" s="2948" t="s">
        <v>1705</v>
      </c>
      <c r="E988" s="2948" t="s">
        <v>729</v>
      </c>
      <c r="F988" s="2948" t="s">
        <v>890</v>
      </c>
      <c r="G988" s="2948" t="s">
        <v>640</v>
      </c>
      <c r="H988" s="2948" t="s">
        <v>1709</v>
      </c>
      <c r="I988" s="2948" t="s">
        <v>854</v>
      </c>
      <c r="J988" s="2948" t="s">
        <v>643</v>
      </c>
      <c r="K988" s="2950">
        <v>145.97</v>
      </c>
      <c r="L988" s="2950">
        <v>106.48</v>
      </c>
      <c r="M988" s="2951">
        <v>15571495</v>
      </c>
      <c r="N988" s="2951">
        <v>15571495</v>
      </c>
      <c r="O988" s="2952">
        <v>15571495</v>
      </c>
      <c r="P988" s="2953">
        <v>15571495</v>
      </c>
      <c r="Q988" s="2951">
        <v>15571495</v>
      </c>
      <c r="R988" s="2954">
        <v>44453</v>
      </c>
      <c r="S988" s="2954">
        <v>44459</v>
      </c>
      <c r="T988" s="2954">
        <v>44504</v>
      </c>
      <c r="U988" s="2954">
        <v>44504</v>
      </c>
      <c r="V988" s="2948" t="s">
        <v>1742</v>
      </c>
    </row>
    <row r="989" spans="1:22" s="2944" customFormat="1" ht="46.8" hidden="1">
      <c r="A989" s="2948">
        <v>988</v>
      </c>
      <c r="B989" s="2948" t="s">
        <v>635</v>
      </c>
      <c r="C989" s="2948" t="s">
        <v>636</v>
      </c>
      <c r="D989" s="2948" t="s">
        <v>1705</v>
      </c>
      <c r="E989" s="2948" t="s">
        <v>729</v>
      </c>
      <c r="F989" s="2948" t="s">
        <v>892</v>
      </c>
      <c r="G989" s="2948" t="s">
        <v>640</v>
      </c>
      <c r="H989" s="2948" t="s">
        <v>1708</v>
      </c>
      <c r="I989" s="2948" t="s">
        <v>854</v>
      </c>
      <c r="J989" s="2948" t="s">
        <v>643</v>
      </c>
      <c r="K989" s="2950">
        <v>175.54</v>
      </c>
      <c r="L989" s="2950">
        <v>128.05000000000001</v>
      </c>
      <c r="M989" s="2951">
        <v>18506480</v>
      </c>
      <c r="N989" s="2951">
        <v>18506480</v>
      </c>
      <c r="O989" s="2952">
        <v>18506480</v>
      </c>
      <c r="P989" s="2953">
        <v>18506480</v>
      </c>
      <c r="Q989" s="2951">
        <v>18506480</v>
      </c>
      <c r="R989" s="2954">
        <v>44677.507187499999</v>
      </c>
      <c r="S989" s="2954">
        <v>44681</v>
      </c>
      <c r="T989" s="2954">
        <v>44784</v>
      </c>
      <c r="U989" s="2954">
        <v>44784</v>
      </c>
      <c r="V989" s="2948" t="s">
        <v>1743</v>
      </c>
    </row>
    <row r="990" spans="1:22" s="2944" customFormat="1" ht="46.8" hidden="1">
      <c r="A990" s="2948">
        <v>989</v>
      </c>
      <c r="B990" s="2948" t="s">
        <v>635</v>
      </c>
      <c r="C990" s="2948" t="s">
        <v>636</v>
      </c>
      <c r="D990" s="2948" t="s">
        <v>1705</v>
      </c>
      <c r="E990" s="2948" t="s">
        <v>729</v>
      </c>
      <c r="F990" s="2948" t="s">
        <v>894</v>
      </c>
      <c r="G990" s="2948" t="s">
        <v>640</v>
      </c>
      <c r="H990" s="2948" t="s">
        <v>1709</v>
      </c>
      <c r="I990" s="2948" t="s">
        <v>854</v>
      </c>
      <c r="J990" s="2948" t="s">
        <v>643</v>
      </c>
      <c r="K990" s="2950">
        <v>145.97</v>
      </c>
      <c r="L990" s="2950">
        <v>106.48</v>
      </c>
      <c r="M990" s="2951">
        <v>15586092</v>
      </c>
      <c r="N990" s="2951">
        <v>15586092</v>
      </c>
      <c r="O990" s="2952">
        <v>15586092</v>
      </c>
      <c r="P990" s="2953">
        <v>15586092</v>
      </c>
      <c r="Q990" s="2951">
        <v>15586092</v>
      </c>
      <c r="R990" s="2954">
        <v>44453</v>
      </c>
      <c r="S990" s="2954">
        <v>44460</v>
      </c>
      <c r="T990" s="2954">
        <v>44507</v>
      </c>
      <c r="U990" s="2954">
        <v>44507</v>
      </c>
      <c r="V990" s="2948" t="s">
        <v>1744</v>
      </c>
    </row>
    <row r="991" spans="1:22" s="2944" customFormat="1" ht="46.8" hidden="1">
      <c r="A991" s="2948">
        <v>990</v>
      </c>
      <c r="B991" s="2948" t="s">
        <v>635</v>
      </c>
      <c r="C991" s="2948" t="s">
        <v>636</v>
      </c>
      <c r="D991" s="2948" t="s">
        <v>1705</v>
      </c>
      <c r="E991" s="2948" t="s">
        <v>729</v>
      </c>
      <c r="F991" s="2948" t="s">
        <v>896</v>
      </c>
      <c r="G991" s="2948" t="s">
        <v>640</v>
      </c>
      <c r="H991" s="2948" t="s">
        <v>1708</v>
      </c>
      <c r="I991" s="2948" t="s">
        <v>854</v>
      </c>
      <c r="J991" s="2948" t="s">
        <v>643</v>
      </c>
      <c r="K991" s="2950">
        <v>175.54</v>
      </c>
      <c r="L991" s="2950">
        <v>128.05000000000001</v>
      </c>
      <c r="M991" s="2951">
        <v>18524034</v>
      </c>
      <c r="N991" s="2951">
        <v>18524034</v>
      </c>
      <c r="O991" s="2952">
        <v>18524034</v>
      </c>
      <c r="P991" s="2953">
        <v>18524034</v>
      </c>
      <c r="Q991" s="2951">
        <v>18524034</v>
      </c>
      <c r="R991" s="2954">
        <v>44711</v>
      </c>
      <c r="S991" s="2954">
        <v>44770</v>
      </c>
      <c r="T991" s="2948"/>
      <c r="U991" s="2948"/>
      <c r="V991" s="2948" t="s">
        <v>1745</v>
      </c>
    </row>
    <row r="992" spans="1:22" s="2944" customFormat="1" ht="46.8" hidden="1">
      <c r="A992" s="2948">
        <v>991</v>
      </c>
      <c r="B992" s="2948" t="s">
        <v>635</v>
      </c>
      <c r="C992" s="2948" t="s">
        <v>636</v>
      </c>
      <c r="D992" s="2948" t="s">
        <v>1705</v>
      </c>
      <c r="E992" s="2948" t="s">
        <v>729</v>
      </c>
      <c r="F992" s="2948" t="s">
        <v>898</v>
      </c>
      <c r="G992" s="2948" t="s">
        <v>640</v>
      </c>
      <c r="H992" s="2948" t="s">
        <v>1709</v>
      </c>
      <c r="I992" s="2948" t="s">
        <v>854</v>
      </c>
      <c r="J992" s="2948" t="s">
        <v>643</v>
      </c>
      <c r="K992" s="2950">
        <v>145.97</v>
      </c>
      <c r="L992" s="2950">
        <v>106.48</v>
      </c>
      <c r="M992" s="2951">
        <v>15600689</v>
      </c>
      <c r="N992" s="2951">
        <v>15600689</v>
      </c>
      <c r="O992" s="2952">
        <v>15600689</v>
      </c>
      <c r="P992" s="2953">
        <v>15600689</v>
      </c>
      <c r="Q992" s="2951">
        <v>15600689</v>
      </c>
      <c r="R992" s="2954">
        <v>44453</v>
      </c>
      <c r="S992" s="2954">
        <v>44469</v>
      </c>
      <c r="T992" s="2954">
        <v>44505</v>
      </c>
      <c r="U992" s="2954">
        <v>44505</v>
      </c>
      <c r="V992" s="2948" t="s">
        <v>1746</v>
      </c>
    </row>
    <row r="993" spans="1:22" s="2944" customFormat="1" ht="46.8" hidden="1">
      <c r="A993" s="2948">
        <v>992</v>
      </c>
      <c r="B993" s="2948" t="s">
        <v>635</v>
      </c>
      <c r="C993" s="2948" t="s">
        <v>636</v>
      </c>
      <c r="D993" s="2948" t="s">
        <v>1705</v>
      </c>
      <c r="E993" s="2948" t="s">
        <v>729</v>
      </c>
      <c r="F993" s="2948" t="s">
        <v>900</v>
      </c>
      <c r="G993" s="2948" t="s">
        <v>640</v>
      </c>
      <c r="H993" s="2948" t="s">
        <v>1708</v>
      </c>
      <c r="I993" s="2948" t="s">
        <v>854</v>
      </c>
      <c r="J993" s="2948" t="s">
        <v>643</v>
      </c>
      <c r="K993" s="2950">
        <v>175.54</v>
      </c>
      <c r="L993" s="2950">
        <v>128.05000000000001</v>
      </c>
      <c r="M993" s="2951">
        <v>18541588</v>
      </c>
      <c r="N993" s="2951">
        <v>18541588</v>
      </c>
      <c r="O993" s="2952">
        <v>18541588</v>
      </c>
      <c r="P993" s="2953">
        <v>18541588</v>
      </c>
      <c r="Q993" s="2951">
        <v>18541588</v>
      </c>
      <c r="R993" s="2954">
        <v>44641</v>
      </c>
      <c r="S993" s="2954">
        <v>44651</v>
      </c>
      <c r="T993" s="2954">
        <v>44726</v>
      </c>
      <c r="U993" s="2954">
        <v>44726</v>
      </c>
      <c r="V993" s="2948" t="s">
        <v>1747</v>
      </c>
    </row>
    <row r="994" spans="1:22" s="2944" customFormat="1" ht="46.8" hidden="1">
      <c r="A994" s="2948">
        <v>993</v>
      </c>
      <c r="B994" s="2948" t="s">
        <v>635</v>
      </c>
      <c r="C994" s="2948" t="s">
        <v>636</v>
      </c>
      <c r="D994" s="2948" t="s">
        <v>1705</v>
      </c>
      <c r="E994" s="2948" t="s">
        <v>729</v>
      </c>
      <c r="F994" s="2948" t="s">
        <v>902</v>
      </c>
      <c r="G994" s="2948" t="s">
        <v>640</v>
      </c>
      <c r="H994" s="2948" t="s">
        <v>1709</v>
      </c>
      <c r="I994" s="2948" t="s">
        <v>854</v>
      </c>
      <c r="J994" s="2948" t="s">
        <v>643</v>
      </c>
      <c r="K994" s="2950">
        <v>145.97</v>
      </c>
      <c r="L994" s="2950">
        <v>106.48</v>
      </c>
      <c r="M994" s="2951">
        <v>15615286</v>
      </c>
      <c r="N994" s="2951">
        <v>15615286</v>
      </c>
      <c r="O994" s="2952">
        <v>15615286</v>
      </c>
      <c r="P994" s="2953">
        <v>15615286</v>
      </c>
      <c r="Q994" s="2951">
        <v>15615286</v>
      </c>
      <c r="R994" s="2954">
        <v>44453</v>
      </c>
      <c r="S994" s="2954">
        <v>44462</v>
      </c>
      <c r="T994" s="2954">
        <v>44496</v>
      </c>
      <c r="U994" s="2954">
        <v>44496</v>
      </c>
      <c r="V994" s="2948" t="s">
        <v>1748</v>
      </c>
    </row>
    <row r="995" spans="1:22" s="2944" customFormat="1" ht="46.8" hidden="1">
      <c r="A995" s="2948">
        <v>994</v>
      </c>
      <c r="B995" s="2948" t="s">
        <v>635</v>
      </c>
      <c r="C995" s="2948" t="s">
        <v>636</v>
      </c>
      <c r="D995" s="2948" t="s">
        <v>1705</v>
      </c>
      <c r="E995" s="2948" t="s">
        <v>729</v>
      </c>
      <c r="F995" s="2948" t="s">
        <v>904</v>
      </c>
      <c r="G995" s="2948" t="s">
        <v>640</v>
      </c>
      <c r="H995" s="2948" t="s">
        <v>1708</v>
      </c>
      <c r="I995" s="2948" t="s">
        <v>854</v>
      </c>
      <c r="J995" s="2948" t="s">
        <v>643</v>
      </c>
      <c r="K995" s="2950">
        <v>175.54</v>
      </c>
      <c r="L995" s="2950">
        <v>128.05000000000001</v>
      </c>
      <c r="M995" s="2951">
        <v>18559142</v>
      </c>
      <c r="N995" s="2951">
        <v>18559142</v>
      </c>
      <c r="O995" s="2952">
        <v>18559142</v>
      </c>
      <c r="P995" s="2953">
        <v>18559142</v>
      </c>
      <c r="Q995" s="2951">
        <v>18559142</v>
      </c>
      <c r="R995" s="2954">
        <v>44634</v>
      </c>
      <c r="S995" s="2954">
        <v>44646</v>
      </c>
      <c r="T995" s="2954">
        <v>44739</v>
      </c>
      <c r="U995" s="2954">
        <v>44739</v>
      </c>
      <c r="V995" s="2948" t="s">
        <v>1749</v>
      </c>
    </row>
    <row r="996" spans="1:22" s="2944" customFormat="1" ht="46.8" hidden="1">
      <c r="A996" s="2948">
        <v>995</v>
      </c>
      <c r="B996" s="2948" t="s">
        <v>635</v>
      </c>
      <c r="C996" s="2948" t="s">
        <v>636</v>
      </c>
      <c r="D996" s="2948" t="s">
        <v>1705</v>
      </c>
      <c r="E996" s="2948" t="s">
        <v>729</v>
      </c>
      <c r="F996" s="2948" t="s">
        <v>906</v>
      </c>
      <c r="G996" s="2948" t="s">
        <v>640</v>
      </c>
      <c r="H996" s="2948" t="s">
        <v>1709</v>
      </c>
      <c r="I996" s="2948" t="s">
        <v>854</v>
      </c>
      <c r="J996" s="2948" t="s">
        <v>643</v>
      </c>
      <c r="K996" s="2950">
        <v>145.97</v>
      </c>
      <c r="L996" s="2950">
        <v>106.48</v>
      </c>
      <c r="M996" s="2951">
        <v>15629883</v>
      </c>
      <c r="N996" s="2951">
        <v>15629883</v>
      </c>
      <c r="O996" s="2952">
        <v>15629883</v>
      </c>
      <c r="P996" s="2953">
        <v>15629883</v>
      </c>
      <c r="Q996" s="2951">
        <v>15629883</v>
      </c>
      <c r="R996" s="2954">
        <v>44448</v>
      </c>
      <c r="S996" s="2954">
        <v>44457</v>
      </c>
      <c r="T996" s="2954">
        <v>44503</v>
      </c>
      <c r="U996" s="2954">
        <v>44503</v>
      </c>
      <c r="V996" s="2948" t="s">
        <v>1750</v>
      </c>
    </row>
    <row r="997" spans="1:22" s="2944" customFormat="1" ht="46.8" hidden="1">
      <c r="A997" s="2948">
        <v>996</v>
      </c>
      <c r="B997" s="2948" t="s">
        <v>635</v>
      </c>
      <c r="C997" s="2948" t="s">
        <v>636</v>
      </c>
      <c r="D997" s="2948" t="s">
        <v>1705</v>
      </c>
      <c r="E997" s="2948" t="s">
        <v>729</v>
      </c>
      <c r="F997" s="2948" t="s">
        <v>908</v>
      </c>
      <c r="G997" s="2948" t="s">
        <v>640</v>
      </c>
      <c r="H997" s="2948" t="s">
        <v>1708</v>
      </c>
      <c r="I997" s="2948" t="s">
        <v>854</v>
      </c>
      <c r="J997" s="2948" t="s">
        <v>643</v>
      </c>
      <c r="K997" s="2950">
        <v>175.54</v>
      </c>
      <c r="L997" s="2950">
        <v>128.05000000000001</v>
      </c>
      <c r="M997" s="2951">
        <v>18576696</v>
      </c>
      <c r="N997" s="2951">
        <v>18576696</v>
      </c>
      <c r="O997" s="2952">
        <v>18576696</v>
      </c>
      <c r="P997" s="2953">
        <v>18576696</v>
      </c>
      <c r="Q997" s="2951">
        <v>18576696</v>
      </c>
      <c r="R997" s="2954">
        <v>44680</v>
      </c>
      <c r="S997" s="2954">
        <v>44719</v>
      </c>
      <c r="T997" s="2954">
        <v>44726</v>
      </c>
      <c r="U997" s="2954">
        <v>44726</v>
      </c>
      <c r="V997" s="2948" t="s">
        <v>1751</v>
      </c>
    </row>
    <row r="998" spans="1:22" s="2944" customFormat="1" ht="46.8" hidden="1">
      <c r="A998" s="2948">
        <v>997</v>
      </c>
      <c r="B998" s="2948" t="s">
        <v>635</v>
      </c>
      <c r="C998" s="2948" t="s">
        <v>636</v>
      </c>
      <c r="D998" s="2948" t="s">
        <v>1705</v>
      </c>
      <c r="E998" s="2948" t="s">
        <v>729</v>
      </c>
      <c r="F998" s="2948" t="s">
        <v>910</v>
      </c>
      <c r="G998" s="2948" t="s">
        <v>640</v>
      </c>
      <c r="H998" s="2948" t="s">
        <v>1709</v>
      </c>
      <c r="I998" s="2948" t="s">
        <v>854</v>
      </c>
      <c r="J998" s="2948" t="s">
        <v>643</v>
      </c>
      <c r="K998" s="2950">
        <v>145.97</v>
      </c>
      <c r="L998" s="2950">
        <v>106.48</v>
      </c>
      <c r="M998" s="2951">
        <v>15644480</v>
      </c>
      <c r="N998" s="2951">
        <v>15644480</v>
      </c>
      <c r="O998" s="2952">
        <v>15644480</v>
      </c>
      <c r="P998" s="2953">
        <v>15644480</v>
      </c>
      <c r="Q998" s="2951">
        <v>15644480</v>
      </c>
      <c r="R998" s="2954">
        <v>44453</v>
      </c>
      <c r="S998" s="2954">
        <v>44462</v>
      </c>
      <c r="T998" s="2954">
        <v>44496</v>
      </c>
      <c r="U998" s="2954">
        <v>44496</v>
      </c>
      <c r="V998" s="2948" t="s">
        <v>1748</v>
      </c>
    </row>
    <row r="999" spans="1:22" s="2944" customFormat="1" ht="46.8" hidden="1">
      <c r="A999" s="2948">
        <v>998</v>
      </c>
      <c r="B999" s="2948" t="s">
        <v>635</v>
      </c>
      <c r="C999" s="2948" t="s">
        <v>636</v>
      </c>
      <c r="D999" s="2948" t="s">
        <v>1705</v>
      </c>
      <c r="E999" s="2948" t="s">
        <v>729</v>
      </c>
      <c r="F999" s="2948" t="s">
        <v>912</v>
      </c>
      <c r="G999" s="2948" t="s">
        <v>640</v>
      </c>
      <c r="H999" s="2948" t="s">
        <v>1708</v>
      </c>
      <c r="I999" s="2948" t="s">
        <v>854</v>
      </c>
      <c r="J999" s="2948" t="s">
        <v>643</v>
      </c>
      <c r="K999" s="2950">
        <v>175.54</v>
      </c>
      <c r="L999" s="2950">
        <v>128.05000000000001</v>
      </c>
      <c r="M999" s="2951">
        <v>18594250</v>
      </c>
      <c r="N999" s="2951">
        <v>18594250</v>
      </c>
      <c r="O999" s="2952">
        <v>18594250</v>
      </c>
      <c r="P999" s="2953">
        <v>18594250</v>
      </c>
      <c r="Q999" s="2951">
        <v>18594250</v>
      </c>
      <c r="R999" s="2954">
        <v>44559</v>
      </c>
      <c r="S999" s="2954">
        <v>44648</v>
      </c>
      <c r="T999" s="2954">
        <v>44748</v>
      </c>
      <c r="U999" s="2954">
        <v>44748</v>
      </c>
      <c r="V999" s="2948" t="s">
        <v>1752</v>
      </c>
    </row>
    <row r="1000" spans="1:22" s="2944" customFormat="1" ht="46.8" hidden="1">
      <c r="A1000" s="2948">
        <v>999</v>
      </c>
      <c r="B1000" s="2948" t="s">
        <v>635</v>
      </c>
      <c r="C1000" s="2948" t="s">
        <v>636</v>
      </c>
      <c r="D1000" s="2948" t="s">
        <v>1705</v>
      </c>
      <c r="E1000" s="2948" t="s">
        <v>729</v>
      </c>
      <c r="F1000" s="2948" t="s">
        <v>914</v>
      </c>
      <c r="G1000" s="2948" t="s">
        <v>640</v>
      </c>
      <c r="H1000" s="2948" t="s">
        <v>1709</v>
      </c>
      <c r="I1000" s="2948" t="s">
        <v>854</v>
      </c>
      <c r="J1000" s="2948" t="s">
        <v>643</v>
      </c>
      <c r="K1000" s="2950">
        <v>145.97</v>
      </c>
      <c r="L1000" s="2950">
        <v>106.48</v>
      </c>
      <c r="M1000" s="2951">
        <v>15659077</v>
      </c>
      <c r="N1000" s="2951">
        <v>15659077</v>
      </c>
      <c r="O1000" s="2952">
        <v>15659077</v>
      </c>
      <c r="P1000" s="2953">
        <v>15659077</v>
      </c>
      <c r="Q1000" s="2951">
        <v>15659077</v>
      </c>
      <c r="R1000" s="2954">
        <v>44451</v>
      </c>
      <c r="S1000" s="2954">
        <v>44460</v>
      </c>
      <c r="T1000" s="2954">
        <v>44504</v>
      </c>
      <c r="U1000" s="2954">
        <v>44504</v>
      </c>
      <c r="V1000" s="2948" t="s">
        <v>1753</v>
      </c>
    </row>
    <row r="1001" spans="1:22" s="2944" customFormat="1" ht="46.8" hidden="1">
      <c r="A1001" s="2948">
        <v>1000</v>
      </c>
      <c r="B1001" s="2948" t="s">
        <v>635</v>
      </c>
      <c r="C1001" s="2948" t="s">
        <v>636</v>
      </c>
      <c r="D1001" s="2948" t="s">
        <v>1705</v>
      </c>
      <c r="E1001" s="2948" t="s">
        <v>729</v>
      </c>
      <c r="F1001" s="2948" t="s">
        <v>916</v>
      </c>
      <c r="G1001" s="2948" t="s">
        <v>640</v>
      </c>
      <c r="H1001" s="2948" t="s">
        <v>1708</v>
      </c>
      <c r="I1001" s="2948" t="s">
        <v>854</v>
      </c>
      <c r="J1001" s="2948" t="s">
        <v>643</v>
      </c>
      <c r="K1001" s="2950">
        <v>175.54</v>
      </c>
      <c r="L1001" s="2950">
        <v>128.05000000000001</v>
      </c>
      <c r="M1001" s="2951">
        <v>18611804</v>
      </c>
      <c r="N1001" s="2951">
        <v>18611804</v>
      </c>
      <c r="O1001" s="2952">
        <v>18611804</v>
      </c>
      <c r="P1001" s="2953">
        <v>18611804</v>
      </c>
      <c r="Q1001" s="2951">
        <v>18611804</v>
      </c>
      <c r="R1001" s="2954">
        <v>44570</v>
      </c>
      <c r="S1001" s="2954">
        <v>44589</v>
      </c>
      <c r="T1001" s="2954">
        <v>44642</v>
      </c>
      <c r="U1001" s="2954">
        <v>44642</v>
      </c>
      <c r="V1001" s="2948" t="s">
        <v>1754</v>
      </c>
    </row>
    <row r="1002" spans="1:22" s="2944" customFormat="1" ht="46.8" hidden="1">
      <c r="A1002" s="2948">
        <v>1001</v>
      </c>
      <c r="B1002" s="2948" t="s">
        <v>635</v>
      </c>
      <c r="C1002" s="2948" t="s">
        <v>636</v>
      </c>
      <c r="D1002" s="2948" t="s">
        <v>1705</v>
      </c>
      <c r="E1002" s="2948" t="s">
        <v>729</v>
      </c>
      <c r="F1002" s="2948" t="s">
        <v>968</v>
      </c>
      <c r="G1002" s="2948" t="s">
        <v>640</v>
      </c>
      <c r="H1002" s="2948" t="s">
        <v>1709</v>
      </c>
      <c r="I1002" s="2948" t="s">
        <v>854</v>
      </c>
      <c r="J1002" s="2948" t="s">
        <v>643</v>
      </c>
      <c r="K1002" s="2950">
        <v>145.97</v>
      </c>
      <c r="L1002" s="2950">
        <v>106.48</v>
      </c>
      <c r="M1002" s="2951">
        <v>15235764</v>
      </c>
      <c r="N1002" s="2951">
        <v>15235764</v>
      </c>
      <c r="O1002" s="2952">
        <v>15235764</v>
      </c>
      <c r="P1002" s="2953">
        <v>15235764</v>
      </c>
      <c r="Q1002" s="2951">
        <v>15235764</v>
      </c>
      <c r="R1002" s="2954">
        <v>44457</v>
      </c>
      <c r="S1002" s="2954">
        <v>44463</v>
      </c>
      <c r="T1002" s="2954">
        <v>44783</v>
      </c>
      <c r="U1002" s="2954">
        <v>44783</v>
      </c>
      <c r="V1002" s="2948" t="s">
        <v>1755</v>
      </c>
    </row>
    <row r="1003" spans="1:22" s="2944" customFormat="1" ht="46.8" hidden="1">
      <c r="A1003" s="2948">
        <v>1002</v>
      </c>
      <c r="B1003" s="2948" t="s">
        <v>635</v>
      </c>
      <c r="C1003" s="2948" t="s">
        <v>636</v>
      </c>
      <c r="D1003" s="2948" t="s">
        <v>1705</v>
      </c>
      <c r="E1003" s="2948" t="s">
        <v>729</v>
      </c>
      <c r="F1003" s="2948" t="s">
        <v>970</v>
      </c>
      <c r="G1003" s="2948" t="s">
        <v>640</v>
      </c>
      <c r="H1003" s="2948" t="s">
        <v>1708</v>
      </c>
      <c r="I1003" s="2948" t="s">
        <v>854</v>
      </c>
      <c r="J1003" s="2948" t="s">
        <v>643</v>
      </c>
      <c r="K1003" s="2950">
        <v>175.54</v>
      </c>
      <c r="L1003" s="2950">
        <v>128.05000000000001</v>
      </c>
      <c r="M1003" s="2951">
        <v>18102738</v>
      </c>
      <c r="N1003" s="2951">
        <v>18102738</v>
      </c>
      <c r="O1003" s="2952">
        <v>18102738</v>
      </c>
      <c r="P1003" s="2953">
        <v>18102738</v>
      </c>
      <c r="Q1003" s="2951">
        <v>18102738</v>
      </c>
      <c r="R1003" s="2954">
        <v>44671</v>
      </c>
      <c r="S1003" s="2954">
        <v>44678</v>
      </c>
      <c r="T1003" s="2954">
        <v>44726</v>
      </c>
      <c r="U1003" s="2954">
        <v>44726</v>
      </c>
      <c r="V1003" s="2948" t="s">
        <v>1723</v>
      </c>
    </row>
    <row r="1004" spans="1:22" s="2944" customFormat="1" ht="46.8" hidden="1">
      <c r="A1004" s="2948">
        <v>1003</v>
      </c>
      <c r="B1004" s="2948" t="s">
        <v>635</v>
      </c>
      <c r="C1004" s="2948" t="s">
        <v>636</v>
      </c>
      <c r="D1004" s="2948" t="s">
        <v>1756</v>
      </c>
      <c r="E1004" s="2948" t="s">
        <v>729</v>
      </c>
      <c r="F1004" s="2948" t="s">
        <v>639</v>
      </c>
      <c r="G1004" s="2948" t="s">
        <v>640</v>
      </c>
      <c r="H1004" s="2948" t="s">
        <v>1757</v>
      </c>
      <c r="I1004" s="2948" t="s">
        <v>854</v>
      </c>
      <c r="J1004" s="2948" t="s">
        <v>643</v>
      </c>
      <c r="K1004" s="2950">
        <v>198.19</v>
      </c>
      <c r="L1004" s="2950">
        <v>152.01</v>
      </c>
      <c r="M1004" s="2951">
        <v>18233480</v>
      </c>
      <c r="N1004" s="2951">
        <v>18233480</v>
      </c>
      <c r="O1004" s="2952">
        <v>17321806</v>
      </c>
      <c r="P1004" s="2953">
        <v>17321806</v>
      </c>
      <c r="Q1004" s="2951">
        <v>17321806</v>
      </c>
      <c r="R1004" s="2948"/>
      <c r="S1004" s="2954">
        <v>44631.428865740701</v>
      </c>
      <c r="T1004" s="2954">
        <v>44726</v>
      </c>
      <c r="U1004" s="2954">
        <v>44726</v>
      </c>
      <c r="V1004" s="2948" t="s">
        <v>1758</v>
      </c>
    </row>
    <row r="1005" spans="1:22" s="2944" customFormat="1" ht="46.8" hidden="1">
      <c r="A1005" s="2948">
        <v>1004</v>
      </c>
      <c r="B1005" s="2948" t="s">
        <v>635</v>
      </c>
      <c r="C1005" s="2948" t="s">
        <v>636</v>
      </c>
      <c r="D1005" s="2948" t="s">
        <v>1756</v>
      </c>
      <c r="E1005" s="2948" t="s">
        <v>729</v>
      </c>
      <c r="F1005" s="2948" t="s">
        <v>645</v>
      </c>
      <c r="G1005" s="2948" t="s">
        <v>640</v>
      </c>
      <c r="H1005" s="2948" t="s">
        <v>1759</v>
      </c>
      <c r="I1005" s="2948" t="s">
        <v>854</v>
      </c>
      <c r="J1005" s="2948" t="s">
        <v>643</v>
      </c>
      <c r="K1005" s="2950">
        <v>196.77</v>
      </c>
      <c r="L1005" s="2950">
        <v>150.91999999999999</v>
      </c>
      <c r="M1005" s="2951">
        <v>18102840</v>
      </c>
      <c r="N1005" s="2951">
        <v>18102840</v>
      </c>
      <c r="O1005" s="2952">
        <v>18102840</v>
      </c>
      <c r="P1005" s="2953">
        <v>18102840</v>
      </c>
      <c r="Q1005" s="2951">
        <v>18102840</v>
      </c>
      <c r="R1005" s="2954">
        <v>44648</v>
      </c>
      <c r="S1005" s="2954">
        <v>44650</v>
      </c>
      <c r="T1005" s="2954">
        <v>44726</v>
      </c>
      <c r="U1005" s="2954">
        <v>44726</v>
      </c>
      <c r="V1005" s="2948" t="s">
        <v>1760</v>
      </c>
    </row>
    <row r="1006" spans="1:22" s="2944" customFormat="1" ht="46.8" hidden="1">
      <c r="A1006" s="2948">
        <v>1005</v>
      </c>
      <c r="B1006" s="2948" t="s">
        <v>635</v>
      </c>
      <c r="C1006" s="2948" t="s">
        <v>636</v>
      </c>
      <c r="D1006" s="2948" t="s">
        <v>1756</v>
      </c>
      <c r="E1006" s="2948" t="s">
        <v>729</v>
      </c>
      <c r="F1006" s="2948" t="s">
        <v>648</v>
      </c>
      <c r="G1006" s="2948" t="s">
        <v>640</v>
      </c>
      <c r="H1006" s="2948" t="s">
        <v>1757</v>
      </c>
      <c r="I1006" s="2948" t="s">
        <v>854</v>
      </c>
      <c r="J1006" s="2948" t="s">
        <v>643</v>
      </c>
      <c r="K1006" s="2950">
        <v>198.19</v>
      </c>
      <c r="L1006" s="2950">
        <v>152.01</v>
      </c>
      <c r="M1006" s="2951">
        <v>21404520</v>
      </c>
      <c r="N1006" s="2951">
        <v>21404520</v>
      </c>
      <c r="O1006" s="2952">
        <v>21404520</v>
      </c>
      <c r="P1006" s="2953">
        <v>21404520</v>
      </c>
      <c r="Q1006" s="2951">
        <v>21404520</v>
      </c>
      <c r="R1006" s="2954">
        <v>44737</v>
      </c>
      <c r="S1006" s="2954">
        <v>44737</v>
      </c>
      <c r="T1006" s="2954">
        <v>44824</v>
      </c>
      <c r="U1006" s="2954">
        <v>44824</v>
      </c>
      <c r="V1006" s="2948" t="s">
        <v>1761</v>
      </c>
    </row>
    <row r="1007" spans="1:22" s="2944" customFormat="1" ht="46.8" hidden="1">
      <c r="A1007" s="2948">
        <v>1006</v>
      </c>
      <c r="B1007" s="2948" t="s">
        <v>635</v>
      </c>
      <c r="C1007" s="2948" t="s">
        <v>636</v>
      </c>
      <c r="D1007" s="2948" t="s">
        <v>1756</v>
      </c>
      <c r="E1007" s="2948" t="s">
        <v>729</v>
      </c>
      <c r="F1007" s="2948" t="s">
        <v>651</v>
      </c>
      <c r="G1007" s="2948" t="s">
        <v>640</v>
      </c>
      <c r="H1007" s="2948" t="s">
        <v>1759</v>
      </c>
      <c r="I1007" s="2948" t="s">
        <v>854</v>
      </c>
      <c r="J1007" s="2948" t="s">
        <v>643</v>
      </c>
      <c r="K1007" s="2950">
        <v>196.77</v>
      </c>
      <c r="L1007" s="2950">
        <v>150.91999999999999</v>
      </c>
      <c r="M1007" s="2951">
        <v>21251160</v>
      </c>
      <c r="N1007" s="2951">
        <v>21251160</v>
      </c>
      <c r="O1007" s="2952">
        <v>21251160</v>
      </c>
      <c r="P1007" s="2953">
        <v>21251160</v>
      </c>
      <c r="Q1007" s="2951">
        <v>21251160</v>
      </c>
      <c r="R1007" s="2954">
        <v>44739</v>
      </c>
      <c r="S1007" s="2954">
        <v>44742</v>
      </c>
      <c r="T1007" s="2954">
        <v>44771</v>
      </c>
      <c r="U1007" s="2954">
        <v>44771</v>
      </c>
      <c r="V1007" s="2948" t="s">
        <v>1762</v>
      </c>
    </row>
    <row r="1008" spans="1:22" s="2944" customFormat="1" ht="46.8" hidden="1">
      <c r="A1008" s="2948">
        <v>1007</v>
      </c>
      <c r="B1008" s="2948" t="s">
        <v>635</v>
      </c>
      <c r="C1008" s="2948" t="s">
        <v>636</v>
      </c>
      <c r="D1008" s="2948" t="s">
        <v>1756</v>
      </c>
      <c r="E1008" s="2948" t="s">
        <v>729</v>
      </c>
      <c r="F1008" s="2948" t="s">
        <v>653</v>
      </c>
      <c r="G1008" s="2948" t="s">
        <v>640</v>
      </c>
      <c r="H1008" s="2948" t="s">
        <v>1757</v>
      </c>
      <c r="I1008" s="2948" t="s">
        <v>854</v>
      </c>
      <c r="J1008" s="2948" t="s">
        <v>643</v>
      </c>
      <c r="K1008" s="2950">
        <v>198.19</v>
      </c>
      <c r="L1008" s="2950">
        <v>152.01</v>
      </c>
      <c r="M1008" s="2951">
        <v>21602710</v>
      </c>
      <c r="N1008" s="2951">
        <v>21602710</v>
      </c>
      <c r="O1008" s="2952">
        <v>21602710</v>
      </c>
      <c r="P1008" s="2953">
        <v>21602710</v>
      </c>
      <c r="Q1008" s="2951">
        <v>21602710</v>
      </c>
      <c r="R1008" s="2948"/>
      <c r="S1008" s="2954">
        <v>44696.563090277799</v>
      </c>
      <c r="T1008" s="2954">
        <v>44726</v>
      </c>
      <c r="U1008" s="2954">
        <v>44726</v>
      </c>
      <c r="V1008" s="2948" t="s">
        <v>1763</v>
      </c>
    </row>
    <row r="1009" spans="1:22" s="2944" customFormat="1" ht="46.8" hidden="1">
      <c r="A1009" s="2948">
        <v>1008</v>
      </c>
      <c r="B1009" s="2948" t="s">
        <v>635</v>
      </c>
      <c r="C1009" s="2948" t="s">
        <v>636</v>
      </c>
      <c r="D1009" s="2948" t="s">
        <v>1756</v>
      </c>
      <c r="E1009" s="2948" t="s">
        <v>729</v>
      </c>
      <c r="F1009" s="2948" t="s">
        <v>655</v>
      </c>
      <c r="G1009" s="2948" t="s">
        <v>640</v>
      </c>
      <c r="H1009" s="2948" t="s">
        <v>1759</v>
      </c>
      <c r="I1009" s="2948" t="s">
        <v>854</v>
      </c>
      <c r="J1009" s="2948" t="s">
        <v>643</v>
      </c>
      <c r="K1009" s="2950">
        <v>196.77</v>
      </c>
      <c r="L1009" s="2950">
        <v>150.91999999999999</v>
      </c>
      <c r="M1009" s="2951">
        <v>21447930</v>
      </c>
      <c r="N1009" s="2951">
        <v>21447930</v>
      </c>
      <c r="O1009" s="2952">
        <v>21447930</v>
      </c>
      <c r="P1009" s="2953">
        <v>21447930</v>
      </c>
      <c r="Q1009" s="2951">
        <v>21447930</v>
      </c>
      <c r="R1009" s="2954">
        <v>44737</v>
      </c>
      <c r="S1009" s="2954">
        <v>44738</v>
      </c>
      <c r="T1009" s="2954">
        <v>44740</v>
      </c>
      <c r="U1009" s="2954">
        <v>44740</v>
      </c>
      <c r="V1009" s="2948" t="s">
        <v>1764</v>
      </c>
    </row>
    <row r="1010" spans="1:22" s="2944" customFormat="1" ht="46.8" hidden="1">
      <c r="A1010" s="2948">
        <v>1009</v>
      </c>
      <c r="B1010" s="2948" t="s">
        <v>635</v>
      </c>
      <c r="C1010" s="2948" t="s">
        <v>636</v>
      </c>
      <c r="D1010" s="2948" t="s">
        <v>1756</v>
      </c>
      <c r="E1010" s="2948" t="s">
        <v>729</v>
      </c>
      <c r="F1010" s="2948" t="s">
        <v>657</v>
      </c>
      <c r="G1010" s="2948" t="s">
        <v>640</v>
      </c>
      <c r="H1010" s="2948" t="s">
        <v>1757</v>
      </c>
      <c r="I1010" s="2948" t="s">
        <v>854</v>
      </c>
      <c r="J1010" s="2948" t="s">
        <v>643</v>
      </c>
      <c r="K1010" s="2950">
        <v>198.19</v>
      </c>
      <c r="L1010" s="2950">
        <v>152.01</v>
      </c>
      <c r="M1010" s="2951">
        <v>21800900</v>
      </c>
      <c r="N1010" s="2951">
        <v>21800900</v>
      </c>
      <c r="O1010" s="2952">
        <v>21800900</v>
      </c>
      <c r="P1010" s="2953">
        <v>21800900</v>
      </c>
      <c r="Q1010" s="2951">
        <v>21800900</v>
      </c>
      <c r="R1010" s="2954">
        <v>44651</v>
      </c>
      <c r="S1010" s="2954">
        <v>44651</v>
      </c>
      <c r="T1010" s="2954">
        <v>44853</v>
      </c>
      <c r="U1010" s="2954">
        <v>44853</v>
      </c>
      <c r="V1010" s="2948" t="s">
        <v>1765</v>
      </c>
    </row>
    <row r="1011" spans="1:22" s="2944" customFormat="1" ht="46.8" hidden="1">
      <c r="A1011" s="2948">
        <v>1010</v>
      </c>
      <c r="B1011" s="2948" t="s">
        <v>635</v>
      </c>
      <c r="C1011" s="2948" t="s">
        <v>636</v>
      </c>
      <c r="D1011" s="2948" t="s">
        <v>1756</v>
      </c>
      <c r="E1011" s="2948" t="s">
        <v>729</v>
      </c>
      <c r="F1011" s="2948" t="s">
        <v>659</v>
      </c>
      <c r="G1011" s="2948" t="s">
        <v>640</v>
      </c>
      <c r="H1011" s="2948" t="s">
        <v>1759</v>
      </c>
      <c r="I1011" s="2948" t="s">
        <v>854</v>
      </c>
      <c r="J1011" s="2948" t="s">
        <v>643</v>
      </c>
      <c r="K1011" s="2950">
        <v>196.77</v>
      </c>
      <c r="L1011" s="2950">
        <v>150.91999999999999</v>
      </c>
      <c r="M1011" s="2951">
        <v>21644700</v>
      </c>
      <c r="N1011" s="2951">
        <v>21644700</v>
      </c>
      <c r="O1011" s="2952">
        <v>21644700</v>
      </c>
      <c r="P1011" s="2953">
        <v>21644700</v>
      </c>
      <c r="Q1011" s="2951">
        <v>21644700</v>
      </c>
      <c r="R1011" s="2948"/>
      <c r="S1011" s="2954">
        <v>44772.753252314797</v>
      </c>
      <c r="T1011" s="2954">
        <v>44773</v>
      </c>
      <c r="U1011" s="2954">
        <v>44773</v>
      </c>
      <c r="V1011" s="2948" t="s">
        <v>1766</v>
      </c>
    </row>
    <row r="1012" spans="1:22" s="2944" customFormat="1" ht="46.8" hidden="1">
      <c r="A1012" s="2948">
        <v>1011</v>
      </c>
      <c r="B1012" s="2948" t="s">
        <v>635</v>
      </c>
      <c r="C1012" s="2948" t="s">
        <v>636</v>
      </c>
      <c r="D1012" s="2948" t="s">
        <v>1756</v>
      </c>
      <c r="E1012" s="2948" t="s">
        <v>729</v>
      </c>
      <c r="F1012" s="2948" t="s">
        <v>661</v>
      </c>
      <c r="G1012" s="2948" t="s">
        <v>640</v>
      </c>
      <c r="H1012" s="2948" t="s">
        <v>1757</v>
      </c>
      <c r="I1012" s="2948" t="s">
        <v>854</v>
      </c>
      <c r="J1012" s="2948" t="s">
        <v>643</v>
      </c>
      <c r="K1012" s="2950">
        <v>198.19</v>
      </c>
      <c r="L1012" s="2950">
        <v>152.01</v>
      </c>
      <c r="M1012" s="2951">
        <v>21800900</v>
      </c>
      <c r="N1012" s="2951">
        <v>21800900</v>
      </c>
      <c r="O1012" s="2952">
        <v>21800900</v>
      </c>
      <c r="P1012" s="2953">
        <v>21800900</v>
      </c>
      <c r="Q1012" s="2951">
        <v>21800900</v>
      </c>
      <c r="R1012" s="2954">
        <v>44679</v>
      </c>
      <c r="S1012" s="2954">
        <v>44679</v>
      </c>
      <c r="T1012" s="2954">
        <v>44739</v>
      </c>
      <c r="U1012" s="2954">
        <v>44739</v>
      </c>
      <c r="V1012" s="2948" t="s">
        <v>1767</v>
      </c>
    </row>
    <row r="1013" spans="1:22" s="2944" customFormat="1" ht="46.8" hidden="1">
      <c r="A1013" s="2948">
        <v>1012</v>
      </c>
      <c r="B1013" s="2948" t="s">
        <v>635</v>
      </c>
      <c r="C1013" s="2948" t="s">
        <v>636</v>
      </c>
      <c r="D1013" s="2948" t="s">
        <v>1756</v>
      </c>
      <c r="E1013" s="2948" t="s">
        <v>729</v>
      </c>
      <c r="F1013" s="2948" t="s">
        <v>663</v>
      </c>
      <c r="G1013" s="2948" t="s">
        <v>640</v>
      </c>
      <c r="H1013" s="2948" t="s">
        <v>1759</v>
      </c>
      <c r="I1013" s="2948" t="s">
        <v>854</v>
      </c>
      <c r="J1013" s="2948" t="s">
        <v>643</v>
      </c>
      <c r="K1013" s="2950">
        <v>196.77</v>
      </c>
      <c r="L1013" s="2950">
        <v>150.91999999999999</v>
      </c>
      <c r="M1013" s="2951">
        <v>21644700</v>
      </c>
      <c r="N1013" s="2951">
        <v>21644700</v>
      </c>
      <c r="O1013" s="2952">
        <v>21644700</v>
      </c>
      <c r="P1013" s="2953">
        <v>21644700</v>
      </c>
      <c r="Q1013" s="2951">
        <v>21644700</v>
      </c>
      <c r="R1013" s="2954">
        <v>44979</v>
      </c>
      <c r="S1013" s="2954">
        <v>44979</v>
      </c>
      <c r="T1013" s="2954">
        <v>44984</v>
      </c>
      <c r="U1013" s="2954">
        <v>44995</v>
      </c>
      <c r="V1013" s="2948" t="s">
        <v>1768</v>
      </c>
    </row>
    <row r="1014" spans="1:22" s="2944" customFormat="1" ht="46.8" hidden="1">
      <c r="A1014" s="2948">
        <v>1013</v>
      </c>
      <c r="B1014" s="2948" t="s">
        <v>635</v>
      </c>
      <c r="C1014" s="2948" t="s">
        <v>636</v>
      </c>
      <c r="D1014" s="2948" t="s">
        <v>1756</v>
      </c>
      <c r="E1014" s="2948" t="s">
        <v>729</v>
      </c>
      <c r="F1014" s="2948" t="s">
        <v>665</v>
      </c>
      <c r="G1014" s="2948" t="s">
        <v>640</v>
      </c>
      <c r="H1014" s="2948" t="s">
        <v>1757</v>
      </c>
      <c r="I1014" s="2948" t="s">
        <v>854</v>
      </c>
      <c r="J1014" s="2948" t="s">
        <v>643</v>
      </c>
      <c r="K1014" s="2950">
        <v>198.19</v>
      </c>
      <c r="L1014" s="2950">
        <v>152.01</v>
      </c>
      <c r="M1014" s="2951">
        <v>21800900</v>
      </c>
      <c r="N1014" s="2951">
        <v>21800900</v>
      </c>
      <c r="O1014" s="2952">
        <v>21800900</v>
      </c>
      <c r="P1014" s="2953">
        <v>21800900</v>
      </c>
      <c r="Q1014" s="2951">
        <v>21800900</v>
      </c>
      <c r="R1014" s="2954">
        <v>44560</v>
      </c>
      <c r="S1014" s="2954">
        <v>44620</v>
      </c>
      <c r="T1014" s="2954">
        <v>44657</v>
      </c>
      <c r="U1014" s="2954">
        <v>44657</v>
      </c>
      <c r="V1014" s="2948" t="s">
        <v>1769</v>
      </c>
    </row>
    <row r="1015" spans="1:22" s="2944" customFormat="1" ht="46.8" hidden="1">
      <c r="A1015" s="2948">
        <v>1014</v>
      </c>
      <c r="B1015" s="2948" t="s">
        <v>635</v>
      </c>
      <c r="C1015" s="2948" t="s">
        <v>636</v>
      </c>
      <c r="D1015" s="2948" t="s">
        <v>1756</v>
      </c>
      <c r="E1015" s="2948" t="s">
        <v>729</v>
      </c>
      <c r="F1015" s="2948" t="s">
        <v>667</v>
      </c>
      <c r="G1015" s="2948" t="s">
        <v>640</v>
      </c>
      <c r="H1015" s="2948" t="s">
        <v>1759</v>
      </c>
      <c r="I1015" s="2948" t="s">
        <v>854</v>
      </c>
      <c r="J1015" s="2948" t="s">
        <v>643</v>
      </c>
      <c r="K1015" s="2950">
        <v>196.77</v>
      </c>
      <c r="L1015" s="2950">
        <v>150.91999999999999</v>
      </c>
      <c r="M1015" s="2951">
        <v>21644700</v>
      </c>
      <c r="N1015" s="2951">
        <v>21644700</v>
      </c>
      <c r="O1015" s="2952">
        <v>21644700</v>
      </c>
      <c r="P1015" s="2953">
        <v>21644700</v>
      </c>
      <c r="Q1015" s="2951">
        <v>21644700</v>
      </c>
      <c r="R1015" s="2954">
        <v>44616</v>
      </c>
      <c r="S1015" s="2954">
        <v>44646</v>
      </c>
      <c r="T1015" s="2954">
        <v>44726</v>
      </c>
      <c r="U1015" s="2954">
        <v>44726</v>
      </c>
      <c r="V1015" s="2948" t="s">
        <v>1770</v>
      </c>
    </row>
    <row r="1016" spans="1:22" s="2944" customFormat="1" ht="46.8" hidden="1">
      <c r="A1016" s="2948">
        <v>1015</v>
      </c>
      <c r="B1016" s="2948" t="s">
        <v>635</v>
      </c>
      <c r="C1016" s="2948" t="s">
        <v>636</v>
      </c>
      <c r="D1016" s="2948" t="s">
        <v>1756</v>
      </c>
      <c r="E1016" s="2948" t="s">
        <v>729</v>
      </c>
      <c r="F1016" s="2948" t="s">
        <v>669</v>
      </c>
      <c r="G1016" s="2948" t="s">
        <v>640</v>
      </c>
      <c r="H1016" s="2948" t="s">
        <v>1757</v>
      </c>
      <c r="I1016" s="2948" t="s">
        <v>854</v>
      </c>
      <c r="J1016" s="2948" t="s">
        <v>643</v>
      </c>
      <c r="K1016" s="2950">
        <v>198.19</v>
      </c>
      <c r="L1016" s="2950">
        <v>152.01</v>
      </c>
      <c r="M1016" s="2951">
        <v>21800900</v>
      </c>
      <c r="N1016" s="2951">
        <v>21800900</v>
      </c>
      <c r="O1016" s="2952">
        <v>21800900</v>
      </c>
      <c r="P1016" s="2953">
        <v>21800900</v>
      </c>
      <c r="Q1016" s="2951">
        <v>21800900</v>
      </c>
      <c r="R1016" s="2954">
        <v>44645</v>
      </c>
      <c r="S1016" s="2954">
        <v>44650</v>
      </c>
      <c r="T1016" s="2954">
        <v>44726</v>
      </c>
      <c r="U1016" s="2954">
        <v>44726</v>
      </c>
      <c r="V1016" s="2948" t="s">
        <v>1771</v>
      </c>
    </row>
    <row r="1017" spans="1:22" s="2944" customFormat="1" ht="46.8" hidden="1">
      <c r="A1017" s="2948">
        <v>1016</v>
      </c>
      <c r="B1017" s="2948" t="s">
        <v>635</v>
      </c>
      <c r="C1017" s="2948" t="s">
        <v>636</v>
      </c>
      <c r="D1017" s="2948" t="s">
        <v>1756</v>
      </c>
      <c r="E1017" s="2948" t="s">
        <v>729</v>
      </c>
      <c r="F1017" s="2948" t="s">
        <v>671</v>
      </c>
      <c r="G1017" s="2948" t="s">
        <v>640</v>
      </c>
      <c r="H1017" s="2948" t="s">
        <v>1759</v>
      </c>
      <c r="I1017" s="2948" t="s">
        <v>854</v>
      </c>
      <c r="J1017" s="2948" t="s">
        <v>643</v>
      </c>
      <c r="K1017" s="2950">
        <v>196.77</v>
      </c>
      <c r="L1017" s="2950">
        <v>150.91999999999999</v>
      </c>
      <c r="M1017" s="2951">
        <v>21644700</v>
      </c>
      <c r="N1017" s="2951">
        <v>21644700</v>
      </c>
      <c r="O1017" s="2952">
        <v>21644700</v>
      </c>
      <c r="P1017" s="2953">
        <v>21644700</v>
      </c>
      <c r="Q1017" s="2951">
        <v>21644700</v>
      </c>
      <c r="R1017" s="2954">
        <v>44557</v>
      </c>
      <c r="S1017" s="2954">
        <v>44561</v>
      </c>
      <c r="T1017" s="2954">
        <v>44654</v>
      </c>
      <c r="U1017" s="2954">
        <v>44654</v>
      </c>
      <c r="V1017" s="2948" t="s">
        <v>1772</v>
      </c>
    </row>
    <row r="1018" spans="1:22" s="2944" customFormat="1" ht="46.8" hidden="1">
      <c r="A1018" s="2948">
        <v>1017</v>
      </c>
      <c r="B1018" s="2948" t="s">
        <v>635</v>
      </c>
      <c r="C1018" s="2948" t="s">
        <v>636</v>
      </c>
      <c r="D1018" s="2948" t="s">
        <v>1756</v>
      </c>
      <c r="E1018" s="2948" t="s">
        <v>729</v>
      </c>
      <c r="F1018" s="2948" t="s">
        <v>673</v>
      </c>
      <c r="G1018" s="2948" t="s">
        <v>640</v>
      </c>
      <c r="H1018" s="2948" t="s">
        <v>1757</v>
      </c>
      <c r="I1018" s="2948" t="s">
        <v>854</v>
      </c>
      <c r="J1018" s="2948" t="s">
        <v>643</v>
      </c>
      <c r="K1018" s="2950">
        <v>198.19</v>
      </c>
      <c r="L1018" s="2950">
        <v>152.01</v>
      </c>
      <c r="M1018" s="2951">
        <v>21800900</v>
      </c>
      <c r="N1018" s="2951">
        <v>21800900</v>
      </c>
      <c r="O1018" s="2952">
        <v>21800900</v>
      </c>
      <c r="P1018" s="2953">
        <v>21800900</v>
      </c>
      <c r="Q1018" s="2951">
        <v>21800900</v>
      </c>
      <c r="R1018" s="2954">
        <v>44590</v>
      </c>
      <c r="S1018" s="2954">
        <v>44649</v>
      </c>
      <c r="T1018" s="2954">
        <v>44737</v>
      </c>
      <c r="U1018" s="2954">
        <v>44737</v>
      </c>
      <c r="V1018" s="2948" t="s">
        <v>1773</v>
      </c>
    </row>
    <row r="1019" spans="1:22" s="2944" customFormat="1" ht="46.8" hidden="1">
      <c r="A1019" s="2948">
        <v>1018</v>
      </c>
      <c r="B1019" s="2948" t="s">
        <v>635</v>
      </c>
      <c r="C1019" s="2948" t="s">
        <v>636</v>
      </c>
      <c r="D1019" s="2948" t="s">
        <v>1756</v>
      </c>
      <c r="E1019" s="2948" t="s">
        <v>729</v>
      </c>
      <c r="F1019" s="2948" t="s">
        <v>675</v>
      </c>
      <c r="G1019" s="2948" t="s">
        <v>640</v>
      </c>
      <c r="H1019" s="2948" t="s">
        <v>1759</v>
      </c>
      <c r="I1019" s="2948" t="s">
        <v>854</v>
      </c>
      <c r="J1019" s="2948" t="s">
        <v>643</v>
      </c>
      <c r="K1019" s="2950">
        <v>196.77</v>
      </c>
      <c r="L1019" s="2950">
        <v>150.91999999999999</v>
      </c>
      <c r="M1019" s="2951">
        <v>21644700</v>
      </c>
      <c r="N1019" s="2951">
        <v>21644700</v>
      </c>
      <c r="O1019" s="2952">
        <v>21644700</v>
      </c>
      <c r="P1019" s="2953">
        <v>21644700</v>
      </c>
      <c r="Q1019" s="2951">
        <v>21644700</v>
      </c>
      <c r="R1019" s="2954">
        <v>44648</v>
      </c>
      <c r="S1019" s="2954">
        <v>44679</v>
      </c>
      <c r="T1019" s="2954">
        <v>44726</v>
      </c>
      <c r="U1019" s="2954">
        <v>44726</v>
      </c>
      <c r="V1019" s="2948" t="s">
        <v>1774</v>
      </c>
    </row>
    <row r="1020" spans="1:22" s="2944" customFormat="1" ht="46.8" hidden="1">
      <c r="A1020" s="2948">
        <v>1019</v>
      </c>
      <c r="B1020" s="2948" t="s">
        <v>635</v>
      </c>
      <c r="C1020" s="2948" t="s">
        <v>636</v>
      </c>
      <c r="D1020" s="2948" t="s">
        <v>1756</v>
      </c>
      <c r="E1020" s="2948" t="s">
        <v>729</v>
      </c>
      <c r="F1020" s="2948" t="s">
        <v>677</v>
      </c>
      <c r="G1020" s="2948" t="s">
        <v>640</v>
      </c>
      <c r="H1020" s="2948" t="s">
        <v>1757</v>
      </c>
      <c r="I1020" s="2948" t="s">
        <v>854</v>
      </c>
      <c r="J1020" s="2948" t="s">
        <v>643</v>
      </c>
      <c r="K1020" s="2950">
        <v>198.19</v>
      </c>
      <c r="L1020" s="2950">
        <v>152.01</v>
      </c>
      <c r="M1020" s="2951">
        <v>21800900</v>
      </c>
      <c r="N1020" s="2951">
        <v>21800900</v>
      </c>
      <c r="O1020" s="2952">
        <v>21800900</v>
      </c>
      <c r="P1020" s="2953">
        <v>21800900</v>
      </c>
      <c r="Q1020" s="2951">
        <v>21800900</v>
      </c>
      <c r="R1020" s="2954">
        <v>44497</v>
      </c>
      <c r="S1020" s="2954">
        <v>44498</v>
      </c>
      <c r="T1020" s="2954">
        <v>44639</v>
      </c>
      <c r="U1020" s="2954">
        <v>44639</v>
      </c>
      <c r="V1020" s="2948" t="s">
        <v>1775</v>
      </c>
    </row>
    <row r="1021" spans="1:22" s="2944" customFormat="1" ht="46.8" hidden="1">
      <c r="A1021" s="2948">
        <v>1020</v>
      </c>
      <c r="B1021" s="2948" t="s">
        <v>635</v>
      </c>
      <c r="C1021" s="2948" t="s">
        <v>636</v>
      </c>
      <c r="D1021" s="2948" t="s">
        <v>1756</v>
      </c>
      <c r="E1021" s="2948" t="s">
        <v>729</v>
      </c>
      <c r="F1021" s="2948" t="s">
        <v>679</v>
      </c>
      <c r="G1021" s="2948" t="s">
        <v>640</v>
      </c>
      <c r="H1021" s="2948" t="s">
        <v>1759</v>
      </c>
      <c r="I1021" s="2948" t="s">
        <v>854</v>
      </c>
      <c r="J1021" s="2948" t="s">
        <v>643</v>
      </c>
      <c r="K1021" s="2950">
        <v>196.77</v>
      </c>
      <c r="L1021" s="2950">
        <v>150.91999999999999</v>
      </c>
      <c r="M1021" s="2951">
        <v>21644700</v>
      </c>
      <c r="N1021" s="2951">
        <v>21644700</v>
      </c>
      <c r="O1021" s="2952">
        <v>21644700</v>
      </c>
      <c r="P1021" s="2953">
        <v>21644700</v>
      </c>
      <c r="Q1021" s="2951">
        <v>21644700</v>
      </c>
      <c r="R1021" s="2954">
        <v>44678</v>
      </c>
      <c r="S1021" s="2954">
        <v>44678</v>
      </c>
      <c r="T1021" s="2954">
        <v>44737</v>
      </c>
      <c r="U1021" s="2954">
        <v>44737</v>
      </c>
      <c r="V1021" s="2948" t="s">
        <v>1776</v>
      </c>
    </row>
    <row r="1022" spans="1:22" s="2944" customFormat="1" ht="46.8" hidden="1">
      <c r="A1022" s="2948">
        <v>1021</v>
      </c>
      <c r="B1022" s="2948" t="s">
        <v>635</v>
      </c>
      <c r="C1022" s="2948" t="s">
        <v>636</v>
      </c>
      <c r="D1022" s="2948" t="s">
        <v>1756</v>
      </c>
      <c r="E1022" s="2948" t="s">
        <v>729</v>
      </c>
      <c r="F1022" s="2948" t="s">
        <v>681</v>
      </c>
      <c r="G1022" s="2948" t="s">
        <v>640</v>
      </c>
      <c r="H1022" s="2948" t="s">
        <v>1757</v>
      </c>
      <c r="I1022" s="2948" t="s">
        <v>854</v>
      </c>
      <c r="J1022" s="2948" t="s">
        <v>643</v>
      </c>
      <c r="K1022" s="2950">
        <v>198.19</v>
      </c>
      <c r="L1022" s="2950">
        <v>152.01</v>
      </c>
      <c r="M1022" s="2951">
        <v>21800900</v>
      </c>
      <c r="N1022" s="2951">
        <v>21800900</v>
      </c>
      <c r="O1022" s="2952">
        <v>21800900</v>
      </c>
      <c r="P1022" s="2953">
        <v>21800900</v>
      </c>
      <c r="Q1022" s="2951">
        <v>21800900</v>
      </c>
      <c r="R1022" s="2954">
        <v>44454</v>
      </c>
      <c r="S1022" s="2954">
        <v>44489</v>
      </c>
      <c r="T1022" s="2954">
        <v>44641</v>
      </c>
      <c r="U1022" s="2954">
        <v>44641</v>
      </c>
      <c r="V1022" s="2948" t="s">
        <v>1777</v>
      </c>
    </row>
    <row r="1023" spans="1:22" s="2944" customFormat="1" ht="46.8" hidden="1">
      <c r="A1023" s="2948">
        <v>1022</v>
      </c>
      <c r="B1023" s="2948" t="s">
        <v>635</v>
      </c>
      <c r="C1023" s="2948" t="s">
        <v>636</v>
      </c>
      <c r="D1023" s="2948" t="s">
        <v>1756</v>
      </c>
      <c r="E1023" s="2948" t="s">
        <v>729</v>
      </c>
      <c r="F1023" s="2948" t="s">
        <v>683</v>
      </c>
      <c r="G1023" s="2948" t="s">
        <v>640</v>
      </c>
      <c r="H1023" s="2948" t="s">
        <v>1759</v>
      </c>
      <c r="I1023" s="2948" t="s">
        <v>854</v>
      </c>
      <c r="J1023" s="2948" t="s">
        <v>643</v>
      </c>
      <c r="K1023" s="2950">
        <v>196.77</v>
      </c>
      <c r="L1023" s="2950">
        <v>150.91999999999999</v>
      </c>
      <c r="M1023" s="2951">
        <v>21644700</v>
      </c>
      <c r="N1023" s="2951">
        <v>21644700</v>
      </c>
      <c r="O1023" s="2952">
        <v>21644700</v>
      </c>
      <c r="P1023" s="2953">
        <v>21644700</v>
      </c>
      <c r="Q1023" s="2951">
        <v>21644700</v>
      </c>
      <c r="R1023" s="2954">
        <v>44519</v>
      </c>
      <c r="S1023" s="2954">
        <v>44528</v>
      </c>
      <c r="T1023" s="2954">
        <v>44726</v>
      </c>
      <c r="U1023" s="2954">
        <v>44726</v>
      </c>
      <c r="V1023" s="2948" t="s">
        <v>1778</v>
      </c>
    </row>
    <row r="1024" spans="1:22" s="2944" customFormat="1" ht="46.8" hidden="1">
      <c r="A1024" s="2948">
        <v>1023</v>
      </c>
      <c r="B1024" s="2948" t="s">
        <v>635</v>
      </c>
      <c r="C1024" s="2948" t="s">
        <v>636</v>
      </c>
      <c r="D1024" s="2948" t="s">
        <v>1756</v>
      </c>
      <c r="E1024" s="2948" t="s">
        <v>729</v>
      </c>
      <c r="F1024" s="2948" t="s">
        <v>685</v>
      </c>
      <c r="G1024" s="2948" t="s">
        <v>640</v>
      </c>
      <c r="H1024" s="2948" t="s">
        <v>1757</v>
      </c>
      <c r="I1024" s="2948" t="s">
        <v>854</v>
      </c>
      <c r="J1024" s="2948" t="s">
        <v>643</v>
      </c>
      <c r="K1024" s="2950">
        <v>198.19</v>
      </c>
      <c r="L1024" s="2950">
        <v>152.01</v>
      </c>
      <c r="M1024" s="2951">
        <v>21800900</v>
      </c>
      <c r="N1024" s="2951">
        <v>21800900</v>
      </c>
      <c r="O1024" s="2952">
        <v>21800900</v>
      </c>
      <c r="P1024" s="2953">
        <v>21800900</v>
      </c>
      <c r="Q1024" s="2951">
        <v>21800900</v>
      </c>
      <c r="R1024" s="2954">
        <v>44525</v>
      </c>
      <c r="S1024" s="2954">
        <v>44560</v>
      </c>
      <c r="T1024" s="2954">
        <v>44740</v>
      </c>
      <c r="U1024" s="2954">
        <v>44740</v>
      </c>
      <c r="V1024" s="2948" t="s">
        <v>1779</v>
      </c>
    </row>
    <row r="1025" spans="1:22" s="2944" customFormat="1" ht="46.8" hidden="1">
      <c r="A1025" s="2948">
        <v>1024</v>
      </c>
      <c r="B1025" s="2948" t="s">
        <v>635</v>
      </c>
      <c r="C1025" s="2948" t="s">
        <v>636</v>
      </c>
      <c r="D1025" s="2948" t="s">
        <v>1756</v>
      </c>
      <c r="E1025" s="2948" t="s">
        <v>729</v>
      </c>
      <c r="F1025" s="2948" t="s">
        <v>687</v>
      </c>
      <c r="G1025" s="2948" t="s">
        <v>640</v>
      </c>
      <c r="H1025" s="2948" t="s">
        <v>1759</v>
      </c>
      <c r="I1025" s="2948" t="s">
        <v>854</v>
      </c>
      <c r="J1025" s="2948" t="s">
        <v>643</v>
      </c>
      <c r="K1025" s="2950">
        <v>196.77</v>
      </c>
      <c r="L1025" s="2950">
        <v>150.91999999999999</v>
      </c>
      <c r="M1025" s="2951">
        <v>21644700</v>
      </c>
      <c r="N1025" s="2951">
        <v>21644700</v>
      </c>
      <c r="O1025" s="2952">
        <v>21644700</v>
      </c>
      <c r="P1025" s="2953">
        <v>21644700</v>
      </c>
      <c r="Q1025" s="2951">
        <v>21644700</v>
      </c>
      <c r="R1025" s="2954">
        <v>44516</v>
      </c>
      <c r="S1025" s="2954">
        <v>44530</v>
      </c>
      <c r="T1025" s="2954">
        <v>44726</v>
      </c>
      <c r="U1025" s="2954">
        <v>44726</v>
      </c>
      <c r="V1025" s="2948" t="s">
        <v>1780</v>
      </c>
    </row>
    <row r="1026" spans="1:22" s="2944" customFormat="1" ht="46.8" hidden="1">
      <c r="A1026" s="2948">
        <v>1025</v>
      </c>
      <c r="B1026" s="2948" t="s">
        <v>635</v>
      </c>
      <c r="C1026" s="2948" t="s">
        <v>636</v>
      </c>
      <c r="D1026" s="2948" t="s">
        <v>1756</v>
      </c>
      <c r="E1026" s="2948" t="s">
        <v>729</v>
      </c>
      <c r="F1026" s="2948" t="s">
        <v>689</v>
      </c>
      <c r="G1026" s="2948" t="s">
        <v>640</v>
      </c>
      <c r="H1026" s="2948" t="s">
        <v>1757</v>
      </c>
      <c r="I1026" s="2948" t="s">
        <v>854</v>
      </c>
      <c r="J1026" s="2948" t="s">
        <v>643</v>
      </c>
      <c r="K1026" s="2950">
        <v>198.19</v>
      </c>
      <c r="L1026" s="2950">
        <v>152.01</v>
      </c>
      <c r="M1026" s="2951">
        <v>21800900</v>
      </c>
      <c r="N1026" s="2951">
        <v>21800900</v>
      </c>
      <c r="O1026" s="2952">
        <v>21800900</v>
      </c>
      <c r="P1026" s="2953">
        <v>21800900</v>
      </c>
      <c r="Q1026" s="2951">
        <v>21800900</v>
      </c>
      <c r="R1026" s="2954">
        <v>44452</v>
      </c>
      <c r="S1026" s="2954">
        <v>44461</v>
      </c>
      <c r="T1026" s="2954">
        <v>44507</v>
      </c>
      <c r="U1026" s="2954">
        <v>44507</v>
      </c>
      <c r="V1026" s="2948" t="s">
        <v>1781</v>
      </c>
    </row>
    <row r="1027" spans="1:22" s="2944" customFormat="1" ht="46.8" hidden="1">
      <c r="A1027" s="2948">
        <v>1026</v>
      </c>
      <c r="B1027" s="2948" t="s">
        <v>635</v>
      </c>
      <c r="C1027" s="2948" t="s">
        <v>636</v>
      </c>
      <c r="D1027" s="2948" t="s">
        <v>1756</v>
      </c>
      <c r="E1027" s="2948" t="s">
        <v>729</v>
      </c>
      <c r="F1027" s="2948" t="s">
        <v>691</v>
      </c>
      <c r="G1027" s="2948" t="s">
        <v>640</v>
      </c>
      <c r="H1027" s="2948" t="s">
        <v>1759</v>
      </c>
      <c r="I1027" s="2948" t="s">
        <v>854</v>
      </c>
      <c r="J1027" s="2948" t="s">
        <v>643</v>
      </c>
      <c r="K1027" s="2950">
        <v>196.77</v>
      </c>
      <c r="L1027" s="2950">
        <v>150.91999999999999</v>
      </c>
      <c r="M1027" s="2951">
        <v>21644700</v>
      </c>
      <c r="N1027" s="2951">
        <v>21644700</v>
      </c>
      <c r="O1027" s="2952">
        <v>21644700</v>
      </c>
      <c r="P1027" s="2953">
        <v>21644700</v>
      </c>
      <c r="Q1027" s="2951">
        <v>21644700</v>
      </c>
      <c r="R1027" s="2954">
        <v>44452</v>
      </c>
      <c r="S1027" s="2954">
        <v>44458</v>
      </c>
      <c r="T1027" s="2954">
        <v>44504</v>
      </c>
      <c r="U1027" s="2954">
        <v>44504</v>
      </c>
      <c r="V1027" s="2948" t="s">
        <v>1782</v>
      </c>
    </row>
    <row r="1028" spans="1:22" s="2944" customFormat="1" ht="46.8" hidden="1">
      <c r="A1028" s="2948">
        <v>1027</v>
      </c>
      <c r="B1028" s="2948" t="s">
        <v>635</v>
      </c>
      <c r="C1028" s="2948" t="s">
        <v>636</v>
      </c>
      <c r="D1028" s="2948" t="s">
        <v>1756</v>
      </c>
      <c r="E1028" s="2948" t="s">
        <v>729</v>
      </c>
      <c r="F1028" s="2948" t="s">
        <v>693</v>
      </c>
      <c r="G1028" s="2948" t="s">
        <v>640</v>
      </c>
      <c r="H1028" s="2948" t="s">
        <v>1757</v>
      </c>
      <c r="I1028" s="2948" t="s">
        <v>854</v>
      </c>
      <c r="J1028" s="2948" t="s">
        <v>643</v>
      </c>
      <c r="K1028" s="2950">
        <v>198.19</v>
      </c>
      <c r="L1028" s="2950">
        <v>152.01</v>
      </c>
      <c r="M1028" s="2951">
        <v>21800900</v>
      </c>
      <c r="N1028" s="2951">
        <v>21800900</v>
      </c>
      <c r="O1028" s="2952">
        <v>21800900</v>
      </c>
      <c r="P1028" s="2953">
        <v>21800900</v>
      </c>
      <c r="Q1028" s="2951">
        <v>21800900</v>
      </c>
      <c r="R1028" s="2954">
        <v>44530</v>
      </c>
      <c r="S1028" s="2954">
        <v>44560</v>
      </c>
      <c r="T1028" s="2954">
        <v>44737</v>
      </c>
      <c r="U1028" s="2954">
        <v>44737</v>
      </c>
      <c r="V1028" s="2948" t="s">
        <v>1783</v>
      </c>
    </row>
    <row r="1029" spans="1:22" s="2944" customFormat="1" ht="46.8" hidden="1">
      <c r="A1029" s="2948">
        <v>1028</v>
      </c>
      <c r="B1029" s="2948" t="s">
        <v>635</v>
      </c>
      <c r="C1029" s="2948" t="s">
        <v>636</v>
      </c>
      <c r="D1029" s="2948" t="s">
        <v>1756</v>
      </c>
      <c r="E1029" s="2948" t="s">
        <v>729</v>
      </c>
      <c r="F1029" s="2948" t="s">
        <v>694</v>
      </c>
      <c r="G1029" s="2948" t="s">
        <v>640</v>
      </c>
      <c r="H1029" s="2948" t="s">
        <v>1759</v>
      </c>
      <c r="I1029" s="2948" t="s">
        <v>854</v>
      </c>
      <c r="J1029" s="2948" t="s">
        <v>643</v>
      </c>
      <c r="K1029" s="2950">
        <v>196.77</v>
      </c>
      <c r="L1029" s="2950">
        <v>150.91999999999999</v>
      </c>
      <c r="M1029" s="2951">
        <v>21644700</v>
      </c>
      <c r="N1029" s="2951">
        <v>21644700</v>
      </c>
      <c r="O1029" s="2952">
        <v>21644700</v>
      </c>
      <c r="P1029" s="2953">
        <v>21644700</v>
      </c>
      <c r="Q1029" s="2951">
        <v>21644700</v>
      </c>
      <c r="R1029" s="2954">
        <v>44580.715439814798</v>
      </c>
      <c r="S1029" s="2954">
        <v>44643</v>
      </c>
      <c r="T1029" s="2954">
        <v>44726</v>
      </c>
      <c r="U1029" s="2954">
        <v>44726</v>
      </c>
      <c r="V1029" s="2948" t="s">
        <v>1784</v>
      </c>
    </row>
    <row r="1030" spans="1:22" s="2944" customFormat="1" ht="46.8" hidden="1">
      <c r="A1030" s="2948">
        <v>1029</v>
      </c>
      <c r="B1030" s="2948" t="s">
        <v>635</v>
      </c>
      <c r="C1030" s="2948" t="s">
        <v>636</v>
      </c>
      <c r="D1030" s="2948" t="s">
        <v>1756</v>
      </c>
      <c r="E1030" s="2948" t="s">
        <v>729</v>
      </c>
      <c r="F1030" s="2948" t="s">
        <v>696</v>
      </c>
      <c r="G1030" s="2948" t="s">
        <v>640</v>
      </c>
      <c r="H1030" s="2948" t="s">
        <v>1757</v>
      </c>
      <c r="I1030" s="2948" t="s">
        <v>854</v>
      </c>
      <c r="J1030" s="2948" t="s">
        <v>643</v>
      </c>
      <c r="K1030" s="2950">
        <v>198.19</v>
      </c>
      <c r="L1030" s="2950">
        <v>152.01</v>
      </c>
      <c r="M1030" s="2951">
        <v>21800900</v>
      </c>
      <c r="N1030" s="2951">
        <v>21800900</v>
      </c>
      <c r="O1030" s="2952">
        <v>21800900</v>
      </c>
      <c r="P1030" s="2953">
        <v>21800900</v>
      </c>
      <c r="Q1030" s="2951">
        <v>21800900</v>
      </c>
      <c r="R1030" s="2954">
        <v>44528</v>
      </c>
      <c r="S1030" s="2954">
        <v>44560</v>
      </c>
      <c r="T1030" s="2954">
        <v>44737</v>
      </c>
      <c r="U1030" s="2954">
        <v>44737</v>
      </c>
      <c r="V1030" s="2948" t="s">
        <v>1785</v>
      </c>
    </row>
    <row r="1031" spans="1:22" s="2944" customFormat="1" ht="46.8" hidden="1">
      <c r="A1031" s="2948">
        <v>1030</v>
      </c>
      <c r="B1031" s="2948" t="s">
        <v>635</v>
      </c>
      <c r="C1031" s="2948" t="s">
        <v>636</v>
      </c>
      <c r="D1031" s="2948" t="s">
        <v>1756</v>
      </c>
      <c r="E1031" s="2948" t="s">
        <v>729</v>
      </c>
      <c r="F1031" s="2948" t="s">
        <v>698</v>
      </c>
      <c r="G1031" s="2948" t="s">
        <v>640</v>
      </c>
      <c r="H1031" s="2948" t="s">
        <v>1759</v>
      </c>
      <c r="I1031" s="2948" t="s">
        <v>854</v>
      </c>
      <c r="J1031" s="2948" t="s">
        <v>643</v>
      </c>
      <c r="K1031" s="2950">
        <v>196.77</v>
      </c>
      <c r="L1031" s="2950">
        <v>150.91999999999999</v>
      </c>
      <c r="M1031" s="2951">
        <v>21644700</v>
      </c>
      <c r="N1031" s="2951">
        <v>21644700</v>
      </c>
      <c r="O1031" s="2952">
        <v>21644700</v>
      </c>
      <c r="P1031" s="2953">
        <v>21644700</v>
      </c>
      <c r="Q1031" s="2951">
        <v>21644700</v>
      </c>
      <c r="R1031" s="2954">
        <v>44984</v>
      </c>
      <c r="S1031" s="2954">
        <v>44984</v>
      </c>
      <c r="T1031" s="2954">
        <v>45001</v>
      </c>
      <c r="U1031" s="2954">
        <v>45004</v>
      </c>
      <c r="V1031" s="2948" t="s">
        <v>1786</v>
      </c>
    </row>
    <row r="1032" spans="1:22" s="2944" customFormat="1" ht="46.8" hidden="1">
      <c r="A1032" s="2948">
        <v>1031</v>
      </c>
      <c r="B1032" s="2948" t="s">
        <v>635</v>
      </c>
      <c r="C1032" s="2948" t="s">
        <v>636</v>
      </c>
      <c r="D1032" s="2948" t="s">
        <v>1756</v>
      </c>
      <c r="E1032" s="2948" t="s">
        <v>729</v>
      </c>
      <c r="F1032" s="2948" t="s">
        <v>760</v>
      </c>
      <c r="G1032" s="2948" t="s">
        <v>640</v>
      </c>
      <c r="H1032" s="2948" t="s">
        <v>1757</v>
      </c>
      <c r="I1032" s="2948" t="s">
        <v>854</v>
      </c>
      <c r="J1032" s="2948" t="s">
        <v>643</v>
      </c>
      <c r="K1032" s="2950">
        <v>198.19</v>
      </c>
      <c r="L1032" s="2950">
        <v>152.01</v>
      </c>
      <c r="M1032" s="2951">
        <v>21800900</v>
      </c>
      <c r="N1032" s="2951">
        <v>21800900</v>
      </c>
      <c r="O1032" s="2952">
        <v>21800900</v>
      </c>
      <c r="P1032" s="2953">
        <v>21800900</v>
      </c>
      <c r="Q1032" s="2951">
        <v>21800900</v>
      </c>
      <c r="R1032" s="2954">
        <v>44498</v>
      </c>
      <c r="S1032" s="2954">
        <v>44498</v>
      </c>
      <c r="T1032" s="2954">
        <v>44510</v>
      </c>
      <c r="U1032" s="2954">
        <v>44510</v>
      </c>
      <c r="V1032" s="2948" t="s">
        <v>1787</v>
      </c>
    </row>
    <row r="1033" spans="1:22" s="2944" customFormat="1" ht="46.8" hidden="1">
      <c r="A1033" s="2948">
        <v>1032</v>
      </c>
      <c r="B1033" s="2948" t="s">
        <v>635</v>
      </c>
      <c r="C1033" s="2948" t="s">
        <v>636</v>
      </c>
      <c r="D1033" s="2948" t="s">
        <v>1756</v>
      </c>
      <c r="E1033" s="2948" t="s">
        <v>729</v>
      </c>
      <c r="F1033" s="2948" t="s">
        <v>762</v>
      </c>
      <c r="G1033" s="2948" t="s">
        <v>640</v>
      </c>
      <c r="H1033" s="2948" t="s">
        <v>1759</v>
      </c>
      <c r="I1033" s="2948" t="s">
        <v>854</v>
      </c>
      <c r="J1033" s="2948" t="s">
        <v>643</v>
      </c>
      <c r="K1033" s="2950">
        <v>196.77</v>
      </c>
      <c r="L1033" s="2950">
        <v>150.91999999999999</v>
      </c>
      <c r="M1033" s="2951">
        <v>21644700</v>
      </c>
      <c r="N1033" s="2951">
        <v>21644700</v>
      </c>
      <c r="O1033" s="2952">
        <v>21644700</v>
      </c>
      <c r="P1033" s="2953">
        <v>21644700</v>
      </c>
      <c r="Q1033" s="2951">
        <v>21644700</v>
      </c>
      <c r="R1033" s="2954">
        <v>44457.5328703704</v>
      </c>
      <c r="S1033" s="2954">
        <v>44458</v>
      </c>
      <c r="T1033" s="2954">
        <v>44502</v>
      </c>
      <c r="U1033" s="2954">
        <v>44502</v>
      </c>
      <c r="V1033" s="2948" t="s">
        <v>1788</v>
      </c>
    </row>
    <row r="1034" spans="1:22" s="2944" customFormat="1" ht="46.8" hidden="1">
      <c r="A1034" s="2948">
        <v>1033</v>
      </c>
      <c r="B1034" s="2948" t="s">
        <v>635</v>
      </c>
      <c r="C1034" s="2948" t="s">
        <v>636</v>
      </c>
      <c r="D1034" s="2948" t="s">
        <v>1756</v>
      </c>
      <c r="E1034" s="2948" t="s">
        <v>729</v>
      </c>
      <c r="F1034" s="2948" t="s">
        <v>764</v>
      </c>
      <c r="G1034" s="2948" t="s">
        <v>640</v>
      </c>
      <c r="H1034" s="2948" t="s">
        <v>1757</v>
      </c>
      <c r="I1034" s="2948" t="s">
        <v>854</v>
      </c>
      <c r="J1034" s="2948" t="s">
        <v>643</v>
      </c>
      <c r="K1034" s="2950">
        <v>198.19</v>
      </c>
      <c r="L1034" s="2950">
        <v>152.01</v>
      </c>
      <c r="M1034" s="2951">
        <v>21800900</v>
      </c>
      <c r="N1034" s="2951">
        <v>21800900</v>
      </c>
      <c r="O1034" s="2952">
        <v>21800900</v>
      </c>
      <c r="P1034" s="2953">
        <v>21800900</v>
      </c>
      <c r="Q1034" s="2951">
        <v>21800900</v>
      </c>
      <c r="R1034" s="2954">
        <v>44453</v>
      </c>
      <c r="S1034" s="2954">
        <v>44463</v>
      </c>
      <c r="T1034" s="2954">
        <v>44504</v>
      </c>
      <c r="U1034" s="2954">
        <v>44504</v>
      </c>
      <c r="V1034" s="2948" t="s">
        <v>1789</v>
      </c>
    </row>
    <row r="1035" spans="1:22" s="2944" customFormat="1" ht="46.8" hidden="1">
      <c r="A1035" s="2948">
        <v>1034</v>
      </c>
      <c r="B1035" s="2948" t="s">
        <v>635</v>
      </c>
      <c r="C1035" s="2948" t="s">
        <v>636</v>
      </c>
      <c r="D1035" s="2948" t="s">
        <v>1756</v>
      </c>
      <c r="E1035" s="2948" t="s">
        <v>729</v>
      </c>
      <c r="F1035" s="2948" t="s">
        <v>766</v>
      </c>
      <c r="G1035" s="2948" t="s">
        <v>640</v>
      </c>
      <c r="H1035" s="2948" t="s">
        <v>1759</v>
      </c>
      <c r="I1035" s="2948" t="s">
        <v>854</v>
      </c>
      <c r="J1035" s="2948" t="s">
        <v>643</v>
      </c>
      <c r="K1035" s="2950">
        <v>196.77</v>
      </c>
      <c r="L1035" s="2950">
        <v>150.91999999999999</v>
      </c>
      <c r="M1035" s="2951">
        <v>21644700</v>
      </c>
      <c r="N1035" s="2951">
        <v>21644700</v>
      </c>
      <c r="O1035" s="2952">
        <v>21644700</v>
      </c>
      <c r="P1035" s="2953">
        <v>21644700</v>
      </c>
      <c r="Q1035" s="2951">
        <v>21644700</v>
      </c>
      <c r="R1035" s="2954">
        <v>44456</v>
      </c>
      <c r="S1035" s="2954">
        <v>44459</v>
      </c>
      <c r="T1035" s="2954">
        <v>44644</v>
      </c>
      <c r="U1035" s="2954">
        <v>44643</v>
      </c>
      <c r="V1035" s="2948" t="s">
        <v>815</v>
      </c>
    </row>
    <row r="1036" spans="1:22" s="2944" customFormat="1" ht="46.8" hidden="1">
      <c r="A1036" s="2948">
        <v>1035</v>
      </c>
      <c r="B1036" s="2948" t="s">
        <v>635</v>
      </c>
      <c r="C1036" s="2948" t="s">
        <v>636</v>
      </c>
      <c r="D1036" s="2948" t="s">
        <v>1756</v>
      </c>
      <c r="E1036" s="2948" t="s">
        <v>729</v>
      </c>
      <c r="F1036" s="2948" t="s">
        <v>768</v>
      </c>
      <c r="G1036" s="2948" t="s">
        <v>640</v>
      </c>
      <c r="H1036" s="2948" t="s">
        <v>1757</v>
      </c>
      <c r="I1036" s="2948" t="s">
        <v>854</v>
      </c>
      <c r="J1036" s="2948" t="s">
        <v>643</v>
      </c>
      <c r="K1036" s="2950">
        <v>198.19</v>
      </c>
      <c r="L1036" s="2950">
        <v>152.01</v>
      </c>
      <c r="M1036" s="2951">
        <v>21800900</v>
      </c>
      <c r="N1036" s="2951">
        <v>21800900</v>
      </c>
      <c r="O1036" s="2952">
        <v>21800900</v>
      </c>
      <c r="P1036" s="2953">
        <v>21800900</v>
      </c>
      <c r="Q1036" s="2951">
        <v>21800900</v>
      </c>
      <c r="R1036" s="2954">
        <v>44452</v>
      </c>
      <c r="S1036" s="2954">
        <v>44459</v>
      </c>
      <c r="T1036" s="2954">
        <v>44637</v>
      </c>
      <c r="U1036" s="2954">
        <v>44637</v>
      </c>
      <c r="V1036" s="2948" t="s">
        <v>1790</v>
      </c>
    </row>
    <row r="1037" spans="1:22" s="2944" customFormat="1" ht="46.8" hidden="1">
      <c r="A1037" s="2948">
        <v>1036</v>
      </c>
      <c r="B1037" s="2948" t="s">
        <v>635</v>
      </c>
      <c r="C1037" s="2948" t="s">
        <v>636</v>
      </c>
      <c r="D1037" s="2948" t="s">
        <v>1756</v>
      </c>
      <c r="E1037" s="2948" t="s">
        <v>729</v>
      </c>
      <c r="F1037" s="2948" t="s">
        <v>770</v>
      </c>
      <c r="G1037" s="2948" t="s">
        <v>640</v>
      </c>
      <c r="H1037" s="2948" t="s">
        <v>1759</v>
      </c>
      <c r="I1037" s="2948" t="s">
        <v>854</v>
      </c>
      <c r="J1037" s="2948" t="s">
        <v>643</v>
      </c>
      <c r="K1037" s="2950">
        <v>196.77</v>
      </c>
      <c r="L1037" s="2950">
        <v>150.91999999999999</v>
      </c>
      <c r="M1037" s="2951">
        <v>21644700</v>
      </c>
      <c r="N1037" s="2951">
        <v>21644700</v>
      </c>
      <c r="O1037" s="2952">
        <v>21644700</v>
      </c>
      <c r="P1037" s="2953">
        <v>21644700</v>
      </c>
      <c r="Q1037" s="2951">
        <v>21644700</v>
      </c>
      <c r="R1037" s="2948"/>
      <c r="S1037" s="2954">
        <v>44479.632928240702</v>
      </c>
      <c r="T1037" s="2954">
        <v>44640</v>
      </c>
      <c r="U1037" s="2954">
        <v>44640</v>
      </c>
      <c r="V1037" s="2948" t="s">
        <v>1791</v>
      </c>
    </row>
    <row r="1038" spans="1:22" s="2944" customFormat="1" ht="46.8" hidden="1">
      <c r="A1038" s="2948">
        <v>1037</v>
      </c>
      <c r="B1038" s="2948" t="s">
        <v>635</v>
      </c>
      <c r="C1038" s="2948" t="s">
        <v>636</v>
      </c>
      <c r="D1038" s="2948" t="s">
        <v>1756</v>
      </c>
      <c r="E1038" s="2948" t="s">
        <v>729</v>
      </c>
      <c r="F1038" s="2948" t="s">
        <v>890</v>
      </c>
      <c r="G1038" s="2948" t="s">
        <v>640</v>
      </c>
      <c r="H1038" s="2948" t="s">
        <v>1757</v>
      </c>
      <c r="I1038" s="2948" t="s">
        <v>854</v>
      </c>
      <c r="J1038" s="2948" t="s">
        <v>643</v>
      </c>
      <c r="K1038" s="2950">
        <v>198.19</v>
      </c>
      <c r="L1038" s="2950">
        <v>152.01</v>
      </c>
      <c r="M1038" s="2951">
        <v>21800900</v>
      </c>
      <c r="N1038" s="2951">
        <v>21800900</v>
      </c>
      <c r="O1038" s="2952">
        <v>21800900</v>
      </c>
      <c r="P1038" s="2953">
        <v>21800900</v>
      </c>
      <c r="Q1038" s="2951">
        <v>21800900</v>
      </c>
      <c r="R1038" s="2954">
        <v>44468</v>
      </c>
      <c r="S1038" s="2954">
        <v>44491</v>
      </c>
      <c r="T1038" s="2954">
        <v>44524</v>
      </c>
      <c r="U1038" s="2954">
        <v>44524</v>
      </c>
      <c r="V1038" s="2948" t="s">
        <v>1792</v>
      </c>
    </row>
    <row r="1039" spans="1:22" s="2944" customFormat="1" ht="46.8" hidden="1">
      <c r="A1039" s="2948">
        <v>1038</v>
      </c>
      <c r="B1039" s="2948" t="s">
        <v>635</v>
      </c>
      <c r="C1039" s="2948" t="s">
        <v>636</v>
      </c>
      <c r="D1039" s="2948" t="s">
        <v>1756</v>
      </c>
      <c r="E1039" s="2948" t="s">
        <v>729</v>
      </c>
      <c r="F1039" s="2948" t="s">
        <v>892</v>
      </c>
      <c r="G1039" s="2948" t="s">
        <v>640</v>
      </c>
      <c r="H1039" s="2948" t="s">
        <v>1759</v>
      </c>
      <c r="I1039" s="2948" t="s">
        <v>854</v>
      </c>
      <c r="J1039" s="2948" t="s">
        <v>643</v>
      </c>
      <c r="K1039" s="2950">
        <v>196.77</v>
      </c>
      <c r="L1039" s="2950">
        <v>150.91999999999999</v>
      </c>
      <c r="M1039" s="2951">
        <v>21644700</v>
      </c>
      <c r="N1039" s="2951">
        <v>21644700</v>
      </c>
      <c r="O1039" s="2952">
        <v>21644700</v>
      </c>
      <c r="P1039" s="2953">
        <v>21644700</v>
      </c>
      <c r="Q1039" s="2951">
        <v>21644700</v>
      </c>
      <c r="R1039" s="2954">
        <v>44463</v>
      </c>
      <c r="S1039" s="2954">
        <v>44494</v>
      </c>
      <c r="T1039" s="2954">
        <v>44740</v>
      </c>
      <c r="U1039" s="2954">
        <v>44740</v>
      </c>
      <c r="V1039" s="2948" t="s">
        <v>1793</v>
      </c>
    </row>
    <row r="1040" spans="1:22" s="2944" customFormat="1" ht="46.8" hidden="1">
      <c r="A1040" s="2948">
        <v>1039</v>
      </c>
      <c r="B1040" s="2948" t="s">
        <v>635</v>
      </c>
      <c r="C1040" s="2948" t="s">
        <v>636</v>
      </c>
      <c r="D1040" s="2948" t="s">
        <v>1756</v>
      </c>
      <c r="E1040" s="2948" t="s">
        <v>729</v>
      </c>
      <c r="F1040" s="2948" t="s">
        <v>894</v>
      </c>
      <c r="G1040" s="2948" t="s">
        <v>640</v>
      </c>
      <c r="H1040" s="2948" t="s">
        <v>1757</v>
      </c>
      <c r="I1040" s="2948" t="s">
        <v>854</v>
      </c>
      <c r="J1040" s="2948" t="s">
        <v>643</v>
      </c>
      <c r="K1040" s="2950">
        <v>198.19</v>
      </c>
      <c r="L1040" s="2950">
        <v>152.01</v>
      </c>
      <c r="M1040" s="2951">
        <v>21800900</v>
      </c>
      <c r="N1040" s="2951">
        <v>21800900</v>
      </c>
      <c r="O1040" s="2952">
        <v>21800900</v>
      </c>
      <c r="P1040" s="2953">
        <v>21800900</v>
      </c>
      <c r="Q1040" s="2951">
        <v>21800900</v>
      </c>
      <c r="R1040" s="2954">
        <v>44455</v>
      </c>
      <c r="S1040" s="2954">
        <v>44455</v>
      </c>
      <c r="T1040" s="2954">
        <v>44503</v>
      </c>
      <c r="U1040" s="2954">
        <v>44503</v>
      </c>
      <c r="V1040" s="2948" t="s">
        <v>1794</v>
      </c>
    </row>
    <row r="1041" spans="1:22" s="2944" customFormat="1" ht="46.8" hidden="1">
      <c r="A1041" s="2948">
        <v>1040</v>
      </c>
      <c r="B1041" s="2948" t="s">
        <v>635</v>
      </c>
      <c r="C1041" s="2948" t="s">
        <v>636</v>
      </c>
      <c r="D1041" s="2948" t="s">
        <v>1756</v>
      </c>
      <c r="E1041" s="2948" t="s">
        <v>729</v>
      </c>
      <c r="F1041" s="2948" t="s">
        <v>896</v>
      </c>
      <c r="G1041" s="2948" t="s">
        <v>640</v>
      </c>
      <c r="H1041" s="2948" t="s">
        <v>1759</v>
      </c>
      <c r="I1041" s="2948" t="s">
        <v>854</v>
      </c>
      <c r="J1041" s="2948" t="s">
        <v>643</v>
      </c>
      <c r="K1041" s="2950">
        <v>196.77</v>
      </c>
      <c r="L1041" s="2950">
        <v>150.91999999999999</v>
      </c>
      <c r="M1041" s="2951">
        <v>21644700</v>
      </c>
      <c r="N1041" s="2951">
        <v>21644700</v>
      </c>
      <c r="O1041" s="2952">
        <v>21644700</v>
      </c>
      <c r="P1041" s="2953">
        <v>21644700</v>
      </c>
      <c r="Q1041" s="2951">
        <v>21644700</v>
      </c>
      <c r="R1041" s="2954">
        <v>44452</v>
      </c>
      <c r="S1041" s="2954">
        <v>44459</v>
      </c>
      <c r="T1041" s="2954">
        <v>44637</v>
      </c>
      <c r="U1041" s="2954">
        <v>44637</v>
      </c>
      <c r="V1041" s="2948" t="s">
        <v>1795</v>
      </c>
    </row>
    <row r="1042" spans="1:22" s="2944" customFormat="1" ht="46.8" hidden="1">
      <c r="A1042" s="2948">
        <v>1041</v>
      </c>
      <c r="B1042" s="2948" t="s">
        <v>635</v>
      </c>
      <c r="C1042" s="2948" t="s">
        <v>636</v>
      </c>
      <c r="D1042" s="2948" t="s">
        <v>1756</v>
      </c>
      <c r="E1042" s="2948" t="s">
        <v>729</v>
      </c>
      <c r="F1042" s="2948" t="s">
        <v>898</v>
      </c>
      <c r="G1042" s="2948" t="s">
        <v>640</v>
      </c>
      <c r="H1042" s="2948" t="s">
        <v>1757</v>
      </c>
      <c r="I1042" s="2948" t="s">
        <v>854</v>
      </c>
      <c r="J1042" s="2948" t="s">
        <v>643</v>
      </c>
      <c r="K1042" s="2950">
        <v>198.19</v>
      </c>
      <c r="L1042" s="2950">
        <v>152.01</v>
      </c>
      <c r="M1042" s="2951">
        <v>21800900</v>
      </c>
      <c r="N1042" s="2951">
        <v>21800900</v>
      </c>
      <c r="O1042" s="2952">
        <v>21800900</v>
      </c>
      <c r="P1042" s="2953">
        <v>21800900</v>
      </c>
      <c r="Q1042" s="2951">
        <v>21800900</v>
      </c>
      <c r="R1042" s="2954">
        <v>44543</v>
      </c>
      <c r="S1042" s="2954">
        <v>44557</v>
      </c>
      <c r="T1042" s="2954">
        <v>44726</v>
      </c>
      <c r="U1042" s="2954">
        <v>44726</v>
      </c>
      <c r="V1042" s="2948" t="s">
        <v>1796</v>
      </c>
    </row>
    <row r="1043" spans="1:22" s="2944" customFormat="1" ht="46.8" hidden="1">
      <c r="A1043" s="2948">
        <v>1042</v>
      </c>
      <c r="B1043" s="2948" t="s">
        <v>635</v>
      </c>
      <c r="C1043" s="2948" t="s">
        <v>636</v>
      </c>
      <c r="D1043" s="2948" t="s">
        <v>1756</v>
      </c>
      <c r="E1043" s="2948" t="s">
        <v>729</v>
      </c>
      <c r="F1043" s="2948" t="s">
        <v>900</v>
      </c>
      <c r="G1043" s="2948" t="s">
        <v>640</v>
      </c>
      <c r="H1043" s="2948" t="s">
        <v>1759</v>
      </c>
      <c r="I1043" s="2948" t="s">
        <v>854</v>
      </c>
      <c r="J1043" s="2948" t="s">
        <v>643</v>
      </c>
      <c r="K1043" s="2950">
        <v>196.77</v>
      </c>
      <c r="L1043" s="2950">
        <v>150.91999999999999</v>
      </c>
      <c r="M1043" s="2951">
        <v>21644700</v>
      </c>
      <c r="N1043" s="2951">
        <v>21644700</v>
      </c>
      <c r="O1043" s="2952">
        <v>21644700</v>
      </c>
      <c r="P1043" s="2953">
        <v>21644700</v>
      </c>
      <c r="Q1043" s="2951">
        <v>21644700</v>
      </c>
      <c r="R1043" s="2954">
        <v>44452</v>
      </c>
      <c r="S1043" s="2954">
        <v>44457</v>
      </c>
      <c r="T1043" s="2954">
        <v>44502</v>
      </c>
      <c r="U1043" s="2954">
        <v>44502</v>
      </c>
      <c r="V1043" s="2948" t="s">
        <v>1797</v>
      </c>
    </row>
    <row r="1044" spans="1:22" s="2944" customFormat="1" ht="46.8" hidden="1">
      <c r="A1044" s="2948">
        <v>1043</v>
      </c>
      <c r="B1044" s="2948" t="s">
        <v>635</v>
      </c>
      <c r="C1044" s="2948" t="s">
        <v>636</v>
      </c>
      <c r="D1044" s="2948" t="s">
        <v>1756</v>
      </c>
      <c r="E1044" s="2948" t="s">
        <v>729</v>
      </c>
      <c r="F1044" s="2948" t="s">
        <v>902</v>
      </c>
      <c r="G1044" s="2948" t="s">
        <v>640</v>
      </c>
      <c r="H1044" s="2948" t="s">
        <v>1757</v>
      </c>
      <c r="I1044" s="2948" t="s">
        <v>854</v>
      </c>
      <c r="J1044" s="2948" t="s">
        <v>643</v>
      </c>
      <c r="K1044" s="2950">
        <v>198.19</v>
      </c>
      <c r="L1044" s="2950">
        <v>152.01</v>
      </c>
      <c r="M1044" s="2951">
        <v>21800900</v>
      </c>
      <c r="N1044" s="2951">
        <v>21800900</v>
      </c>
      <c r="O1044" s="2952">
        <v>21800900</v>
      </c>
      <c r="P1044" s="2953">
        <v>21800900</v>
      </c>
      <c r="Q1044" s="2951">
        <v>21800900</v>
      </c>
      <c r="R1044" s="2954">
        <v>44450</v>
      </c>
      <c r="S1044" s="2954">
        <v>44458</v>
      </c>
      <c r="T1044" s="2954">
        <v>44523</v>
      </c>
      <c r="U1044" s="2954">
        <v>44523</v>
      </c>
      <c r="V1044" s="2948" t="s">
        <v>1798</v>
      </c>
    </row>
    <row r="1045" spans="1:22" s="2944" customFormat="1" ht="46.8" hidden="1">
      <c r="A1045" s="2948">
        <v>1044</v>
      </c>
      <c r="B1045" s="2948" t="s">
        <v>635</v>
      </c>
      <c r="C1045" s="2948" t="s">
        <v>636</v>
      </c>
      <c r="D1045" s="2948" t="s">
        <v>1756</v>
      </c>
      <c r="E1045" s="2948" t="s">
        <v>729</v>
      </c>
      <c r="F1045" s="2948" t="s">
        <v>904</v>
      </c>
      <c r="G1045" s="2948" t="s">
        <v>640</v>
      </c>
      <c r="H1045" s="2948" t="s">
        <v>1759</v>
      </c>
      <c r="I1045" s="2948" t="s">
        <v>854</v>
      </c>
      <c r="J1045" s="2948" t="s">
        <v>643</v>
      </c>
      <c r="K1045" s="2950">
        <v>196.77</v>
      </c>
      <c r="L1045" s="2950">
        <v>150.91999999999999</v>
      </c>
      <c r="M1045" s="2951">
        <v>21644700</v>
      </c>
      <c r="N1045" s="2951">
        <v>21644700</v>
      </c>
      <c r="O1045" s="2952">
        <v>21644700</v>
      </c>
      <c r="P1045" s="2953">
        <v>21644700</v>
      </c>
      <c r="Q1045" s="2951">
        <v>21644700</v>
      </c>
      <c r="R1045" s="2954">
        <v>44449</v>
      </c>
      <c r="S1045" s="2954">
        <v>44459</v>
      </c>
      <c r="T1045" s="2954">
        <v>44637</v>
      </c>
      <c r="U1045" s="2954">
        <v>44637</v>
      </c>
      <c r="V1045" s="2948" t="s">
        <v>1799</v>
      </c>
    </row>
    <row r="1046" spans="1:22" s="2944" customFormat="1" ht="46.8" hidden="1">
      <c r="A1046" s="2948">
        <v>1045</v>
      </c>
      <c r="B1046" s="2948" t="s">
        <v>635</v>
      </c>
      <c r="C1046" s="2948" t="s">
        <v>636</v>
      </c>
      <c r="D1046" s="2948" t="s">
        <v>1756</v>
      </c>
      <c r="E1046" s="2948" t="s">
        <v>729</v>
      </c>
      <c r="F1046" s="2948" t="s">
        <v>906</v>
      </c>
      <c r="G1046" s="2948" t="s">
        <v>640</v>
      </c>
      <c r="H1046" s="2948" t="s">
        <v>1757</v>
      </c>
      <c r="I1046" s="2948" t="s">
        <v>854</v>
      </c>
      <c r="J1046" s="2948" t="s">
        <v>643</v>
      </c>
      <c r="K1046" s="2950">
        <v>198.19</v>
      </c>
      <c r="L1046" s="2950">
        <v>152.01</v>
      </c>
      <c r="M1046" s="2951">
        <v>21800900</v>
      </c>
      <c r="N1046" s="2951">
        <v>21800900</v>
      </c>
      <c r="O1046" s="2952">
        <v>20710855</v>
      </c>
      <c r="P1046" s="2953">
        <v>20710855</v>
      </c>
      <c r="Q1046" s="2951">
        <v>20710855</v>
      </c>
      <c r="R1046" s="2948"/>
      <c r="S1046" s="2954">
        <v>44479.423287037003</v>
      </c>
      <c r="T1046" s="2954">
        <v>44507</v>
      </c>
      <c r="U1046" s="2954">
        <v>44507</v>
      </c>
      <c r="V1046" s="2948" t="s">
        <v>1800</v>
      </c>
    </row>
    <row r="1047" spans="1:22" s="2944" customFormat="1" ht="46.8" hidden="1">
      <c r="A1047" s="2948">
        <v>1046</v>
      </c>
      <c r="B1047" s="2948" t="s">
        <v>635</v>
      </c>
      <c r="C1047" s="2948" t="s">
        <v>636</v>
      </c>
      <c r="D1047" s="2948" t="s">
        <v>1756</v>
      </c>
      <c r="E1047" s="2948" t="s">
        <v>729</v>
      </c>
      <c r="F1047" s="2948" t="s">
        <v>908</v>
      </c>
      <c r="G1047" s="2948" t="s">
        <v>640</v>
      </c>
      <c r="H1047" s="2948" t="s">
        <v>1759</v>
      </c>
      <c r="I1047" s="2948" t="s">
        <v>854</v>
      </c>
      <c r="J1047" s="2948" t="s">
        <v>643</v>
      </c>
      <c r="K1047" s="2950">
        <v>196.77</v>
      </c>
      <c r="L1047" s="2950">
        <v>150.91999999999999</v>
      </c>
      <c r="M1047" s="2951">
        <v>21644700</v>
      </c>
      <c r="N1047" s="2951">
        <v>21644700</v>
      </c>
      <c r="O1047" s="2952">
        <v>21644700</v>
      </c>
      <c r="P1047" s="2953">
        <v>21644700</v>
      </c>
      <c r="Q1047" s="2951">
        <v>21644700</v>
      </c>
      <c r="R1047" s="2954">
        <v>44450</v>
      </c>
      <c r="S1047" s="2954">
        <v>44461</v>
      </c>
      <c r="T1047" s="2954">
        <v>44502</v>
      </c>
      <c r="U1047" s="2954">
        <v>44502</v>
      </c>
      <c r="V1047" s="2948" t="s">
        <v>1801</v>
      </c>
    </row>
    <row r="1048" spans="1:22" s="2944" customFormat="1" ht="46.8" hidden="1">
      <c r="A1048" s="2948">
        <v>1047</v>
      </c>
      <c r="B1048" s="2948" t="s">
        <v>635</v>
      </c>
      <c r="C1048" s="2948" t="s">
        <v>636</v>
      </c>
      <c r="D1048" s="2948" t="s">
        <v>1756</v>
      </c>
      <c r="E1048" s="2948" t="s">
        <v>729</v>
      </c>
      <c r="F1048" s="2948" t="s">
        <v>910</v>
      </c>
      <c r="G1048" s="2948" t="s">
        <v>640</v>
      </c>
      <c r="H1048" s="2948" t="s">
        <v>1757</v>
      </c>
      <c r="I1048" s="2948" t="s">
        <v>854</v>
      </c>
      <c r="J1048" s="2948" t="s">
        <v>643</v>
      </c>
      <c r="K1048" s="2950">
        <v>198.19</v>
      </c>
      <c r="L1048" s="2950">
        <v>152.01</v>
      </c>
      <c r="M1048" s="2951">
        <v>21800900</v>
      </c>
      <c r="N1048" s="2951">
        <v>21800900</v>
      </c>
      <c r="O1048" s="2952">
        <v>21800900</v>
      </c>
      <c r="P1048" s="2953">
        <v>21800900</v>
      </c>
      <c r="Q1048" s="2951">
        <v>21800900</v>
      </c>
      <c r="R1048" s="2954">
        <v>44450</v>
      </c>
      <c r="S1048" s="2954">
        <v>44460</v>
      </c>
      <c r="T1048" s="2954">
        <v>44504</v>
      </c>
      <c r="U1048" s="2954">
        <v>44504</v>
      </c>
      <c r="V1048" s="2948" t="s">
        <v>1802</v>
      </c>
    </row>
    <row r="1049" spans="1:22" s="2944" customFormat="1" ht="46.8" hidden="1">
      <c r="A1049" s="2948">
        <v>1048</v>
      </c>
      <c r="B1049" s="2948" t="s">
        <v>635</v>
      </c>
      <c r="C1049" s="2948" t="s">
        <v>636</v>
      </c>
      <c r="D1049" s="2948" t="s">
        <v>1756</v>
      </c>
      <c r="E1049" s="2948" t="s">
        <v>729</v>
      </c>
      <c r="F1049" s="2948" t="s">
        <v>912</v>
      </c>
      <c r="G1049" s="2948" t="s">
        <v>640</v>
      </c>
      <c r="H1049" s="2948" t="s">
        <v>1759</v>
      </c>
      <c r="I1049" s="2948" t="s">
        <v>854</v>
      </c>
      <c r="J1049" s="2948" t="s">
        <v>643</v>
      </c>
      <c r="K1049" s="2950">
        <v>196.77</v>
      </c>
      <c r="L1049" s="2950">
        <v>150.91999999999999</v>
      </c>
      <c r="M1049" s="2951">
        <v>21644700</v>
      </c>
      <c r="N1049" s="2951">
        <v>21644700</v>
      </c>
      <c r="O1049" s="2952">
        <v>21644700</v>
      </c>
      <c r="P1049" s="2953">
        <v>21644700</v>
      </c>
      <c r="Q1049" s="2951">
        <v>21644700</v>
      </c>
      <c r="R1049" s="2954">
        <v>44543</v>
      </c>
      <c r="S1049" s="2954">
        <v>44567</v>
      </c>
      <c r="T1049" s="2954">
        <v>44637</v>
      </c>
      <c r="U1049" s="2954">
        <v>44637</v>
      </c>
      <c r="V1049" s="2948" t="s">
        <v>1803</v>
      </c>
    </row>
    <row r="1050" spans="1:22" s="2944" customFormat="1" ht="46.8" hidden="1">
      <c r="A1050" s="2948">
        <v>1049</v>
      </c>
      <c r="B1050" s="2948" t="s">
        <v>635</v>
      </c>
      <c r="C1050" s="2948" t="s">
        <v>636</v>
      </c>
      <c r="D1050" s="2948" t="s">
        <v>1756</v>
      </c>
      <c r="E1050" s="2948" t="s">
        <v>729</v>
      </c>
      <c r="F1050" s="2948" t="s">
        <v>914</v>
      </c>
      <c r="G1050" s="2948" t="s">
        <v>640</v>
      </c>
      <c r="H1050" s="2948" t="s">
        <v>1757</v>
      </c>
      <c r="I1050" s="2948" t="s">
        <v>854</v>
      </c>
      <c r="J1050" s="2948" t="s">
        <v>643</v>
      </c>
      <c r="K1050" s="2950">
        <v>198.19</v>
      </c>
      <c r="L1050" s="2950">
        <v>152.01</v>
      </c>
      <c r="M1050" s="2951">
        <v>21800900</v>
      </c>
      <c r="N1050" s="2951">
        <v>21800900</v>
      </c>
      <c r="O1050" s="2952">
        <v>21800900</v>
      </c>
      <c r="P1050" s="2953">
        <v>21800900</v>
      </c>
      <c r="Q1050" s="2951">
        <v>21800900</v>
      </c>
      <c r="R1050" s="2954">
        <v>44491</v>
      </c>
      <c r="S1050" s="2954">
        <v>44545</v>
      </c>
      <c r="T1050" s="2954">
        <v>44636</v>
      </c>
      <c r="U1050" s="2954">
        <v>44636</v>
      </c>
      <c r="V1050" s="2948" t="s">
        <v>1804</v>
      </c>
    </row>
    <row r="1051" spans="1:22" s="2944" customFormat="1" ht="46.8" hidden="1">
      <c r="A1051" s="2948">
        <v>1050</v>
      </c>
      <c r="B1051" s="2948" t="s">
        <v>635</v>
      </c>
      <c r="C1051" s="2948" t="s">
        <v>636</v>
      </c>
      <c r="D1051" s="2948" t="s">
        <v>1756</v>
      </c>
      <c r="E1051" s="2948" t="s">
        <v>729</v>
      </c>
      <c r="F1051" s="2948" t="s">
        <v>916</v>
      </c>
      <c r="G1051" s="2948" t="s">
        <v>640</v>
      </c>
      <c r="H1051" s="2948" t="s">
        <v>1759</v>
      </c>
      <c r="I1051" s="2948" t="s">
        <v>854</v>
      </c>
      <c r="J1051" s="2948" t="s">
        <v>643</v>
      </c>
      <c r="K1051" s="2950">
        <v>196.77</v>
      </c>
      <c r="L1051" s="2950">
        <v>150.91999999999999</v>
      </c>
      <c r="M1051" s="2951">
        <v>21644700</v>
      </c>
      <c r="N1051" s="2951">
        <v>21644700</v>
      </c>
      <c r="O1051" s="2952">
        <v>21644700</v>
      </c>
      <c r="P1051" s="2953">
        <v>21644700</v>
      </c>
      <c r="Q1051" s="2951">
        <v>21644700</v>
      </c>
      <c r="R1051" s="2954">
        <v>44461</v>
      </c>
      <c r="S1051" s="2954">
        <v>44461</v>
      </c>
      <c r="T1051" s="2954">
        <v>44505</v>
      </c>
      <c r="U1051" s="2954">
        <v>44505</v>
      </c>
      <c r="V1051" s="2948" t="s">
        <v>1805</v>
      </c>
    </row>
    <row r="1052" spans="1:22" s="2944" customFormat="1" ht="46.8" hidden="1">
      <c r="A1052" s="2948">
        <v>1051</v>
      </c>
      <c r="B1052" s="2948" t="s">
        <v>635</v>
      </c>
      <c r="C1052" s="2948" t="s">
        <v>636</v>
      </c>
      <c r="D1052" s="2948" t="s">
        <v>1756</v>
      </c>
      <c r="E1052" s="2948" t="s">
        <v>729</v>
      </c>
      <c r="F1052" s="2948" t="s">
        <v>968</v>
      </c>
      <c r="G1052" s="2948" t="s">
        <v>640</v>
      </c>
      <c r="H1052" s="2948" t="s">
        <v>1757</v>
      </c>
      <c r="I1052" s="2948" t="s">
        <v>854</v>
      </c>
      <c r="J1052" s="2948" t="s">
        <v>643</v>
      </c>
      <c r="K1052" s="2950">
        <v>198.19</v>
      </c>
      <c r="L1052" s="2950">
        <v>152.01</v>
      </c>
      <c r="M1052" s="2951">
        <v>21701805</v>
      </c>
      <c r="N1052" s="2951">
        <v>21701805</v>
      </c>
      <c r="O1052" s="2952">
        <v>21701805</v>
      </c>
      <c r="P1052" s="2953">
        <v>21701805</v>
      </c>
      <c r="Q1052" s="2951">
        <v>21701805</v>
      </c>
      <c r="R1052" s="2954">
        <v>44525</v>
      </c>
      <c r="S1052" s="2954">
        <v>44560</v>
      </c>
      <c r="T1052" s="2954">
        <v>44644</v>
      </c>
      <c r="U1052" s="2954">
        <v>44644</v>
      </c>
      <c r="V1052" s="2948" t="s">
        <v>1806</v>
      </c>
    </row>
    <row r="1053" spans="1:22" s="2944" customFormat="1" ht="46.8" hidden="1">
      <c r="A1053" s="2948">
        <v>1052</v>
      </c>
      <c r="B1053" s="2948" t="s">
        <v>635</v>
      </c>
      <c r="C1053" s="2948" t="s">
        <v>636</v>
      </c>
      <c r="D1053" s="2948" t="s">
        <v>1756</v>
      </c>
      <c r="E1053" s="2948" t="s">
        <v>729</v>
      </c>
      <c r="F1053" s="2948" t="s">
        <v>970</v>
      </c>
      <c r="G1053" s="2948" t="s">
        <v>640</v>
      </c>
      <c r="H1053" s="2948" t="s">
        <v>1759</v>
      </c>
      <c r="I1053" s="2948" t="s">
        <v>854</v>
      </c>
      <c r="J1053" s="2948" t="s">
        <v>643</v>
      </c>
      <c r="K1053" s="2950">
        <v>196.77</v>
      </c>
      <c r="L1053" s="2950">
        <v>150.91999999999999</v>
      </c>
      <c r="M1053" s="2951">
        <v>21546315</v>
      </c>
      <c r="N1053" s="2951">
        <v>21546315</v>
      </c>
      <c r="O1053" s="2952">
        <v>21546315</v>
      </c>
      <c r="P1053" s="2953">
        <v>21546315</v>
      </c>
      <c r="Q1053" s="2951">
        <v>21546315</v>
      </c>
      <c r="R1053" s="2954">
        <v>44591</v>
      </c>
      <c r="S1053" s="2954">
        <v>44620</v>
      </c>
      <c r="T1053" s="2954">
        <v>44726</v>
      </c>
      <c r="U1053" s="2954">
        <v>44726</v>
      </c>
      <c r="V1053" s="2948" t="s">
        <v>1807</v>
      </c>
    </row>
    <row r="1054" spans="1:22" s="2944" customFormat="1" ht="46.8" hidden="1">
      <c r="A1054" s="2948">
        <v>1053</v>
      </c>
      <c r="B1054" s="2948" t="s">
        <v>635</v>
      </c>
      <c r="C1054" s="2948" t="s">
        <v>636</v>
      </c>
      <c r="D1054" s="2948" t="s">
        <v>1808</v>
      </c>
      <c r="E1054" s="2948" t="s">
        <v>729</v>
      </c>
      <c r="F1054" s="2948" t="s">
        <v>639</v>
      </c>
      <c r="G1054" s="2948" t="s">
        <v>640</v>
      </c>
      <c r="H1054" s="2948" t="s">
        <v>1809</v>
      </c>
      <c r="I1054" s="2948" t="s">
        <v>854</v>
      </c>
      <c r="J1054" s="2948" t="s">
        <v>643</v>
      </c>
      <c r="K1054" s="2950">
        <v>151.28</v>
      </c>
      <c r="L1054" s="2950">
        <v>112</v>
      </c>
      <c r="M1054" s="2951">
        <v>14481429</v>
      </c>
      <c r="N1054" s="2951">
        <v>14481429</v>
      </c>
      <c r="O1054" s="2952">
        <v>14481429</v>
      </c>
      <c r="P1054" s="2953">
        <v>14481429</v>
      </c>
      <c r="Q1054" s="2951">
        <v>14481429</v>
      </c>
      <c r="R1054" s="2954">
        <v>45078</v>
      </c>
      <c r="S1054" s="2954">
        <v>45089</v>
      </c>
      <c r="T1054" s="2954">
        <v>45097</v>
      </c>
      <c r="U1054" s="2954">
        <v>45097</v>
      </c>
      <c r="V1054" s="2948" t="s">
        <v>1810</v>
      </c>
    </row>
    <row r="1055" spans="1:22" s="2944" customFormat="1" ht="46.8" hidden="1">
      <c r="A1055" s="2948">
        <v>1054</v>
      </c>
      <c r="B1055" s="2948" t="s">
        <v>635</v>
      </c>
      <c r="C1055" s="2948" t="s">
        <v>636</v>
      </c>
      <c r="D1055" s="2948" t="s">
        <v>1808</v>
      </c>
      <c r="E1055" s="2948" t="s">
        <v>729</v>
      </c>
      <c r="F1055" s="2948" t="s">
        <v>645</v>
      </c>
      <c r="G1055" s="2948" t="s">
        <v>640</v>
      </c>
      <c r="H1055" s="2948" t="s">
        <v>1811</v>
      </c>
      <c r="I1055" s="2948" t="s">
        <v>854</v>
      </c>
      <c r="J1055" s="2948" t="s">
        <v>643</v>
      </c>
      <c r="K1055" s="2950">
        <v>174.66</v>
      </c>
      <c r="L1055" s="2950">
        <v>129.31</v>
      </c>
      <c r="M1055" s="2951">
        <v>15933533</v>
      </c>
      <c r="N1055" s="2951">
        <v>15933533</v>
      </c>
      <c r="O1055" s="2952">
        <v>15933533</v>
      </c>
      <c r="P1055" s="2953">
        <v>15933533</v>
      </c>
      <c r="Q1055" s="2951">
        <v>15933533</v>
      </c>
      <c r="R1055" s="2954">
        <v>44984</v>
      </c>
      <c r="S1055" s="2954">
        <v>44994</v>
      </c>
      <c r="T1055" s="2954">
        <v>45013</v>
      </c>
      <c r="U1055" s="2954">
        <v>45013</v>
      </c>
      <c r="V1055" s="2948" t="s">
        <v>1812</v>
      </c>
    </row>
    <row r="1056" spans="1:22" s="2944" customFormat="1" ht="46.8" hidden="1">
      <c r="A1056" s="2948">
        <v>1055</v>
      </c>
      <c r="B1056" s="2948" t="s">
        <v>635</v>
      </c>
      <c r="C1056" s="2948" t="s">
        <v>636</v>
      </c>
      <c r="D1056" s="2948" t="s">
        <v>1808</v>
      </c>
      <c r="E1056" s="2948" t="s">
        <v>729</v>
      </c>
      <c r="F1056" s="2948" t="s">
        <v>648</v>
      </c>
      <c r="G1056" s="2948" t="s">
        <v>640</v>
      </c>
      <c r="H1056" s="2948" t="s">
        <v>1813</v>
      </c>
      <c r="I1056" s="2948" t="s">
        <v>854</v>
      </c>
      <c r="J1056" s="2948" t="s">
        <v>643</v>
      </c>
      <c r="K1056" s="2950">
        <v>173.89</v>
      </c>
      <c r="L1056" s="2950">
        <v>128.74</v>
      </c>
      <c r="M1056" s="2951">
        <v>18210804</v>
      </c>
      <c r="N1056" s="2951">
        <v>18210804</v>
      </c>
      <c r="O1056" s="2952">
        <v>18210804</v>
      </c>
      <c r="P1056" s="2953">
        <v>18210804</v>
      </c>
      <c r="Q1056" s="2951">
        <v>18210804</v>
      </c>
      <c r="R1056" s="2954">
        <v>44727</v>
      </c>
      <c r="S1056" s="2954">
        <v>44771</v>
      </c>
      <c r="T1056" s="2954">
        <v>44859</v>
      </c>
      <c r="U1056" s="2954">
        <v>44859</v>
      </c>
      <c r="V1056" s="2948" t="s">
        <v>1814</v>
      </c>
    </row>
    <row r="1057" spans="1:22" s="2944" customFormat="1" ht="46.8" hidden="1">
      <c r="A1057" s="2948">
        <v>1056</v>
      </c>
      <c r="B1057" s="2948" t="s">
        <v>635</v>
      </c>
      <c r="C1057" s="2948" t="s">
        <v>636</v>
      </c>
      <c r="D1057" s="2948" t="s">
        <v>1808</v>
      </c>
      <c r="E1057" s="2948" t="s">
        <v>729</v>
      </c>
      <c r="F1057" s="2948" t="s">
        <v>651</v>
      </c>
      <c r="G1057" s="2948" t="s">
        <v>640</v>
      </c>
      <c r="H1057" s="2948" t="s">
        <v>1811</v>
      </c>
      <c r="I1057" s="2948" t="s">
        <v>854</v>
      </c>
      <c r="J1057" s="2948" t="s">
        <v>643</v>
      </c>
      <c r="K1057" s="2950">
        <v>174.66</v>
      </c>
      <c r="L1057" s="2950">
        <v>129.31</v>
      </c>
      <c r="M1057" s="2951">
        <v>17505473</v>
      </c>
      <c r="N1057" s="2951">
        <v>17505473</v>
      </c>
      <c r="O1057" s="2952">
        <v>16630199</v>
      </c>
      <c r="P1057" s="2953">
        <v>16630199</v>
      </c>
      <c r="Q1057" s="2951">
        <v>16630199</v>
      </c>
      <c r="R1057" s="2954">
        <v>44935</v>
      </c>
      <c r="S1057" s="2954">
        <v>45001</v>
      </c>
      <c r="T1057" s="2954">
        <v>45040</v>
      </c>
      <c r="U1057" s="2954">
        <v>45040</v>
      </c>
      <c r="V1057" s="2948" t="s">
        <v>1815</v>
      </c>
    </row>
    <row r="1058" spans="1:22" s="2944" customFormat="1" ht="46.8" hidden="1">
      <c r="A1058" s="2948">
        <v>1057</v>
      </c>
      <c r="B1058" s="2948" t="s">
        <v>635</v>
      </c>
      <c r="C1058" s="2948" t="s">
        <v>636</v>
      </c>
      <c r="D1058" s="2948" t="s">
        <v>1808</v>
      </c>
      <c r="E1058" s="2948" t="s">
        <v>729</v>
      </c>
      <c r="F1058" s="2948" t="s">
        <v>653</v>
      </c>
      <c r="G1058" s="2948" t="s">
        <v>640</v>
      </c>
      <c r="H1058" s="2948" t="s">
        <v>1813</v>
      </c>
      <c r="I1058" s="2948" t="s">
        <v>854</v>
      </c>
      <c r="J1058" s="2948" t="s">
        <v>643</v>
      </c>
      <c r="K1058" s="2950">
        <v>173.89</v>
      </c>
      <c r="L1058" s="2950">
        <v>128.74</v>
      </c>
      <c r="M1058" s="2951">
        <v>18384694</v>
      </c>
      <c r="N1058" s="2951">
        <v>18384694</v>
      </c>
      <c r="O1058" s="2952">
        <v>18384694</v>
      </c>
      <c r="P1058" s="2953">
        <v>18384694</v>
      </c>
      <c r="Q1058" s="2951">
        <v>18384694</v>
      </c>
      <c r="R1058" s="2954">
        <v>44479</v>
      </c>
      <c r="S1058" s="2954">
        <v>44496</v>
      </c>
      <c r="T1058" s="2954">
        <v>44636</v>
      </c>
      <c r="U1058" s="2954">
        <v>44636</v>
      </c>
      <c r="V1058" s="2948" t="s">
        <v>1816</v>
      </c>
    </row>
    <row r="1059" spans="1:22" s="2944" customFormat="1" ht="46.8" hidden="1">
      <c r="A1059" s="2948">
        <v>1058</v>
      </c>
      <c r="B1059" s="2948" t="s">
        <v>635</v>
      </c>
      <c r="C1059" s="2948" t="s">
        <v>636</v>
      </c>
      <c r="D1059" s="2948" t="s">
        <v>1808</v>
      </c>
      <c r="E1059" s="2948" t="s">
        <v>729</v>
      </c>
      <c r="F1059" s="2948" t="s">
        <v>655</v>
      </c>
      <c r="G1059" s="2948" t="s">
        <v>640</v>
      </c>
      <c r="H1059" s="2948" t="s">
        <v>1811</v>
      </c>
      <c r="I1059" s="2948" t="s">
        <v>854</v>
      </c>
      <c r="J1059" s="2948" t="s">
        <v>643</v>
      </c>
      <c r="K1059" s="2950">
        <v>174.66</v>
      </c>
      <c r="L1059" s="2950">
        <v>129.31</v>
      </c>
      <c r="M1059" s="2951">
        <v>17680133</v>
      </c>
      <c r="N1059" s="2951">
        <v>17680133</v>
      </c>
      <c r="O1059" s="2952">
        <v>17680133</v>
      </c>
      <c r="P1059" s="2953">
        <v>17680133</v>
      </c>
      <c r="Q1059" s="2951">
        <v>17680133</v>
      </c>
      <c r="R1059" s="2954">
        <v>45009</v>
      </c>
      <c r="S1059" s="2954">
        <v>45009</v>
      </c>
      <c r="T1059" s="2948"/>
      <c r="U1059" s="2948"/>
      <c r="V1059" s="2948" t="s">
        <v>1817</v>
      </c>
    </row>
    <row r="1060" spans="1:22" s="2944" customFormat="1" ht="46.8" hidden="1">
      <c r="A1060" s="2948">
        <v>1059</v>
      </c>
      <c r="B1060" s="2948" t="s">
        <v>635</v>
      </c>
      <c r="C1060" s="2948" t="s">
        <v>636</v>
      </c>
      <c r="D1060" s="2948" t="s">
        <v>1808</v>
      </c>
      <c r="E1060" s="2948" t="s">
        <v>729</v>
      </c>
      <c r="F1060" s="2948" t="s">
        <v>657</v>
      </c>
      <c r="G1060" s="2948" t="s">
        <v>640</v>
      </c>
      <c r="H1060" s="2948" t="s">
        <v>1813</v>
      </c>
      <c r="I1060" s="2948" t="s">
        <v>854</v>
      </c>
      <c r="J1060" s="2948" t="s">
        <v>643</v>
      </c>
      <c r="K1060" s="2950">
        <v>173.89</v>
      </c>
      <c r="L1060" s="2950">
        <v>128.74</v>
      </c>
      <c r="M1060" s="2951">
        <v>18558584</v>
      </c>
      <c r="N1060" s="2951">
        <v>18558584</v>
      </c>
      <c r="O1060" s="2952">
        <v>18558584</v>
      </c>
      <c r="P1060" s="2953">
        <v>18558584</v>
      </c>
      <c r="Q1060" s="2951">
        <v>18558584</v>
      </c>
      <c r="R1060" s="2954">
        <v>44731</v>
      </c>
      <c r="S1060" s="2954">
        <v>44760</v>
      </c>
      <c r="T1060" s="2954">
        <v>44845</v>
      </c>
      <c r="U1060" s="2954">
        <v>44845</v>
      </c>
      <c r="V1060" s="2948" t="s">
        <v>1818</v>
      </c>
    </row>
    <row r="1061" spans="1:22" s="2944" customFormat="1" ht="46.8" hidden="1">
      <c r="A1061" s="2948">
        <v>1060</v>
      </c>
      <c r="B1061" s="2948" t="s">
        <v>635</v>
      </c>
      <c r="C1061" s="2948" t="s">
        <v>636</v>
      </c>
      <c r="D1061" s="2948" t="s">
        <v>1808</v>
      </c>
      <c r="E1061" s="2948" t="s">
        <v>729</v>
      </c>
      <c r="F1061" s="2948" t="s">
        <v>659</v>
      </c>
      <c r="G1061" s="2948" t="s">
        <v>640</v>
      </c>
      <c r="H1061" s="2948" t="s">
        <v>1811</v>
      </c>
      <c r="I1061" s="2948" t="s">
        <v>854</v>
      </c>
      <c r="J1061" s="2948" t="s">
        <v>643</v>
      </c>
      <c r="K1061" s="2950">
        <v>174.66</v>
      </c>
      <c r="L1061" s="2950">
        <v>129.31</v>
      </c>
      <c r="M1061" s="2951">
        <v>17854793</v>
      </c>
      <c r="N1061" s="2951">
        <v>17854793</v>
      </c>
      <c r="O1061" s="2952">
        <v>17854793</v>
      </c>
      <c r="P1061" s="2953">
        <v>17854793</v>
      </c>
      <c r="Q1061" s="2951">
        <v>17854793</v>
      </c>
      <c r="R1061" s="2954">
        <v>44802</v>
      </c>
      <c r="S1061" s="2954">
        <v>44834</v>
      </c>
      <c r="T1061" s="2954">
        <v>44970</v>
      </c>
      <c r="U1061" s="2954">
        <v>44977</v>
      </c>
      <c r="V1061" s="2948" t="s">
        <v>1819</v>
      </c>
    </row>
    <row r="1062" spans="1:22" s="2944" customFormat="1" ht="46.8" hidden="1">
      <c r="A1062" s="2948">
        <v>1061</v>
      </c>
      <c r="B1062" s="2948" t="s">
        <v>635</v>
      </c>
      <c r="C1062" s="2948" t="s">
        <v>636</v>
      </c>
      <c r="D1062" s="2948" t="s">
        <v>1808</v>
      </c>
      <c r="E1062" s="2948" t="s">
        <v>729</v>
      </c>
      <c r="F1062" s="2948" t="s">
        <v>661</v>
      </c>
      <c r="G1062" s="2948" t="s">
        <v>640</v>
      </c>
      <c r="H1062" s="2948" t="s">
        <v>1813</v>
      </c>
      <c r="I1062" s="2948" t="s">
        <v>854</v>
      </c>
      <c r="J1062" s="2948" t="s">
        <v>643</v>
      </c>
      <c r="K1062" s="2950">
        <v>173.89</v>
      </c>
      <c r="L1062" s="2950">
        <v>128.74</v>
      </c>
      <c r="M1062" s="2951">
        <v>18732474</v>
      </c>
      <c r="N1062" s="2951">
        <v>18732474</v>
      </c>
      <c r="O1062" s="2952">
        <v>18732474</v>
      </c>
      <c r="P1062" s="2953">
        <v>18732474</v>
      </c>
      <c r="Q1062" s="2951">
        <v>18732474</v>
      </c>
      <c r="R1062" s="2954">
        <v>44519</v>
      </c>
      <c r="S1062" s="2954">
        <v>44560</v>
      </c>
      <c r="T1062" s="2954">
        <v>44984</v>
      </c>
      <c r="U1062" s="2954">
        <v>45001</v>
      </c>
      <c r="V1062" s="2948" t="s">
        <v>1820</v>
      </c>
    </row>
    <row r="1063" spans="1:22" s="2944" customFormat="1" ht="46.8" hidden="1">
      <c r="A1063" s="2948">
        <v>1062</v>
      </c>
      <c r="B1063" s="2948" t="s">
        <v>635</v>
      </c>
      <c r="C1063" s="2948" t="s">
        <v>636</v>
      </c>
      <c r="D1063" s="2948" t="s">
        <v>1808</v>
      </c>
      <c r="E1063" s="2948" t="s">
        <v>729</v>
      </c>
      <c r="F1063" s="2948" t="s">
        <v>663</v>
      </c>
      <c r="G1063" s="2948" t="s">
        <v>640</v>
      </c>
      <c r="H1063" s="2948" t="s">
        <v>1811</v>
      </c>
      <c r="I1063" s="2948" t="s">
        <v>854</v>
      </c>
      <c r="J1063" s="2948" t="s">
        <v>643</v>
      </c>
      <c r="K1063" s="2950">
        <v>174.66</v>
      </c>
      <c r="L1063" s="2950">
        <v>129.31</v>
      </c>
      <c r="M1063" s="2951">
        <v>18029453</v>
      </c>
      <c r="N1063" s="2951">
        <v>18029453</v>
      </c>
      <c r="O1063" s="2952">
        <v>18029453</v>
      </c>
      <c r="P1063" s="2953">
        <v>18029453</v>
      </c>
      <c r="Q1063" s="2951">
        <v>18029453</v>
      </c>
      <c r="R1063" s="2954">
        <v>44742</v>
      </c>
      <c r="S1063" s="2954">
        <v>44796</v>
      </c>
      <c r="T1063" s="2954">
        <v>44830</v>
      </c>
      <c r="U1063" s="2954">
        <v>44830</v>
      </c>
      <c r="V1063" s="2948" t="s">
        <v>1821</v>
      </c>
    </row>
    <row r="1064" spans="1:22" s="2944" customFormat="1" ht="46.8" hidden="1">
      <c r="A1064" s="2948">
        <v>1063</v>
      </c>
      <c r="B1064" s="2948" t="s">
        <v>635</v>
      </c>
      <c r="C1064" s="2948" t="s">
        <v>636</v>
      </c>
      <c r="D1064" s="2948" t="s">
        <v>1808</v>
      </c>
      <c r="E1064" s="2948" t="s">
        <v>729</v>
      </c>
      <c r="F1064" s="2948" t="s">
        <v>665</v>
      </c>
      <c r="G1064" s="2948" t="s">
        <v>640</v>
      </c>
      <c r="H1064" s="2948" t="s">
        <v>1813</v>
      </c>
      <c r="I1064" s="2948" t="s">
        <v>854</v>
      </c>
      <c r="J1064" s="2948" t="s">
        <v>643</v>
      </c>
      <c r="K1064" s="2950">
        <v>173.89</v>
      </c>
      <c r="L1064" s="2950">
        <v>128.74</v>
      </c>
      <c r="M1064" s="2951">
        <v>18749863</v>
      </c>
      <c r="N1064" s="2951">
        <v>18749863</v>
      </c>
      <c r="O1064" s="2952">
        <v>18749863</v>
      </c>
      <c r="P1064" s="2953">
        <v>18749863</v>
      </c>
      <c r="Q1064" s="2951">
        <v>18749863</v>
      </c>
      <c r="R1064" s="2954">
        <v>44462</v>
      </c>
      <c r="S1064" s="2954">
        <v>44466</v>
      </c>
      <c r="T1064" s="2954">
        <v>44505</v>
      </c>
      <c r="U1064" s="2954">
        <v>44505</v>
      </c>
      <c r="V1064" s="2948" t="s">
        <v>1822</v>
      </c>
    </row>
    <row r="1065" spans="1:22" s="2944" customFormat="1" ht="46.8" hidden="1">
      <c r="A1065" s="2948">
        <v>1064</v>
      </c>
      <c r="B1065" s="2948" t="s">
        <v>635</v>
      </c>
      <c r="C1065" s="2948" t="s">
        <v>636</v>
      </c>
      <c r="D1065" s="2948" t="s">
        <v>1808</v>
      </c>
      <c r="E1065" s="2948" t="s">
        <v>729</v>
      </c>
      <c r="F1065" s="2948" t="s">
        <v>667</v>
      </c>
      <c r="G1065" s="2948" t="s">
        <v>640</v>
      </c>
      <c r="H1065" s="2948" t="s">
        <v>1811</v>
      </c>
      <c r="I1065" s="2948" t="s">
        <v>854</v>
      </c>
      <c r="J1065" s="2948" t="s">
        <v>643</v>
      </c>
      <c r="K1065" s="2950">
        <v>174.66</v>
      </c>
      <c r="L1065" s="2950">
        <v>129.31</v>
      </c>
      <c r="M1065" s="2951">
        <v>18046919</v>
      </c>
      <c r="N1065" s="2951">
        <v>18046919</v>
      </c>
      <c r="O1065" s="2952">
        <v>18046919</v>
      </c>
      <c r="P1065" s="2953">
        <v>18046919</v>
      </c>
      <c r="Q1065" s="2951">
        <v>18046919</v>
      </c>
      <c r="R1065" s="2954">
        <v>44785</v>
      </c>
      <c r="S1065" s="2954">
        <v>44831</v>
      </c>
      <c r="T1065" s="2954">
        <v>44918</v>
      </c>
      <c r="U1065" s="2954">
        <v>44918</v>
      </c>
      <c r="V1065" s="2948" t="s">
        <v>1823</v>
      </c>
    </row>
    <row r="1066" spans="1:22" s="2944" customFormat="1" ht="46.8" hidden="1">
      <c r="A1066" s="2948">
        <v>1065</v>
      </c>
      <c r="B1066" s="2948" t="s">
        <v>635</v>
      </c>
      <c r="C1066" s="2948" t="s">
        <v>636</v>
      </c>
      <c r="D1066" s="2948" t="s">
        <v>1808</v>
      </c>
      <c r="E1066" s="2948" t="s">
        <v>729</v>
      </c>
      <c r="F1066" s="2948" t="s">
        <v>669</v>
      </c>
      <c r="G1066" s="2948" t="s">
        <v>640</v>
      </c>
      <c r="H1066" s="2948" t="s">
        <v>1813</v>
      </c>
      <c r="I1066" s="2948" t="s">
        <v>854</v>
      </c>
      <c r="J1066" s="2948" t="s">
        <v>643</v>
      </c>
      <c r="K1066" s="2950">
        <v>173.89</v>
      </c>
      <c r="L1066" s="2950">
        <v>128.74</v>
      </c>
      <c r="M1066" s="2951">
        <v>18767252</v>
      </c>
      <c r="N1066" s="2951">
        <v>18767252</v>
      </c>
      <c r="O1066" s="2952">
        <v>18767252</v>
      </c>
      <c r="P1066" s="2953">
        <v>18767252</v>
      </c>
      <c r="Q1066" s="2951">
        <v>18767252</v>
      </c>
      <c r="R1066" s="2954">
        <v>44481</v>
      </c>
      <c r="S1066" s="2954">
        <v>44528</v>
      </c>
      <c r="T1066" s="2954">
        <v>44644</v>
      </c>
      <c r="U1066" s="2954">
        <v>44644</v>
      </c>
      <c r="V1066" s="2948" t="s">
        <v>1824</v>
      </c>
    </row>
    <row r="1067" spans="1:22" s="2944" customFormat="1" ht="46.8" hidden="1">
      <c r="A1067" s="2948">
        <v>1066</v>
      </c>
      <c r="B1067" s="2948" t="s">
        <v>635</v>
      </c>
      <c r="C1067" s="2948" t="s">
        <v>636</v>
      </c>
      <c r="D1067" s="2948" t="s">
        <v>1808</v>
      </c>
      <c r="E1067" s="2948" t="s">
        <v>729</v>
      </c>
      <c r="F1067" s="2948" t="s">
        <v>671</v>
      </c>
      <c r="G1067" s="2948" t="s">
        <v>640</v>
      </c>
      <c r="H1067" s="2948" t="s">
        <v>1811</v>
      </c>
      <c r="I1067" s="2948" t="s">
        <v>854</v>
      </c>
      <c r="J1067" s="2948" t="s">
        <v>643</v>
      </c>
      <c r="K1067" s="2950">
        <v>174.66</v>
      </c>
      <c r="L1067" s="2950">
        <v>129.31</v>
      </c>
      <c r="M1067" s="2951">
        <v>18064385</v>
      </c>
      <c r="N1067" s="2951">
        <v>18064385</v>
      </c>
      <c r="O1067" s="2952">
        <v>18064385</v>
      </c>
      <c r="P1067" s="2953">
        <v>18064385</v>
      </c>
      <c r="Q1067" s="2951">
        <v>18064385</v>
      </c>
      <c r="R1067" s="2954">
        <v>44644</v>
      </c>
      <c r="S1067" s="2954">
        <v>44681</v>
      </c>
      <c r="T1067" s="2954">
        <v>44811</v>
      </c>
      <c r="U1067" s="2954">
        <v>44748</v>
      </c>
      <c r="V1067" s="2948" t="s">
        <v>1825</v>
      </c>
    </row>
    <row r="1068" spans="1:22" s="2944" customFormat="1" ht="46.8" hidden="1">
      <c r="A1068" s="2948">
        <v>1067</v>
      </c>
      <c r="B1068" s="2948" t="s">
        <v>635</v>
      </c>
      <c r="C1068" s="2948" t="s">
        <v>636</v>
      </c>
      <c r="D1068" s="2948" t="s">
        <v>1808</v>
      </c>
      <c r="E1068" s="2948" t="s">
        <v>729</v>
      </c>
      <c r="F1068" s="2948" t="s">
        <v>673</v>
      </c>
      <c r="G1068" s="2948" t="s">
        <v>640</v>
      </c>
      <c r="H1068" s="2948" t="s">
        <v>1813</v>
      </c>
      <c r="I1068" s="2948" t="s">
        <v>854</v>
      </c>
      <c r="J1068" s="2948" t="s">
        <v>643</v>
      </c>
      <c r="K1068" s="2950">
        <v>173.89</v>
      </c>
      <c r="L1068" s="2950">
        <v>128.74</v>
      </c>
      <c r="M1068" s="2951">
        <v>18784641</v>
      </c>
      <c r="N1068" s="2951">
        <v>18784641</v>
      </c>
      <c r="O1068" s="2952">
        <v>18784641</v>
      </c>
      <c r="P1068" s="2953">
        <v>18784641</v>
      </c>
      <c r="Q1068" s="2951">
        <v>18784641</v>
      </c>
      <c r="R1068" s="2954">
        <v>44452</v>
      </c>
      <c r="S1068" s="2954">
        <v>44491</v>
      </c>
      <c r="T1068" s="2954">
        <v>44506</v>
      </c>
      <c r="U1068" s="2954">
        <v>44506</v>
      </c>
      <c r="V1068" s="2948" t="s">
        <v>1826</v>
      </c>
    </row>
    <row r="1069" spans="1:22" s="2944" customFormat="1" ht="46.8" hidden="1">
      <c r="A1069" s="2948">
        <v>1068</v>
      </c>
      <c r="B1069" s="2948" t="s">
        <v>635</v>
      </c>
      <c r="C1069" s="2948" t="s">
        <v>636</v>
      </c>
      <c r="D1069" s="2948" t="s">
        <v>1808</v>
      </c>
      <c r="E1069" s="2948" t="s">
        <v>729</v>
      </c>
      <c r="F1069" s="2948" t="s">
        <v>675</v>
      </c>
      <c r="G1069" s="2948" t="s">
        <v>640</v>
      </c>
      <c r="H1069" s="2948" t="s">
        <v>1811</v>
      </c>
      <c r="I1069" s="2948" t="s">
        <v>854</v>
      </c>
      <c r="J1069" s="2948" t="s">
        <v>643</v>
      </c>
      <c r="K1069" s="2950">
        <v>174.66</v>
      </c>
      <c r="L1069" s="2950">
        <v>129.31</v>
      </c>
      <c r="M1069" s="2951">
        <v>18081851</v>
      </c>
      <c r="N1069" s="2951">
        <v>18081851</v>
      </c>
      <c r="O1069" s="2952">
        <v>18081851</v>
      </c>
      <c r="P1069" s="2953">
        <v>18081851</v>
      </c>
      <c r="Q1069" s="2951">
        <v>18081851</v>
      </c>
      <c r="R1069" s="2954">
        <v>44650</v>
      </c>
      <c r="S1069" s="2954">
        <v>44679</v>
      </c>
      <c r="T1069" s="2954">
        <v>44757</v>
      </c>
      <c r="U1069" s="2954">
        <v>44757</v>
      </c>
      <c r="V1069" s="2948" t="s">
        <v>1827</v>
      </c>
    </row>
    <row r="1070" spans="1:22" s="2944" customFormat="1" ht="46.8" hidden="1">
      <c r="A1070" s="2948">
        <v>1069</v>
      </c>
      <c r="B1070" s="2948" t="s">
        <v>635</v>
      </c>
      <c r="C1070" s="2948" t="s">
        <v>636</v>
      </c>
      <c r="D1070" s="2948" t="s">
        <v>1808</v>
      </c>
      <c r="E1070" s="2948" t="s">
        <v>729</v>
      </c>
      <c r="F1070" s="2948" t="s">
        <v>677</v>
      </c>
      <c r="G1070" s="2948" t="s">
        <v>640</v>
      </c>
      <c r="H1070" s="2948" t="s">
        <v>1813</v>
      </c>
      <c r="I1070" s="2948" t="s">
        <v>854</v>
      </c>
      <c r="J1070" s="2948" t="s">
        <v>643</v>
      </c>
      <c r="K1070" s="2950">
        <v>173.89</v>
      </c>
      <c r="L1070" s="2950">
        <v>128.74</v>
      </c>
      <c r="M1070" s="2951">
        <v>18802030</v>
      </c>
      <c r="N1070" s="2951">
        <v>18802030</v>
      </c>
      <c r="O1070" s="2952">
        <v>18802030</v>
      </c>
      <c r="P1070" s="2953">
        <v>18802030</v>
      </c>
      <c r="Q1070" s="2951">
        <v>18802030</v>
      </c>
      <c r="R1070" s="2954">
        <v>44448</v>
      </c>
      <c r="S1070" s="2954">
        <v>44462</v>
      </c>
      <c r="T1070" s="2954">
        <v>44804</v>
      </c>
      <c r="U1070" s="2954">
        <v>44804</v>
      </c>
      <c r="V1070" s="2948" t="s">
        <v>1828</v>
      </c>
    </row>
    <row r="1071" spans="1:22" s="2944" customFormat="1" ht="46.8" hidden="1">
      <c r="A1071" s="2948">
        <v>1070</v>
      </c>
      <c r="B1071" s="2948" t="s">
        <v>635</v>
      </c>
      <c r="C1071" s="2948" t="s">
        <v>636</v>
      </c>
      <c r="D1071" s="2948" t="s">
        <v>1808</v>
      </c>
      <c r="E1071" s="2948" t="s">
        <v>729</v>
      </c>
      <c r="F1071" s="2948" t="s">
        <v>679</v>
      </c>
      <c r="G1071" s="2948" t="s">
        <v>640</v>
      </c>
      <c r="H1071" s="2948" t="s">
        <v>1811</v>
      </c>
      <c r="I1071" s="2948" t="s">
        <v>854</v>
      </c>
      <c r="J1071" s="2948" t="s">
        <v>643</v>
      </c>
      <c r="K1071" s="2950">
        <v>174.66</v>
      </c>
      <c r="L1071" s="2950">
        <v>129.31</v>
      </c>
      <c r="M1071" s="2951">
        <v>18099317</v>
      </c>
      <c r="N1071" s="2951">
        <v>18099317</v>
      </c>
      <c r="O1071" s="2952">
        <v>18099317</v>
      </c>
      <c r="P1071" s="2953">
        <v>18099317</v>
      </c>
      <c r="Q1071" s="2951">
        <v>18099317</v>
      </c>
      <c r="R1071" s="2954">
        <v>44681</v>
      </c>
      <c r="S1071" s="2954">
        <v>44681</v>
      </c>
      <c r="T1071" s="2954">
        <v>44735</v>
      </c>
      <c r="U1071" s="2954">
        <v>44735</v>
      </c>
      <c r="V1071" s="2948" t="s">
        <v>1829</v>
      </c>
    </row>
    <row r="1072" spans="1:22" s="2944" customFormat="1" ht="46.8" hidden="1">
      <c r="A1072" s="2948">
        <v>1071</v>
      </c>
      <c r="B1072" s="2948" t="s">
        <v>635</v>
      </c>
      <c r="C1072" s="2948" t="s">
        <v>636</v>
      </c>
      <c r="D1072" s="2948" t="s">
        <v>1808</v>
      </c>
      <c r="E1072" s="2948" t="s">
        <v>729</v>
      </c>
      <c r="F1072" s="2948" t="s">
        <v>681</v>
      </c>
      <c r="G1072" s="2948" t="s">
        <v>640</v>
      </c>
      <c r="H1072" s="2948" t="s">
        <v>1813</v>
      </c>
      <c r="I1072" s="2948" t="s">
        <v>854</v>
      </c>
      <c r="J1072" s="2948" t="s">
        <v>643</v>
      </c>
      <c r="K1072" s="2950">
        <v>173.89</v>
      </c>
      <c r="L1072" s="2950">
        <v>128.74</v>
      </c>
      <c r="M1072" s="2951">
        <v>18819419</v>
      </c>
      <c r="N1072" s="2951">
        <v>18819419</v>
      </c>
      <c r="O1072" s="2952">
        <v>18819419</v>
      </c>
      <c r="P1072" s="2953">
        <v>18819419</v>
      </c>
      <c r="Q1072" s="2951">
        <v>18819419</v>
      </c>
      <c r="R1072" s="2954">
        <v>44452</v>
      </c>
      <c r="S1072" s="2954">
        <v>44457</v>
      </c>
      <c r="T1072" s="2954">
        <v>44506</v>
      </c>
      <c r="U1072" s="2954">
        <v>44506</v>
      </c>
      <c r="V1072" s="2948" t="s">
        <v>1830</v>
      </c>
    </row>
    <row r="1073" spans="1:22" s="2944" customFormat="1" ht="46.8" hidden="1">
      <c r="A1073" s="2948">
        <v>1072</v>
      </c>
      <c r="B1073" s="2948" t="s">
        <v>635</v>
      </c>
      <c r="C1073" s="2948" t="s">
        <v>636</v>
      </c>
      <c r="D1073" s="2948" t="s">
        <v>1808</v>
      </c>
      <c r="E1073" s="2948" t="s">
        <v>729</v>
      </c>
      <c r="F1073" s="2948" t="s">
        <v>683</v>
      </c>
      <c r="G1073" s="2948" t="s">
        <v>640</v>
      </c>
      <c r="H1073" s="2948" t="s">
        <v>1811</v>
      </c>
      <c r="I1073" s="2948" t="s">
        <v>854</v>
      </c>
      <c r="J1073" s="2948" t="s">
        <v>643</v>
      </c>
      <c r="K1073" s="2950">
        <v>174.66</v>
      </c>
      <c r="L1073" s="2950">
        <v>129.31</v>
      </c>
      <c r="M1073" s="2951">
        <v>18116783</v>
      </c>
      <c r="N1073" s="2951">
        <v>18116783</v>
      </c>
      <c r="O1073" s="2952">
        <v>18116783</v>
      </c>
      <c r="P1073" s="2953">
        <v>18116783</v>
      </c>
      <c r="Q1073" s="2951">
        <v>18116783</v>
      </c>
      <c r="R1073" s="2954">
        <v>44496</v>
      </c>
      <c r="S1073" s="2954">
        <v>44500</v>
      </c>
      <c r="T1073" s="2954">
        <v>44654</v>
      </c>
      <c r="U1073" s="2954">
        <v>44654</v>
      </c>
      <c r="V1073" s="2948" t="s">
        <v>1831</v>
      </c>
    </row>
    <row r="1074" spans="1:22" s="2944" customFormat="1" ht="46.8" hidden="1">
      <c r="A1074" s="2948">
        <v>1073</v>
      </c>
      <c r="B1074" s="2948" t="s">
        <v>635</v>
      </c>
      <c r="C1074" s="2948" t="s">
        <v>636</v>
      </c>
      <c r="D1074" s="2948" t="s">
        <v>1808</v>
      </c>
      <c r="E1074" s="2948" t="s">
        <v>729</v>
      </c>
      <c r="F1074" s="2948" t="s">
        <v>685</v>
      </c>
      <c r="G1074" s="2948" t="s">
        <v>640</v>
      </c>
      <c r="H1074" s="2948" t="s">
        <v>1813</v>
      </c>
      <c r="I1074" s="2948" t="s">
        <v>854</v>
      </c>
      <c r="J1074" s="2948" t="s">
        <v>643</v>
      </c>
      <c r="K1074" s="2950">
        <v>173.89</v>
      </c>
      <c r="L1074" s="2950">
        <v>128.74</v>
      </c>
      <c r="M1074" s="2951">
        <v>18836808</v>
      </c>
      <c r="N1074" s="2951">
        <v>18836808</v>
      </c>
      <c r="O1074" s="2952">
        <v>18836808</v>
      </c>
      <c r="P1074" s="2953">
        <v>18836808</v>
      </c>
      <c r="Q1074" s="2951">
        <v>18836808</v>
      </c>
      <c r="R1074" s="2954">
        <v>44452</v>
      </c>
      <c r="S1074" s="2954">
        <v>44459</v>
      </c>
      <c r="T1074" s="2954">
        <v>44505</v>
      </c>
      <c r="U1074" s="2954">
        <v>44505</v>
      </c>
      <c r="V1074" s="2948" t="s">
        <v>1832</v>
      </c>
    </row>
    <row r="1075" spans="1:22" s="2944" customFormat="1" ht="46.8" hidden="1">
      <c r="A1075" s="2948">
        <v>1074</v>
      </c>
      <c r="B1075" s="2948" t="s">
        <v>635</v>
      </c>
      <c r="C1075" s="2948" t="s">
        <v>636</v>
      </c>
      <c r="D1075" s="2948" t="s">
        <v>1808</v>
      </c>
      <c r="E1075" s="2948" t="s">
        <v>729</v>
      </c>
      <c r="F1075" s="2948" t="s">
        <v>687</v>
      </c>
      <c r="G1075" s="2948" t="s">
        <v>640</v>
      </c>
      <c r="H1075" s="2948" t="s">
        <v>1811</v>
      </c>
      <c r="I1075" s="2948" t="s">
        <v>854</v>
      </c>
      <c r="J1075" s="2948" t="s">
        <v>643</v>
      </c>
      <c r="K1075" s="2950">
        <v>174.66</v>
      </c>
      <c r="L1075" s="2950">
        <v>129.31</v>
      </c>
      <c r="M1075" s="2951">
        <v>18134249</v>
      </c>
      <c r="N1075" s="2951">
        <v>18134249</v>
      </c>
      <c r="O1075" s="2952">
        <v>18134249</v>
      </c>
      <c r="P1075" s="2953">
        <v>18134249</v>
      </c>
      <c r="Q1075" s="2951">
        <v>18134249</v>
      </c>
      <c r="R1075" s="2954">
        <v>44734</v>
      </c>
      <c r="S1075" s="2954">
        <v>44742</v>
      </c>
      <c r="T1075" s="2954">
        <v>44880</v>
      </c>
      <c r="U1075" s="2954">
        <v>44880</v>
      </c>
      <c r="V1075" s="2948" t="s">
        <v>1833</v>
      </c>
    </row>
    <row r="1076" spans="1:22" s="2944" customFormat="1" ht="46.8" hidden="1">
      <c r="A1076" s="2948">
        <v>1075</v>
      </c>
      <c r="B1076" s="2948" t="s">
        <v>635</v>
      </c>
      <c r="C1076" s="2948" t="s">
        <v>636</v>
      </c>
      <c r="D1076" s="2948" t="s">
        <v>1808</v>
      </c>
      <c r="E1076" s="2948" t="s">
        <v>729</v>
      </c>
      <c r="F1076" s="2948" t="s">
        <v>689</v>
      </c>
      <c r="G1076" s="2948" t="s">
        <v>640</v>
      </c>
      <c r="H1076" s="2948" t="s">
        <v>1813</v>
      </c>
      <c r="I1076" s="2948" t="s">
        <v>854</v>
      </c>
      <c r="J1076" s="2948" t="s">
        <v>643</v>
      </c>
      <c r="K1076" s="2950">
        <v>173.89</v>
      </c>
      <c r="L1076" s="2950">
        <v>128.74</v>
      </c>
      <c r="M1076" s="2951">
        <v>18854197</v>
      </c>
      <c r="N1076" s="2951">
        <v>18854197</v>
      </c>
      <c r="O1076" s="2952">
        <v>18854197</v>
      </c>
      <c r="P1076" s="2953">
        <v>18854197</v>
      </c>
      <c r="Q1076" s="2951">
        <v>18854197</v>
      </c>
      <c r="R1076" s="2954">
        <v>44451</v>
      </c>
      <c r="S1076" s="2954">
        <v>44459</v>
      </c>
      <c r="T1076" s="2954">
        <v>44535</v>
      </c>
      <c r="U1076" s="2954">
        <v>44535</v>
      </c>
      <c r="V1076" s="2948" t="s">
        <v>1834</v>
      </c>
    </row>
    <row r="1077" spans="1:22" s="2944" customFormat="1" ht="46.8" hidden="1">
      <c r="A1077" s="2948">
        <v>1076</v>
      </c>
      <c r="B1077" s="2948" t="s">
        <v>635</v>
      </c>
      <c r="C1077" s="2948" t="s">
        <v>636</v>
      </c>
      <c r="D1077" s="2948" t="s">
        <v>1808</v>
      </c>
      <c r="E1077" s="2948" t="s">
        <v>729</v>
      </c>
      <c r="F1077" s="2948" t="s">
        <v>691</v>
      </c>
      <c r="G1077" s="2948" t="s">
        <v>640</v>
      </c>
      <c r="H1077" s="2948" t="s">
        <v>1811</v>
      </c>
      <c r="I1077" s="2948" t="s">
        <v>854</v>
      </c>
      <c r="J1077" s="2948" t="s">
        <v>643</v>
      </c>
      <c r="K1077" s="2950">
        <v>174.66</v>
      </c>
      <c r="L1077" s="2950">
        <v>129.31</v>
      </c>
      <c r="M1077" s="2951">
        <v>18151715</v>
      </c>
      <c r="N1077" s="2951">
        <v>18151715</v>
      </c>
      <c r="O1077" s="2952">
        <v>18151715</v>
      </c>
      <c r="P1077" s="2953">
        <v>18151715</v>
      </c>
      <c r="Q1077" s="2951">
        <v>18151715</v>
      </c>
      <c r="R1077" s="2954">
        <v>44464</v>
      </c>
      <c r="S1077" s="2954">
        <v>44469</v>
      </c>
      <c r="T1077" s="2954">
        <v>44501</v>
      </c>
      <c r="U1077" s="2954">
        <v>44501</v>
      </c>
      <c r="V1077" s="2948" t="s">
        <v>1835</v>
      </c>
    </row>
    <row r="1078" spans="1:22" s="2944" customFormat="1" ht="46.8" hidden="1">
      <c r="A1078" s="2948">
        <v>1077</v>
      </c>
      <c r="B1078" s="2948" t="s">
        <v>635</v>
      </c>
      <c r="C1078" s="2948" t="s">
        <v>636</v>
      </c>
      <c r="D1078" s="2948" t="s">
        <v>1808</v>
      </c>
      <c r="E1078" s="2948" t="s">
        <v>729</v>
      </c>
      <c r="F1078" s="2948" t="s">
        <v>693</v>
      </c>
      <c r="G1078" s="2948" t="s">
        <v>640</v>
      </c>
      <c r="H1078" s="2948" t="s">
        <v>1813</v>
      </c>
      <c r="I1078" s="2948" t="s">
        <v>854</v>
      </c>
      <c r="J1078" s="2948" t="s">
        <v>643</v>
      </c>
      <c r="K1078" s="2950">
        <v>173.89</v>
      </c>
      <c r="L1078" s="2950">
        <v>128.74</v>
      </c>
      <c r="M1078" s="2951">
        <v>18871586</v>
      </c>
      <c r="N1078" s="2951">
        <v>18871586</v>
      </c>
      <c r="O1078" s="2952">
        <v>18305438</v>
      </c>
      <c r="P1078" s="2953">
        <v>18305438</v>
      </c>
      <c r="Q1078" s="2951">
        <v>18305438</v>
      </c>
      <c r="R1078" s="2954">
        <v>44464</v>
      </c>
      <c r="S1078" s="2954">
        <v>44486</v>
      </c>
      <c r="T1078" s="2954">
        <v>44778</v>
      </c>
      <c r="U1078" s="2954">
        <v>44778</v>
      </c>
      <c r="V1078" s="2948" t="s">
        <v>1836</v>
      </c>
    </row>
    <row r="1079" spans="1:22" s="2944" customFormat="1" ht="46.8" hidden="1">
      <c r="A1079" s="2948">
        <v>1078</v>
      </c>
      <c r="B1079" s="2948" t="s">
        <v>635</v>
      </c>
      <c r="C1079" s="2948" t="s">
        <v>636</v>
      </c>
      <c r="D1079" s="2948" t="s">
        <v>1808</v>
      </c>
      <c r="E1079" s="2948" t="s">
        <v>729</v>
      </c>
      <c r="F1079" s="2948" t="s">
        <v>694</v>
      </c>
      <c r="G1079" s="2948" t="s">
        <v>640</v>
      </c>
      <c r="H1079" s="2948" t="s">
        <v>1811</v>
      </c>
      <c r="I1079" s="2948" t="s">
        <v>854</v>
      </c>
      <c r="J1079" s="2948" t="s">
        <v>643</v>
      </c>
      <c r="K1079" s="2950">
        <v>174.66</v>
      </c>
      <c r="L1079" s="2950">
        <v>129.31</v>
      </c>
      <c r="M1079" s="2951">
        <v>18169181</v>
      </c>
      <c r="N1079" s="2951">
        <v>18169181</v>
      </c>
      <c r="O1079" s="2952">
        <v>18169181</v>
      </c>
      <c r="P1079" s="2953">
        <v>18169181</v>
      </c>
      <c r="Q1079" s="2951">
        <v>18169181</v>
      </c>
      <c r="R1079" s="2954">
        <v>44649</v>
      </c>
      <c r="S1079" s="2954">
        <v>44662</v>
      </c>
      <c r="T1079" s="2954">
        <v>44726</v>
      </c>
      <c r="U1079" s="2954">
        <v>44726</v>
      </c>
      <c r="V1079" s="2948" t="s">
        <v>1837</v>
      </c>
    </row>
    <row r="1080" spans="1:22" s="2944" customFormat="1" ht="46.8" hidden="1">
      <c r="A1080" s="2948">
        <v>1079</v>
      </c>
      <c r="B1080" s="2948" t="s">
        <v>635</v>
      </c>
      <c r="C1080" s="2948" t="s">
        <v>636</v>
      </c>
      <c r="D1080" s="2948" t="s">
        <v>1808</v>
      </c>
      <c r="E1080" s="2948" t="s">
        <v>729</v>
      </c>
      <c r="F1080" s="2948" t="s">
        <v>696</v>
      </c>
      <c r="G1080" s="2948" t="s">
        <v>640</v>
      </c>
      <c r="H1080" s="2948" t="s">
        <v>1813</v>
      </c>
      <c r="I1080" s="2948" t="s">
        <v>854</v>
      </c>
      <c r="J1080" s="2948" t="s">
        <v>643</v>
      </c>
      <c r="K1080" s="2950">
        <v>173.89</v>
      </c>
      <c r="L1080" s="2950">
        <v>128.74</v>
      </c>
      <c r="M1080" s="2951">
        <v>18888975</v>
      </c>
      <c r="N1080" s="2951">
        <v>18888975</v>
      </c>
      <c r="O1080" s="2952">
        <v>18888975</v>
      </c>
      <c r="P1080" s="2953">
        <v>18888975</v>
      </c>
      <c r="Q1080" s="2951">
        <v>18888975</v>
      </c>
      <c r="R1080" s="2954">
        <v>44461</v>
      </c>
      <c r="S1080" s="2954">
        <v>44467</v>
      </c>
      <c r="T1080" s="2954">
        <v>44531</v>
      </c>
      <c r="U1080" s="2954">
        <v>44531</v>
      </c>
      <c r="V1080" s="2948" t="s">
        <v>1838</v>
      </c>
    </row>
    <row r="1081" spans="1:22" s="2944" customFormat="1" ht="46.8" hidden="1">
      <c r="A1081" s="2948">
        <v>1080</v>
      </c>
      <c r="B1081" s="2948" t="s">
        <v>635</v>
      </c>
      <c r="C1081" s="2948" t="s">
        <v>636</v>
      </c>
      <c r="D1081" s="2948" t="s">
        <v>1808</v>
      </c>
      <c r="E1081" s="2948" t="s">
        <v>729</v>
      </c>
      <c r="F1081" s="2948" t="s">
        <v>698</v>
      </c>
      <c r="G1081" s="2948" t="s">
        <v>640</v>
      </c>
      <c r="H1081" s="2948" t="s">
        <v>1811</v>
      </c>
      <c r="I1081" s="2948" t="s">
        <v>854</v>
      </c>
      <c r="J1081" s="2948" t="s">
        <v>643</v>
      </c>
      <c r="K1081" s="2950">
        <v>174.66</v>
      </c>
      <c r="L1081" s="2950">
        <v>129.31</v>
      </c>
      <c r="M1081" s="2951">
        <v>18186647</v>
      </c>
      <c r="N1081" s="2951">
        <v>18186647</v>
      </c>
      <c r="O1081" s="2952">
        <v>18186647</v>
      </c>
      <c r="P1081" s="2953">
        <v>18186647</v>
      </c>
      <c r="Q1081" s="2951">
        <v>18186647</v>
      </c>
      <c r="R1081" s="2954">
        <v>44478</v>
      </c>
      <c r="S1081" s="2954">
        <v>44499</v>
      </c>
      <c r="T1081" s="2954">
        <v>44761</v>
      </c>
      <c r="U1081" s="2954">
        <v>44761</v>
      </c>
      <c r="V1081" s="2948" t="s">
        <v>1839</v>
      </c>
    </row>
    <row r="1082" spans="1:22" s="2944" customFormat="1" ht="46.8" hidden="1">
      <c r="A1082" s="2948">
        <v>1081</v>
      </c>
      <c r="B1082" s="2948" t="s">
        <v>635</v>
      </c>
      <c r="C1082" s="2948" t="s">
        <v>636</v>
      </c>
      <c r="D1082" s="2948" t="s">
        <v>1808</v>
      </c>
      <c r="E1082" s="2948" t="s">
        <v>729</v>
      </c>
      <c r="F1082" s="2948" t="s">
        <v>760</v>
      </c>
      <c r="G1082" s="2948" t="s">
        <v>640</v>
      </c>
      <c r="H1082" s="2948" t="s">
        <v>1813</v>
      </c>
      <c r="I1082" s="2948" t="s">
        <v>854</v>
      </c>
      <c r="J1082" s="2948" t="s">
        <v>643</v>
      </c>
      <c r="K1082" s="2950">
        <v>173.89</v>
      </c>
      <c r="L1082" s="2950">
        <v>128.74</v>
      </c>
      <c r="M1082" s="2951">
        <v>19127900</v>
      </c>
      <c r="N1082" s="2951">
        <v>19127900</v>
      </c>
      <c r="O1082" s="2952">
        <v>19127900</v>
      </c>
      <c r="P1082" s="2953">
        <v>19127900</v>
      </c>
      <c r="Q1082" s="2951">
        <v>19127900</v>
      </c>
      <c r="R1082" s="2954">
        <v>44451</v>
      </c>
      <c r="S1082" s="2954">
        <v>44459</v>
      </c>
      <c r="T1082" s="2954">
        <v>44506</v>
      </c>
      <c r="U1082" s="2954">
        <v>44506</v>
      </c>
      <c r="V1082" s="2948" t="s">
        <v>1840</v>
      </c>
    </row>
    <row r="1083" spans="1:22" s="2944" customFormat="1" ht="46.8" hidden="1">
      <c r="A1083" s="2948">
        <v>1082</v>
      </c>
      <c r="B1083" s="2948" t="s">
        <v>635</v>
      </c>
      <c r="C1083" s="2948" t="s">
        <v>636</v>
      </c>
      <c r="D1083" s="2948" t="s">
        <v>1808</v>
      </c>
      <c r="E1083" s="2948" t="s">
        <v>729</v>
      </c>
      <c r="F1083" s="2948" t="s">
        <v>762</v>
      </c>
      <c r="G1083" s="2948" t="s">
        <v>640</v>
      </c>
      <c r="H1083" s="2948" t="s">
        <v>1811</v>
      </c>
      <c r="I1083" s="2948" t="s">
        <v>854</v>
      </c>
      <c r="J1083" s="2948" t="s">
        <v>643</v>
      </c>
      <c r="K1083" s="2950">
        <v>174.66</v>
      </c>
      <c r="L1083" s="2950">
        <v>129.31</v>
      </c>
      <c r="M1083" s="2951">
        <v>18535967</v>
      </c>
      <c r="N1083" s="2951">
        <v>18535967</v>
      </c>
      <c r="O1083" s="2952">
        <v>18535967</v>
      </c>
      <c r="P1083" s="2953">
        <v>18535967</v>
      </c>
      <c r="Q1083" s="2951">
        <v>18535967</v>
      </c>
      <c r="R1083" s="2954">
        <v>44649.4761111111</v>
      </c>
      <c r="S1083" s="2954">
        <v>44649</v>
      </c>
      <c r="T1083" s="2954">
        <v>44726</v>
      </c>
      <c r="U1083" s="2954">
        <v>44726</v>
      </c>
      <c r="V1083" s="2948" t="s">
        <v>1841</v>
      </c>
    </row>
    <row r="1084" spans="1:22" s="2944" customFormat="1" ht="46.8" hidden="1">
      <c r="A1084" s="2948">
        <v>1083</v>
      </c>
      <c r="B1084" s="2948" t="s">
        <v>635</v>
      </c>
      <c r="C1084" s="2948" t="s">
        <v>636</v>
      </c>
      <c r="D1084" s="2948" t="s">
        <v>1808</v>
      </c>
      <c r="E1084" s="2948" t="s">
        <v>729</v>
      </c>
      <c r="F1084" s="2948" t="s">
        <v>764</v>
      </c>
      <c r="G1084" s="2948" t="s">
        <v>640</v>
      </c>
      <c r="H1084" s="2948" t="s">
        <v>1813</v>
      </c>
      <c r="I1084" s="2948" t="s">
        <v>854</v>
      </c>
      <c r="J1084" s="2948" t="s">
        <v>643</v>
      </c>
      <c r="K1084" s="2950">
        <v>173.89</v>
      </c>
      <c r="L1084" s="2950">
        <v>128.74</v>
      </c>
      <c r="M1084" s="2951">
        <v>19127900</v>
      </c>
      <c r="N1084" s="2951">
        <v>19127900</v>
      </c>
      <c r="O1084" s="2952">
        <v>19127900</v>
      </c>
      <c r="P1084" s="2953">
        <v>19127900</v>
      </c>
      <c r="Q1084" s="2951">
        <v>19127900</v>
      </c>
      <c r="R1084" s="2954">
        <v>44453</v>
      </c>
      <c r="S1084" s="2954">
        <v>44463</v>
      </c>
      <c r="T1084" s="2954">
        <v>44524</v>
      </c>
      <c r="U1084" s="2954">
        <v>44524</v>
      </c>
      <c r="V1084" s="2948" t="s">
        <v>1842</v>
      </c>
    </row>
    <row r="1085" spans="1:22" s="2944" customFormat="1" ht="46.8" hidden="1">
      <c r="A1085" s="2948">
        <v>1084</v>
      </c>
      <c r="B1085" s="2948" t="s">
        <v>635</v>
      </c>
      <c r="C1085" s="2948" t="s">
        <v>636</v>
      </c>
      <c r="D1085" s="2948" t="s">
        <v>1808</v>
      </c>
      <c r="E1085" s="2948" t="s">
        <v>729</v>
      </c>
      <c r="F1085" s="2948" t="s">
        <v>766</v>
      </c>
      <c r="G1085" s="2948" t="s">
        <v>640</v>
      </c>
      <c r="H1085" s="2948" t="s">
        <v>1811</v>
      </c>
      <c r="I1085" s="2948" t="s">
        <v>854</v>
      </c>
      <c r="J1085" s="2948" t="s">
        <v>643</v>
      </c>
      <c r="K1085" s="2950">
        <v>174.66</v>
      </c>
      <c r="L1085" s="2950">
        <v>129.31</v>
      </c>
      <c r="M1085" s="2951">
        <v>18553433</v>
      </c>
      <c r="N1085" s="2951">
        <v>18553433</v>
      </c>
      <c r="O1085" s="2952">
        <v>18553433</v>
      </c>
      <c r="P1085" s="2953">
        <v>18553433</v>
      </c>
      <c r="Q1085" s="2951">
        <v>18553433</v>
      </c>
      <c r="R1085" s="2954">
        <v>44516</v>
      </c>
      <c r="S1085" s="2954">
        <v>44561</v>
      </c>
      <c r="T1085" s="2954">
        <v>44749</v>
      </c>
      <c r="U1085" s="2954">
        <v>44749</v>
      </c>
      <c r="V1085" s="2948" t="s">
        <v>1843</v>
      </c>
    </row>
    <row r="1086" spans="1:22" s="2944" customFormat="1" ht="46.8" hidden="1">
      <c r="A1086" s="2948">
        <v>1085</v>
      </c>
      <c r="B1086" s="2948" t="s">
        <v>635</v>
      </c>
      <c r="C1086" s="2948" t="s">
        <v>636</v>
      </c>
      <c r="D1086" s="2948" t="s">
        <v>1808</v>
      </c>
      <c r="E1086" s="2948" t="s">
        <v>729</v>
      </c>
      <c r="F1086" s="2948" t="s">
        <v>768</v>
      </c>
      <c r="G1086" s="2948" t="s">
        <v>640</v>
      </c>
      <c r="H1086" s="2948" t="s">
        <v>1813</v>
      </c>
      <c r="I1086" s="2948" t="s">
        <v>854</v>
      </c>
      <c r="J1086" s="2948" t="s">
        <v>643</v>
      </c>
      <c r="K1086" s="2950">
        <v>173.89</v>
      </c>
      <c r="L1086" s="2950">
        <v>128.74</v>
      </c>
      <c r="M1086" s="2951">
        <v>19127900</v>
      </c>
      <c r="N1086" s="2951">
        <v>19127900</v>
      </c>
      <c r="O1086" s="2952">
        <v>19127900</v>
      </c>
      <c r="P1086" s="2953">
        <v>19127900</v>
      </c>
      <c r="Q1086" s="2951">
        <v>19127900</v>
      </c>
      <c r="R1086" s="2954">
        <v>44454</v>
      </c>
      <c r="S1086" s="2954">
        <v>44458</v>
      </c>
      <c r="T1086" s="2954">
        <v>44506</v>
      </c>
      <c r="U1086" s="2954">
        <v>44506</v>
      </c>
      <c r="V1086" s="2948" t="s">
        <v>1844</v>
      </c>
    </row>
    <row r="1087" spans="1:22" s="2944" customFormat="1" ht="46.8" hidden="1">
      <c r="A1087" s="2948">
        <v>1086</v>
      </c>
      <c r="B1087" s="2948" t="s">
        <v>635</v>
      </c>
      <c r="C1087" s="2948" t="s">
        <v>636</v>
      </c>
      <c r="D1087" s="2948" t="s">
        <v>1808</v>
      </c>
      <c r="E1087" s="2948" t="s">
        <v>729</v>
      </c>
      <c r="F1087" s="2948" t="s">
        <v>770</v>
      </c>
      <c r="G1087" s="2948" t="s">
        <v>640</v>
      </c>
      <c r="H1087" s="2948" t="s">
        <v>1811</v>
      </c>
      <c r="I1087" s="2948" t="s">
        <v>854</v>
      </c>
      <c r="J1087" s="2948" t="s">
        <v>643</v>
      </c>
      <c r="K1087" s="2950">
        <v>174.66</v>
      </c>
      <c r="L1087" s="2950">
        <v>129.31</v>
      </c>
      <c r="M1087" s="2951">
        <v>18570899</v>
      </c>
      <c r="N1087" s="2951">
        <v>18570899</v>
      </c>
      <c r="O1087" s="2952">
        <v>18570899</v>
      </c>
      <c r="P1087" s="2953">
        <v>18570899</v>
      </c>
      <c r="Q1087" s="2951">
        <v>18570899</v>
      </c>
      <c r="R1087" s="2954">
        <v>44650</v>
      </c>
      <c r="S1087" s="2954">
        <v>44651</v>
      </c>
      <c r="T1087" s="2954">
        <v>44735</v>
      </c>
      <c r="U1087" s="2954">
        <v>44735</v>
      </c>
      <c r="V1087" s="2948" t="s">
        <v>1845</v>
      </c>
    </row>
    <row r="1088" spans="1:22" s="2944" customFormat="1" ht="46.8" hidden="1">
      <c r="A1088" s="2948">
        <v>1087</v>
      </c>
      <c r="B1088" s="2948" t="s">
        <v>635</v>
      </c>
      <c r="C1088" s="2948" t="s">
        <v>636</v>
      </c>
      <c r="D1088" s="2948" t="s">
        <v>1808</v>
      </c>
      <c r="E1088" s="2948" t="s">
        <v>729</v>
      </c>
      <c r="F1088" s="2948" t="s">
        <v>890</v>
      </c>
      <c r="G1088" s="2948" t="s">
        <v>640</v>
      </c>
      <c r="H1088" s="2948" t="s">
        <v>1813</v>
      </c>
      <c r="I1088" s="2948" t="s">
        <v>854</v>
      </c>
      <c r="J1088" s="2948" t="s">
        <v>643</v>
      </c>
      <c r="K1088" s="2950">
        <v>173.89</v>
      </c>
      <c r="L1088" s="2950">
        <v>128.74</v>
      </c>
      <c r="M1088" s="2951">
        <v>19127900</v>
      </c>
      <c r="N1088" s="2951">
        <v>19127900</v>
      </c>
      <c r="O1088" s="2952">
        <v>19127900</v>
      </c>
      <c r="P1088" s="2953">
        <v>19127900</v>
      </c>
      <c r="Q1088" s="2951">
        <v>19127900</v>
      </c>
      <c r="R1088" s="2954">
        <v>44503</v>
      </c>
      <c r="S1088" s="2954">
        <v>44511</v>
      </c>
      <c r="T1088" s="2954">
        <v>44637</v>
      </c>
      <c r="U1088" s="2954">
        <v>44637</v>
      </c>
      <c r="V1088" s="2948" t="s">
        <v>1846</v>
      </c>
    </row>
    <row r="1089" spans="1:23" s="2944" customFormat="1" ht="46.8" hidden="1">
      <c r="A1089" s="2948">
        <v>1088</v>
      </c>
      <c r="B1089" s="2948" t="s">
        <v>635</v>
      </c>
      <c r="C1089" s="2948" t="s">
        <v>636</v>
      </c>
      <c r="D1089" s="2948" t="s">
        <v>1808</v>
      </c>
      <c r="E1089" s="2948" t="s">
        <v>729</v>
      </c>
      <c r="F1089" s="2948" t="s">
        <v>892</v>
      </c>
      <c r="G1089" s="2948" t="s">
        <v>640</v>
      </c>
      <c r="H1089" s="2948" t="s">
        <v>1811</v>
      </c>
      <c r="I1089" s="2948" t="s">
        <v>854</v>
      </c>
      <c r="J1089" s="2948" t="s">
        <v>643</v>
      </c>
      <c r="K1089" s="2950">
        <v>174.66</v>
      </c>
      <c r="L1089" s="2950">
        <v>129.31</v>
      </c>
      <c r="M1089" s="2951">
        <v>18588365</v>
      </c>
      <c r="N1089" s="2951">
        <v>18588365</v>
      </c>
      <c r="O1089" s="2952">
        <v>18588365</v>
      </c>
      <c r="P1089" s="2953">
        <v>18588365</v>
      </c>
      <c r="Q1089" s="2951">
        <v>18588365</v>
      </c>
      <c r="R1089" s="2954">
        <v>44731</v>
      </c>
      <c r="S1089" s="2954">
        <v>44739</v>
      </c>
      <c r="T1089" s="2954">
        <v>44978</v>
      </c>
      <c r="U1089" s="2954">
        <v>44978</v>
      </c>
      <c r="V1089" s="2948" t="s">
        <v>1847</v>
      </c>
    </row>
    <row r="1090" spans="1:23" s="2944" customFormat="1" ht="46.8" hidden="1">
      <c r="A1090" s="2948">
        <v>1089</v>
      </c>
      <c r="B1090" s="2948" t="s">
        <v>635</v>
      </c>
      <c r="C1090" s="2948" t="s">
        <v>636</v>
      </c>
      <c r="D1090" s="2948" t="s">
        <v>1808</v>
      </c>
      <c r="E1090" s="2948" t="s">
        <v>729</v>
      </c>
      <c r="F1090" s="2948" t="s">
        <v>894</v>
      </c>
      <c r="G1090" s="2948" t="s">
        <v>640</v>
      </c>
      <c r="H1090" s="2948" t="s">
        <v>1813</v>
      </c>
      <c r="I1090" s="2948" t="s">
        <v>854</v>
      </c>
      <c r="J1090" s="2948" t="s">
        <v>643</v>
      </c>
      <c r="K1090" s="2950">
        <v>173.89</v>
      </c>
      <c r="L1090" s="2950">
        <v>128.74</v>
      </c>
      <c r="M1090" s="2951">
        <v>19127900</v>
      </c>
      <c r="N1090" s="2951">
        <v>19127900</v>
      </c>
      <c r="O1090" s="2952">
        <v>19127900</v>
      </c>
      <c r="P1090" s="2953">
        <v>19127900</v>
      </c>
      <c r="Q1090" s="2951">
        <v>19127900</v>
      </c>
      <c r="R1090" s="2954">
        <v>44510</v>
      </c>
      <c r="S1090" s="2954">
        <v>44589</v>
      </c>
      <c r="T1090" s="2954">
        <v>44639</v>
      </c>
      <c r="U1090" s="2954">
        <v>44639</v>
      </c>
      <c r="V1090" s="2948" t="s">
        <v>1848</v>
      </c>
    </row>
    <row r="1091" spans="1:23" s="2944" customFormat="1" ht="46.8" hidden="1">
      <c r="A1091" s="2948">
        <v>1090</v>
      </c>
      <c r="B1091" s="2948" t="s">
        <v>635</v>
      </c>
      <c r="C1091" s="2948" t="s">
        <v>636</v>
      </c>
      <c r="D1091" s="2948" t="s">
        <v>1808</v>
      </c>
      <c r="E1091" s="2948" t="s">
        <v>729</v>
      </c>
      <c r="F1091" s="2948" t="s">
        <v>896</v>
      </c>
      <c r="G1091" s="2948" t="s">
        <v>640</v>
      </c>
      <c r="H1091" s="2948" t="s">
        <v>1811</v>
      </c>
      <c r="I1091" s="2948" t="s">
        <v>854</v>
      </c>
      <c r="J1091" s="2948" t="s">
        <v>643</v>
      </c>
      <c r="K1091" s="2950">
        <v>174.66</v>
      </c>
      <c r="L1091" s="2950">
        <v>129.31</v>
      </c>
      <c r="M1091" s="2951">
        <v>18605831</v>
      </c>
      <c r="N1091" s="2951">
        <v>18605831</v>
      </c>
      <c r="O1091" s="2952">
        <v>18605831</v>
      </c>
      <c r="P1091" s="2953">
        <v>18605831</v>
      </c>
      <c r="Q1091" s="2951">
        <v>18605831</v>
      </c>
      <c r="R1091" s="2954">
        <v>44467</v>
      </c>
      <c r="S1091" s="2954">
        <v>44494</v>
      </c>
      <c r="T1091" s="2954">
        <v>44654</v>
      </c>
      <c r="U1091" s="2954">
        <v>44654</v>
      </c>
      <c r="V1091" s="2948" t="s">
        <v>1849</v>
      </c>
    </row>
    <row r="1092" spans="1:23" s="2944" customFormat="1" ht="46.8" hidden="1">
      <c r="A1092" s="2948">
        <v>1091</v>
      </c>
      <c r="B1092" s="2948" t="s">
        <v>635</v>
      </c>
      <c r="C1092" s="2948" t="s">
        <v>636</v>
      </c>
      <c r="D1092" s="2948" t="s">
        <v>1808</v>
      </c>
      <c r="E1092" s="2948" t="s">
        <v>729</v>
      </c>
      <c r="F1092" s="2948" t="s">
        <v>898</v>
      </c>
      <c r="G1092" s="2948" t="s">
        <v>640</v>
      </c>
      <c r="H1092" s="2948" t="s">
        <v>1813</v>
      </c>
      <c r="I1092" s="2948" t="s">
        <v>854</v>
      </c>
      <c r="J1092" s="2948" t="s">
        <v>643</v>
      </c>
      <c r="K1092" s="2950">
        <v>173.89</v>
      </c>
      <c r="L1092" s="2950">
        <v>128.74</v>
      </c>
      <c r="M1092" s="2951">
        <v>19127900</v>
      </c>
      <c r="N1092" s="2951">
        <v>19127900</v>
      </c>
      <c r="O1092" s="2952">
        <v>19127900</v>
      </c>
      <c r="P1092" s="2953">
        <v>19127900</v>
      </c>
      <c r="Q1092" s="2951">
        <v>19127900</v>
      </c>
      <c r="R1092" s="2954">
        <v>44457</v>
      </c>
      <c r="S1092" s="2954">
        <v>44458</v>
      </c>
      <c r="T1092" s="2954">
        <v>44503</v>
      </c>
      <c r="U1092" s="2954">
        <v>44503</v>
      </c>
      <c r="V1092" s="2948" t="s">
        <v>1850</v>
      </c>
    </row>
    <row r="1093" spans="1:23" s="2944" customFormat="1" ht="46.8" hidden="1">
      <c r="A1093" s="2948">
        <v>1092</v>
      </c>
      <c r="B1093" s="2948" t="s">
        <v>635</v>
      </c>
      <c r="C1093" s="2948" t="s">
        <v>636</v>
      </c>
      <c r="D1093" s="2948" t="s">
        <v>1808</v>
      </c>
      <c r="E1093" s="2948" t="s">
        <v>729</v>
      </c>
      <c r="F1093" s="2948" t="s">
        <v>900</v>
      </c>
      <c r="G1093" s="2948" t="s">
        <v>640</v>
      </c>
      <c r="H1093" s="2948" t="s">
        <v>1811</v>
      </c>
      <c r="I1093" s="2948" t="s">
        <v>854</v>
      </c>
      <c r="J1093" s="2948" t="s">
        <v>643</v>
      </c>
      <c r="K1093" s="2950">
        <v>174.66</v>
      </c>
      <c r="L1093" s="2950">
        <v>129.31</v>
      </c>
      <c r="M1093" s="2951">
        <v>18623297</v>
      </c>
      <c r="N1093" s="2951">
        <v>18623297</v>
      </c>
      <c r="O1093" s="2952">
        <v>18623297</v>
      </c>
      <c r="P1093" s="2953">
        <v>18623297</v>
      </c>
      <c r="Q1093" s="2951">
        <v>18623297</v>
      </c>
      <c r="R1093" s="2948"/>
      <c r="S1093" s="2954">
        <v>44466.666851851798</v>
      </c>
      <c r="T1093" s="2954">
        <v>44510</v>
      </c>
      <c r="U1093" s="2954">
        <v>44510</v>
      </c>
      <c r="V1093" s="2948" t="s">
        <v>1851</v>
      </c>
    </row>
    <row r="1094" spans="1:23" s="2944" customFormat="1" ht="46.8" hidden="1">
      <c r="A1094" s="2948">
        <v>1093</v>
      </c>
      <c r="B1094" s="2948" t="s">
        <v>635</v>
      </c>
      <c r="C1094" s="2948" t="s">
        <v>636</v>
      </c>
      <c r="D1094" s="2948" t="s">
        <v>1808</v>
      </c>
      <c r="E1094" s="2948" t="s">
        <v>729</v>
      </c>
      <c r="F1094" s="2948" t="s">
        <v>902</v>
      </c>
      <c r="G1094" s="2948" t="s">
        <v>640</v>
      </c>
      <c r="H1094" s="2948" t="s">
        <v>1813</v>
      </c>
      <c r="I1094" s="2948" t="s">
        <v>854</v>
      </c>
      <c r="J1094" s="2948" t="s">
        <v>643</v>
      </c>
      <c r="K1094" s="2950">
        <v>173.89</v>
      </c>
      <c r="L1094" s="2950">
        <v>128.74</v>
      </c>
      <c r="M1094" s="2951">
        <v>19127900</v>
      </c>
      <c r="N1094" s="2951">
        <v>19127900</v>
      </c>
      <c r="O1094" s="2952">
        <v>19127900</v>
      </c>
      <c r="P1094" s="2953">
        <v>19127900</v>
      </c>
      <c r="Q1094" s="2951">
        <v>19127900</v>
      </c>
      <c r="R1094" s="2954">
        <v>44449</v>
      </c>
      <c r="S1094" s="2954">
        <v>44463</v>
      </c>
      <c r="T1094" s="2954">
        <v>44505</v>
      </c>
      <c r="U1094" s="2954">
        <v>44505</v>
      </c>
      <c r="V1094" s="2948" t="s">
        <v>1852</v>
      </c>
    </row>
    <row r="1095" spans="1:23" s="2944" customFormat="1" ht="46.8" hidden="1">
      <c r="A1095" s="2948">
        <v>1094</v>
      </c>
      <c r="B1095" s="2948" t="s">
        <v>635</v>
      </c>
      <c r="C1095" s="2948" t="s">
        <v>636</v>
      </c>
      <c r="D1095" s="2948" t="s">
        <v>1808</v>
      </c>
      <c r="E1095" s="2948" t="s">
        <v>729</v>
      </c>
      <c r="F1095" s="2948" t="s">
        <v>904</v>
      </c>
      <c r="G1095" s="2948" t="s">
        <v>640</v>
      </c>
      <c r="H1095" s="2948" t="s">
        <v>1811</v>
      </c>
      <c r="I1095" s="2948" t="s">
        <v>854</v>
      </c>
      <c r="J1095" s="2948" t="s">
        <v>643</v>
      </c>
      <c r="K1095" s="2950">
        <v>174.66</v>
      </c>
      <c r="L1095" s="2950">
        <v>129.31</v>
      </c>
      <c r="M1095" s="2951">
        <v>18640763</v>
      </c>
      <c r="N1095" s="2951">
        <v>18640763</v>
      </c>
      <c r="O1095" s="2952">
        <v>18640763</v>
      </c>
      <c r="P1095" s="2953">
        <v>18640763</v>
      </c>
      <c r="Q1095" s="2951">
        <v>18640763</v>
      </c>
      <c r="R1095" s="2954">
        <v>44505</v>
      </c>
      <c r="S1095" s="2954">
        <v>44522</v>
      </c>
      <c r="T1095" s="2954">
        <v>44578</v>
      </c>
      <c r="U1095" s="2954">
        <v>44578</v>
      </c>
      <c r="V1095" s="2948" t="s">
        <v>1853</v>
      </c>
    </row>
    <row r="1096" spans="1:23" s="2944" customFormat="1" ht="46.8" hidden="1">
      <c r="A1096" s="2948">
        <v>1095</v>
      </c>
      <c r="B1096" s="2948" t="s">
        <v>635</v>
      </c>
      <c r="C1096" s="2948" t="s">
        <v>636</v>
      </c>
      <c r="D1096" s="2948" t="s">
        <v>1808</v>
      </c>
      <c r="E1096" s="2948" t="s">
        <v>729</v>
      </c>
      <c r="F1096" s="2948" t="s">
        <v>906</v>
      </c>
      <c r="G1096" s="2948" t="s">
        <v>640</v>
      </c>
      <c r="H1096" s="2948" t="s">
        <v>1813</v>
      </c>
      <c r="I1096" s="2948" t="s">
        <v>854</v>
      </c>
      <c r="J1096" s="2948" t="s">
        <v>643</v>
      </c>
      <c r="K1096" s="2950">
        <v>173.89</v>
      </c>
      <c r="L1096" s="2950">
        <v>128.74</v>
      </c>
      <c r="M1096" s="2951">
        <v>19127900</v>
      </c>
      <c r="N1096" s="2951">
        <v>19127900</v>
      </c>
      <c r="O1096" s="2952">
        <v>19127900</v>
      </c>
      <c r="P1096" s="2953">
        <v>19127900</v>
      </c>
      <c r="Q1096" s="2951">
        <v>19127900</v>
      </c>
      <c r="R1096" s="2954">
        <v>44465</v>
      </c>
      <c r="S1096" s="2954">
        <v>44466</v>
      </c>
      <c r="T1096" s="2954">
        <v>44509</v>
      </c>
      <c r="U1096" s="2954">
        <v>44509</v>
      </c>
      <c r="V1096" s="2948" t="s">
        <v>1854</v>
      </c>
    </row>
    <row r="1097" spans="1:23" s="2944" customFormat="1" ht="46.8" hidden="1">
      <c r="A1097" s="2948">
        <v>1096</v>
      </c>
      <c r="B1097" s="2948" t="s">
        <v>635</v>
      </c>
      <c r="C1097" s="2948" t="s">
        <v>636</v>
      </c>
      <c r="D1097" s="2948" t="s">
        <v>1808</v>
      </c>
      <c r="E1097" s="2948" t="s">
        <v>729</v>
      </c>
      <c r="F1097" s="2948" t="s">
        <v>908</v>
      </c>
      <c r="G1097" s="2948" t="s">
        <v>640</v>
      </c>
      <c r="H1097" s="2948" t="s">
        <v>1811</v>
      </c>
      <c r="I1097" s="2948" t="s">
        <v>854</v>
      </c>
      <c r="J1097" s="2948" t="s">
        <v>643</v>
      </c>
      <c r="K1097" s="2950">
        <v>174.66</v>
      </c>
      <c r="L1097" s="2950">
        <v>129.31</v>
      </c>
      <c r="M1097" s="2951">
        <v>18658229</v>
      </c>
      <c r="N1097" s="2951">
        <v>18658229</v>
      </c>
      <c r="O1097" s="2952">
        <v>18658229</v>
      </c>
      <c r="P1097" s="2953">
        <v>18658229</v>
      </c>
      <c r="Q1097" s="2951">
        <v>18658229</v>
      </c>
      <c r="R1097" s="2954">
        <v>44497</v>
      </c>
      <c r="S1097" s="2954">
        <v>44498</v>
      </c>
      <c r="T1097" s="2954">
        <v>44726</v>
      </c>
      <c r="U1097" s="2954">
        <v>44726</v>
      </c>
      <c r="V1097" s="2948" t="s">
        <v>1855</v>
      </c>
    </row>
    <row r="1098" spans="1:23" s="2944" customFormat="1" ht="46.8" hidden="1">
      <c r="A1098" s="2948">
        <v>1097</v>
      </c>
      <c r="B1098" s="2948" t="s">
        <v>635</v>
      </c>
      <c r="C1098" s="2948" t="s">
        <v>636</v>
      </c>
      <c r="D1098" s="2948" t="s">
        <v>1808</v>
      </c>
      <c r="E1098" s="2948" t="s">
        <v>729</v>
      </c>
      <c r="F1098" s="2948" t="s">
        <v>910</v>
      </c>
      <c r="G1098" s="2948" t="s">
        <v>640</v>
      </c>
      <c r="H1098" s="2948" t="s">
        <v>1813</v>
      </c>
      <c r="I1098" s="2948" t="s">
        <v>854</v>
      </c>
      <c r="J1098" s="2948" t="s">
        <v>643</v>
      </c>
      <c r="K1098" s="2950">
        <v>173.89</v>
      </c>
      <c r="L1098" s="2950">
        <v>128.74</v>
      </c>
      <c r="M1098" s="2951">
        <v>19127900</v>
      </c>
      <c r="N1098" s="2951">
        <v>19127900</v>
      </c>
      <c r="O1098" s="2952">
        <v>18171505</v>
      </c>
      <c r="P1098" s="2953">
        <v>18171505</v>
      </c>
      <c r="Q1098" s="2951">
        <v>18171505</v>
      </c>
      <c r="R1098" s="2954">
        <v>44984</v>
      </c>
      <c r="S1098" s="2954">
        <v>44984</v>
      </c>
      <c r="T1098" s="2954">
        <v>45128</v>
      </c>
      <c r="U1098" s="2954">
        <v>45128</v>
      </c>
      <c r="V1098" s="2948" t="s">
        <v>1856</v>
      </c>
    </row>
    <row r="1099" spans="1:23" s="2944" customFormat="1" ht="46.8" hidden="1">
      <c r="A1099" s="2948">
        <v>1098</v>
      </c>
      <c r="B1099" s="2948" t="s">
        <v>635</v>
      </c>
      <c r="C1099" s="2948" t="s">
        <v>636</v>
      </c>
      <c r="D1099" s="2948" t="s">
        <v>1808</v>
      </c>
      <c r="E1099" s="2948" t="s">
        <v>729</v>
      </c>
      <c r="F1099" s="2948" t="s">
        <v>912</v>
      </c>
      <c r="G1099" s="2948" t="s">
        <v>640</v>
      </c>
      <c r="H1099" s="2948" t="s">
        <v>1811</v>
      </c>
      <c r="I1099" s="2948" t="s">
        <v>854</v>
      </c>
      <c r="J1099" s="2948" t="s">
        <v>643</v>
      </c>
      <c r="K1099" s="2950">
        <v>174.66</v>
      </c>
      <c r="L1099" s="2950">
        <v>129.31</v>
      </c>
      <c r="M1099" s="2951">
        <v>18675695</v>
      </c>
      <c r="N1099" s="2951">
        <v>18675695</v>
      </c>
      <c r="O1099" s="2952">
        <v>18675695</v>
      </c>
      <c r="P1099" s="2953">
        <v>18675695</v>
      </c>
      <c r="Q1099" s="2951">
        <v>18675695</v>
      </c>
      <c r="R1099" s="2954">
        <v>44497</v>
      </c>
      <c r="S1099" s="2954">
        <v>44497</v>
      </c>
      <c r="T1099" s="2954">
        <v>44524</v>
      </c>
      <c r="U1099" s="2954">
        <v>44524</v>
      </c>
      <c r="V1099" s="2948" t="s">
        <v>1857</v>
      </c>
    </row>
    <row r="1100" spans="1:23" s="2944" customFormat="1" ht="46.8" hidden="1">
      <c r="A1100" s="2948">
        <v>1099</v>
      </c>
      <c r="B1100" s="2948" t="s">
        <v>635</v>
      </c>
      <c r="C1100" s="2948" t="s">
        <v>636</v>
      </c>
      <c r="D1100" s="2948" t="s">
        <v>1808</v>
      </c>
      <c r="E1100" s="2948" t="s">
        <v>729</v>
      </c>
      <c r="F1100" s="2948" t="s">
        <v>914</v>
      </c>
      <c r="G1100" s="2948" t="s">
        <v>640</v>
      </c>
      <c r="H1100" s="2948" t="s">
        <v>1813</v>
      </c>
      <c r="I1100" s="2948" t="s">
        <v>854</v>
      </c>
      <c r="J1100" s="2948" t="s">
        <v>643</v>
      </c>
      <c r="K1100" s="2950">
        <v>173.89</v>
      </c>
      <c r="L1100" s="2950">
        <v>128.74</v>
      </c>
      <c r="M1100" s="2951">
        <v>19127900</v>
      </c>
      <c r="N1100" s="2951">
        <v>19127900</v>
      </c>
      <c r="O1100" s="2952">
        <v>19127900</v>
      </c>
      <c r="P1100" s="2953">
        <v>19127900</v>
      </c>
      <c r="Q1100" s="2951">
        <v>19127900</v>
      </c>
      <c r="R1100" s="2954">
        <v>44739</v>
      </c>
      <c r="S1100" s="2954">
        <v>44741</v>
      </c>
      <c r="T1100" s="2954">
        <v>44742</v>
      </c>
      <c r="U1100" s="2954">
        <v>44742</v>
      </c>
      <c r="V1100" s="2948" t="s">
        <v>1858</v>
      </c>
    </row>
    <row r="1101" spans="1:23" s="2944" customFormat="1" ht="46.8" hidden="1">
      <c r="A1101" s="2948">
        <v>1100</v>
      </c>
      <c r="B1101" s="2948" t="s">
        <v>635</v>
      </c>
      <c r="C1101" s="2948" t="s">
        <v>636</v>
      </c>
      <c r="D1101" s="2948" t="s">
        <v>1808</v>
      </c>
      <c r="E1101" s="2948" t="s">
        <v>729</v>
      </c>
      <c r="F1101" s="2948" t="s">
        <v>916</v>
      </c>
      <c r="G1101" s="2948" t="s">
        <v>640</v>
      </c>
      <c r="H1101" s="2948" t="s">
        <v>1811</v>
      </c>
      <c r="I1101" s="2948" t="s">
        <v>854</v>
      </c>
      <c r="J1101" s="2948" t="s">
        <v>643</v>
      </c>
      <c r="K1101" s="2950">
        <v>174.66</v>
      </c>
      <c r="L1101" s="2950">
        <v>129.31</v>
      </c>
      <c r="M1101" s="2951">
        <v>18693161</v>
      </c>
      <c r="N1101" s="2951">
        <v>18693161</v>
      </c>
      <c r="O1101" s="2952">
        <v>18693161</v>
      </c>
      <c r="P1101" s="2953">
        <v>18693161</v>
      </c>
      <c r="Q1101" s="2951">
        <v>18693161</v>
      </c>
      <c r="R1101" s="2954">
        <v>44557</v>
      </c>
      <c r="S1101" s="2954">
        <v>44590</v>
      </c>
      <c r="T1101" s="2954">
        <v>44747</v>
      </c>
      <c r="U1101" s="2954">
        <v>44747</v>
      </c>
      <c r="V1101" s="2948" t="s">
        <v>1859</v>
      </c>
    </row>
    <row r="1102" spans="1:23" s="2944" customFormat="1" ht="46.8" hidden="1">
      <c r="A1102" s="2948">
        <v>1101</v>
      </c>
      <c r="B1102" s="2948" t="s">
        <v>635</v>
      </c>
      <c r="C1102" s="2948" t="s">
        <v>636</v>
      </c>
      <c r="D1102" s="2948" t="s">
        <v>1808</v>
      </c>
      <c r="E1102" s="2948" t="s">
        <v>729</v>
      </c>
      <c r="F1102" s="2948" t="s">
        <v>968</v>
      </c>
      <c r="G1102" s="2948" t="s">
        <v>640</v>
      </c>
      <c r="H1102" s="2948" t="s">
        <v>1813</v>
      </c>
      <c r="I1102" s="2948" t="s">
        <v>854</v>
      </c>
      <c r="J1102" s="2948" t="s">
        <v>643</v>
      </c>
      <c r="K1102" s="2950">
        <v>173.89</v>
      </c>
      <c r="L1102" s="2950">
        <v>128.74</v>
      </c>
      <c r="M1102" s="2951">
        <v>19040955</v>
      </c>
      <c r="N1102" s="2951">
        <v>19040955</v>
      </c>
      <c r="O1102" s="2952">
        <v>19040955</v>
      </c>
      <c r="P1102" s="2953">
        <v>19040955</v>
      </c>
      <c r="Q1102" s="2951">
        <v>19040955</v>
      </c>
      <c r="R1102" s="2954">
        <v>44650</v>
      </c>
      <c r="S1102" s="2954">
        <v>44681</v>
      </c>
      <c r="T1102" s="2954">
        <v>44803</v>
      </c>
      <c r="U1102" s="2954">
        <v>44803</v>
      </c>
      <c r="V1102" s="2948" t="s">
        <v>1860</v>
      </c>
    </row>
    <row r="1103" spans="1:23" s="2944" customFormat="1" ht="46.8" hidden="1">
      <c r="A1103" s="2948">
        <v>1102</v>
      </c>
      <c r="B1103" s="2948" t="s">
        <v>635</v>
      </c>
      <c r="C1103" s="2948" t="s">
        <v>636</v>
      </c>
      <c r="D1103" s="2948" t="s">
        <v>1808</v>
      </c>
      <c r="E1103" s="2948" t="s">
        <v>729</v>
      </c>
      <c r="F1103" s="2948" t="s">
        <v>970</v>
      </c>
      <c r="G1103" s="2948" t="s">
        <v>640</v>
      </c>
      <c r="H1103" s="2948" t="s">
        <v>1811</v>
      </c>
      <c r="I1103" s="2948" t="s">
        <v>854</v>
      </c>
      <c r="J1103" s="2948" t="s">
        <v>643</v>
      </c>
      <c r="K1103" s="2950">
        <v>174.66</v>
      </c>
      <c r="L1103" s="2950">
        <v>129.31</v>
      </c>
      <c r="M1103" s="2951">
        <v>18186647</v>
      </c>
      <c r="N1103" s="2951">
        <v>18186647</v>
      </c>
      <c r="O1103" s="2952">
        <v>18186647</v>
      </c>
      <c r="P1103" s="2953">
        <v>18186647</v>
      </c>
      <c r="Q1103" s="2951">
        <v>18186647</v>
      </c>
      <c r="R1103" s="2954">
        <v>44731</v>
      </c>
      <c r="S1103" s="2954">
        <v>44733</v>
      </c>
      <c r="T1103" s="2954">
        <v>44760</v>
      </c>
      <c r="U1103" s="2954">
        <v>44760</v>
      </c>
      <c r="V1103" s="2948" t="s">
        <v>1861</v>
      </c>
    </row>
    <row r="1104" spans="1:23" s="2944" customFormat="1" ht="46.8" hidden="1">
      <c r="A1104" s="2948">
        <v>1103</v>
      </c>
      <c r="B1104" s="2948" t="s">
        <v>635</v>
      </c>
      <c r="C1104" s="2948" t="s">
        <v>636</v>
      </c>
      <c r="D1104" s="2948" t="s">
        <v>1862</v>
      </c>
      <c r="E1104" s="2948" t="s">
        <v>729</v>
      </c>
      <c r="F1104" s="2948" t="s">
        <v>900</v>
      </c>
      <c r="G1104" s="2948" t="s">
        <v>1035</v>
      </c>
      <c r="H1104" s="2948" t="s">
        <v>1863</v>
      </c>
      <c r="I1104" s="2948" t="s">
        <v>1027</v>
      </c>
      <c r="J1104" s="2948" t="s">
        <v>643</v>
      </c>
      <c r="K1104" s="2950">
        <v>33.03</v>
      </c>
      <c r="L1104" s="2950">
        <v>13.25</v>
      </c>
      <c r="M1104" s="2951">
        <v>550164</v>
      </c>
      <c r="N1104" s="2951">
        <v>550164</v>
      </c>
      <c r="O1104" s="2955"/>
      <c r="P1104" s="2948"/>
      <c r="Q1104" s="2951">
        <v>0</v>
      </c>
      <c r="R1104" s="2948"/>
      <c r="S1104" s="2948"/>
      <c r="T1104" s="2948"/>
      <c r="U1104" s="2948"/>
      <c r="V1104" s="2948"/>
      <c r="W1104" s="2944">
        <f t="shared" ref="W1104:W1167" si="4">O1104/K1104</f>
        <v>0</v>
      </c>
    </row>
    <row r="1105" spans="1:23" s="2944" customFormat="1" ht="46.8" hidden="1">
      <c r="A1105" s="2948">
        <v>1104</v>
      </c>
      <c r="B1105" s="2948" t="s">
        <v>635</v>
      </c>
      <c r="C1105" s="2948" t="s">
        <v>636</v>
      </c>
      <c r="D1105" s="2948" t="s">
        <v>1862</v>
      </c>
      <c r="E1105" s="2948" t="s">
        <v>729</v>
      </c>
      <c r="F1105" s="2948" t="s">
        <v>898</v>
      </c>
      <c r="G1105" s="2948" t="s">
        <v>1035</v>
      </c>
      <c r="H1105" s="2948" t="s">
        <v>1864</v>
      </c>
      <c r="I1105" s="2948" t="s">
        <v>1027</v>
      </c>
      <c r="J1105" s="2948" t="s">
        <v>643</v>
      </c>
      <c r="K1105" s="2950">
        <v>55.34</v>
      </c>
      <c r="L1105" s="2950">
        <v>22.2</v>
      </c>
      <c r="M1105" s="2951">
        <v>687705</v>
      </c>
      <c r="N1105" s="2951">
        <v>687705</v>
      </c>
      <c r="O1105" s="2955"/>
      <c r="P1105" s="2948"/>
      <c r="Q1105" s="2951">
        <v>0</v>
      </c>
      <c r="R1105" s="2948"/>
      <c r="S1105" s="2948"/>
      <c r="T1105" s="2948"/>
      <c r="U1105" s="2948"/>
      <c r="V1105" s="2948"/>
      <c r="W1105" s="2944">
        <f t="shared" si="4"/>
        <v>0</v>
      </c>
    </row>
    <row r="1106" spans="1:23" s="2944" customFormat="1" ht="46.8" hidden="1">
      <c r="A1106" s="2948">
        <v>1105</v>
      </c>
      <c r="B1106" s="2948" t="s">
        <v>635</v>
      </c>
      <c r="C1106" s="2948" t="s">
        <v>636</v>
      </c>
      <c r="D1106" s="2948" t="s">
        <v>1862</v>
      </c>
      <c r="E1106" s="2948" t="s">
        <v>729</v>
      </c>
      <c r="F1106" s="2948" t="s">
        <v>1247</v>
      </c>
      <c r="G1106" s="2948" t="s">
        <v>1035</v>
      </c>
      <c r="H1106" s="2948" t="s">
        <v>1864</v>
      </c>
      <c r="I1106" s="2948" t="s">
        <v>1027</v>
      </c>
      <c r="J1106" s="2948" t="s">
        <v>643</v>
      </c>
      <c r="K1106" s="2950">
        <v>55.34</v>
      </c>
      <c r="L1106" s="2950">
        <v>22.2</v>
      </c>
      <c r="M1106" s="2951">
        <v>687705</v>
      </c>
      <c r="N1106" s="2951">
        <v>687705</v>
      </c>
      <c r="O1106" s="2955"/>
      <c r="P1106" s="2948"/>
      <c r="Q1106" s="2951">
        <v>0</v>
      </c>
      <c r="R1106" s="2948"/>
      <c r="S1106" s="2948"/>
      <c r="T1106" s="2948"/>
      <c r="U1106" s="2948"/>
      <c r="V1106" s="2948"/>
      <c r="W1106" s="2944">
        <f t="shared" si="4"/>
        <v>0</v>
      </c>
    </row>
    <row r="1107" spans="1:23" s="2944" customFormat="1" ht="46.8" hidden="1">
      <c r="A1107" s="2948">
        <v>1106</v>
      </c>
      <c r="B1107" s="2948" t="s">
        <v>635</v>
      </c>
      <c r="C1107" s="2948" t="s">
        <v>636</v>
      </c>
      <c r="D1107" s="2948" t="s">
        <v>1862</v>
      </c>
      <c r="E1107" s="2948" t="s">
        <v>729</v>
      </c>
      <c r="F1107" s="2948" t="s">
        <v>1248</v>
      </c>
      <c r="G1107" s="2948" t="s">
        <v>1035</v>
      </c>
      <c r="H1107" s="2948" t="s">
        <v>1864</v>
      </c>
      <c r="I1107" s="2948" t="s">
        <v>1027</v>
      </c>
      <c r="J1107" s="2948" t="s">
        <v>643</v>
      </c>
      <c r="K1107" s="2950">
        <v>55.34</v>
      </c>
      <c r="L1107" s="2950">
        <v>22.2</v>
      </c>
      <c r="M1107" s="2951">
        <v>687705</v>
      </c>
      <c r="N1107" s="2951">
        <v>687705</v>
      </c>
      <c r="O1107" s="2955"/>
      <c r="P1107" s="2948"/>
      <c r="Q1107" s="2951">
        <v>0</v>
      </c>
      <c r="R1107" s="2948"/>
      <c r="S1107" s="2948"/>
      <c r="T1107" s="2948"/>
      <c r="U1107" s="2948"/>
      <c r="V1107" s="2948"/>
      <c r="W1107" s="2944">
        <f t="shared" si="4"/>
        <v>0</v>
      </c>
    </row>
    <row r="1108" spans="1:23" s="2944" customFormat="1" ht="46.8">
      <c r="A1108" s="2948">
        <v>1107</v>
      </c>
      <c r="B1108" s="2948" t="s">
        <v>635</v>
      </c>
      <c r="C1108" s="2948" t="s">
        <v>636</v>
      </c>
      <c r="D1108" s="2948" t="s">
        <v>1862</v>
      </c>
      <c r="E1108" s="2948" t="s">
        <v>729</v>
      </c>
      <c r="F1108" s="2948" t="s">
        <v>1249</v>
      </c>
      <c r="G1108" s="2948" t="s">
        <v>640</v>
      </c>
      <c r="H1108" s="2948" t="s">
        <v>1863</v>
      </c>
      <c r="I1108" s="2948" t="s">
        <v>1027</v>
      </c>
      <c r="J1108" s="2948" t="s">
        <v>643</v>
      </c>
      <c r="K1108" s="2950">
        <v>33.03</v>
      </c>
      <c r="L1108" s="2950">
        <v>13.25</v>
      </c>
      <c r="M1108" s="2951">
        <v>550164</v>
      </c>
      <c r="N1108" s="2951">
        <v>550164</v>
      </c>
      <c r="O1108" s="2952">
        <v>550164</v>
      </c>
      <c r="P1108" s="2953">
        <v>550164</v>
      </c>
      <c r="Q1108" s="2951">
        <v>550164</v>
      </c>
      <c r="R1108" s="2954">
        <v>44735</v>
      </c>
      <c r="S1108" s="2954">
        <v>44737</v>
      </c>
      <c r="T1108" s="2954">
        <v>44755</v>
      </c>
      <c r="U1108" s="2954">
        <v>44755</v>
      </c>
      <c r="V1108" s="2948" t="s">
        <v>1737</v>
      </c>
      <c r="W1108" s="2944">
        <f t="shared" si="4"/>
        <v>16656.494096276099</v>
      </c>
    </row>
    <row r="1109" spans="1:23" s="2944" customFormat="1" ht="46.8">
      <c r="A1109" s="2948">
        <v>1108</v>
      </c>
      <c r="B1109" s="2948" t="s">
        <v>635</v>
      </c>
      <c r="C1109" s="2948" t="s">
        <v>636</v>
      </c>
      <c r="D1109" s="2948" t="s">
        <v>1862</v>
      </c>
      <c r="E1109" s="2948" t="s">
        <v>729</v>
      </c>
      <c r="F1109" s="2948" t="s">
        <v>1250</v>
      </c>
      <c r="G1109" s="2948" t="s">
        <v>640</v>
      </c>
      <c r="H1109" s="2948" t="s">
        <v>1863</v>
      </c>
      <c r="I1109" s="2948" t="s">
        <v>1027</v>
      </c>
      <c r="J1109" s="2948" t="s">
        <v>643</v>
      </c>
      <c r="K1109" s="2950">
        <v>33.03</v>
      </c>
      <c r="L1109" s="2950">
        <v>13.25</v>
      </c>
      <c r="M1109" s="2951">
        <v>550164</v>
      </c>
      <c r="N1109" s="2951">
        <v>550164</v>
      </c>
      <c r="O1109" s="2952">
        <v>550164</v>
      </c>
      <c r="P1109" s="2953">
        <v>550164</v>
      </c>
      <c r="Q1109" s="2951">
        <v>550164</v>
      </c>
      <c r="R1109" s="2954">
        <v>44735</v>
      </c>
      <c r="S1109" s="2954">
        <v>44738</v>
      </c>
      <c r="T1109" s="2954">
        <v>44739</v>
      </c>
      <c r="U1109" s="2954">
        <v>44739</v>
      </c>
      <c r="V1109" s="2948" t="s">
        <v>1742</v>
      </c>
      <c r="W1109" s="2944">
        <f t="shared" si="4"/>
        <v>16656.494096276099</v>
      </c>
    </row>
    <row r="1110" spans="1:23" s="2944" customFormat="1" ht="46.8">
      <c r="A1110" s="2948">
        <v>1109</v>
      </c>
      <c r="B1110" s="2948" t="s">
        <v>635</v>
      </c>
      <c r="C1110" s="2948" t="s">
        <v>636</v>
      </c>
      <c r="D1110" s="2948" t="s">
        <v>1862</v>
      </c>
      <c r="E1110" s="2948" t="s">
        <v>729</v>
      </c>
      <c r="F1110" s="2948" t="s">
        <v>1251</v>
      </c>
      <c r="G1110" s="2948" t="s">
        <v>640</v>
      </c>
      <c r="H1110" s="2948" t="s">
        <v>1863</v>
      </c>
      <c r="I1110" s="2948" t="s">
        <v>1027</v>
      </c>
      <c r="J1110" s="2948" t="s">
        <v>643</v>
      </c>
      <c r="K1110" s="2950">
        <v>33.03</v>
      </c>
      <c r="L1110" s="2950">
        <v>13.25</v>
      </c>
      <c r="M1110" s="2951">
        <v>550164</v>
      </c>
      <c r="N1110" s="2951">
        <v>550164</v>
      </c>
      <c r="O1110" s="2952">
        <v>550164</v>
      </c>
      <c r="P1110" s="2953">
        <v>550164</v>
      </c>
      <c r="Q1110" s="2951">
        <v>550164</v>
      </c>
      <c r="R1110" s="2954">
        <v>44735</v>
      </c>
      <c r="S1110" s="2954">
        <v>44737</v>
      </c>
      <c r="T1110" s="2954">
        <v>44784</v>
      </c>
      <c r="U1110" s="2954">
        <v>44784</v>
      </c>
      <c r="V1110" s="2948" t="s">
        <v>1755</v>
      </c>
      <c r="W1110" s="2944">
        <f t="shared" si="4"/>
        <v>16656.494096276099</v>
      </c>
    </row>
    <row r="1111" spans="1:23" s="2944" customFormat="1" ht="46.8">
      <c r="A1111" s="2948">
        <v>1110</v>
      </c>
      <c r="B1111" s="2948" t="s">
        <v>635</v>
      </c>
      <c r="C1111" s="2948" t="s">
        <v>636</v>
      </c>
      <c r="D1111" s="2948" t="s">
        <v>1862</v>
      </c>
      <c r="E1111" s="2948" t="s">
        <v>729</v>
      </c>
      <c r="F1111" s="2948" t="s">
        <v>1252</v>
      </c>
      <c r="G1111" s="2948" t="s">
        <v>640</v>
      </c>
      <c r="H1111" s="2948" t="s">
        <v>1863</v>
      </c>
      <c r="I1111" s="2948" t="s">
        <v>1027</v>
      </c>
      <c r="J1111" s="2948" t="s">
        <v>643</v>
      </c>
      <c r="K1111" s="2950">
        <v>33.03</v>
      </c>
      <c r="L1111" s="2950">
        <v>13.25</v>
      </c>
      <c r="M1111" s="2951">
        <v>550164</v>
      </c>
      <c r="N1111" s="2951">
        <v>550164</v>
      </c>
      <c r="O1111" s="2952">
        <v>550164</v>
      </c>
      <c r="P1111" s="2953">
        <v>550164</v>
      </c>
      <c r="Q1111" s="2951">
        <v>550164</v>
      </c>
      <c r="R1111" s="2954">
        <v>44736</v>
      </c>
      <c r="S1111" s="2954">
        <v>44737</v>
      </c>
      <c r="T1111" s="2954">
        <v>44748</v>
      </c>
      <c r="U1111" s="2954">
        <v>44748</v>
      </c>
      <c r="V1111" s="2948" t="s">
        <v>1482</v>
      </c>
      <c r="W1111" s="2944">
        <f t="shared" si="4"/>
        <v>16656.494096276099</v>
      </c>
    </row>
    <row r="1112" spans="1:23" s="2944" customFormat="1" ht="46.8">
      <c r="A1112" s="2948">
        <v>1111</v>
      </c>
      <c r="B1112" s="2948" t="s">
        <v>635</v>
      </c>
      <c r="C1112" s="2948" t="s">
        <v>636</v>
      </c>
      <c r="D1112" s="2948" t="s">
        <v>1862</v>
      </c>
      <c r="E1112" s="2948" t="s">
        <v>729</v>
      </c>
      <c r="F1112" s="2948" t="s">
        <v>1253</v>
      </c>
      <c r="G1112" s="2948" t="s">
        <v>640</v>
      </c>
      <c r="H1112" s="2948" t="s">
        <v>1863</v>
      </c>
      <c r="I1112" s="2948" t="s">
        <v>1027</v>
      </c>
      <c r="J1112" s="2948" t="s">
        <v>643</v>
      </c>
      <c r="K1112" s="2950">
        <v>33.03</v>
      </c>
      <c r="L1112" s="2950">
        <v>13.25</v>
      </c>
      <c r="M1112" s="2951">
        <v>550164</v>
      </c>
      <c r="N1112" s="2951">
        <v>550164</v>
      </c>
      <c r="O1112" s="2952">
        <v>550164</v>
      </c>
      <c r="P1112" s="2953">
        <v>550164</v>
      </c>
      <c r="Q1112" s="2951">
        <v>550164</v>
      </c>
      <c r="R1112" s="2954">
        <v>44736</v>
      </c>
      <c r="S1112" s="2954">
        <v>44737</v>
      </c>
      <c r="T1112" s="2954">
        <v>44753</v>
      </c>
      <c r="U1112" s="2954">
        <v>44753</v>
      </c>
      <c r="V1112" s="2948" t="s">
        <v>1723</v>
      </c>
      <c r="W1112" s="2944">
        <f t="shared" si="4"/>
        <v>16656.494096276099</v>
      </c>
    </row>
    <row r="1113" spans="1:23" s="2944" customFormat="1" ht="46.8">
      <c r="A1113" s="2948">
        <v>1112</v>
      </c>
      <c r="B1113" s="2948" t="s">
        <v>635</v>
      </c>
      <c r="C1113" s="2948" t="s">
        <v>636</v>
      </c>
      <c r="D1113" s="2948" t="s">
        <v>1862</v>
      </c>
      <c r="E1113" s="2948" t="s">
        <v>729</v>
      </c>
      <c r="F1113" s="2948" t="s">
        <v>1254</v>
      </c>
      <c r="G1113" s="2948" t="s">
        <v>640</v>
      </c>
      <c r="H1113" s="2948" t="s">
        <v>1863</v>
      </c>
      <c r="I1113" s="2948" t="s">
        <v>1027</v>
      </c>
      <c r="J1113" s="2948" t="s">
        <v>643</v>
      </c>
      <c r="K1113" s="2950">
        <v>33.03</v>
      </c>
      <c r="L1113" s="2950">
        <v>13.25</v>
      </c>
      <c r="M1113" s="2951">
        <v>550164</v>
      </c>
      <c r="N1113" s="2951">
        <v>550164</v>
      </c>
      <c r="O1113" s="2952">
        <v>550164</v>
      </c>
      <c r="P1113" s="2953">
        <v>550164</v>
      </c>
      <c r="Q1113" s="2951">
        <v>550164</v>
      </c>
      <c r="R1113" s="2954">
        <v>44736</v>
      </c>
      <c r="S1113" s="2954">
        <v>44737</v>
      </c>
      <c r="T1113" s="2954">
        <v>44753</v>
      </c>
      <c r="U1113" s="2954">
        <v>44753</v>
      </c>
      <c r="V1113" s="2948" t="s">
        <v>1723</v>
      </c>
      <c r="W1113" s="2944">
        <f t="shared" si="4"/>
        <v>16656.494096276099</v>
      </c>
    </row>
    <row r="1114" spans="1:23" s="2944" customFormat="1" ht="46.8">
      <c r="A1114" s="2948">
        <v>1113</v>
      </c>
      <c r="B1114" s="2948" t="s">
        <v>635</v>
      </c>
      <c r="C1114" s="2948" t="s">
        <v>636</v>
      </c>
      <c r="D1114" s="2948" t="s">
        <v>1862</v>
      </c>
      <c r="E1114" s="2948" t="s">
        <v>729</v>
      </c>
      <c r="F1114" s="2948" t="s">
        <v>1255</v>
      </c>
      <c r="G1114" s="2948" t="s">
        <v>640</v>
      </c>
      <c r="H1114" s="2948" t="s">
        <v>1863</v>
      </c>
      <c r="I1114" s="2948" t="s">
        <v>1027</v>
      </c>
      <c r="J1114" s="2948" t="s">
        <v>643</v>
      </c>
      <c r="K1114" s="2950">
        <v>33.03</v>
      </c>
      <c r="L1114" s="2950">
        <v>13.25</v>
      </c>
      <c r="M1114" s="2951">
        <v>550164</v>
      </c>
      <c r="N1114" s="2951">
        <v>550164</v>
      </c>
      <c r="O1114" s="2952">
        <v>550164</v>
      </c>
      <c r="P1114" s="2953">
        <v>550164</v>
      </c>
      <c r="Q1114" s="2951">
        <v>550164</v>
      </c>
      <c r="R1114" s="2954">
        <v>44651</v>
      </c>
      <c r="S1114" s="2954">
        <v>44680</v>
      </c>
      <c r="T1114" s="2954">
        <v>44754</v>
      </c>
      <c r="U1114" s="2954">
        <v>44754</v>
      </c>
      <c r="V1114" s="2948" t="s">
        <v>1749</v>
      </c>
      <c r="W1114" s="2944">
        <f t="shared" si="4"/>
        <v>16656.494096276099</v>
      </c>
    </row>
    <row r="1115" spans="1:23" s="2944" customFormat="1" ht="46.8">
      <c r="A1115" s="2948">
        <v>1114</v>
      </c>
      <c r="B1115" s="2948" t="s">
        <v>635</v>
      </c>
      <c r="C1115" s="2948" t="s">
        <v>636</v>
      </c>
      <c r="D1115" s="2948" t="s">
        <v>1862</v>
      </c>
      <c r="E1115" s="2948" t="s">
        <v>729</v>
      </c>
      <c r="F1115" s="2948" t="s">
        <v>1256</v>
      </c>
      <c r="G1115" s="2948" t="s">
        <v>640</v>
      </c>
      <c r="H1115" s="2948" t="s">
        <v>1863</v>
      </c>
      <c r="I1115" s="2948" t="s">
        <v>1027</v>
      </c>
      <c r="J1115" s="2948" t="s">
        <v>643</v>
      </c>
      <c r="K1115" s="2950">
        <v>33.03</v>
      </c>
      <c r="L1115" s="2950">
        <v>13.25</v>
      </c>
      <c r="M1115" s="2951">
        <v>550164</v>
      </c>
      <c r="N1115" s="2951">
        <v>550164</v>
      </c>
      <c r="O1115" s="2952">
        <v>550164</v>
      </c>
      <c r="P1115" s="2953">
        <v>550164</v>
      </c>
      <c r="Q1115" s="2951">
        <v>550164</v>
      </c>
      <c r="R1115" s="2954">
        <v>44734</v>
      </c>
      <c r="S1115" s="2954">
        <v>44736</v>
      </c>
      <c r="T1115" s="2954">
        <v>44756</v>
      </c>
      <c r="U1115" s="2954">
        <v>44756</v>
      </c>
      <c r="V1115" s="2948" t="s">
        <v>1739</v>
      </c>
      <c r="W1115" s="2944">
        <f t="shared" si="4"/>
        <v>16656.494096276099</v>
      </c>
    </row>
    <row r="1116" spans="1:23" s="2944" customFormat="1" ht="46.8">
      <c r="A1116" s="2948">
        <v>1115</v>
      </c>
      <c r="B1116" s="2948" t="s">
        <v>635</v>
      </c>
      <c r="C1116" s="2948" t="s">
        <v>636</v>
      </c>
      <c r="D1116" s="2948" t="s">
        <v>1862</v>
      </c>
      <c r="E1116" s="2948" t="s">
        <v>729</v>
      </c>
      <c r="F1116" s="2948" t="s">
        <v>1257</v>
      </c>
      <c r="G1116" s="2948" t="s">
        <v>640</v>
      </c>
      <c r="H1116" s="2948" t="s">
        <v>1863</v>
      </c>
      <c r="I1116" s="2948" t="s">
        <v>1027</v>
      </c>
      <c r="J1116" s="2948" t="s">
        <v>643</v>
      </c>
      <c r="K1116" s="2950">
        <v>33.03</v>
      </c>
      <c r="L1116" s="2950">
        <v>13.25</v>
      </c>
      <c r="M1116" s="2951">
        <v>550164</v>
      </c>
      <c r="N1116" s="2951">
        <v>550164</v>
      </c>
      <c r="O1116" s="2952">
        <v>550164</v>
      </c>
      <c r="P1116" s="2953">
        <v>550164</v>
      </c>
      <c r="Q1116" s="2951">
        <v>550164</v>
      </c>
      <c r="R1116" s="2954">
        <v>44736</v>
      </c>
      <c r="S1116" s="2954">
        <v>44737</v>
      </c>
      <c r="T1116" s="2954">
        <v>44756</v>
      </c>
      <c r="U1116" s="2954">
        <v>44756</v>
      </c>
      <c r="V1116" s="2948" t="s">
        <v>1741</v>
      </c>
      <c r="W1116" s="2944">
        <f t="shared" si="4"/>
        <v>16656.494096276099</v>
      </c>
    </row>
    <row r="1117" spans="1:23" s="2944" customFormat="1" ht="46.8">
      <c r="A1117" s="2948">
        <v>1116</v>
      </c>
      <c r="B1117" s="2948" t="s">
        <v>635</v>
      </c>
      <c r="C1117" s="2948" t="s">
        <v>636</v>
      </c>
      <c r="D1117" s="2948" t="s">
        <v>1862</v>
      </c>
      <c r="E1117" s="2948" t="s">
        <v>729</v>
      </c>
      <c r="F1117" s="2948" t="s">
        <v>1258</v>
      </c>
      <c r="G1117" s="2948" t="s">
        <v>640</v>
      </c>
      <c r="H1117" s="2948" t="s">
        <v>1863</v>
      </c>
      <c r="I1117" s="2948" t="s">
        <v>1027</v>
      </c>
      <c r="J1117" s="2948" t="s">
        <v>643</v>
      </c>
      <c r="K1117" s="2950">
        <v>33.03</v>
      </c>
      <c r="L1117" s="2950">
        <v>13.25</v>
      </c>
      <c r="M1117" s="2951">
        <v>550164</v>
      </c>
      <c r="N1117" s="2951">
        <v>550164</v>
      </c>
      <c r="O1117" s="2952">
        <v>550164</v>
      </c>
      <c r="P1117" s="2953">
        <v>550164</v>
      </c>
      <c r="Q1117" s="2951">
        <v>550164</v>
      </c>
      <c r="R1117" s="2954">
        <v>44736</v>
      </c>
      <c r="S1117" s="2954">
        <v>44737</v>
      </c>
      <c r="T1117" s="2954">
        <v>44741</v>
      </c>
      <c r="U1117" s="2954">
        <v>44741</v>
      </c>
      <c r="V1117" s="2948" t="s">
        <v>1464</v>
      </c>
      <c r="W1117" s="2944">
        <f t="shared" si="4"/>
        <v>16656.494096276099</v>
      </c>
    </row>
    <row r="1118" spans="1:23" s="2944" customFormat="1" ht="46.8">
      <c r="A1118" s="2948">
        <v>1117</v>
      </c>
      <c r="B1118" s="2948" t="s">
        <v>635</v>
      </c>
      <c r="C1118" s="2948" t="s">
        <v>636</v>
      </c>
      <c r="D1118" s="2948" t="s">
        <v>1862</v>
      </c>
      <c r="E1118" s="2948" t="s">
        <v>729</v>
      </c>
      <c r="F1118" s="2948" t="s">
        <v>1259</v>
      </c>
      <c r="G1118" s="2948" t="s">
        <v>640</v>
      </c>
      <c r="H1118" s="2948" t="s">
        <v>1863</v>
      </c>
      <c r="I1118" s="2948" t="s">
        <v>1027</v>
      </c>
      <c r="J1118" s="2948" t="s">
        <v>643</v>
      </c>
      <c r="K1118" s="2950">
        <v>33.03</v>
      </c>
      <c r="L1118" s="2950">
        <v>13.25</v>
      </c>
      <c r="M1118" s="2951">
        <v>550164</v>
      </c>
      <c r="N1118" s="2951">
        <v>550164</v>
      </c>
      <c r="O1118" s="2952">
        <v>550164</v>
      </c>
      <c r="P1118" s="2953">
        <v>550164</v>
      </c>
      <c r="Q1118" s="2951">
        <v>550164</v>
      </c>
      <c r="R1118" s="2954">
        <v>44734</v>
      </c>
      <c r="S1118" s="2954">
        <v>44737</v>
      </c>
      <c r="T1118" s="2954">
        <v>44754</v>
      </c>
      <c r="U1118" s="2954">
        <v>44754</v>
      </c>
      <c r="V1118" s="2948" t="s">
        <v>1481</v>
      </c>
      <c r="W1118" s="2944">
        <f t="shared" si="4"/>
        <v>16656.494096276099</v>
      </c>
    </row>
    <row r="1119" spans="1:23" s="2944" customFormat="1" ht="46.8">
      <c r="A1119" s="2948">
        <v>1118</v>
      </c>
      <c r="B1119" s="2948" t="s">
        <v>635</v>
      </c>
      <c r="C1119" s="2948" t="s">
        <v>636</v>
      </c>
      <c r="D1119" s="2948" t="s">
        <v>1862</v>
      </c>
      <c r="E1119" s="2948" t="s">
        <v>729</v>
      </c>
      <c r="F1119" s="2948" t="s">
        <v>1260</v>
      </c>
      <c r="G1119" s="2948" t="s">
        <v>640</v>
      </c>
      <c r="H1119" s="2948" t="s">
        <v>1863</v>
      </c>
      <c r="I1119" s="2948" t="s">
        <v>1027</v>
      </c>
      <c r="J1119" s="2948" t="s">
        <v>643</v>
      </c>
      <c r="K1119" s="2950">
        <v>33.03</v>
      </c>
      <c r="L1119" s="2950">
        <v>13.25</v>
      </c>
      <c r="M1119" s="2951">
        <v>550164</v>
      </c>
      <c r="N1119" s="2951">
        <v>550164</v>
      </c>
      <c r="O1119" s="2952">
        <v>550164</v>
      </c>
      <c r="P1119" s="2953">
        <v>550164</v>
      </c>
      <c r="Q1119" s="2951">
        <v>550164</v>
      </c>
      <c r="R1119" s="2954">
        <v>44736</v>
      </c>
      <c r="S1119" s="2954">
        <v>44737</v>
      </c>
      <c r="T1119" s="2954">
        <v>44756</v>
      </c>
      <c r="U1119" s="2954">
        <v>44756</v>
      </c>
      <c r="V1119" s="2948" t="s">
        <v>1739</v>
      </c>
      <c r="W1119" s="2944">
        <f t="shared" si="4"/>
        <v>16656.494096276099</v>
      </c>
    </row>
    <row r="1120" spans="1:23" s="2944" customFormat="1" ht="46.8">
      <c r="A1120" s="2948">
        <v>1119</v>
      </c>
      <c r="B1120" s="2948" t="s">
        <v>635</v>
      </c>
      <c r="C1120" s="2948" t="s">
        <v>636</v>
      </c>
      <c r="D1120" s="2948" t="s">
        <v>1862</v>
      </c>
      <c r="E1120" s="2948" t="s">
        <v>729</v>
      </c>
      <c r="F1120" s="2948" t="s">
        <v>1261</v>
      </c>
      <c r="G1120" s="2948" t="s">
        <v>640</v>
      </c>
      <c r="H1120" s="2948" t="s">
        <v>1863</v>
      </c>
      <c r="I1120" s="2948" t="s">
        <v>1027</v>
      </c>
      <c r="J1120" s="2948" t="s">
        <v>643</v>
      </c>
      <c r="K1120" s="2950">
        <v>33.03</v>
      </c>
      <c r="L1120" s="2950">
        <v>13.25</v>
      </c>
      <c r="M1120" s="2951">
        <v>550164</v>
      </c>
      <c r="N1120" s="2951">
        <v>550164</v>
      </c>
      <c r="O1120" s="2952">
        <v>550164</v>
      </c>
      <c r="P1120" s="2953">
        <v>550164</v>
      </c>
      <c r="Q1120" s="2951">
        <v>550164</v>
      </c>
      <c r="R1120" s="2954">
        <v>44736</v>
      </c>
      <c r="S1120" s="2954">
        <v>44737</v>
      </c>
      <c r="T1120" s="2954">
        <v>44756</v>
      </c>
      <c r="U1120" s="2954">
        <v>44756</v>
      </c>
      <c r="V1120" s="2948" t="s">
        <v>1780</v>
      </c>
      <c r="W1120" s="2944">
        <f t="shared" si="4"/>
        <v>16656.494096276099</v>
      </c>
    </row>
    <row r="1121" spans="1:23" s="2944" customFormat="1" ht="46.8">
      <c r="A1121" s="2948">
        <v>1120</v>
      </c>
      <c r="B1121" s="2948" t="s">
        <v>635</v>
      </c>
      <c r="C1121" s="2948" t="s">
        <v>636</v>
      </c>
      <c r="D1121" s="2948" t="s">
        <v>1862</v>
      </c>
      <c r="E1121" s="2948" t="s">
        <v>729</v>
      </c>
      <c r="F1121" s="2948" t="s">
        <v>1262</v>
      </c>
      <c r="G1121" s="2948" t="s">
        <v>640</v>
      </c>
      <c r="H1121" s="2948" t="s">
        <v>1863</v>
      </c>
      <c r="I1121" s="2948" t="s">
        <v>1027</v>
      </c>
      <c r="J1121" s="2948" t="s">
        <v>643</v>
      </c>
      <c r="K1121" s="2950">
        <v>33.03</v>
      </c>
      <c r="L1121" s="2950">
        <v>13.25</v>
      </c>
      <c r="M1121" s="2951">
        <v>550164</v>
      </c>
      <c r="N1121" s="2951">
        <v>550164</v>
      </c>
      <c r="O1121" s="2952">
        <v>522656</v>
      </c>
      <c r="P1121" s="2953">
        <v>522656</v>
      </c>
      <c r="Q1121" s="2951">
        <v>522656</v>
      </c>
      <c r="R1121" s="2954">
        <v>45044</v>
      </c>
      <c r="S1121" s="2954">
        <v>45044</v>
      </c>
      <c r="T1121" s="2954">
        <v>45062</v>
      </c>
      <c r="U1121" s="2954">
        <v>45062</v>
      </c>
      <c r="V1121" s="2948" t="s">
        <v>1489</v>
      </c>
      <c r="W1121" s="2944">
        <f t="shared" si="4"/>
        <v>15823.6754465637</v>
      </c>
    </row>
    <row r="1122" spans="1:23" s="2944" customFormat="1" ht="46.8">
      <c r="A1122" s="2948">
        <v>1121</v>
      </c>
      <c r="B1122" s="2948" t="s">
        <v>635</v>
      </c>
      <c r="C1122" s="2948" t="s">
        <v>636</v>
      </c>
      <c r="D1122" s="2948" t="s">
        <v>1862</v>
      </c>
      <c r="E1122" s="2948" t="s">
        <v>729</v>
      </c>
      <c r="F1122" s="2948" t="s">
        <v>1263</v>
      </c>
      <c r="G1122" s="2948" t="s">
        <v>640</v>
      </c>
      <c r="H1122" s="2948" t="s">
        <v>1863</v>
      </c>
      <c r="I1122" s="2948" t="s">
        <v>1027</v>
      </c>
      <c r="J1122" s="2948" t="s">
        <v>643</v>
      </c>
      <c r="K1122" s="2950">
        <v>33.03</v>
      </c>
      <c r="L1122" s="2950">
        <v>13.25</v>
      </c>
      <c r="M1122" s="2951">
        <v>550164</v>
      </c>
      <c r="N1122" s="2951">
        <v>550164</v>
      </c>
      <c r="O1122" s="2952">
        <v>550164</v>
      </c>
      <c r="P1122" s="2953">
        <v>550164</v>
      </c>
      <c r="Q1122" s="2951">
        <v>550164</v>
      </c>
      <c r="R1122" s="2954">
        <v>44497</v>
      </c>
      <c r="S1122" s="2954">
        <v>44497</v>
      </c>
      <c r="T1122" s="2954">
        <v>44745</v>
      </c>
      <c r="U1122" s="2954">
        <v>44745</v>
      </c>
      <c r="V1122" s="2948" t="s">
        <v>1487</v>
      </c>
      <c r="W1122" s="2944">
        <f t="shared" si="4"/>
        <v>16656.494096276099</v>
      </c>
    </row>
    <row r="1123" spans="1:23" s="2944" customFormat="1" ht="46.8">
      <c r="A1123" s="2948">
        <v>1122</v>
      </c>
      <c r="B1123" s="2948" t="s">
        <v>635</v>
      </c>
      <c r="C1123" s="2948" t="s">
        <v>636</v>
      </c>
      <c r="D1123" s="2948" t="s">
        <v>1862</v>
      </c>
      <c r="E1123" s="2948" t="s">
        <v>729</v>
      </c>
      <c r="F1123" s="2948" t="s">
        <v>1264</v>
      </c>
      <c r="G1123" s="2948" t="s">
        <v>640</v>
      </c>
      <c r="H1123" s="2948" t="s">
        <v>1863</v>
      </c>
      <c r="I1123" s="2948" t="s">
        <v>1027</v>
      </c>
      <c r="J1123" s="2948" t="s">
        <v>643</v>
      </c>
      <c r="K1123" s="2950">
        <v>33.03</v>
      </c>
      <c r="L1123" s="2950">
        <v>13.25</v>
      </c>
      <c r="M1123" s="2951">
        <v>550164</v>
      </c>
      <c r="N1123" s="2951">
        <v>550164</v>
      </c>
      <c r="O1123" s="2952">
        <v>550164</v>
      </c>
      <c r="P1123" s="2953">
        <v>550164</v>
      </c>
      <c r="Q1123" s="2951">
        <v>550164</v>
      </c>
      <c r="R1123" s="2954">
        <v>44496</v>
      </c>
      <c r="S1123" s="2954">
        <v>44497</v>
      </c>
      <c r="T1123" s="2954">
        <v>44748</v>
      </c>
      <c r="U1123" s="2954">
        <v>44748</v>
      </c>
      <c r="V1123" s="2948" t="s">
        <v>1482</v>
      </c>
      <c r="W1123" s="2944">
        <f t="shared" si="4"/>
        <v>16656.494096276099</v>
      </c>
    </row>
    <row r="1124" spans="1:23" s="2944" customFormat="1" ht="46.8">
      <c r="A1124" s="2948">
        <v>1123</v>
      </c>
      <c r="B1124" s="2948" t="s">
        <v>635</v>
      </c>
      <c r="C1124" s="2948" t="s">
        <v>636</v>
      </c>
      <c r="D1124" s="2948" t="s">
        <v>1862</v>
      </c>
      <c r="E1124" s="2948" t="s">
        <v>729</v>
      </c>
      <c r="F1124" s="2948" t="s">
        <v>1265</v>
      </c>
      <c r="G1124" s="2948" t="s">
        <v>640</v>
      </c>
      <c r="H1124" s="2948" t="s">
        <v>1863</v>
      </c>
      <c r="I1124" s="2948" t="s">
        <v>1027</v>
      </c>
      <c r="J1124" s="2948" t="s">
        <v>643</v>
      </c>
      <c r="K1124" s="2950">
        <v>33.03</v>
      </c>
      <c r="L1124" s="2950">
        <v>13.25</v>
      </c>
      <c r="M1124" s="2951">
        <v>550164</v>
      </c>
      <c r="N1124" s="2951">
        <v>550164</v>
      </c>
      <c r="O1124" s="2952">
        <v>550164</v>
      </c>
      <c r="P1124" s="2953">
        <v>550164</v>
      </c>
      <c r="Q1124" s="2951">
        <v>550164</v>
      </c>
      <c r="R1124" s="2954">
        <v>44496</v>
      </c>
      <c r="S1124" s="2954">
        <v>44497</v>
      </c>
      <c r="T1124" s="2954">
        <v>44762</v>
      </c>
      <c r="U1124" s="2954">
        <v>44762</v>
      </c>
      <c r="V1124" s="2948" t="s">
        <v>1485</v>
      </c>
      <c r="W1124" s="2944">
        <f t="shared" si="4"/>
        <v>16656.494096276099</v>
      </c>
    </row>
    <row r="1125" spans="1:23" s="2944" customFormat="1" ht="46.8">
      <c r="A1125" s="2948">
        <v>1124</v>
      </c>
      <c r="B1125" s="2948" t="s">
        <v>635</v>
      </c>
      <c r="C1125" s="2948" t="s">
        <v>636</v>
      </c>
      <c r="D1125" s="2948" t="s">
        <v>1862</v>
      </c>
      <c r="E1125" s="2948" t="s">
        <v>729</v>
      </c>
      <c r="F1125" s="2948" t="s">
        <v>1266</v>
      </c>
      <c r="G1125" s="2948" t="s">
        <v>640</v>
      </c>
      <c r="H1125" s="2948" t="s">
        <v>1863</v>
      </c>
      <c r="I1125" s="2948" t="s">
        <v>1027</v>
      </c>
      <c r="J1125" s="2948" t="s">
        <v>643</v>
      </c>
      <c r="K1125" s="2950">
        <v>33.03</v>
      </c>
      <c r="L1125" s="2950">
        <v>13.25</v>
      </c>
      <c r="M1125" s="2951">
        <v>550164</v>
      </c>
      <c r="N1125" s="2951">
        <v>550164</v>
      </c>
      <c r="O1125" s="2952">
        <v>550164</v>
      </c>
      <c r="P1125" s="2953">
        <v>550164</v>
      </c>
      <c r="Q1125" s="2951">
        <v>550164</v>
      </c>
      <c r="R1125" s="2954">
        <v>44496</v>
      </c>
      <c r="S1125" s="2954">
        <v>44497</v>
      </c>
      <c r="T1125" s="2954">
        <v>44638</v>
      </c>
      <c r="U1125" s="2954">
        <v>44638</v>
      </c>
      <c r="V1125" s="2948" t="s">
        <v>1470</v>
      </c>
      <c r="W1125" s="2944">
        <f t="shared" si="4"/>
        <v>16656.494096276099</v>
      </c>
    </row>
    <row r="1126" spans="1:23" s="2944" customFormat="1" ht="46.8">
      <c r="A1126" s="2948">
        <v>1125</v>
      </c>
      <c r="B1126" s="2948" t="s">
        <v>635</v>
      </c>
      <c r="C1126" s="2948" t="s">
        <v>636</v>
      </c>
      <c r="D1126" s="2948" t="s">
        <v>1862</v>
      </c>
      <c r="E1126" s="2948" t="s">
        <v>729</v>
      </c>
      <c r="F1126" s="2948" t="s">
        <v>1267</v>
      </c>
      <c r="G1126" s="2948" t="s">
        <v>640</v>
      </c>
      <c r="H1126" s="2948" t="s">
        <v>1863</v>
      </c>
      <c r="I1126" s="2948" t="s">
        <v>1027</v>
      </c>
      <c r="J1126" s="2948" t="s">
        <v>643</v>
      </c>
      <c r="K1126" s="2950">
        <v>33.03</v>
      </c>
      <c r="L1126" s="2950">
        <v>13.25</v>
      </c>
      <c r="M1126" s="2951">
        <v>550164</v>
      </c>
      <c r="N1126" s="2951">
        <v>550164</v>
      </c>
      <c r="O1126" s="2952">
        <v>550164</v>
      </c>
      <c r="P1126" s="2953">
        <v>550164</v>
      </c>
      <c r="Q1126" s="2951">
        <v>550164</v>
      </c>
      <c r="R1126" s="2954">
        <v>44497</v>
      </c>
      <c r="S1126" s="2954">
        <v>44497</v>
      </c>
      <c r="T1126" s="2954">
        <v>44521</v>
      </c>
      <c r="U1126" s="2954">
        <v>44521</v>
      </c>
      <c r="V1126" s="2948" t="s">
        <v>1468</v>
      </c>
      <c r="W1126" s="2944">
        <f t="shared" si="4"/>
        <v>16656.494096276099</v>
      </c>
    </row>
    <row r="1127" spans="1:23" s="2944" customFormat="1" ht="46.8">
      <c r="A1127" s="2948">
        <v>1126</v>
      </c>
      <c r="B1127" s="2948" t="s">
        <v>635</v>
      </c>
      <c r="C1127" s="2948" t="s">
        <v>636</v>
      </c>
      <c r="D1127" s="2948" t="s">
        <v>1862</v>
      </c>
      <c r="E1127" s="2948" t="s">
        <v>729</v>
      </c>
      <c r="F1127" s="2948" t="s">
        <v>1268</v>
      </c>
      <c r="G1127" s="2948" t="s">
        <v>640</v>
      </c>
      <c r="H1127" s="2948" t="s">
        <v>1863</v>
      </c>
      <c r="I1127" s="2948" t="s">
        <v>1027</v>
      </c>
      <c r="J1127" s="2948" t="s">
        <v>643</v>
      </c>
      <c r="K1127" s="2950">
        <v>33.03</v>
      </c>
      <c r="L1127" s="2950">
        <v>13.25</v>
      </c>
      <c r="M1127" s="2951">
        <v>550164</v>
      </c>
      <c r="N1127" s="2951">
        <v>550164</v>
      </c>
      <c r="O1127" s="2952">
        <v>550164</v>
      </c>
      <c r="P1127" s="2953">
        <v>550164</v>
      </c>
      <c r="Q1127" s="2951">
        <v>550164</v>
      </c>
      <c r="R1127" s="2954">
        <v>44495</v>
      </c>
      <c r="S1127" s="2954">
        <v>44497</v>
      </c>
      <c r="T1127" s="2954">
        <v>44512</v>
      </c>
      <c r="U1127" s="2954">
        <v>44512</v>
      </c>
      <c r="V1127" s="2948" t="s">
        <v>1479</v>
      </c>
      <c r="W1127" s="2944">
        <f t="shared" si="4"/>
        <v>16656.494096276099</v>
      </c>
    </row>
    <row r="1128" spans="1:23" s="2944" customFormat="1" ht="46.8">
      <c r="A1128" s="2948">
        <v>1127</v>
      </c>
      <c r="B1128" s="2948" t="s">
        <v>635</v>
      </c>
      <c r="C1128" s="2948" t="s">
        <v>636</v>
      </c>
      <c r="D1128" s="2948" t="s">
        <v>1862</v>
      </c>
      <c r="E1128" s="2948" t="s">
        <v>729</v>
      </c>
      <c r="F1128" s="2948" t="s">
        <v>1269</v>
      </c>
      <c r="G1128" s="2948" t="s">
        <v>640</v>
      </c>
      <c r="H1128" s="2948" t="s">
        <v>1863</v>
      </c>
      <c r="I1128" s="2948" t="s">
        <v>1027</v>
      </c>
      <c r="J1128" s="2948" t="s">
        <v>643</v>
      </c>
      <c r="K1128" s="2950">
        <v>33.03</v>
      </c>
      <c r="L1128" s="2950">
        <v>13.25</v>
      </c>
      <c r="M1128" s="2951">
        <v>550164</v>
      </c>
      <c r="N1128" s="2951">
        <v>550164</v>
      </c>
      <c r="O1128" s="2952">
        <v>550164</v>
      </c>
      <c r="P1128" s="2953">
        <v>550164</v>
      </c>
      <c r="Q1128" s="2951">
        <v>550164</v>
      </c>
      <c r="R1128" s="2954">
        <v>44497</v>
      </c>
      <c r="S1128" s="2954">
        <v>44499</v>
      </c>
      <c r="T1128" s="2954">
        <v>44533</v>
      </c>
      <c r="U1128" s="2954">
        <v>44533</v>
      </c>
      <c r="V1128" s="2948" t="s">
        <v>1484</v>
      </c>
      <c r="W1128" s="2944">
        <f t="shared" si="4"/>
        <v>16656.494096276099</v>
      </c>
    </row>
    <row r="1129" spans="1:23" s="2944" customFormat="1" ht="46.8">
      <c r="A1129" s="2948">
        <v>1128</v>
      </c>
      <c r="B1129" s="2948" t="s">
        <v>635</v>
      </c>
      <c r="C1129" s="2948" t="s">
        <v>636</v>
      </c>
      <c r="D1129" s="2948" t="s">
        <v>1862</v>
      </c>
      <c r="E1129" s="2948" t="s">
        <v>729</v>
      </c>
      <c r="F1129" s="2948" t="s">
        <v>1270</v>
      </c>
      <c r="G1129" s="2948" t="s">
        <v>640</v>
      </c>
      <c r="H1129" s="2948" t="s">
        <v>1863</v>
      </c>
      <c r="I1129" s="2948" t="s">
        <v>1027</v>
      </c>
      <c r="J1129" s="2948" t="s">
        <v>643</v>
      </c>
      <c r="K1129" s="2950">
        <v>33.03</v>
      </c>
      <c r="L1129" s="2950">
        <v>13.25</v>
      </c>
      <c r="M1129" s="2951">
        <v>550164</v>
      </c>
      <c r="N1129" s="2951">
        <v>550164</v>
      </c>
      <c r="O1129" s="2952">
        <v>550164</v>
      </c>
      <c r="P1129" s="2953">
        <v>550164</v>
      </c>
      <c r="Q1129" s="2951">
        <v>550164</v>
      </c>
      <c r="R1129" s="2954">
        <v>44495</v>
      </c>
      <c r="S1129" s="2954">
        <v>44497</v>
      </c>
      <c r="T1129" s="2954">
        <v>44502</v>
      </c>
      <c r="U1129" s="2954">
        <v>44502</v>
      </c>
      <c r="V1129" s="2948" t="s">
        <v>1469</v>
      </c>
      <c r="W1129" s="2944">
        <f t="shared" si="4"/>
        <v>16656.494096276099</v>
      </c>
    </row>
    <row r="1130" spans="1:23" s="2944" customFormat="1" ht="46.8">
      <c r="A1130" s="2948">
        <v>1129</v>
      </c>
      <c r="B1130" s="2948" t="s">
        <v>635</v>
      </c>
      <c r="C1130" s="2948" t="s">
        <v>636</v>
      </c>
      <c r="D1130" s="2948" t="s">
        <v>1862</v>
      </c>
      <c r="E1130" s="2948" t="s">
        <v>729</v>
      </c>
      <c r="F1130" s="2948" t="s">
        <v>1271</v>
      </c>
      <c r="G1130" s="2948" t="s">
        <v>640</v>
      </c>
      <c r="H1130" s="2948" t="s">
        <v>1863</v>
      </c>
      <c r="I1130" s="2948" t="s">
        <v>1027</v>
      </c>
      <c r="J1130" s="2948" t="s">
        <v>643</v>
      </c>
      <c r="K1130" s="2950">
        <v>33.03</v>
      </c>
      <c r="L1130" s="2950">
        <v>13.25</v>
      </c>
      <c r="M1130" s="2951">
        <v>550164</v>
      </c>
      <c r="N1130" s="2951">
        <v>550164</v>
      </c>
      <c r="O1130" s="2952">
        <v>550164</v>
      </c>
      <c r="P1130" s="2953">
        <v>550164</v>
      </c>
      <c r="Q1130" s="2951">
        <v>550164</v>
      </c>
      <c r="R1130" s="2954">
        <v>44493</v>
      </c>
      <c r="S1130" s="2954">
        <v>44497</v>
      </c>
      <c r="T1130" s="2954">
        <v>44745</v>
      </c>
      <c r="U1130" s="2954">
        <v>44745</v>
      </c>
      <c r="V1130" s="2948" t="s">
        <v>1473</v>
      </c>
      <c r="W1130" s="2944">
        <f t="shared" si="4"/>
        <v>16656.494096276099</v>
      </c>
    </row>
    <row r="1131" spans="1:23" s="2944" customFormat="1" ht="46.8">
      <c r="A1131" s="2948">
        <v>1130</v>
      </c>
      <c r="B1131" s="2948" t="s">
        <v>635</v>
      </c>
      <c r="C1131" s="2948" t="s">
        <v>636</v>
      </c>
      <c r="D1131" s="2948" t="s">
        <v>1862</v>
      </c>
      <c r="E1131" s="2948" t="s">
        <v>729</v>
      </c>
      <c r="F1131" s="2948" t="s">
        <v>1272</v>
      </c>
      <c r="G1131" s="2948" t="s">
        <v>640</v>
      </c>
      <c r="H1131" s="2948" t="s">
        <v>1863</v>
      </c>
      <c r="I1131" s="2948" t="s">
        <v>1027</v>
      </c>
      <c r="J1131" s="2948" t="s">
        <v>643</v>
      </c>
      <c r="K1131" s="2950">
        <v>33.03</v>
      </c>
      <c r="L1131" s="2950">
        <v>13.25</v>
      </c>
      <c r="M1131" s="2951">
        <v>550164</v>
      </c>
      <c r="N1131" s="2951">
        <v>550164</v>
      </c>
      <c r="O1131" s="2952">
        <v>550164</v>
      </c>
      <c r="P1131" s="2953">
        <v>550164</v>
      </c>
      <c r="Q1131" s="2951">
        <v>550164</v>
      </c>
      <c r="R1131" s="2954">
        <v>44734</v>
      </c>
      <c r="S1131" s="2954">
        <v>44737</v>
      </c>
      <c r="T1131" s="2954">
        <v>44795</v>
      </c>
      <c r="U1131" s="2954">
        <v>44795</v>
      </c>
      <c r="V1131" s="2948" t="s">
        <v>1472</v>
      </c>
      <c r="W1131" s="2944">
        <f t="shared" si="4"/>
        <v>16656.494096276099</v>
      </c>
    </row>
    <row r="1132" spans="1:23" s="2944" customFormat="1" ht="46.8">
      <c r="A1132" s="2948">
        <v>1131</v>
      </c>
      <c r="B1132" s="2948" t="s">
        <v>635</v>
      </c>
      <c r="C1132" s="2948" t="s">
        <v>636</v>
      </c>
      <c r="D1132" s="2948" t="s">
        <v>1862</v>
      </c>
      <c r="E1132" s="2948" t="s">
        <v>729</v>
      </c>
      <c r="F1132" s="2948" t="s">
        <v>1273</v>
      </c>
      <c r="G1132" s="2948" t="s">
        <v>640</v>
      </c>
      <c r="H1132" s="2948" t="s">
        <v>1863</v>
      </c>
      <c r="I1132" s="2948" t="s">
        <v>1027</v>
      </c>
      <c r="J1132" s="2948" t="s">
        <v>643</v>
      </c>
      <c r="K1132" s="2950">
        <v>33.03</v>
      </c>
      <c r="L1132" s="2950">
        <v>13.25</v>
      </c>
      <c r="M1132" s="2951">
        <v>550164</v>
      </c>
      <c r="N1132" s="2951">
        <v>550164</v>
      </c>
      <c r="O1132" s="2952">
        <v>550164</v>
      </c>
      <c r="P1132" s="2953">
        <v>550164</v>
      </c>
      <c r="Q1132" s="2951">
        <v>550164</v>
      </c>
      <c r="R1132" s="2954">
        <v>44495</v>
      </c>
      <c r="S1132" s="2954">
        <v>44497</v>
      </c>
      <c r="T1132" s="2954">
        <v>44741</v>
      </c>
      <c r="U1132" s="2954">
        <v>44741</v>
      </c>
      <c r="V1132" s="2948" t="s">
        <v>1464</v>
      </c>
      <c r="W1132" s="2944">
        <f t="shared" si="4"/>
        <v>16656.494096276099</v>
      </c>
    </row>
    <row r="1133" spans="1:23" s="2944" customFormat="1" ht="46.8">
      <c r="A1133" s="2948">
        <v>1132</v>
      </c>
      <c r="B1133" s="2948" t="s">
        <v>635</v>
      </c>
      <c r="C1133" s="2948" t="s">
        <v>636</v>
      </c>
      <c r="D1133" s="2948" t="s">
        <v>1862</v>
      </c>
      <c r="E1133" s="2948" t="s">
        <v>729</v>
      </c>
      <c r="F1133" s="2948" t="s">
        <v>1274</v>
      </c>
      <c r="G1133" s="2948" t="s">
        <v>640</v>
      </c>
      <c r="H1133" s="2948" t="s">
        <v>1863</v>
      </c>
      <c r="I1133" s="2948" t="s">
        <v>1027</v>
      </c>
      <c r="J1133" s="2948" t="s">
        <v>643</v>
      </c>
      <c r="K1133" s="2950">
        <v>33.03</v>
      </c>
      <c r="L1133" s="2950">
        <v>13.25</v>
      </c>
      <c r="M1133" s="2951">
        <v>550164</v>
      </c>
      <c r="N1133" s="2951">
        <v>550164</v>
      </c>
      <c r="O1133" s="2952">
        <v>550164</v>
      </c>
      <c r="P1133" s="2953">
        <v>550164</v>
      </c>
      <c r="Q1133" s="2951">
        <v>550164</v>
      </c>
      <c r="R1133" s="2954">
        <v>44554</v>
      </c>
      <c r="S1133" s="2954">
        <v>44680</v>
      </c>
      <c r="T1133" s="2954">
        <v>44743</v>
      </c>
      <c r="U1133" s="2954">
        <v>44743</v>
      </c>
      <c r="V1133" s="2948" t="s">
        <v>1474</v>
      </c>
      <c r="W1133" s="2944">
        <f t="shared" si="4"/>
        <v>16656.494096276099</v>
      </c>
    </row>
    <row r="1134" spans="1:23" s="2944" customFormat="1" ht="46.8">
      <c r="A1134" s="2948">
        <v>1133</v>
      </c>
      <c r="B1134" s="2948" t="s">
        <v>635</v>
      </c>
      <c r="C1134" s="2948" t="s">
        <v>636</v>
      </c>
      <c r="D1134" s="2948" t="s">
        <v>1862</v>
      </c>
      <c r="E1134" s="2948" t="s">
        <v>729</v>
      </c>
      <c r="F1134" s="2948" t="s">
        <v>1275</v>
      </c>
      <c r="G1134" s="2948" t="s">
        <v>640</v>
      </c>
      <c r="H1134" s="2948" t="s">
        <v>1863</v>
      </c>
      <c r="I1134" s="2948" t="s">
        <v>1027</v>
      </c>
      <c r="J1134" s="2948" t="s">
        <v>643</v>
      </c>
      <c r="K1134" s="2950">
        <v>33.03</v>
      </c>
      <c r="L1134" s="2950">
        <v>13.25</v>
      </c>
      <c r="M1134" s="2951">
        <v>550164</v>
      </c>
      <c r="N1134" s="2951">
        <v>550164</v>
      </c>
      <c r="O1134" s="2952">
        <v>550164</v>
      </c>
      <c r="P1134" s="2953">
        <v>550164</v>
      </c>
      <c r="Q1134" s="2951">
        <v>550164</v>
      </c>
      <c r="R1134" s="2954">
        <v>44497</v>
      </c>
      <c r="S1134" s="2954">
        <v>44499</v>
      </c>
      <c r="T1134" s="2954">
        <v>44515</v>
      </c>
      <c r="U1134" s="2954">
        <v>44515</v>
      </c>
      <c r="V1134" s="2948" t="s">
        <v>1480</v>
      </c>
      <c r="W1134" s="2944">
        <f t="shared" si="4"/>
        <v>16656.494096276099</v>
      </c>
    </row>
    <row r="1135" spans="1:23" s="2944" customFormat="1" ht="46.8">
      <c r="A1135" s="2948">
        <v>1134</v>
      </c>
      <c r="B1135" s="2948" t="s">
        <v>635</v>
      </c>
      <c r="C1135" s="2948" t="s">
        <v>636</v>
      </c>
      <c r="D1135" s="2948" t="s">
        <v>1862</v>
      </c>
      <c r="E1135" s="2948" t="s">
        <v>729</v>
      </c>
      <c r="F1135" s="2948" t="s">
        <v>1277</v>
      </c>
      <c r="G1135" s="2948" t="s">
        <v>640</v>
      </c>
      <c r="H1135" s="2948" t="s">
        <v>1863</v>
      </c>
      <c r="I1135" s="2948" t="s">
        <v>1027</v>
      </c>
      <c r="J1135" s="2948" t="s">
        <v>643</v>
      </c>
      <c r="K1135" s="2950">
        <v>33.03</v>
      </c>
      <c r="L1135" s="2950">
        <v>13.25</v>
      </c>
      <c r="M1135" s="2951">
        <v>550164</v>
      </c>
      <c r="N1135" s="2951">
        <v>550164</v>
      </c>
      <c r="O1135" s="2952">
        <v>550164</v>
      </c>
      <c r="P1135" s="2953">
        <v>550164</v>
      </c>
      <c r="Q1135" s="2951">
        <v>550164</v>
      </c>
      <c r="R1135" s="2954">
        <v>44497</v>
      </c>
      <c r="S1135" s="2954">
        <v>44499</v>
      </c>
      <c r="T1135" s="2954">
        <v>44529</v>
      </c>
      <c r="U1135" s="2954">
        <v>44529</v>
      </c>
      <c r="V1135" s="2948" t="s">
        <v>1478</v>
      </c>
      <c r="W1135" s="2944">
        <f t="shared" si="4"/>
        <v>16656.494096276099</v>
      </c>
    </row>
    <row r="1136" spans="1:23" s="2944" customFormat="1" ht="46.8">
      <c r="A1136" s="2948">
        <v>1135</v>
      </c>
      <c r="B1136" s="2948" t="s">
        <v>635</v>
      </c>
      <c r="C1136" s="2948" t="s">
        <v>636</v>
      </c>
      <c r="D1136" s="2948" t="s">
        <v>1862</v>
      </c>
      <c r="E1136" s="2948" t="s">
        <v>729</v>
      </c>
      <c r="F1136" s="2948" t="s">
        <v>1280</v>
      </c>
      <c r="G1136" s="2948" t="s">
        <v>640</v>
      </c>
      <c r="H1136" s="2948" t="s">
        <v>1863</v>
      </c>
      <c r="I1136" s="2948" t="s">
        <v>1027</v>
      </c>
      <c r="J1136" s="2948" t="s">
        <v>643</v>
      </c>
      <c r="K1136" s="2950">
        <v>33.03</v>
      </c>
      <c r="L1136" s="2950">
        <v>13.25</v>
      </c>
      <c r="M1136" s="2951">
        <v>550164</v>
      </c>
      <c r="N1136" s="2951">
        <v>550164</v>
      </c>
      <c r="O1136" s="2952">
        <v>550164</v>
      </c>
      <c r="P1136" s="2953">
        <v>550164</v>
      </c>
      <c r="Q1136" s="2951">
        <v>550164</v>
      </c>
      <c r="R1136" s="2954">
        <v>44497</v>
      </c>
      <c r="S1136" s="2954">
        <v>44499</v>
      </c>
      <c r="T1136" s="2954">
        <v>44740</v>
      </c>
      <c r="U1136" s="2954">
        <v>44740</v>
      </c>
      <c r="V1136" s="2948" t="s">
        <v>825</v>
      </c>
      <c r="W1136" s="2944">
        <f t="shared" si="4"/>
        <v>16656.494096276099</v>
      </c>
    </row>
    <row r="1137" spans="1:23" s="2944" customFormat="1" ht="46.8">
      <c r="A1137" s="2948">
        <v>1136</v>
      </c>
      <c r="B1137" s="2948" t="s">
        <v>635</v>
      </c>
      <c r="C1137" s="2948" t="s">
        <v>636</v>
      </c>
      <c r="D1137" s="2948" t="s">
        <v>1862</v>
      </c>
      <c r="E1137" s="2948" t="s">
        <v>729</v>
      </c>
      <c r="F1137" s="2948" t="s">
        <v>1282</v>
      </c>
      <c r="G1137" s="2948" t="s">
        <v>640</v>
      </c>
      <c r="H1137" s="2948" t="s">
        <v>1863</v>
      </c>
      <c r="I1137" s="2948" t="s">
        <v>1027</v>
      </c>
      <c r="J1137" s="2948" t="s">
        <v>643</v>
      </c>
      <c r="K1137" s="2950">
        <v>33.03</v>
      </c>
      <c r="L1137" s="2950">
        <v>13.25</v>
      </c>
      <c r="M1137" s="2951">
        <v>550164</v>
      </c>
      <c r="N1137" s="2951">
        <v>550164</v>
      </c>
      <c r="O1137" s="2952">
        <v>550164</v>
      </c>
      <c r="P1137" s="2953">
        <v>550164</v>
      </c>
      <c r="Q1137" s="2951">
        <v>550164</v>
      </c>
      <c r="R1137" s="2954">
        <v>44497</v>
      </c>
      <c r="S1137" s="2954">
        <v>44497</v>
      </c>
      <c r="T1137" s="2954">
        <v>44504</v>
      </c>
      <c r="U1137" s="2954">
        <v>44504</v>
      </c>
      <c r="V1137" s="2948" t="s">
        <v>1471</v>
      </c>
      <c r="W1137" s="2944">
        <f t="shared" si="4"/>
        <v>16656.494096276099</v>
      </c>
    </row>
    <row r="1138" spans="1:23" s="2944" customFormat="1" ht="46.8">
      <c r="A1138" s="2948">
        <v>1137</v>
      </c>
      <c r="B1138" s="2948" t="s">
        <v>635</v>
      </c>
      <c r="C1138" s="2948" t="s">
        <v>636</v>
      </c>
      <c r="D1138" s="2948" t="s">
        <v>1862</v>
      </c>
      <c r="E1138" s="2948" t="s">
        <v>729</v>
      </c>
      <c r="F1138" s="2948" t="s">
        <v>1283</v>
      </c>
      <c r="G1138" s="2948" t="s">
        <v>640</v>
      </c>
      <c r="H1138" s="2948" t="s">
        <v>1863</v>
      </c>
      <c r="I1138" s="2948" t="s">
        <v>1027</v>
      </c>
      <c r="J1138" s="2948" t="s">
        <v>643</v>
      </c>
      <c r="K1138" s="2950">
        <v>33.03</v>
      </c>
      <c r="L1138" s="2950">
        <v>13.25</v>
      </c>
      <c r="M1138" s="2951">
        <v>550164</v>
      </c>
      <c r="N1138" s="2951">
        <v>550164</v>
      </c>
      <c r="O1138" s="2952">
        <v>550164</v>
      </c>
      <c r="P1138" s="2953">
        <v>550164</v>
      </c>
      <c r="Q1138" s="2951">
        <v>550164</v>
      </c>
      <c r="R1138" s="2954">
        <v>44497</v>
      </c>
      <c r="S1138" s="2954">
        <v>44499</v>
      </c>
      <c r="T1138" s="2954">
        <v>44525</v>
      </c>
      <c r="U1138" s="2954">
        <v>44510</v>
      </c>
      <c r="V1138" s="2948" t="s">
        <v>1483</v>
      </c>
      <c r="W1138" s="2944">
        <f t="shared" si="4"/>
        <v>16656.494096276099</v>
      </c>
    </row>
    <row r="1139" spans="1:23" s="2944" customFormat="1" ht="46.8" hidden="1">
      <c r="A1139" s="2948">
        <v>1138</v>
      </c>
      <c r="B1139" s="2948" t="s">
        <v>635</v>
      </c>
      <c r="C1139" s="2948" t="s">
        <v>636</v>
      </c>
      <c r="D1139" s="2948" t="s">
        <v>1862</v>
      </c>
      <c r="E1139" s="2948" t="s">
        <v>729</v>
      </c>
      <c r="F1139" s="2948" t="s">
        <v>1284</v>
      </c>
      <c r="G1139" s="2948" t="s">
        <v>1035</v>
      </c>
      <c r="H1139" s="2948" t="s">
        <v>1863</v>
      </c>
      <c r="I1139" s="2948" t="s">
        <v>1027</v>
      </c>
      <c r="J1139" s="2948" t="s">
        <v>643</v>
      </c>
      <c r="K1139" s="2950">
        <v>33.03</v>
      </c>
      <c r="L1139" s="2950">
        <v>13.25</v>
      </c>
      <c r="M1139" s="2951">
        <v>550164</v>
      </c>
      <c r="N1139" s="2951">
        <v>550164</v>
      </c>
      <c r="O1139" s="2955"/>
      <c r="P1139" s="2948"/>
      <c r="Q1139" s="2951">
        <v>0</v>
      </c>
      <c r="R1139" s="2948"/>
      <c r="S1139" s="2948"/>
      <c r="T1139" s="2948"/>
      <c r="U1139" s="2948"/>
      <c r="V1139" s="2948"/>
      <c r="W1139" s="2944">
        <f t="shared" si="4"/>
        <v>0</v>
      </c>
    </row>
    <row r="1140" spans="1:23" s="2944" customFormat="1" ht="46.8">
      <c r="A1140" s="2948">
        <v>1139</v>
      </c>
      <c r="B1140" s="2948" t="s">
        <v>635</v>
      </c>
      <c r="C1140" s="2948" t="s">
        <v>636</v>
      </c>
      <c r="D1140" s="2948" t="s">
        <v>1862</v>
      </c>
      <c r="E1140" s="2948" t="s">
        <v>729</v>
      </c>
      <c r="F1140" s="2948" t="s">
        <v>1286</v>
      </c>
      <c r="G1140" s="2948" t="s">
        <v>640</v>
      </c>
      <c r="H1140" s="2948" t="s">
        <v>1863</v>
      </c>
      <c r="I1140" s="2948" t="s">
        <v>1027</v>
      </c>
      <c r="J1140" s="2948" t="s">
        <v>643</v>
      </c>
      <c r="K1140" s="2950">
        <v>33.03</v>
      </c>
      <c r="L1140" s="2950">
        <v>13.25</v>
      </c>
      <c r="M1140" s="2951">
        <v>550164</v>
      </c>
      <c r="N1140" s="2951">
        <v>550164</v>
      </c>
      <c r="O1140" s="2952">
        <v>550164</v>
      </c>
      <c r="P1140" s="2953">
        <v>550164</v>
      </c>
      <c r="Q1140" s="2951">
        <v>550164</v>
      </c>
      <c r="R1140" s="2954">
        <v>44554</v>
      </c>
      <c r="S1140" s="2954">
        <v>44561</v>
      </c>
      <c r="T1140" s="2954">
        <v>44735</v>
      </c>
      <c r="U1140" s="2954">
        <v>44735</v>
      </c>
      <c r="V1140" s="2948" t="s">
        <v>1741</v>
      </c>
      <c r="W1140" s="2944">
        <f t="shared" si="4"/>
        <v>16656.494096276099</v>
      </c>
    </row>
    <row r="1141" spans="1:23" s="2944" customFormat="1" ht="46.8">
      <c r="A1141" s="2948">
        <v>1140</v>
      </c>
      <c r="B1141" s="2948" t="s">
        <v>635</v>
      </c>
      <c r="C1141" s="2948" t="s">
        <v>636</v>
      </c>
      <c r="D1141" s="2948" t="s">
        <v>1862</v>
      </c>
      <c r="E1141" s="2948" t="s">
        <v>729</v>
      </c>
      <c r="F1141" s="2948" t="s">
        <v>1287</v>
      </c>
      <c r="G1141" s="2948" t="s">
        <v>640</v>
      </c>
      <c r="H1141" s="2948" t="s">
        <v>1863</v>
      </c>
      <c r="I1141" s="2948" t="s">
        <v>1027</v>
      </c>
      <c r="J1141" s="2948" t="s">
        <v>643</v>
      </c>
      <c r="K1141" s="2950">
        <v>33.03</v>
      </c>
      <c r="L1141" s="2950">
        <v>13.25</v>
      </c>
      <c r="M1141" s="2951">
        <v>550164</v>
      </c>
      <c r="N1141" s="2951">
        <v>550164</v>
      </c>
      <c r="O1141" s="2952">
        <v>550164</v>
      </c>
      <c r="P1141" s="2953">
        <v>550164</v>
      </c>
      <c r="Q1141" s="2951">
        <v>550164</v>
      </c>
      <c r="R1141" s="2954">
        <v>44500</v>
      </c>
      <c r="S1141" s="2954">
        <v>44561</v>
      </c>
      <c r="T1141" s="2954">
        <v>44781</v>
      </c>
      <c r="U1141" s="2954">
        <v>44781</v>
      </c>
      <c r="V1141" s="2948" t="s">
        <v>1488</v>
      </c>
      <c r="W1141" s="2944">
        <f t="shared" si="4"/>
        <v>16656.494096276099</v>
      </c>
    </row>
    <row r="1142" spans="1:23" s="2944" customFormat="1" ht="46.8">
      <c r="A1142" s="2948">
        <v>1141</v>
      </c>
      <c r="B1142" s="2948" t="s">
        <v>635</v>
      </c>
      <c r="C1142" s="2948" t="s">
        <v>636</v>
      </c>
      <c r="D1142" s="2948" t="s">
        <v>1862</v>
      </c>
      <c r="E1142" s="2948" t="s">
        <v>729</v>
      </c>
      <c r="F1142" s="2948" t="s">
        <v>1288</v>
      </c>
      <c r="G1142" s="2948" t="s">
        <v>640</v>
      </c>
      <c r="H1142" s="2948" t="s">
        <v>1863</v>
      </c>
      <c r="I1142" s="2948" t="s">
        <v>1027</v>
      </c>
      <c r="J1142" s="2948" t="s">
        <v>643</v>
      </c>
      <c r="K1142" s="2950">
        <v>33.03</v>
      </c>
      <c r="L1142" s="2950">
        <v>13.25</v>
      </c>
      <c r="M1142" s="2951">
        <v>550164</v>
      </c>
      <c r="N1142" s="2951">
        <v>550164</v>
      </c>
      <c r="O1142" s="2952">
        <v>550164</v>
      </c>
      <c r="P1142" s="2953">
        <v>550164</v>
      </c>
      <c r="Q1142" s="2951">
        <v>550164</v>
      </c>
      <c r="R1142" s="2954">
        <v>44497</v>
      </c>
      <c r="S1142" s="2954">
        <v>44497</v>
      </c>
      <c r="T1142" s="2954">
        <v>44745</v>
      </c>
      <c r="U1142" s="2954">
        <v>44745</v>
      </c>
      <c r="V1142" s="2948" t="s">
        <v>1476</v>
      </c>
      <c r="W1142" s="2944">
        <f t="shared" si="4"/>
        <v>16656.494096276099</v>
      </c>
    </row>
    <row r="1143" spans="1:23" s="2944" customFormat="1" ht="46.8">
      <c r="A1143" s="2948">
        <v>1142</v>
      </c>
      <c r="B1143" s="2948" t="s">
        <v>635</v>
      </c>
      <c r="C1143" s="2948" t="s">
        <v>636</v>
      </c>
      <c r="D1143" s="2948" t="s">
        <v>1862</v>
      </c>
      <c r="E1143" s="2948" t="s">
        <v>729</v>
      </c>
      <c r="F1143" s="2948" t="s">
        <v>1290</v>
      </c>
      <c r="G1143" s="2948" t="s">
        <v>640</v>
      </c>
      <c r="H1143" s="2948" t="s">
        <v>1863</v>
      </c>
      <c r="I1143" s="2948" t="s">
        <v>1027</v>
      </c>
      <c r="J1143" s="2948" t="s">
        <v>643</v>
      </c>
      <c r="K1143" s="2950">
        <v>33.03</v>
      </c>
      <c r="L1143" s="2950">
        <v>13.25</v>
      </c>
      <c r="M1143" s="2951">
        <v>550164</v>
      </c>
      <c r="N1143" s="2951">
        <v>550164</v>
      </c>
      <c r="O1143" s="2952">
        <v>550164</v>
      </c>
      <c r="P1143" s="2953">
        <v>550164</v>
      </c>
      <c r="Q1143" s="2951">
        <v>550164</v>
      </c>
      <c r="R1143" s="2954">
        <v>44495</v>
      </c>
      <c r="S1143" s="2954">
        <v>44496</v>
      </c>
      <c r="T1143" s="2954">
        <v>44510</v>
      </c>
      <c r="U1143" s="2954">
        <v>44510</v>
      </c>
      <c r="V1143" s="2948" t="s">
        <v>1475</v>
      </c>
      <c r="W1143" s="2944">
        <f t="shared" si="4"/>
        <v>16656.494096276099</v>
      </c>
    </row>
    <row r="1144" spans="1:23" s="2944" customFormat="1" ht="46.8">
      <c r="A1144" s="2948">
        <v>1143</v>
      </c>
      <c r="B1144" s="2948" t="s">
        <v>635</v>
      </c>
      <c r="C1144" s="2948" t="s">
        <v>636</v>
      </c>
      <c r="D1144" s="2948" t="s">
        <v>1862</v>
      </c>
      <c r="E1144" s="2948" t="s">
        <v>729</v>
      </c>
      <c r="F1144" s="2948" t="s">
        <v>1291</v>
      </c>
      <c r="G1144" s="2948" t="s">
        <v>640</v>
      </c>
      <c r="H1144" s="2948" t="s">
        <v>1863</v>
      </c>
      <c r="I1144" s="2948" t="s">
        <v>1027</v>
      </c>
      <c r="J1144" s="2948" t="s">
        <v>643</v>
      </c>
      <c r="K1144" s="2950">
        <v>33.03</v>
      </c>
      <c r="L1144" s="2950">
        <v>13.25</v>
      </c>
      <c r="M1144" s="2951">
        <v>550164</v>
      </c>
      <c r="N1144" s="2951">
        <v>550164</v>
      </c>
      <c r="O1144" s="2952">
        <v>550164</v>
      </c>
      <c r="P1144" s="2953">
        <v>550164</v>
      </c>
      <c r="Q1144" s="2951">
        <v>550164</v>
      </c>
      <c r="R1144" s="2954">
        <v>45102</v>
      </c>
      <c r="S1144" s="2954">
        <v>45102</v>
      </c>
      <c r="T1144" s="2954">
        <v>45102</v>
      </c>
      <c r="U1144" s="2954">
        <v>45102</v>
      </c>
      <c r="V1144" s="2948" t="s">
        <v>1735</v>
      </c>
      <c r="W1144" s="2944">
        <f t="shared" si="4"/>
        <v>16656.494096276099</v>
      </c>
    </row>
    <row r="1145" spans="1:23" s="2944" customFormat="1" ht="46.8">
      <c r="A1145" s="2948">
        <v>1144</v>
      </c>
      <c r="B1145" s="2948" t="s">
        <v>635</v>
      </c>
      <c r="C1145" s="2948" t="s">
        <v>636</v>
      </c>
      <c r="D1145" s="2948" t="s">
        <v>1862</v>
      </c>
      <c r="E1145" s="2948" t="s">
        <v>729</v>
      </c>
      <c r="F1145" s="2948" t="s">
        <v>1293</v>
      </c>
      <c r="G1145" s="2948" t="s">
        <v>640</v>
      </c>
      <c r="H1145" s="2948" t="s">
        <v>1863</v>
      </c>
      <c r="I1145" s="2948" t="s">
        <v>1027</v>
      </c>
      <c r="J1145" s="2948" t="s">
        <v>643</v>
      </c>
      <c r="K1145" s="2950">
        <v>33.03</v>
      </c>
      <c r="L1145" s="2950">
        <v>13.25</v>
      </c>
      <c r="M1145" s="2951">
        <v>550164</v>
      </c>
      <c r="N1145" s="2951">
        <v>550164</v>
      </c>
      <c r="O1145" s="2952">
        <v>550164</v>
      </c>
      <c r="P1145" s="2953">
        <v>550164</v>
      </c>
      <c r="Q1145" s="2951">
        <v>550164</v>
      </c>
      <c r="R1145" s="2954">
        <v>44737</v>
      </c>
      <c r="S1145" s="2954">
        <v>44737</v>
      </c>
      <c r="T1145" s="2954">
        <v>44756</v>
      </c>
      <c r="U1145" s="2954">
        <v>44756</v>
      </c>
      <c r="V1145" s="2948" t="s">
        <v>1471</v>
      </c>
      <c r="W1145" s="2944">
        <f t="shared" si="4"/>
        <v>16656.494096276099</v>
      </c>
    </row>
    <row r="1146" spans="1:23" s="2944" customFormat="1" ht="46.8">
      <c r="A1146" s="2948">
        <v>1145</v>
      </c>
      <c r="B1146" s="2948" t="s">
        <v>635</v>
      </c>
      <c r="C1146" s="2948" t="s">
        <v>636</v>
      </c>
      <c r="D1146" s="2948" t="s">
        <v>1862</v>
      </c>
      <c r="E1146" s="2948" t="s">
        <v>729</v>
      </c>
      <c r="F1146" s="2948" t="s">
        <v>1294</v>
      </c>
      <c r="G1146" s="2948" t="s">
        <v>640</v>
      </c>
      <c r="H1146" s="2948" t="s">
        <v>1863</v>
      </c>
      <c r="I1146" s="2948" t="s">
        <v>1027</v>
      </c>
      <c r="J1146" s="2948" t="s">
        <v>643</v>
      </c>
      <c r="K1146" s="2950">
        <v>33.03</v>
      </c>
      <c r="L1146" s="2950">
        <v>13.25</v>
      </c>
      <c r="M1146" s="2951">
        <v>550164</v>
      </c>
      <c r="N1146" s="2951">
        <v>550164</v>
      </c>
      <c r="O1146" s="2952">
        <v>550164</v>
      </c>
      <c r="P1146" s="2953">
        <v>550164</v>
      </c>
      <c r="Q1146" s="2951">
        <v>550164</v>
      </c>
      <c r="R1146" s="2954">
        <v>45044</v>
      </c>
      <c r="S1146" s="2954">
        <v>45044</v>
      </c>
      <c r="T1146" s="2954">
        <v>45138</v>
      </c>
      <c r="U1146" s="2954">
        <v>45138</v>
      </c>
      <c r="V1146" s="2948" t="s">
        <v>1806</v>
      </c>
      <c r="W1146" s="2944">
        <f t="shared" si="4"/>
        <v>16656.494096276099</v>
      </c>
    </row>
    <row r="1147" spans="1:23" s="2944" customFormat="1" ht="46.8" hidden="1">
      <c r="A1147" s="2948">
        <v>1146</v>
      </c>
      <c r="B1147" s="2948" t="s">
        <v>635</v>
      </c>
      <c r="C1147" s="2948" t="s">
        <v>636</v>
      </c>
      <c r="D1147" s="2948" t="s">
        <v>1862</v>
      </c>
      <c r="E1147" s="2948" t="s">
        <v>729</v>
      </c>
      <c r="F1147" s="2948" t="s">
        <v>1295</v>
      </c>
      <c r="G1147" s="2948" t="s">
        <v>1035</v>
      </c>
      <c r="H1147" s="2948" t="s">
        <v>1863</v>
      </c>
      <c r="I1147" s="2948" t="s">
        <v>1027</v>
      </c>
      <c r="J1147" s="2948" t="s">
        <v>643</v>
      </c>
      <c r="K1147" s="2950">
        <v>33.03</v>
      </c>
      <c r="L1147" s="2950">
        <v>13.25</v>
      </c>
      <c r="M1147" s="2951">
        <v>550164</v>
      </c>
      <c r="N1147" s="2951">
        <v>550164</v>
      </c>
      <c r="O1147" s="2955"/>
      <c r="P1147" s="2948"/>
      <c r="Q1147" s="2951">
        <v>0</v>
      </c>
      <c r="R1147" s="2948"/>
      <c r="S1147" s="2948"/>
      <c r="T1147" s="2948"/>
      <c r="U1147" s="2948"/>
      <c r="V1147" s="2948"/>
      <c r="W1147" s="2944">
        <f t="shared" si="4"/>
        <v>0</v>
      </c>
    </row>
    <row r="1148" spans="1:23" s="2944" customFormat="1" ht="46.8">
      <c r="A1148" s="2948">
        <v>1147</v>
      </c>
      <c r="B1148" s="2948" t="s">
        <v>635</v>
      </c>
      <c r="C1148" s="2948" t="s">
        <v>636</v>
      </c>
      <c r="D1148" s="2948" t="s">
        <v>1862</v>
      </c>
      <c r="E1148" s="2948" t="s">
        <v>729</v>
      </c>
      <c r="F1148" s="2948" t="s">
        <v>1296</v>
      </c>
      <c r="G1148" s="2948" t="s">
        <v>640</v>
      </c>
      <c r="H1148" s="2948" t="s">
        <v>1863</v>
      </c>
      <c r="I1148" s="2948" t="s">
        <v>1027</v>
      </c>
      <c r="J1148" s="2948" t="s">
        <v>643</v>
      </c>
      <c r="K1148" s="2950">
        <v>33.03</v>
      </c>
      <c r="L1148" s="2950">
        <v>13.25</v>
      </c>
      <c r="M1148" s="2951">
        <v>550164</v>
      </c>
      <c r="N1148" s="2951">
        <v>550164</v>
      </c>
      <c r="O1148" s="2952">
        <v>550164</v>
      </c>
      <c r="P1148" s="2953">
        <v>550164</v>
      </c>
      <c r="Q1148" s="2951">
        <v>550164</v>
      </c>
      <c r="R1148" s="2954">
        <v>44736</v>
      </c>
      <c r="S1148" s="2954">
        <v>44737</v>
      </c>
      <c r="T1148" s="2954">
        <v>44754</v>
      </c>
      <c r="U1148" s="2954">
        <v>44754</v>
      </c>
      <c r="V1148" s="2948" t="s">
        <v>1749</v>
      </c>
      <c r="W1148" s="2944">
        <f t="shared" si="4"/>
        <v>16656.494096276099</v>
      </c>
    </row>
    <row r="1149" spans="1:23" s="2944" customFormat="1" ht="46.8">
      <c r="A1149" s="2948">
        <v>1148</v>
      </c>
      <c r="B1149" s="2948" t="s">
        <v>635</v>
      </c>
      <c r="C1149" s="2948" t="s">
        <v>636</v>
      </c>
      <c r="D1149" s="2948" t="s">
        <v>1862</v>
      </c>
      <c r="E1149" s="2948" t="s">
        <v>729</v>
      </c>
      <c r="F1149" s="2948" t="s">
        <v>1297</v>
      </c>
      <c r="G1149" s="2948" t="s">
        <v>640</v>
      </c>
      <c r="H1149" s="2948" t="s">
        <v>1863</v>
      </c>
      <c r="I1149" s="2948" t="s">
        <v>1027</v>
      </c>
      <c r="J1149" s="2948" t="s">
        <v>643</v>
      </c>
      <c r="K1149" s="2950">
        <v>33.03</v>
      </c>
      <c r="L1149" s="2950">
        <v>13.25</v>
      </c>
      <c r="M1149" s="2951">
        <v>550164</v>
      </c>
      <c r="N1149" s="2951">
        <v>550164</v>
      </c>
      <c r="O1149" s="2952">
        <v>550164</v>
      </c>
      <c r="P1149" s="2953">
        <v>550164</v>
      </c>
      <c r="Q1149" s="2951">
        <v>550164</v>
      </c>
      <c r="R1149" s="2954">
        <v>44736</v>
      </c>
      <c r="S1149" s="2954">
        <v>44737</v>
      </c>
      <c r="T1149" s="2954">
        <v>44747</v>
      </c>
      <c r="U1149" s="2954">
        <v>44747</v>
      </c>
      <c r="V1149" s="2948" t="s">
        <v>1789</v>
      </c>
      <c r="W1149" s="2944">
        <f t="shared" si="4"/>
        <v>16656.494096276099</v>
      </c>
    </row>
    <row r="1150" spans="1:23" s="2944" customFormat="1" ht="46.8">
      <c r="A1150" s="2948">
        <v>1149</v>
      </c>
      <c r="B1150" s="2948" t="s">
        <v>635</v>
      </c>
      <c r="C1150" s="2948" t="s">
        <v>636</v>
      </c>
      <c r="D1150" s="2948" t="s">
        <v>1862</v>
      </c>
      <c r="E1150" s="2948" t="s">
        <v>729</v>
      </c>
      <c r="F1150" s="2948" t="s">
        <v>1298</v>
      </c>
      <c r="G1150" s="2948" t="s">
        <v>640</v>
      </c>
      <c r="H1150" s="2948" t="s">
        <v>1863</v>
      </c>
      <c r="I1150" s="2948" t="s">
        <v>1027</v>
      </c>
      <c r="J1150" s="2948" t="s">
        <v>643</v>
      </c>
      <c r="K1150" s="2950">
        <v>33.03</v>
      </c>
      <c r="L1150" s="2950">
        <v>13.25</v>
      </c>
      <c r="M1150" s="2951">
        <v>550164</v>
      </c>
      <c r="N1150" s="2951">
        <v>550164</v>
      </c>
      <c r="O1150" s="2952">
        <v>550164</v>
      </c>
      <c r="P1150" s="2953">
        <v>550164</v>
      </c>
      <c r="Q1150" s="2951">
        <v>550164</v>
      </c>
      <c r="R1150" s="2954">
        <v>44736</v>
      </c>
      <c r="S1150" s="2954">
        <v>44737</v>
      </c>
      <c r="T1150" s="2954">
        <v>44741</v>
      </c>
      <c r="U1150" s="2954">
        <v>44741</v>
      </c>
      <c r="V1150" s="2948" t="s">
        <v>1799</v>
      </c>
      <c r="W1150" s="2944">
        <f t="shared" si="4"/>
        <v>16656.494096276099</v>
      </c>
    </row>
    <row r="1151" spans="1:23" s="2944" customFormat="1" ht="46.8">
      <c r="A1151" s="2948">
        <v>1150</v>
      </c>
      <c r="B1151" s="2948" t="s">
        <v>635</v>
      </c>
      <c r="C1151" s="2948" t="s">
        <v>636</v>
      </c>
      <c r="D1151" s="2948" t="s">
        <v>1862</v>
      </c>
      <c r="E1151" s="2948" t="s">
        <v>729</v>
      </c>
      <c r="F1151" s="2948" t="s">
        <v>1299</v>
      </c>
      <c r="G1151" s="2948" t="s">
        <v>640</v>
      </c>
      <c r="H1151" s="2948" t="s">
        <v>1863</v>
      </c>
      <c r="I1151" s="2948" t="s">
        <v>1027</v>
      </c>
      <c r="J1151" s="2948" t="s">
        <v>643</v>
      </c>
      <c r="K1151" s="2950">
        <v>33.03</v>
      </c>
      <c r="L1151" s="2950">
        <v>13.25</v>
      </c>
      <c r="M1151" s="2951">
        <v>550164</v>
      </c>
      <c r="N1151" s="2951">
        <v>550164</v>
      </c>
      <c r="O1151" s="2952">
        <v>550164</v>
      </c>
      <c r="P1151" s="2953">
        <v>550164</v>
      </c>
      <c r="Q1151" s="2951">
        <v>550164</v>
      </c>
      <c r="R1151" s="2954">
        <v>44736</v>
      </c>
      <c r="S1151" s="2954">
        <v>44737</v>
      </c>
      <c r="T1151" s="2954">
        <v>44756</v>
      </c>
      <c r="U1151" s="2954">
        <v>44756</v>
      </c>
      <c r="V1151" s="2948" t="s">
        <v>1666</v>
      </c>
      <c r="W1151" s="2944">
        <f t="shared" si="4"/>
        <v>16656.494096276099</v>
      </c>
    </row>
    <row r="1152" spans="1:23" s="2944" customFormat="1" ht="46.8">
      <c r="A1152" s="2948">
        <v>1151</v>
      </c>
      <c r="B1152" s="2948" t="s">
        <v>635</v>
      </c>
      <c r="C1152" s="2948" t="s">
        <v>636</v>
      </c>
      <c r="D1152" s="2948" t="s">
        <v>1862</v>
      </c>
      <c r="E1152" s="2948" t="s">
        <v>729</v>
      </c>
      <c r="F1152" s="2948" t="s">
        <v>1300</v>
      </c>
      <c r="G1152" s="2948" t="s">
        <v>640</v>
      </c>
      <c r="H1152" s="2948" t="s">
        <v>1863</v>
      </c>
      <c r="I1152" s="2948" t="s">
        <v>1027</v>
      </c>
      <c r="J1152" s="2948" t="s">
        <v>643</v>
      </c>
      <c r="K1152" s="2950">
        <v>33.03</v>
      </c>
      <c r="L1152" s="2950">
        <v>13.25</v>
      </c>
      <c r="M1152" s="2951">
        <v>550164</v>
      </c>
      <c r="N1152" s="2951">
        <v>550164</v>
      </c>
      <c r="O1152" s="2952">
        <v>550164</v>
      </c>
      <c r="P1152" s="2953">
        <v>550164</v>
      </c>
      <c r="Q1152" s="2951">
        <v>550164</v>
      </c>
      <c r="R1152" s="2954">
        <v>44736</v>
      </c>
      <c r="S1152" s="2954">
        <v>44737</v>
      </c>
      <c r="T1152" s="2954">
        <v>44781</v>
      </c>
      <c r="U1152" s="2954">
        <v>44781</v>
      </c>
      <c r="V1152" s="2948" t="s">
        <v>1841</v>
      </c>
      <c r="W1152" s="2944">
        <f t="shared" si="4"/>
        <v>16656.494096276099</v>
      </c>
    </row>
    <row r="1153" spans="1:23" s="2944" customFormat="1" ht="46.8">
      <c r="A1153" s="2948">
        <v>1152</v>
      </c>
      <c r="B1153" s="2948" t="s">
        <v>635</v>
      </c>
      <c r="C1153" s="2948" t="s">
        <v>636</v>
      </c>
      <c r="D1153" s="2948" t="s">
        <v>1862</v>
      </c>
      <c r="E1153" s="2948" t="s">
        <v>729</v>
      </c>
      <c r="F1153" s="2948" t="s">
        <v>1302</v>
      </c>
      <c r="G1153" s="2948" t="s">
        <v>640</v>
      </c>
      <c r="H1153" s="2948" t="s">
        <v>1863</v>
      </c>
      <c r="I1153" s="2948" t="s">
        <v>1027</v>
      </c>
      <c r="J1153" s="2948" t="s">
        <v>643</v>
      </c>
      <c r="K1153" s="2950">
        <v>33.03</v>
      </c>
      <c r="L1153" s="2950">
        <v>13.25</v>
      </c>
      <c r="M1153" s="2951">
        <v>550164</v>
      </c>
      <c r="N1153" s="2951">
        <v>550164</v>
      </c>
      <c r="O1153" s="2952">
        <v>550164</v>
      </c>
      <c r="P1153" s="2953">
        <v>550164</v>
      </c>
      <c r="Q1153" s="2951">
        <v>550164</v>
      </c>
      <c r="R1153" s="2954">
        <v>44735</v>
      </c>
      <c r="S1153" s="2954">
        <v>44737</v>
      </c>
      <c r="T1153" s="2954">
        <v>44739</v>
      </c>
      <c r="U1153" s="2954">
        <v>44739</v>
      </c>
      <c r="V1153" s="2948" t="s">
        <v>1846</v>
      </c>
      <c r="W1153" s="2944">
        <f t="shared" si="4"/>
        <v>16656.494096276099</v>
      </c>
    </row>
    <row r="1154" spans="1:23" s="2944" customFormat="1" ht="46.8" hidden="1">
      <c r="A1154" s="2948">
        <v>1153</v>
      </c>
      <c r="B1154" s="2948" t="s">
        <v>635</v>
      </c>
      <c r="C1154" s="2948" t="s">
        <v>636</v>
      </c>
      <c r="D1154" s="2948" t="s">
        <v>1862</v>
      </c>
      <c r="E1154" s="2948" t="s">
        <v>729</v>
      </c>
      <c r="F1154" s="2948" t="s">
        <v>1303</v>
      </c>
      <c r="G1154" s="2948" t="s">
        <v>1035</v>
      </c>
      <c r="H1154" s="2948" t="s">
        <v>1863</v>
      </c>
      <c r="I1154" s="2948" t="s">
        <v>1027</v>
      </c>
      <c r="J1154" s="2948" t="s">
        <v>643</v>
      </c>
      <c r="K1154" s="2950">
        <v>33.03</v>
      </c>
      <c r="L1154" s="2950">
        <v>13.25</v>
      </c>
      <c r="M1154" s="2951">
        <v>550164</v>
      </c>
      <c r="N1154" s="2951">
        <v>550164</v>
      </c>
      <c r="O1154" s="2955"/>
      <c r="P1154" s="2948"/>
      <c r="Q1154" s="2951">
        <v>0</v>
      </c>
      <c r="R1154" s="2948"/>
      <c r="S1154" s="2948"/>
      <c r="T1154" s="2948"/>
      <c r="U1154" s="2948"/>
      <c r="V1154" s="2948"/>
      <c r="W1154" s="2944">
        <f t="shared" si="4"/>
        <v>0</v>
      </c>
    </row>
    <row r="1155" spans="1:23" s="2944" customFormat="1" ht="46.8">
      <c r="A1155" s="2948">
        <v>1154</v>
      </c>
      <c r="B1155" s="2948" t="s">
        <v>635</v>
      </c>
      <c r="C1155" s="2948" t="s">
        <v>636</v>
      </c>
      <c r="D1155" s="2948" t="s">
        <v>1862</v>
      </c>
      <c r="E1155" s="2948" t="s">
        <v>729</v>
      </c>
      <c r="F1155" s="2948" t="s">
        <v>1304</v>
      </c>
      <c r="G1155" s="2948" t="s">
        <v>640</v>
      </c>
      <c r="H1155" s="2948" t="s">
        <v>1863</v>
      </c>
      <c r="I1155" s="2948" t="s">
        <v>1027</v>
      </c>
      <c r="J1155" s="2948" t="s">
        <v>643</v>
      </c>
      <c r="K1155" s="2950">
        <v>33.03</v>
      </c>
      <c r="L1155" s="2950">
        <v>13.25</v>
      </c>
      <c r="M1155" s="2951">
        <v>550164</v>
      </c>
      <c r="N1155" s="2951">
        <v>550164</v>
      </c>
      <c r="O1155" s="2952">
        <v>550164</v>
      </c>
      <c r="P1155" s="2953">
        <v>550164</v>
      </c>
      <c r="Q1155" s="2951">
        <v>550164</v>
      </c>
      <c r="R1155" s="2954">
        <v>44734</v>
      </c>
      <c r="S1155" s="2954">
        <v>44737</v>
      </c>
      <c r="T1155" s="2954">
        <v>44799</v>
      </c>
      <c r="U1155" s="2954">
        <v>44799</v>
      </c>
      <c r="V1155" s="2948" t="s">
        <v>1679</v>
      </c>
      <c r="W1155" s="2944">
        <f t="shared" si="4"/>
        <v>16656.494096276099</v>
      </c>
    </row>
    <row r="1156" spans="1:23" s="2944" customFormat="1" ht="46.8">
      <c r="A1156" s="2948">
        <v>1155</v>
      </c>
      <c r="B1156" s="2948" t="s">
        <v>635</v>
      </c>
      <c r="C1156" s="2948" t="s">
        <v>636</v>
      </c>
      <c r="D1156" s="2948" t="s">
        <v>1862</v>
      </c>
      <c r="E1156" s="2948" t="s">
        <v>729</v>
      </c>
      <c r="F1156" s="2948" t="s">
        <v>1305</v>
      </c>
      <c r="G1156" s="2948" t="s">
        <v>640</v>
      </c>
      <c r="H1156" s="2948" t="s">
        <v>1863</v>
      </c>
      <c r="I1156" s="2948" t="s">
        <v>1027</v>
      </c>
      <c r="J1156" s="2948" t="s">
        <v>643</v>
      </c>
      <c r="K1156" s="2950">
        <v>33.03</v>
      </c>
      <c r="L1156" s="2950">
        <v>13.25</v>
      </c>
      <c r="M1156" s="2951">
        <v>550164</v>
      </c>
      <c r="N1156" s="2951">
        <v>550164</v>
      </c>
      <c r="O1156" s="2952">
        <v>550164</v>
      </c>
      <c r="P1156" s="2953">
        <v>550164</v>
      </c>
      <c r="Q1156" s="2951">
        <v>550164</v>
      </c>
      <c r="R1156" s="2954">
        <v>44735</v>
      </c>
      <c r="S1156" s="2954">
        <v>44736</v>
      </c>
      <c r="T1156" s="2954">
        <v>44756</v>
      </c>
      <c r="U1156" s="2954">
        <v>44756</v>
      </c>
      <c r="V1156" s="2948" t="s">
        <v>1614</v>
      </c>
      <c r="W1156" s="2944">
        <f t="shared" si="4"/>
        <v>16656.494096276099</v>
      </c>
    </row>
    <row r="1157" spans="1:23" s="2944" customFormat="1" ht="46.8">
      <c r="A1157" s="2948">
        <v>1156</v>
      </c>
      <c r="B1157" s="2948" t="s">
        <v>635</v>
      </c>
      <c r="C1157" s="2948" t="s">
        <v>636</v>
      </c>
      <c r="D1157" s="2948" t="s">
        <v>1862</v>
      </c>
      <c r="E1157" s="2948" t="s">
        <v>729</v>
      </c>
      <c r="F1157" s="2948" t="s">
        <v>1306</v>
      </c>
      <c r="G1157" s="2948" t="s">
        <v>640</v>
      </c>
      <c r="H1157" s="2948" t="s">
        <v>1863</v>
      </c>
      <c r="I1157" s="2948" t="s">
        <v>1027</v>
      </c>
      <c r="J1157" s="2948" t="s">
        <v>643</v>
      </c>
      <c r="K1157" s="2950">
        <v>33.03</v>
      </c>
      <c r="L1157" s="2950">
        <v>13.25</v>
      </c>
      <c r="M1157" s="2951">
        <v>550164</v>
      </c>
      <c r="N1157" s="2951">
        <v>550164</v>
      </c>
      <c r="O1157" s="2952">
        <v>550164</v>
      </c>
      <c r="P1157" s="2953">
        <v>550164</v>
      </c>
      <c r="Q1157" s="2951">
        <v>550164</v>
      </c>
      <c r="R1157" s="2954">
        <v>44734</v>
      </c>
      <c r="S1157" s="2954">
        <v>44736</v>
      </c>
      <c r="T1157" s="2954">
        <v>44756</v>
      </c>
      <c r="U1157" s="2954">
        <v>44756</v>
      </c>
      <c r="V1157" s="2948" t="s">
        <v>1595</v>
      </c>
      <c r="W1157" s="2944">
        <f t="shared" si="4"/>
        <v>16656.494096276099</v>
      </c>
    </row>
    <row r="1158" spans="1:23" s="2944" customFormat="1" ht="46.8">
      <c r="A1158" s="2948">
        <v>1157</v>
      </c>
      <c r="B1158" s="2948" t="s">
        <v>635</v>
      </c>
      <c r="C1158" s="2948" t="s">
        <v>636</v>
      </c>
      <c r="D1158" s="2948" t="s">
        <v>1862</v>
      </c>
      <c r="E1158" s="2948" t="s">
        <v>729</v>
      </c>
      <c r="F1158" s="2948" t="s">
        <v>1307</v>
      </c>
      <c r="G1158" s="2948" t="s">
        <v>640</v>
      </c>
      <c r="H1158" s="2948" t="s">
        <v>1863</v>
      </c>
      <c r="I1158" s="2948" t="s">
        <v>1027</v>
      </c>
      <c r="J1158" s="2948" t="s">
        <v>643</v>
      </c>
      <c r="K1158" s="2950">
        <v>33.03</v>
      </c>
      <c r="L1158" s="2950">
        <v>13.25</v>
      </c>
      <c r="M1158" s="2951">
        <v>550164</v>
      </c>
      <c r="N1158" s="2951">
        <v>550164</v>
      </c>
      <c r="O1158" s="2952">
        <v>550164</v>
      </c>
      <c r="P1158" s="2953">
        <v>550164</v>
      </c>
      <c r="Q1158" s="2951">
        <v>550164</v>
      </c>
      <c r="R1158" s="2954">
        <v>44734</v>
      </c>
      <c r="S1158" s="2954">
        <v>44737</v>
      </c>
      <c r="T1158" s="2954">
        <v>44753</v>
      </c>
      <c r="U1158" s="2954">
        <v>44753</v>
      </c>
      <c r="V1158" s="2948" t="s">
        <v>1655</v>
      </c>
      <c r="W1158" s="2944">
        <f t="shared" si="4"/>
        <v>16656.494096276099</v>
      </c>
    </row>
    <row r="1159" spans="1:23" s="2944" customFormat="1" ht="46.8">
      <c r="A1159" s="2948">
        <v>1158</v>
      </c>
      <c r="B1159" s="2948" t="s">
        <v>635</v>
      </c>
      <c r="C1159" s="2948" t="s">
        <v>636</v>
      </c>
      <c r="D1159" s="2948" t="s">
        <v>1862</v>
      </c>
      <c r="E1159" s="2948" t="s">
        <v>729</v>
      </c>
      <c r="F1159" s="2948" t="s">
        <v>1308</v>
      </c>
      <c r="G1159" s="2948" t="s">
        <v>640</v>
      </c>
      <c r="H1159" s="2948" t="s">
        <v>1863</v>
      </c>
      <c r="I1159" s="2948" t="s">
        <v>1027</v>
      </c>
      <c r="J1159" s="2948" t="s">
        <v>643</v>
      </c>
      <c r="K1159" s="2950">
        <v>33.03</v>
      </c>
      <c r="L1159" s="2950">
        <v>13.25</v>
      </c>
      <c r="M1159" s="2951">
        <v>550164</v>
      </c>
      <c r="N1159" s="2951">
        <v>550164</v>
      </c>
      <c r="O1159" s="2952">
        <v>550164</v>
      </c>
      <c r="P1159" s="2953">
        <v>550164</v>
      </c>
      <c r="Q1159" s="2951">
        <v>550164</v>
      </c>
      <c r="R1159" s="2948"/>
      <c r="S1159" s="2954">
        <v>44886.462777777801</v>
      </c>
      <c r="T1159" s="2954">
        <v>44886</v>
      </c>
      <c r="U1159" s="2954">
        <v>44886</v>
      </c>
      <c r="V1159" s="2948" t="s">
        <v>1651</v>
      </c>
      <c r="W1159" s="2944">
        <f t="shared" si="4"/>
        <v>16656.494096276099</v>
      </c>
    </row>
    <row r="1160" spans="1:23" s="2944" customFormat="1" ht="46.8">
      <c r="A1160" s="2948">
        <v>1159</v>
      </c>
      <c r="B1160" s="2948" t="s">
        <v>635</v>
      </c>
      <c r="C1160" s="2948" t="s">
        <v>636</v>
      </c>
      <c r="D1160" s="2948" t="s">
        <v>1862</v>
      </c>
      <c r="E1160" s="2948" t="s">
        <v>729</v>
      </c>
      <c r="F1160" s="2948" t="s">
        <v>1309</v>
      </c>
      <c r="G1160" s="2948" t="s">
        <v>640</v>
      </c>
      <c r="H1160" s="2948" t="s">
        <v>1863</v>
      </c>
      <c r="I1160" s="2948" t="s">
        <v>1027</v>
      </c>
      <c r="J1160" s="2948" t="s">
        <v>643</v>
      </c>
      <c r="K1160" s="2950">
        <v>33.03</v>
      </c>
      <c r="L1160" s="2950">
        <v>13.25</v>
      </c>
      <c r="M1160" s="2951">
        <v>550164</v>
      </c>
      <c r="N1160" s="2951">
        <v>550164</v>
      </c>
      <c r="O1160" s="2952">
        <v>550164</v>
      </c>
      <c r="P1160" s="2953">
        <v>550164</v>
      </c>
      <c r="Q1160" s="2951">
        <v>550164</v>
      </c>
      <c r="R1160" s="2954">
        <v>44734</v>
      </c>
      <c r="S1160" s="2954">
        <v>44737</v>
      </c>
      <c r="T1160" s="2954">
        <v>44743</v>
      </c>
      <c r="U1160" s="2954">
        <v>44743</v>
      </c>
      <c r="V1160" s="2948" t="s">
        <v>1628</v>
      </c>
      <c r="W1160" s="2944">
        <f t="shared" si="4"/>
        <v>16656.494096276099</v>
      </c>
    </row>
    <row r="1161" spans="1:23" s="2944" customFormat="1" ht="46.8">
      <c r="A1161" s="2948">
        <v>1160</v>
      </c>
      <c r="B1161" s="2948" t="s">
        <v>635</v>
      </c>
      <c r="C1161" s="2948" t="s">
        <v>636</v>
      </c>
      <c r="D1161" s="2948" t="s">
        <v>1862</v>
      </c>
      <c r="E1161" s="2948" t="s">
        <v>729</v>
      </c>
      <c r="F1161" s="2948" t="s">
        <v>1310</v>
      </c>
      <c r="G1161" s="2948" t="s">
        <v>640</v>
      </c>
      <c r="H1161" s="2948" t="s">
        <v>1863</v>
      </c>
      <c r="I1161" s="2948" t="s">
        <v>1027</v>
      </c>
      <c r="J1161" s="2948" t="s">
        <v>643</v>
      </c>
      <c r="K1161" s="2950">
        <v>33.03</v>
      </c>
      <c r="L1161" s="2950">
        <v>13.25</v>
      </c>
      <c r="M1161" s="2951">
        <v>550164</v>
      </c>
      <c r="N1161" s="2951">
        <v>550164</v>
      </c>
      <c r="O1161" s="2952">
        <v>550164</v>
      </c>
      <c r="P1161" s="2953">
        <v>550164</v>
      </c>
      <c r="Q1161" s="2951">
        <v>550164</v>
      </c>
      <c r="R1161" s="2954">
        <v>44734</v>
      </c>
      <c r="S1161" s="2954">
        <v>44748</v>
      </c>
      <c r="T1161" s="2954">
        <v>44788</v>
      </c>
      <c r="U1161" s="2954">
        <v>44788</v>
      </c>
      <c r="V1161" s="2948" t="s">
        <v>1533</v>
      </c>
      <c r="W1161" s="2944">
        <f t="shared" si="4"/>
        <v>16656.494096276099</v>
      </c>
    </row>
    <row r="1162" spans="1:23" s="2944" customFormat="1" ht="46.8">
      <c r="A1162" s="2948">
        <v>1161</v>
      </c>
      <c r="B1162" s="2948" t="s">
        <v>635</v>
      </c>
      <c r="C1162" s="2948" t="s">
        <v>636</v>
      </c>
      <c r="D1162" s="2948" t="s">
        <v>1862</v>
      </c>
      <c r="E1162" s="2948" t="s">
        <v>729</v>
      </c>
      <c r="F1162" s="2948" t="s">
        <v>1311</v>
      </c>
      <c r="G1162" s="2948" t="s">
        <v>640</v>
      </c>
      <c r="H1162" s="2948" t="s">
        <v>1863</v>
      </c>
      <c r="I1162" s="2948" t="s">
        <v>1027</v>
      </c>
      <c r="J1162" s="2948" t="s">
        <v>643</v>
      </c>
      <c r="K1162" s="2950">
        <v>33.03</v>
      </c>
      <c r="L1162" s="2950">
        <v>13.25</v>
      </c>
      <c r="M1162" s="2951">
        <v>550164</v>
      </c>
      <c r="N1162" s="2951">
        <v>550164</v>
      </c>
      <c r="O1162" s="2952">
        <v>550164</v>
      </c>
      <c r="P1162" s="2953">
        <v>550164</v>
      </c>
      <c r="Q1162" s="2951">
        <v>550164</v>
      </c>
      <c r="R1162" s="2954">
        <v>44734</v>
      </c>
      <c r="S1162" s="2954">
        <v>44736</v>
      </c>
      <c r="T1162" s="2954">
        <v>44753</v>
      </c>
      <c r="U1162" s="2954">
        <v>44753</v>
      </c>
      <c r="V1162" s="2948" t="s">
        <v>1493</v>
      </c>
      <c r="W1162" s="2944">
        <f t="shared" si="4"/>
        <v>16656.494096276099</v>
      </c>
    </row>
    <row r="1163" spans="1:23" s="2944" customFormat="1" ht="46.8">
      <c r="A1163" s="2948">
        <v>1162</v>
      </c>
      <c r="B1163" s="2948" t="s">
        <v>635</v>
      </c>
      <c r="C1163" s="2948" t="s">
        <v>636</v>
      </c>
      <c r="D1163" s="2948" t="s">
        <v>1862</v>
      </c>
      <c r="E1163" s="2948" t="s">
        <v>729</v>
      </c>
      <c r="F1163" s="2948" t="s">
        <v>1312</v>
      </c>
      <c r="G1163" s="2948" t="s">
        <v>640</v>
      </c>
      <c r="H1163" s="2948" t="s">
        <v>1863</v>
      </c>
      <c r="I1163" s="2948" t="s">
        <v>1027</v>
      </c>
      <c r="J1163" s="2948" t="s">
        <v>643</v>
      </c>
      <c r="K1163" s="2950">
        <v>33.03</v>
      </c>
      <c r="L1163" s="2950">
        <v>13.25</v>
      </c>
      <c r="M1163" s="2951">
        <v>550164</v>
      </c>
      <c r="N1163" s="2951">
        <v>550164</v>
      </c>
      <c r="O1163" s="2952">
        <v>550164</v>
      </c>
      <c r="P1163" s="2953">
        <v>550164</v>
      </c>
      <c r="Q1163" s="2951">
        <v>550164</v>
      </c>
      <c r="R1163" s="2954">
        <v>44735</v>
      </c>
      <c r="S1163" s="2954">
        <v>44737</v>
      </c>
      <c r="T1163" s="2954">
        <v>44813</v>
      </c>
      <c r="U1163" s="2954">
        <v>44748</v>
      </c>
      <c r="V1163" s="2948" t="s">
        <v>1825</v>
      </c>
      <c r="W1163" s="2944">
        <f t="shared" si="4"/>
        <v>16656.494096276099</v>
      </c>
    </row>
    <row r="1164" spans="1:23" s="2944" customFormat="1" ht="46.8" hidden="1">
      <c r="A1164" s="2948">
        <v>1163</v>
      </c>
      <c r="B1164" s="2948" t="s">
        <v>635</v>
      </c>
      <c r="C1164" s="2948" t="s">
        <v>636</v>
      </c>
      <c r="D1164" s="2948" t="s">
        <v>1862</v>
      </c>
      <c r="E1164" s="2948" t="s">
        <v>729</v>
      </c>
      <c r="F1164" s="2948" t="s">
        <v>1313</v>
      </c>
      <c r="G1164" s="2948" t="s">
        <v>1035</v>
      </c>
      <c r="H1164" s="2948" t="s">
        <v>1865</v>
      </c>
      <c r="I1164" s="2948" t="s">
        <v>1027</v>
      </c>
      <c r="J1164" s="2948" t="s">
        <v>643</v>
      </c>
      <c r="K1164" s="2950">
        <v>28.04</v>
      </c>
      <c r="L1164" s="2950">
        <v>11.25</v>
      </c>
      <c r="M1164" s="2951">
        <v>522656</v>
      </c>
      <c r="N1164" s="2951">
        <v>522656</v>
      </c>
      <c r="O1164" s="2955"/>
      <c r="P1164" s="2948"/>
      <c r="Q1164" s="2951">
        <v>0</v>
      </c>
      <c r="R1164" s="2948"/>
      <c r="S1164" s="2948"/>
      <c r="T1164" s="2948"/>
      <c r="U1164" s="2948"/>
      <c r="V1164" s="2948"/>
      <c r="W1164" s="2944">
        <f t="shared" si="4"/>
        <v>0</v>
      </c>
    </row>
    <row r="1165" spans="1:23" s="2944" customFormat="1" ht="46.8" hidden="1">
      <c r="A1165" s="2948">
        <v>1164</v>
      </c>
      <c r="B1165" s="2948" t="s">
        <v>635</v>
      </c>
      <c r="C1165" s="2948" t="s">
        <v>636</v>
      </c>
      <c r="D1165" s="2948" t="s">
        <v>1862</v>
      </c>
      <c r="E1165" s="2948" t="s">
        <v>729</v>
      </c>
      <c r="F1165" s="2948" t="s">
        <v>1314</v>
      </c>
      <c r="G1165" s="2948" t="s">
        <v>1035</v>
      </c>
      <c r="H1165" s="2948" t="s">
        <v>1865</v>
      </c>
      <c r="I1165" s="2948" t="s">
        <v>1027</v>
      </c>
      <c r="J1165" s="2948" t="s">
        <v>643</v>
      </c>
      <c r="K1165" s="2950">
        <v>28.04</v>
      </c>
      <c r="L1165" s="2950">
        <v>11.25</v>
      </c>
      <c r="M1165" s="2951">
        <v>522656</v>
      </c>
      <c r="N1165" s="2951">
        <v>522656</v>
      </c>
      <c r="O1165" s="2955"/>
      <c r="P1165" s="2948"/>
      <c r="Q1165" s="2951">
        <v>0</v>
      </c>
      <c r="R1165" s="2948"/>
      <c r="S1165" s="2948"/>
      <c r="T1165" s="2948"/>
      <c r="U1165" s="2948"/>
      <c r="V1165" s="2948"/>
      <c r="W1165" s="2944">
        <f t="shared" si="4"/>
        <v>0</v>
      </c>
    </row>
    <row r="1166" spans="1:23" s="2944" customFormat="1" ht="46.8" hidden="1">
      <c r="A1166" s="2948">
        <v>1165</v>
      </c>
      <c r="B1166" s="2948" t="s">
        <v>635</v>
      </c>
      <c r="C1166" s="2948" t="s">
        <v>636</v>
      </c>
      <c r="D1166" s="2948" t="s">
        <v>1862</v>
      </c>
      <c r="E1166" s="2948" t="s">
        <v>729</v>
      </c>
      <c r="F1166" s="2948" t="s">
        <v>1315</v>
      </c>
      <c r="G1166" s="2948" t="s">
        <v>1035</v>
      </c>
      <c r="H1166" s="2948" t="s">
        <v>1865</v>
      </c>
      <c r="I1166" s="2948" t="s">
        <v>1027</v>
      </c>
      <c r="J1166" s="2948" t="s">
        <v>643</v>
      </c>
      <c r="K1166" s="2950">
        <v>28.04</v>
      </c>
      <c r="L1166" s="2950">
        <v>11.25</v>
      </c>
      <c r="M1166" s="2951">
        <v>522656</v>
      </c>
      <c r="N1166" s="2951">
        <v>522656</v>
      </c>
      <c r="O1166" s="2955"/>
      <c r="P1166" s="2948"/>
      <c r="Q1166" s="2951">
        <v>0</v>
      </c>
      <c r="R1166" s="2948"/>
      <c r="S1166" s="2948"/>
      <c r="T1166" s="2948"/>
      <c r="U1166" s="2948"/>
      <c r="V1166" s="2948"/>
      <c r="W1166" s="2944">
        <f t="shared" si="4"/>
        <v>0</v>
      </c>
    </row>
    <row r="1167" spans="1:23" s="2944" customFormat="1" ht="46.8" hidden="1">
      <c r="A1167" s="2948">
        <v>1166</v>
      </c>
      <c r="B1167" s="2948" t="s">
        <v>635</v>
      </c>
      <c r="C1167" s="2948" t="s">
        <v>636</v>
      </c>
      <c r="D1167" s="2948" t="s">
        <v>1862</v>
      </c>
      <c r="E1167" s="2948" t="s">
        <v>729</v>
      </c>
      <c r="F1167" s="2948" t="s">
        <v>1316</v>
      </c>
      <c r="G1167" s="2948" t="s">
        <v>1035</v>
      </c>
      <c r="H1167" s="2948" t="s">
        <v>1865</v>
      </c>
      <c r="I1167" s="2948" t="s">
        <v>1027</v>
      </c>
      <c r="J1167" s="2948" t="s">
        <v>643</v>
      </c>
      <c r="K1167" s="2950">
        <v>28.04</v>
      </c>
      <c r="L1167" s="2950">
        <v>11.25</v>
      </c>
      <c r="M1167" s="2951">
        <v>522656</v>
      </c>
      <c r="N1167" s="2951">
        <v>522656</v>
      </c>
      <c r="O1167" s="2955"/>
      <c r="P1167" s="2948"/>
      <c r="Q1167" s="2951">
        <v>0</v>
      </c>
      <c r="R1167" s="2948"/>
      <c r="S1167" s="2948"/>
      <c r="T1167" s="2948"/>
      <c r="U1167" s="2948"/>
      <c r="V1167" s="2948"/>
      <c r="W1167" s="2944">
        <f t="shared" si="4"/>
        <v>0</v>
      </c>
    </row>
    <row r="1168" spans="1:23" s="2944" customFormat="1" ht="46.8" hidden="1">
      <c r="A1168" s="2948">
        <v>1167</v>
      </c>
      <c r="B1168" s="2948" t="s">
        <v>635</v>
      </c>
      <c r="C1168" s="2948" t="s">
        <v>636</v>
      </c>
      <c r="D1168" s="2948" t="s">
        <v>1862</v>
      </c>
      <c r="E1168" s="2948" t="s">
        <v>729</v>
      </c>
      <c r="F1168" s="2948" t="s">
        <v>1317</v>
      </c>
      <c r="G1168" s="2948" t="s">
        <v>1035</v>
      </c>
      <c r="H1168" s="2948" t="s">
        <v>1865</v>
      </c>
      <c r="I1168" s="2948" t="s">
        <v>1027</v>
      </c>
      <c r="J1168" s="2948" t="s">
        <v>643</v>
      </c>
      <c r="K1168" s="2950">
        <v>28.04</v>
      </c>
      <c r="L1168" s="2950">
        <v>11.25</v>
      </c>
      <c r="M1168" s="2951">
        <v>522656</v>
      </c>
      <c r="N1168" s="2951">
        <v>522656</v>
      </c>
      <c r="O1168" s="2955"/>
      <c r="P1168" s="2948"/>
      <c r="Q1168" s="2951">
        <v>0</v>
      </c>
      <c r="R1168" s="2948"/>
      <c r="S1168" s="2948"/>
      <c r="T1168" s="2948"/>
      <c r="U1168" s="2948"/>
      <c r="V1168" s="2948"/>
      <c r="W1168" s="2944">
        <f t="shared" ref="W1168:W1231" si="5">O1168/K1168</f>
        <v>0</v>
      </c>
    </row>
    <row r="1169" spans="1:23" s="2944" customFormat="1" ht="46.8" hidden="1">
      <c r="A1169" s="2948">
        <v>1168</v>
      </c>
      <c r="B1169" s="2948" t="s">
        <v>635</v>
      </c>
      <c r="C1169" s="2948" t="s">
        <v>636</v>
      </c>
      <c r="D1169" s="2948" t="s">
        <v>1862</v>
      </c>
      <c r="E1169" s="2948" t="s">
        <v>729</v>
      </c>
      <c r="F1169" s="2948" t="s">
        <v>1318</v>
      </c>
      <c r="G1169" s="2948" t="s">
        <v>1035</v>
      </c>
      <c r="H1169" s="2948" t="s">
        <v>1865</v>
      </c>
      <c r="I1169" s="2948" t="s">
        <v>1027</v>
      </c>
      <c r="J1169" s="2948" t="s">
        <v>643</v>
      </c>
      <c r="K1169" s="2950">
        <v>28.04</v>
      </c>
      <c r="L1169" s="2950">
        <v>11.25</v>
      </c>
      <c r="M1169" s="2951">
        <v>522656</v>
      </c>
      <c r="N1169" s="2951">
        <v>522656</v>
      </c>
      <c r="O1169" s="2955"/>
      <c r="P1169" s="2948"/>
      <c r="Q1169" s="2951">
        <v>0</v>
      </c>
      <c r="R1169" s="2948"/>
      <c r="S1169" s="2948"/>
      <c r="T1169" s="2948"/>
      <c r="U1169" s="2948"/>
      <c r="V1169" s="2948"/>
      <c r="W1169" s="2944">
        <f t="shared" si="5"/>
        <v>0</v>
      </c>
    </row>
    <row r="1170" spans="1:23" s="2944" customFormat="1" ht="46.8" hidden="1">
      <c r="A1170" s="2948">
        <v>1169</v>
      </c>
      <c r="B1170" s="2948" t="s">
        <v>635</v>
      </c>
      <c r="C1170" s="2948" t="s">
        <v>636</v>
      </c>
      <c r="D1170" s="2948" t="s">
        <v>1862</v>
      </c>
      <c r="E1170" s="2948" t="s">
        <v>729</v>
      </c>
      <c r="F1170" s="2948" t="s">
        <v>1320</v>
      </c>
      <c r="G1170" s="2948" t="s">
        <v>1035</v>
      </c>
      <c r="H1170" s="2948" t="s">
        <v>1865</v>
      </c>
      <c r="I1170" s="2948" t="s">
        <v>1027</v>
      </c>
      <c r="J1170" s="2948" t="s">
        <v>643</v>
      </c>
      <c r="K1170" s="2950">
        <v>28.04</v>
      </c>
      <c r="L1170" s="2950">
        <v>11.25</v>
      </c>
      <c r="M1170" s="2951">
        <v>522656</v>
      </c>
      <c r="N1170" s="2951">
        <v>522656</v>
      </c>
      <c r="O1170" s="2955"/>
      <c r="P1170" s="2948"/>
      <c r="Q1170" s="2951">
        <v>0</v>
      </c>
      <c r="R1170" s="2948"/>
      <c r="S1170" s="2948"/>
      <c r="T1170" s="2948"/>
      <c r="U1170" s="2948"/>
      <c r="V1170" s="2948"/>
      <c r="W1170" s="2944">
        <f t="shared" si="5"/>
        <v>0</v>
      </c>
    </row>
    <row r="1171" spans="1:23" s="2944" customFormat="1" ht="46.8" hidden="1">
      <c r="A1171" s="2948">
        <v>1170</v>
      </c>
      <c r="B1171" s="2948" t="s">
        <v>635</v>
      </c>
      <c r="C1171" s="2948" t="s">
        <v>636</v>
      </c>
      <c r="D1171" s="2948" t="s">
        <v>1862</v>
      </c>
      <c r="E1171" s="2948" t="s">
        <v>729</v>
      </c>
      <c r="F1171" s="2948" t="s">
        <v>1321</v>
      </c>
      <c r="G1171" s="2948" t="s">
        <v>1035</v>
      </c>
      <c r="H1171" s="2948" t="s">
        <v>1865</v>
      </c>
      <c r="I1171" s="2948" t="s">
        <v>1027</v>
      </c>
      <c r="J1171" s="2948" t="s">
        <v>643</v>
      </c>
      <c r="K1171" s="2950">
        <v>28.04</v>
      </c>
      <c r="L1171" s="2950">
        <v>11.25</v>
      </c>
      <c r="M1171" s="2951">
        <v>522656</v>
      </c>
      <c r="N1171" s="2951">
        <v>522656</v>
      </c>
      <c r="O1171" s="2955"/>
      <c r="P1171" s="2948"/>
      <c r="Q1171" s="2951">
        <v>0</v>
      </c>
      <c r="R1171" s="2948"/>
      <c r="S1171" s="2948"/>
      <c r="T1171" s="2948"/>
      <c r="U1171" s="2948"/>
      <c r="V1171" s="2948"/>
      <c r="W1171" s="2944">
        <f t="shared" si="5"/>
        <v>0</v>
      </c>
    </row>
    <row r="1172" spans="1:23" s="2944" customFormat="1" ht="46.8">
      <c r="A1172" s="2948">
        <v>1171</v>
      </c>
      <c r="B1172" s="2948" t="s">
        <v>635</v>
      </c>
      <c r="C1172" s="2948" t="s">
        <v>636</v>
      </c>
      <c r="D1172" s="2948" t="s">
        <v>1862</v>
      </c>
      <c r="E1172" s="2948" t="s">
        <v>729</v>
      </c>
      <c r="F1172" s="2948" t="s">
        <v>1323</v>
      </c>
      <c r="G1172" s="2948" t="s">
        <v>640</v>
      </c>
      <c r="H1172" s="2948" t="s">
        <v>1863</v>
      </c>
      <c r="I1172" s="2948" t="s">
        <v>1027</v>
      </c>
      <c r="J1172" s="2948" t="s">
        <v>643</v>
      </c>
      <c r="K1172" s="2950">
        <v>33.03</v>
      </c>
      <c r="L1172" s="2950">
        <v>13.25</v>
      </c>
      <c r="M1172" s="2951">
        <v>550164</v>
      </c>
      <c r="N1172" s="2951">
        <v>550164</v>
      </c>
      <c r="O1172" s="2952">
        <v>550164</v>
      </c>
      <c r="P1172" s="2953">
        <v>550164</v>
      </c>
      <c r="Q1172" s="2951">
        <v>550164</v>
      </c>
      <c r="R1172" s="2954">
        <v>44496</v>
      </c>
      <c r="S1172" s="2954">
        <v>44497</v>
      </c>
      <c r="T1172" s="2954">
        <v>44531</v>
      </c>
      <c r="U1172" s="2954">
        <v>44531</v>
      </c>
      <c r="V1172" s="2948" t="s">
        <v>1830</v>
      </c>
      <c r="W1172" s="2944">
        <f t="shared" si="5"/>
        <v>16656.494096276099</v>
      </c>
    </row>
    <row r="1173" spans="1:23" s="2944" customFormat="1" ht="46.8">
      <c r="A1173" s="2948">
        <v>1172</v>
      </c>
      <c r="B1173" s="2948" t="s">
        <v>635</v>
      </c>
      <c r="C1173" s="2948" t="s">
        <v>636</v>
      </c>
      <c r="D1173" s="2948" t="s">
        <v>1862</v>
      </c>
      <c r="E1173" s="2948" t="s">
        <v>729</v>
      </c>
      <c r="F1173" s="2948" t="s">
        <v>1324</v>
      </c>
      <c r="G1173" s="2948" t="s">
        <v>640</v>
      </c>
      <c r="H1173" s="2948" t="s">
        <v>1863</v>
      </c>
      <c r="I1173" s="2948" t="s">
        <v>1027</v>
      </c>
      <c r="J1173" s="2948" t="s">
        <v>643</v>
      </c>
      <c r="K1173" s="2950">
        <v>33.03</v>
      </c>
      <c r="L1173" s="2950">
        <v>13.25</v>
      </c>
      <c r="M1173" s="2951">
        <v>550164</v>
      </c>
      <c r="N1173" s="2951">
        <v>550164</v>
      </c>
      <c r="O1173" s="2952">
        <v>550164</v>
      </c>
      <c r="P1173" s="2953">
        <v>550164</v>
      </c>
      <c r="Q1173" s="2951">
        <v>550164</v>
      </c>
      <c r="R1173" s="2954">
        <v>44497</v>
      </c>
      <c r="S1173" s="2954">
        <v>44499</v>
      </c>
      <c r="T1173" s="2954">
        <v>44640</v>
      </c>
      <c r="U1173" s="2954">
        <v>44640</v>
      </c>
      <c r="V1173" s="2948" t="s">
        <v>1529</v>
      </c>
      <c r="W1173" s="2944">
        <f t="shared" si="5"/>
        <v>16656.494096276099</v>
      </c>
    </row>
    <row r="1174" spans="1:23" s="2944" customFormat="1" ht="46.8">
      <c r="A1174" s="2948">
        <v>1173</v>
      </c>
      <c r="B1174" s="2948" t="s">
        <v>635</v>
      </c>
      <c r="C1174" s="2948" t="s">
        <v>636</v>
      </c>
      <c r="D1174" s="2948" t="s">
        <v>1862</v>
      </c>
      <c r="E1174" s="2948" t="s">
        <v>729</v>
      </c>
      <c r="F1174" s="2948" t="s">
        <v>1325</v>
      </c>
      <c r="G1174" s="2948" t="s">
        <v>640</v>
      </c>
      <c r="H1174" s="2948" t="s">
        <v>1863</v>
      </c>
      <c r="I1174" s="2948" t="s">
        <v>1027</v>
      </c>
      <c r="J1174" s="2948" t="s">
        <v>643</v>
      </c>
      <c r="K1174" s="2950">
        <v>33.03</v>
      </c>
      <c r="L1174" s="2950">
        <v>13.25</v>
      </c>
      <c r="M1174" s="2951">
        <v>550164</v>
      </c>
      <c r="N1174" s="2951">
        <v>550164</v>
      </c>
      <c r="O1174" s="2952">
        <v>550164</v>
      </c>
      <c r="P1174" s="2953">
        <v>550164</v>
      </c>
      <c r="Q1174" s="2951">
        <v>550164</v>
      </c>
      <c r="R1174" s="2954">
        <v>44497</v>
      </c>
      <c r="S1174" s="2954">
        <v>44497</v>
      </c>
      <c r="T1174" s="2954">
        <v>44523</v>
      </c>
      <c r="U1174" s="2954">
        <v>44523</v>
      </c>
      <c r="V1174" s="2948" t="s">
        <v>1536</v>
      </c>
      <c r="W1174" s="2944">
        <f t="shared" si="5"/>
        <v>16656.494096276099</v>
      </c>
    </row>
    <row r="1175" spans="1:23" s="2944" customFormat="1" ht="46.8">
      <c r="A1175" s="2948">
        <v>1174</v>
      </c>
      <c r="B1175" s="2948" t="s">
        <v>635</v>
      </c>
      <c r="C1175" s="2948" t="s">
        <v>636</v>
      </c>
      <c r="D1175" s="2948" t="s">
        <v>1862</v>
      </c>
      <c r="E1175" s="2948" t="s">
        <v>729</v>
      </c>
      <c r="F1175" s="2948" t="s">
        <v>1326</v>
      </c>
      <c r="G1175" s="2948" t="s">
        <v>640</v>
      </c>
      <c r="H1175" s="2948" t="s">
        <v>1863</v>
      </c>
      <c r="I1175" s="2948" t="s">
        <v>1027</v>
      </c>
      <c r="J1175" s="2948" t="s">
        <v>643</v>
      </c>
      <c r="K1175" s="2950">
        <v>33.03</v>
      </c>
      <c r="L1175" s="2950">
        <v>13.25</v>
      </c>
      <c r="M1175" s="2951">
        <v>550164</v>
      </c>
      <c r="N1175" s="2951">
        <v>550164</v>
      </c>
      <c r="O1175" s="2952">
        <v>550164</v>
      </c>
      <c r="P1175" s="2953">
        <v>550164</v>
      </c>
      <c r="Q1175" s="2951">
        <v>550164</v>
      </c>
      <c r="R1175" s="2954">
        <v>44496</v>
      </c>
      <c r="S1175" s="2954">
        <v>44497</v>
      </c>
      <c r="T1175" s="2954">
        <v>44745</v>
      </c>
      <c r="U1175" s="2954">
        <v>44745</v>
      </c>
      <c r="V1175" s="2948" t="s">
        <v>1504</v>
      </c>
      <c r="W1175" s="2944">
        <f t="shared" si="5"/>
        <v>16656.494096276099</v>
      </c>
    </row>
    <row r="1176" spans="1:23" s="2944" customFormat="1" ht="46.8">
      <c r="A1176" s="2948">
        <v>1175</v>
      </c>
      <c r="B1176" s="2948" t="s">
        <v>635</v>
      </c>
      <c r="C1176" s="2948" t="s">
        <v>636</v>
      </c>
      <c r="D1176" s="2948" t="s">
        <v>1862</v>
      </c>
      <c r="E1176" s="2948" t="s">
        <v>729</v>
      </c>
      <c r="F1176" s="2948" t="s">
        <v>1327</v>
      </c>
      <c r="G1176" s="2948" t="s">
        <v>640</v>
      </c>
      <c r="H1176" s="2948" t="s">
        <v>1863</v>
      </c>
      <c r="I1176" s="2948" t="s">
        <v>1027</v>
      </c>
      <c r="J1176" s="2948" t="s">
        <v>643</v>
      </c>
      <c r="K1176" s="2950">
        <v>33.03</v>
      </c>
      <c r="L1176" s="2950">
        <v>13.25</v>
      </c>
      <c r="M1176" s="2951">
        <v>550164</v>
      </c>
      <c r="N1176" s="2951">
        <v>550164</v>
      </c>
      <c r="O1176" s="2952">
        <v>550164</v>
      </c>
      <c r="P1176" s="2953">
        <v>550164</v>
      </c>
      <c r="Q1176" s="2951">
        <v>550164</v>
      </c>
      <c r="R1176" s="2954">
        <v>44497</v>
      </c>
      <c r="S1176" s="2954">
        <v>44499</v>
      </c>
      <c r="T1176" s="2954">
        <v>44536</v>
      </c>
      <c r="U1176" s="2954">
        <v>44536</v>
      </c>
      <c r="V1176" s="2948" t="s">
        <v>1569</v>
      </c>
      <c r="W1176" s="2944">
        <f t="shared" si="5"/>
        <v>16656.494096276099</v>
      </c>
    </row>
    <row r="1177" spans="1:23" s="2944" customFormat="1" ht="46.8">
      <c r="A1177" s="2948">
        <v>1176</v>
      </c>
      <c r="B1177" s="2948" t="s">
        <v>635</v>
      </c>
      <c r="C1177" s="2948" t="s">
        <v>636</v>
      </c>
      <c r="D1177" s="2948" t="s">
        <v>1862</v>
      </c>
      <c r="E1177" s="2948" t="s">
        <v>729</v>
      </c>
      <c r="F1177" s="2948" t="s">
        <v>1328</v>
      </c>
      <c r="G1177" s="2948" t="s">
        <v>640</v>
      </c>
      <c r="H1177" s="2948" t="s">
        <v>1863</v>
      </c>
      <c r="I1177" s="2948" t="s">
        <v>1027</v>
      </c>
      <c r="J1177" s="2948" t="s">
        <v>643</v>
      </c>
      <c r="K1177" s="2950">
        <v>33.03</v>
      </c>
      <c r="L1177" s="2950">
        <v>13.25</v>
      </c>
      <c r="M1177" s="2951">
        <v>550164</v>
      </c>
      <c r="N1177" s="2951">
        <v>550164</v>
      </c>
      <c r="O1177" s="2952">
        <v>550164</v>
      </c>
      <c r="P1177" s="2953">
        <v>550164</v>
      </c>
      <c r="Q1177" s="2951">
        <v>550164</v>
      </c>
      <c r="R1177" s="2954">
        <v>44495</v>
      </c>
      <c r="S1177" s="2954">
        <v>44496</v>
      </c>
      <c r="T1177" s="2954">
        <v>44525</v>
      </c>
      <c r="U1177" s="2954">
        <v>44525</v>
      </c>
      <c r="V1177" s="2948" t="s">
        <v>1561</v>
      </c>
      <c r="W1177" s="2944">
        <f t="shared" si="5"/>
        <v>16656.494096276099</v>
      </c>
    </row>
    <row r="1178" spans="1:23" s="2944" customFormat="1" ht="46.8">
      <c r="A1178" s="2948">
        <v>1177</v>
      </c>
      <c r="B1178" s="2948" t="s">
        <v>635</v>
      </c>
      <c r="C1178" s="2948" t="s">
        <v>636</v>
      </c>
      <c r="D1178" s="2948" t="s">
        <v>1862</v>
      </c>
      <c r="E1178" s="2948" t="s">
        <v>729</v>
      </c>
      <c r="F1178" s="2948" t="s">
        <v>1329</v>
      </c>
      <c r="G1178" s="2948" t="s">
        <v>640</v>
      </c>
      <c r="H1178" s="2948" t="s">
        <v>1863</v>
      </c>
      <c r="I1178" s="2948" t="s">
        <v>1027</v>
      </c>
      <c r="J1178" s="2948" t="s">
        <v>643</v>
      </c>
      <c r="K1178" s="2950">
        <v>33.03</v>
      </c>
      <c r="L1178" s="2950">
        <v>13.25</v>
      </c>
      <c r="M1178" s="2951">
        <v>550164</v>
      </c>
      <c r="N1178" s="2951">
        <v>550164</v>
      </c>
      <c r="O1178" s="2952">
        <v>550164</v>
      </c>
      <c r="P1178" s="2953">
        <v>550164</v>
      </c>
      <c r="Q1178" s="2951">
        <v>550164</v>
      </c>
      <c r="R1178" s="2954">
        <v>44735</v>
      </c>
      <c r="S1178" s="2954">
        <v>44737</v>
      </c>
      <c r="T1178" s="2954">
        <v>44813</v>
      </c>
      <c r="U1178" s="2954">
        <v>44813</v>
      </c>
      <c r="V1178" s="2948" t="s">
        <v>1573</v>
      </c>
      <c r="W1178" s="2944">
        <f t="shared" si="5"/>
        <v>16656.494096276099</v>
      </c>
    </row>
    <row r="1179" spans="1:23" s="2944" customFormat="1" ht="46.8">
      <c r="A1179" s="2948">
        <v>1178</v>
      </c>
      <c r="B1179" s="2948" t="s">
        <v>635</v>
      </c>
      <c r="C1179" s="2948" t="s">
        <v>636</v>
      </c>
      <c r="D1179" s="2948" t="s">
        <v>1862</v>
      </c>
      <c r="E1179" s="2948" t="s">
        <v>729</v>
      </c>
      <c r="F1179" s="2948" t="s">
        <v>1330</v>
      </c>
      <c r="G1179" s="2948" t="s">
        <v>640</v>
      </c>
      <c r="H1179" s="2948" t="s">
        <v>1863</v>
      </c>
      <c r="I1179" s="2948" t="s">
        <v>1027</v>
      </c>
      <c r="J1179" s="2948" t="s">
        <v>643</v>
      </c>
      <c r="K1179" s="2950">
        <v>33.03</v>
      </c>
      <c r="L1179" s="2950">
        <v>13.25</v>
      </c>
      <c r="M1179" s="2951">
        <v>550164</v>
      </c>
      <c r="N1179" s="2951">
        <v>550164</v>
      </c>
      <c r="O1179" s="2952">
        <v>550164</v>
      </c>
      <c r="P1179" s="2953">
        <v>550164</v>
      </c>
      <c r="Q1179" s="2951">
        <v>550164</v>
      </c>
      <c r="R1179" s="2954">
        <v>44495</v>
      </c>
      <c r="S1179" s="2954">
        <v>44497</v>
      </c>
      <c r="T1179" s="2954">
        <v>44502</v>
      </c>
      <c r="U1179" s="2954">
        <v>44502</v>
      </c>
      <c r="V1179" s="2948" t="s">
        <v>1563</v>
      </c>
      <c r="W1179" s="2944">
        <f t="shared" si="5"/>
        <v>16656.494096276099</v>
      </c>
    </row>
    <row r="1180" spans="1:23" s="2944" customFormat="1" ht="46.8">
      <c r="A1180" s="2948">
        <v>1179</v>
      </c>
      <c r="B1180" s="2948" t="s">
        <v>635</v>
      </c>
      <c r="C1180" s="2948" t="s">
        <v>636</v>
      </c>
      <c r="D1180" s="2948" t="s">
        <v>1862</v>
      </c>
      <c r="E1180" s="2948" t="s">
        <v>729</v>
      </c>
      <c r="F1180" s="2948" t="s">
        <v>1331</v>
      </c>
      <c r="G1180" s="2948" t="s">
        <v>640</v>
      </c>
      <c r="H1180" s="2948" t="s">
        <v>1863</v>
      </c>
      <c r="I1180" s="2948" t="s">
        <v>1027</v>
      </c>
      <c r="J1180" s="2948" t="s">
        <v>643</v>
      </c>
      <c r="K1180" s="2950">
        <v>33.03</v>
      </c>
      <c r="L1180" s="2950">
        <v>13.25</v>
      </c>
      <c r="M1180" s="2951">
        <v>550164</v>
      </c>
      <c r="N1180" s="2951">
        <v>550164</v>
      </c>
      <c r="O1180" s="2952">
        <v>550164</v>
      </c>
      <c r="P1180" s="2953">
        <v>550164</v>
      </c>
      <c r="Q1180" s="2951">
        <v>550164</v>
      </c>
      <c r="R1180" s="2954">
        <v>44554</v>
      </c>
      <c r="S1180" s="2954">
        <v>44561</v>
      </c>
      <c r="T1180" s="2954">
        <v>44739</v>
      </c>
      <c r="U1180" s="2954">
        <v>44739</v>
      </c>
      <c r="V1180" s="2948" t="s">
        <v>1566</v>
      </c>
      <c r="W1180" s="2944">
        <f t="shared" si="5"/>
        <v>16656.494096276099</v>
      </c>
    </row>
    <row r="1181" spans="1:23" s="2944" customFormat="1" ht="46.8">
      <c r="A1181" s="2948">
        <v>1180</v>
      </c>
      <c r="B1181" s="2948" t="s">
        <v>635</v>
      </c>
      <c r="C1181" s="2948" t="s">
        <v>636</v>
      </c>
      <c r="D1181" s="2948" t="s">
        <v>1862</v>
      </c>
      <c r="E1181" s="2948" t="s">
        <v>729</v>
      </c>
      <c r="F1181" s="2948" t="s">
        <v>1332</v>
      </c>
      <c r="G1181" s="2948" t="s">
        <v>640</v>
      </c>
      <c r="H1181" s="2948" t="s">
        <v>1863</v>
      </c>
      <c r="I1181" s="2948" t="s">
        <v>1027</v>
      </c>
      <c r="J1181" s="2948" t="s">
        <v>643</v>
      </c>
      <c r="K1181" s="2950">
        <v>33.03</v>
      </c>
      <c r="L1181" s="2950">
        <v>13.25</v>
      </c>
      <c r="M1181" s="2951">
        <v>550164</v>
      </c>
      <c r="N1181" s="2951">
        <v>550164</v>
      </c>
      <c r="O1181" s="2952">
        <v>550164</v>
      </c>
      <c r="P1181" s="2953">
        <v>550164</v>
      </c>
      <c r="Q1181" s="2951">
        <v>550164</v>
      </c>
      <c r="R1181" s="2954">
        <v>44734</v>
      </c>
      <c r="S1181" s="2954">
        <v>44737</v>
      </c>
      <c r="T1181" s="2954">
        <v>44851</v>
      </c>
      <c r="U1181" s="2954">
        <v>44851</v>
      </c>
      <c r="V1181" s="2948" t="s">
        <v>1556</v>
      </c>
      <c r="W1181" s="2944">
        <f t="shared" si="5"/>
        <v>16656.494096276099</v>
      </c>
    </row>
    <row r="1182" spans="1:23" s="2944" customFormat="1" ht="46.8">
      <c r="A1182" s="2948">
        <v>1181</v>
      </c>
      <c r="B1182" s="2948" t="s">
        <v>635</v>
      </c>
      <c r="C1182" s="2948" t="s">
        <v>636</v>
      </c>
      <c r="D1182" s="2948" t="s">
        <v>1862</v>
      </c>
      <c r="E1182" s="2948" t="s">
        <v>729</v>
      </c>
      <c r="F1182" s="2948" t="s">
        <v>1333</v>
      </c>
      <c r="G1182" s="2948" t="s">
        <v>640</v>
      </c>
      <c r="H1182" s="2948" t="s">
        <v>1863</v>
      </c>
      <c r="I1182" s="2948" t="s">
        <v>1027</v>
      </c>
      <c r="J1182" s="2948" t="s">
        <v>643</v>
      </c>
      <c r="K1182" s="2950">
        <v>33.03</v>
      </c>
      <c r="L1182" s="2950">
        <v>13.25</v>
      </c>
      <c r="M1182" s="2951">
        <v>550164</v>
      </c>
      <c r="N1182" s="2951">
        <v>550164</v>
      </c>
      <c r="O1182" s="2952">
        <v>550164</v>
      </c>
      <c r="P1182" s="2953">
        <v>550164</v>
      </c>
      <c r="Q1182" s="2951">
        <v>550164</v>
      </c>
      <c r="R1182" s="2954">
        <v>44495</v>
      </c>
      <c r="S1182" s="2954">
        <v>44497</v>
      </c>
      <c r="T1182" s="2954">
        <v>44642</v>
      </c>
      <c r="U1182" s="2954">
        <v>44642</v>
      </c>
      <c r="V1182" s="2948" t="s">
        <v>1562</v>
      </c>
      <c r="W1182" s="2944">
        <f t="shared" si="5"/>
        <v>16656.494096276099</v>
      </c>
    </row>
    <row r="1183" spans="1:23" s="2944" customFormat="1" ht="46.8">
      <c r="A1183" s="2948">
        <v>1182</v>
      </c>
      <c r="B1183" s="2948" t="s">
        <v>635</v>
      </c>
      <c r="C1183" s="2948" t="s">
        <v>636</v>
      </c>
      <c r="D1183" s="2948" t="s">
        <v>1862</v>
      </c>
      <c r="E1183" s="2948" t="s">
        <v>729</v>
      </c>
      <c r="F1183" s="2948" t="s">
        <v>1334</v>
      </c>
      <c r="G1183" s="2948" t="s">
        <v>640</v>
      </c>
      <c r="H1183" s="2948" t="s">
        <v>1863</v>
      </c>
      <c r="I1183" s="2948" t="s">
        <v>1027</v>
      </c>
      <c r="J1183" s="2948" t="s">
        <v>643</v>
      </c>
      <c r="K1183" s="2950">
        <v>33.03</v>
      </c>
      <c r="L1183" s="2950">
        <v>13.25</v>
      </c>
      <c r="M1183" s="2951">
        <v>550164</v>
      </c>
      <c r="N1183" s="2951">
        <v>550164</v>
      </c>
      <c r="O1183" s="2952">
        <v>550164</v>
      </c>
      <c r="P1183" s="2953">
        <v>550164</v>
      </c>
      <c r="Q1183" s="2951">
        <v>550164</v>
      </c>
      <c r="R1183" s="2954">
        <v>44731</v>
      </c>
      <c r="S1183" s="2954">
        <v>44734</v>
      </c>
      <c r="T1183" s="2954">
        <v>44734</v>
      </c>
      <c r="U1183" s="2954">
        <v>44735</v>
      </c>
      <c r="V1183" s="2948" t="s">
        <v>1557</v>
      </c>
      <c r="W1183" s="2944">
        <f t="shared" si="5"/>
        <v>16656.494096276099</v>
      </c>
    </row>
    <row r="1184" spans="1:23" s="2944" customFormat="1" ht="46.8" hidden="1">
      <c r="A1184" s="2948">
        <v>1183</v>
      </c>
      <c r="B1184" s="2948" t="s">
        <v>635</v>
      </c>
      <c r="C1184" s="2948" t="s">
        <v>636</v>
      </c>
      <c r="D1184" s="2948" t="s">
        <v>1862</v>
      </c>
      <c r="E1184" s="2948" t="s">
        <v>729</v>
      </c>
      <c r="F1184" s="2948" t="s">
        <v>1335</v>
      </c>
      <c r="G1184" s="2948" t="s">
        <v>1035</v>
      </c>
      <c r="H1184" s="2948" t="s">
        <v>1863</v>
      </c>
      <c r="I1184" s="2948" t="s">
        <v>1027</v>
      </c>
      <c r="J1184" s="2948" t="s">
        <v>643</v>
      </c>
      <c r="K1184" s="2950">
        <v>33.03</v>
      </c>
      <c r="L1184" s="2950">
        <v>13.25</v>
      </c>
      <c r="M1184" s="2951">
        <v>550164</v>
      </c>
      <c r="N1184" s="2951">
        <v>550164</v>
      </c>
      <c r="O1184" s="2955"/>
      <c r="P1184" s="2948"/>
      <c r="Q1184" s="2951">
        <v>0</v>
      </c>
      <c r="R1184" s="2948"/>
      <c r="S1184" s="2948"/>
      <c r="T1184" s="2948"/>
      <c r="U1184" s="2948"/>
      <c r="V1184" s="2948"/>
      <c r="W1184" s="2944">
        <f t="shared" si="5"/>
        <v>0</v>
      </c>
    </row>
    <row r="1185" spans="1:23" s="2944" customFormat="1" ht="46.8" hidden="1">
      <c r="A1185" s="2948">
        <v>1184</v>
      </c>
      <c r="B1185" s="2948" t="s">
        <v>635</v>
      </c>
      <c r="C1185" s="2948" t="s">
        <v>636</v>
      </c>
      <c r="D1185" s="2948" t="s">
        <v>1862</v>
      </c>
      <c r="E1185" s="2948" t="s">
        <v>729</v>
      </c>
      <c r="F1185" s="2948" t="s">
        <v>1336</v>
      </c>
      <c r="G1185" s="2948" t="s">
        <v>1035</v>
      </c>
      <c r="H1185" s="2948" t="s">
        <v>1863</v>
      </c>
      <c r="I1185" s="2948" t="s">
        <v>1027</v>
      </c>
      <c r="J1185" s="2948" t="s">
        <v>643</v>
      </c>
      <c r="K1185" s="2950">
        <v>33.03</v>
      </c>
      <c r="L1185" s="2950">
        <v>13.25</v>
      </c>
      <c r="M1185" s="2951">
        <v>550164</v>
      </c>
      <c r="N1185" s="2951">
        <v>550164</v>
      </c>
      <c r="O1185" s="2955"/>
      <c r="P1185" s="2948"/>
      <c r="Q1185" s="2951">
        <v>0</v>
      </c>
      <c r="R1185" s="2948"/>
      <c r="S1185" s="2948"/>
      <c r="T1185" s="2948"/>
      <c r="U1185" s="2948"/>
      <c r="V1185" s="2948"/>
      <c r="W1185" s="2944">
        <f t="shared" si="5"/>
        <v>0</v>
      </c>
    </row>
    <row r="1186" spans="1:23" s="2944" customFormat="1" ht="46.8">
      <c r="A1186" s="2948">
        <v>1185</v>
      </c>
      <c r="B1186" s="2948" t="s">
        <v>635</v>
      </c>
      <c r="C1186" s="2948" t="s">
        <v>636</v>
      </c>
      <c r="D1186" s="2948" t="s">
        <v>1862</v>
      </c>
      <c r="E1186" s="2948" t="s">
        <v>729</v>
      </c>
      <c r="F1186" s="2948" t="s">
        <v>1337</v>
      </c>
      <c r="G1186" s="2948" t="s">
        <v>640</v>
      </c>
      <c r="H1186" s="2948" t="s">
        <v>1863</v>
      </c>
      <c r="I1186" s="2948" t="s">
        <v>1027</v>
      </c>
      <c r="J1186" s="2948" t="s">
        <v>643</v>
      </c>
      <c r="K1186" s="2950">
        <v>33.03</v>
      </c>
      <c r="L1186" s="2950">
        <v>13.25</v>
      </c>
      <c r="M1186" s="2951">
        <v>550164</v>
      </c>
      <c r="N1186" s="2951">
        <v>550164</v>
      </c>
      <c r="O1186" s="2952">
        <v>550164</v>
      </c>
      <c r="P1186" s="2953">
        <v>550164</v>
      </c>
      <c r="Q1186" s="2951">
        <v>550164</v>
      </c>
      <c r="R1186" s="2954">
        <v>44495</v>
      </c>
      <c r="S1186" s="2954">
        <v>44497</v>
      </c>
      <c r="T1186" s="2954">
        <v>44637</v>
      </c>
      <c r="U1186" s="2954">
        <v>44637</v>
      </c>
      <c r="V1186" s="2948" t="s">
        <v>1633</v>
      </c>
      <c r="W1186" s="2944">
        <f t="shared" si="5"/>
        <v>16656.494096276099</v>
      </c>
    </row>
    <row r="1187" spans="1:23" s="2944" customFormat="1" ht="46.8">
      <c r="A1187" s="2948">
        <v>1186</v>
      </c>
      <c r="B1187" s="2948" t="s">
        <v>635</v>
      </c>
      <c r="C1187" s="2948" t="s">
        <v>636</v>
      </c>
      <c r="D1187" s="2948" t="s">
        <v>1862</v>
      </c>
      <c r="E1187" s="2948" t="s">
        <v>729</v>
      </c>
      <c r="F1187" s="2948" t="s">
        <v>1338</v>
      </c>
      <c r="G1187" s="2948" t="s">
        <v>640</v>
      </c>
      <c r="H1187" s="2948" t="s">
        <v>1863</v>
      </c>
      <c r="I1187" s="2948" t="s">
        <v>1027</v>
      </c>
      <c r="J1187" s="2948" t="s">
        <v>643</v>
      </c>
      <c r="K1187" s="2950">
        <v>33.03</v>
      </c>
      <c r="L1187" s="2950">
        <v>13.25</v>
      </c>
      <c r="M1187" s="2951">
        <v>550164</v>
      </c>
      <c r="N1187" s="2951">
        <v>550164</v>
      </c>
      <c r="O1187" s="2952">
        <v>550164</v>
      </c>
      <c r="P1187" s="2953">
        <v>550164</v>
      </c>
      <c r="Q1187" s="2951">
        <v>550164</v>
      </c>
      <c r="R1187" s="2954">
        <v>44497</v>
      </c>
      <c r="S1187" s="2954">
        <v>44499</v>
      </c>
      <c r="T1187" s="2954">
        <v>44526</v>
      </c>
      <c r="U1187" s="2954">
        <v>44526</v>
      </c>
      <c r="V1187" s="2948" t="s">
        <v>1630</v>
      </c>
      <c r="W1187" s="2944">
        <f t="shared" si="5"/>
        <v>16656.494096276099</v>
      </c>
    </row>
    <row r="1188" spans="1:23" s="2944" customFormat="1" ht="46.8">
      <c r="A1188" s="2948">
        <v>1187</v>
      </c>
      <c r="B1188" s="2948" t="s">
        <v>635</v>
      </c>
      <c r="C1188" s="2948" t="s">
        <v>636</v>
      </c>
      <c r="D1188" s="2948" t="s">
        <v>1862</v>
      </c>
      <c r="E1188" s="2948" t="s">
        <v>729</v>
      </c>
      <c r="F1188" s="2948" t="s">
        <v>1339</v>
      </c>
      <c r="G1188" s="2948" t="s">
        <v>640</v>
      </c>
      <c r="H1188" s="2948" t="s">
        <v>1863</v>
      </c>
      <c r="I1188" s="2948" t="s">
        <v>1027</v>
      </c>
      <c r="J1188" s="2948" t="s">
        <v>643</v>
      </c>
      <c r="K1188" s="2950">
        <v>33.03</v>
      </c>
      <c r="L1188" s="2950">
        <v>13.25</v>
      </c>
      <c r="M1188" s="2951">
        <v>550164</v>
      </c>
      <c r="N1188" s="2951">
        <v>550164</v>
      </c>
      <c r="O1188" s="2952">
        <v>550164</v>
      </c>
      <c r="P1188" s="2953">
        <v>550164</v>
      </c>
      <c r="Q1188" s="2951">
        <v>550164</v>
      </c>
      <c r="R1188" s="2954">
        <v>44497</v>
      </c>
      <c r="S1188" s="2954">
        <v>44499</v>
      </c>
      <c r="T1188" s="2954">
        <v>44528</v>
      </c>
      <c r="U1188" s="2954">
        <v>44528</v>
      </c>
      <c r="V1188" s="2948" t="s">
        <v>1629</v>
      </c>
      <c r="W1188" s="2944">
        <f t="shared" si="5"/>
        <v>16656.494096276099</v>
      </c>
    </row>
    <row r="1189" spans="1:23" s="2944" customFormat="1" ht="46.8">
      <c r="A1189" s="2948">
        <v>1188</v>
      </c>
      <c r="B1189" s="2948" t="s">
        <v>635</v>
      </c>
      <c r="C1189" s="2948" t="s">
        <v>636</v>
      </c>
      <c r="D1189" s="2948" t="s">
        <v>1862</v>
      </c>
      <c r="E1189" s="2948" t="s">
        <v>729</v>
      </c>
      <c r="F1189" s="2948" t="s">
        <v>1340</v>
      </c>
      <c r="G1189" s="2948" t="s">
        <v>640</v>
      </c>
      <c r="H1189" s="2948" t="s">
        <v>1863</v>
      </c>
      <c r="I1189" s="2948" t="s">
        <v>1027</v>
      </c>
      <c r="J1189" s="2948" t="s">
        <v>643</v>
      </c>
      <c r="K1189" s="2950">
        <v>33.03</v>
      </c>
      <c r="L1189" s="2950">
        <v>13.25</v>
      </c>
      <c r="M1189" s="2951">
        <v>550164</v>
      </c>
      <c r="N1189" s="2951">
        <v>550164</v>
      </c>
      <c r="O1189" s="2952">
        <v>550164</v>
      </c>
      <c r="P1189" s="2953">
        <v>550164</v>
      </c>
      <c r="Q1189" s="2951">
        <v>550164</v>
      </c>
      <c r="R1189" s="2954">
        <v>44494</v>
      </c>
      <c r="S1189" s="2954">
        <v>44497</v>
      </c>
      <c r="T1189" s="2954">
        <v>44510</v>
      </c>
      <c r="U1189" s="2954">
        <v>44510</v>
      </c>
      <c r="V1189" s="2948" t="s">
        <v>1631</v>
      </c>
      <c r="W1189" s="2944">
        <f t="shared" si="5"/>
        <v>16656.494096276099</v>
      </c>
    </row>
    <row r="1190" spans="1:23" s="2944" customFormat="1" ht="46.8">
      <c r="A1190" s="2948">
        <v>1189</v>
      </c>
      <c r="B1190" s="2948" t="s">
        <v>635</v>
      </c>
      <c r="C1190" s="2948" t="s">
        <v>636</v>
      </c>
      <c r="D1190" s="2948" t="s">
        <v>1862</v>
      </c>
      <c r="E1190" s="2948" t="s">
        <v>729</v>
      </c>
      <c r="F1190" s="2948" t="s">
        <v>1341</v>
      </c>
      <c r="G1190" s="2948" t="s">
        <v>640</v>
      </c>
      <c r="H1190" s="2948" t="s">
        <v>1863</v>
      </c>
      <c r="I1190" s="2948" t="s">
        <v>1027</v>
      </c>
      <c r="J1190" s="2948" t="s">
        <v>643</v>
      </c>
      <c r="K1190" s="2950">
        <v>33.03</v>
      </c>
      <c r="L1190" s="2950">
        <v>13.25</v>
      </c>
      <c r="M1190" s="2951">
        <v>550164</v>
      </c>
      <c r="N1190" s="2951">
        <v>550164</v>
      </c>
      <c r="O1190" s="2952">
        <v>550164</v>
      </c>
      <c r="P1190" s="2953">
        <v>550164</v>
      </c>
      <c r="Q1190" s="2951">
        <v>550164</v>
      </c>
      <c r="R1190" s="2954">
        <v>44496</v>
      </c>
      <c r="S1190" s="2954">
        <v>44496</v>
      </c>
      <c r="T1190" s="2954">
        <v>44520</v>
      </c>
      <c r="U1190" s="2954">
        <v>44520</v>
      </c>
      <c r="V1190" s="2948" t="s">
        <v>1635</v>
      </c>
      <c r="W1190" s="2944">
        <f t="shared" si="5"/>
        <v>16656.494096276099</v>
      </c>
    </row>
    <row r="1191" spans="1:23" s="2944" customFormat="1" ht="46.8">
      <c r="A1191" s="2948">
        <v>1190</v>
      </c>
      <c r="B1191" s="2948" t="s">
        <v>635</v>
      </c>
      <c r="C1191" s="2948" t="s">
        <v>636</v>
      </c>
      <c r="D1191" s="2948" t="s">
        <v>1862</v>
      </c>
      <c r="E1191" s="2948" t="s">
        <v>729</v>
      </c>
      <c r="F1191" s="2948" t="s">
        <v>1343</v>
      </c>
      <c r="G1191" s="2948" t="s">
        <v>640</v>
      </c>
      <c r="H1191" s="2948" t="s">
        <v>1863</v>
      </c>
      <c r="I1191" s="2948" t="s">
        <v>1027</v>
      </c>
      <c r="J1191" s="2948" t="s">
        <v>643</v>
      </c>
      <c r="K1191" s="2950">
        <v>33.03</v>
      </c>
      <c r="L1191" s="2950">
        <v>13.25</v>
      </c>
      <c r="M1191" s="2951">
        <v>550164</v>
      </c>
      <c r="N1191" s="2951">
        <v>550164</v>
      </c>
      <c r="O1191" s="2952">
        <v>550164</v>
      </c>
      <c r="P1191" s="2953">
        <v>550164</v>
      </c>
      <c r="Q1191" s="2951">
        <v>550164</v>
      </c>
      <c r="R1191" s="2954">
        <v>44734</v>
      </c>
      <c r="S1191" s="2954">
        <v>44737</v>
      </c>
      <c r="T1191" s="2954">
        <v>44753</v>
      </c>
      <c r="U1191" s="2954">
        <v>44753</v>
      </c>
      <c r="V1191" s="2948" t="s">
        <v>1586</v>
      </c>
      <c r="W1191" s="2944">
        <f t="shared" si="5"/>
        <v>16656.494096276099</v>
      </c>
    </row>
    <row r="1192" spans="1:23" s="2944" customFormat="1" ht="46.8">
      <c r="A1192" s="2948">
        <v>1191</v>
      </c>
      <c r="B1192" s="2948" t="s">
        <v>635</v>
      </c>
      <c r="C1192" s="2948" t="s">
        <v>636</v>
      </c>
      <c r="D1192" s="2948" t="s">
        <v>1862</v>
      </c>
      <c r="E1192" s="2948" t="s">
        <v>729</v>
      </c>
      <c r="F1192" s="2948" t="s">
        <v>1344</v>
      </c>
      <c r="G1192" s="2948" t="s">
        <v>640</v>
      </c>
      <c r="H1192" s="2948" t="s">
        <v>1863</v>
      </c>
      <c r="I1192" s="2948" t="s">
        <v>1027</v>
      </c>
      <c r="J1192" s="2948" t="s">
        <v>643</v>
      </c>
      <c r="K1192" s="2950">
        <v>33.03</v>
      </c>
      <c r="L1192" s="2950">
        <v>13.25</v>
      </c>
      <c r="M1192" s="2951">
        <v>550164</v>
      </c>
      <c r="N1192" s="2951">
        <v>550164</v>
      </c>
      <c r="O1192" s="2952">
        <v>550164</v>
      </c>
      <c r="P1192" s="2953">
        <v>550164</v>
      </c>
      <c r="Q1192" s="2951">
        <v>550164</v>
      </c>
      <c r="R1192" s="2954">
        <v>44495</v>
      </c>
      <c r="S1192" s="2954">
        <v>44497</v>
      </c>
      <c r="T1192" s="2954">
        <v>44504</v>
      </c>
      <c r="U1192" s="2954">
        <v>44504</v>
      </c>
      <c r="V1192" s="2948" t="s">
        <v>1606</v>
      </c>
      <c r="W1192" s="2944">
        <f t="shared" si="5"/>
        <v>16656.494096276099</v>
      </c>
    </row>
    <row r="1193" spans="1:23" s="2944" customFormat="1" ht="46.8">
      <c r="A1193" s="2948">
        <v>1192</v>
      </c>
      <c r="B1193" s="2948" t="s">
        <v>635</v>
      </c>
      <c r="C1193" s="2948" t="s">
        <v>636</v>
      </c>
      <c r="D1193" s="2948" t="s">
        <v>1862</v>
      </c>
      <c r="E1193" s="2948" t="s">
        <v>729</v>
      </c>
      <c r="F1193" s="2948" t="s">
        <v>1345</v>
      </c>
      <c r="G1193" s="2948" t="s">
        <v>1866</v>
      </c>
      <c r="H1193" s="2948" t="s">
        <v>1863</v>
      </c>
      <c r="I1193" s="2948" t="s">
        <v>1027</v>
      </c>
      <c r="J1193" s="2948" t="s">
        <v>643</v>
      </c>
      <c r="K1193" s="2950">
        <v>33.03</v>
      </c>
      <c r="L1193" s="2950">
        <v>13.25</v>
      </c>
      <c r="M1193" s="2951">
        <v>550164</v>
      </c>
      <c r="N1193" s="2951">
        <v>550164</v>
      </c>
      <c r="O1193" s="2952">
        <v>550164</v>
      </c>
      <c r="P1193" s="2953">
        <v>550164</v>
      </c>
      <c r="Q1193" s="2951">
        <v>522656</v>
      </c>
      <c r="R1193" s="2954">
        <v>45287</v>
      </c>
      <c r="S1193" s="2948"/>
      <c r="T1193" s="2948"/>
      <c r="U1193" s="2948"/>
      <c r="V1193" s="2948" t="s">
        <v>1584</v>
      </c>
      <c r="W1193" s="2944">
        <f t="shared" si="5"/>
        <v>16656.494096276099</v>
      </c>
    </row>
    <row r="1194" spans="1:23" s="2944" customFormat="1" ht="46.8">
      <c r="A1194" s="2948">
        <v>1193</v>
      </c>
      <c r="B1194" s="2948" t="s">
        <v>635</v>
      </c>
      <c r="C1194" s="2948" t="s">
        <v>636</v>
      </c>
      <c r="D1194" s="2948" t="s">
        <v>1862</v>
      </c>
      <c r="E1194" s="2948" t="s">
        <v>729</v>
      </c>
      <c r="F1194" s="2948" t="s">
        <v>1346</v>
      </c>
      <c r="G1194" s="2948" t="s">
        <v>640</v>
      </c>
      <c r="H1194" s="2948" t="s">
        <v>1863</v>
      </c>
      <c r="I1194" s="2948" t="s">
        <v>1027</v>
      </c>
      <c r="J1194" s="2948" t="s">
        <v>643</v>
      </c>
      <c r="K1194" s="2950">
        <v>33.03</v>
      </c>
      <c r="L1194" s="2950">
        <v>13.25</v>
      </c>
      <c r="M1194" s="2951">
        <v>550164</v>
      </c>
      <c r="N1194" s="2951">
        <v>550164</v>
      </c>
      <c r="O1194" s="2952">
        <v>550164</v>
      </c>
      <c r="P1194" s="2953">
        <v>550164</v>
      </c>
      <c r="Q1194" s="2951">
        <v>550164</v>
      </c>
      <c r="R1194" s="2954">
        <v>44496</v>
      </c>
      <c r="S1194" s="2954">
        <v>44497</v>
      </c>
      <c r="T1194" s="2954">
        <v>44755</v>
      </c>
      <c r="U1194" s="2954">
        <v>44755</v>
      </c>
      <c r="V1194" s="2948" t="s">
        <v>1596</v>
      </c>
      <c r="W1194" s="2944">
        <f t="shared" si="5"/>
        <v>16656.494096276099</v>
      </c>
    </row>
    <row r="1195" spans="1:23" s="2944" customFormat="1" ht="46.8">
      <c r="A1195" s="2948">
        <v>1194</v>
      </c>
      <c r="B1195" s="2948" t="s">
        <v>635</v>
      </c>
      <c r="C1195" s="2948" t="s">
        <v>636</v>
      </c>
      <c r="D1195" s="2948" t="s">
        <v>1862</v>
      </c>
      <c r="E1195" s="2948" t="s">
        <v>729</v>
      </c>
      <c r="F1195" s="2948" t="s">
        <v>1347</v>
      </c>
      <c r="G1195" s="2948" t="s">
        <v>640</v>
      </c>
      <c r="H1195" s="2948" t="s">
        <v>1863</v>
      </c>
      <c r="I1195" s="2948" t="s">
        <v>1027</v>
      </c>
      <c r="J1195" s="2948" t="s">
        <v>643</v>
      </c>
      <c r="K1195" s="2950">
        <v>33.03</v>
      </c>
      <c r="L1195" s="2950">
        <v>13.25</v>
      </c>
      <c r="M1195" s="2951">
        <v>550164</v>
      </c>
      <c r="N1195" s="2951">
        <v>550164</v>
      </c>
      <c r="O1195" s="2952">
        <v>550164</v>
      </c>
      <c r="P1195" s="2953">
        <v>550164</v>
      </c>
      <c r="Q1195" s="2951">
        <v>550164</v>
      </c>
      <c r="R1195" s="2954">
        <v>44496</v>
      </c>
      <c r="S1195" s="2954">
        <v>44496</v>
      </c>
      <c r="T1195" s="2954">
        <v>44778</v>
      </c>
      <c r="U1195" s="2954">
        <v>44778</v>
      </c>
      <c r="V1195" s="2948" t="s">
        <v>1602</v>
      </c>
      <c r="W1195" s="2944">
        <f t="shared" si="5"/>
        <v>16656.494096276099</v>
      </c>
    </row>
    <row r="1196" spans="1:23" s="2944" customFormat="1" ht="46.8">
      <c r="A1196" s="2948">
        <v>1195</v>
      </c>
      <c r="B1196" s="2948" t="s">
        <v>635</v>
      </c>
      <c r="C1196" s="2948" t="s">
        <v>636</v>
      </c>
      <c r="D1196" s="2948" t="s">
        <v>1862</v>
      </c>
      <c r="E1196" s="2948" t="s">
        <v>729</v>
      </c>
      <c r="F1196" s="2948" t="s">
        <v>1348</v>
      </c>
      <c r="G1196" s="2948" t="s">
        <v>640</v>
      </c>
      <c r="H1196" s="2948" t="s">
        <v>1863</v>
      </c>
      <c r="I1196" s="2948" t="s">
        <v>1027</v>
      </c>
      <c r="J1196" s="2948" t="s">
        <v>643</v>
      </c>
      <c r="K1196" s="2950">
        <v>33.03</v>
      </c>
      <c r="L1196" s="2950">
        <v>13.25</v>
      </c>
      <c r="M1196" s="2951">
        <v>550164</v>
      </c>
      <c r="N1196" s="2951">
        <v>550164</v>
      </c>
      <c r="O1196" s="2952">
        <v>522656</v>
      </c>
      <c r="P1196" s="2953">
        <v>522656</v>
      </c>
      <c r="Q1196" s="2951">
        <v>522656</v>
      </c>
      <c r="R1196" s="2954">
        <v>44497</v>
      </c>
      <c r="S1196" s="2954">
        <v>44497</v>
      </c>
      <c r="T1196" s="2954">
        <v>44785</v>
      </c>
      <c r="U1196" s="2954">
        <v>44785</v>
      </c>
      <c r="V1196" s="2948" t="s">
        <v>1617</v>
      </c>
      <c r="W1196" s="2944">
        <f t="shared" si="5"/>
        <v>15823.6754465637</v>
      </c>
    </row>
    <row r="1197" spans="1:23" s="2944" customFormat="1" ht="46.8">
      <c r="A1197" s="2948">
        <v>1196</v>
      </c>
      <c r="B1197" s="2948" t="s">
        <v>635</v>
      </c>
      <c r="C1197" s="2948" t="s">
        <v>636</v>
      </c>
      <c r="D1197" s="2948" t="s">
        <v>1862</v>
      </c>
      <c r="E1197" s="2948" t="s">
        <v>729</v>
      </c>
      <c r="F1197" s="2948" t="s">
        <v>1349</v>
      </c>
      <c r="G1197" s="2948" t="s">
        <v>640</v>
      </c>
      <c r="H1197" s="2948" t="s">
        <v>1863</v>
      </c>
      <c r="I1197" s="2948" t="s">
        <v>1027</v>
      </c>
      <c r="J1197" s="2948" t="s">
        <v>643</v>
      </c>
      <c r="K1197" s="2950">
        <v>33.03</v>
      </c>
      <c r="L1197" s="2950">
        <v>13.25</v>
      </c>
      <c r="M1197" s="2951">
        <v>550164</v>
      </c>
      <c r="N1197" s="2951">
        <v>550164</v>
      </c>
      <c r="O1197" s="2952">
        <v>550164</v>
      </c>
      <c r="P1197" s="2953">
        <v>550164</v>
      </c>
      <c r="Q1197" s="2951">
        <v>550164</v>
      </c>
      <c r="R1197" s="2954">
        <v>44497</v>
      </c>
      <c r="S1197" s="2954">
        <v>44499</v>
      </c>
      <c r="T1197" s="2954">
        <v>44524</v>
      </c>
      <c r="U1197" s="2954">
        <v>44524</v>
      </c>
      <c r="V1197" s="2948" t="s">
        <v>1601</v>
      </c>
      <c r="W1197" s="2944">
        <f t="shared" si="5"/>
        <v>16656.494096276099</v>
      </c>
    </row>
    <row r="1198" spans="1:23" s="2944" customFormat="1" ht="46.8">
      <c r="A1198" s="2948">
        <v>1197</v>
      </c>
      <c r="B1198" s="2948" t="s">
        <v>635</v>
      </c>
      <c r="C1198" s="2948" t="s">
        <v>636</v>
      </c>
      <c r="D1198" s="2948" t="s">
        <v>1862</v>
      </c>
      <c r="E1198" s="2948" t="s">
        <v>729</v>
      </c>
      <c r="F1198" s="2948" t="s">
        <v>1351</v>
      </c>
      <c r="G1198" s="2948" t="s">
        <v>640</v>
      </c>
      <c r="H1198" s="2948" t="s">
        <v>1863</v>
      </c>
      <c r="I1198" s="2948" t="s">
        <v>1027</v>
      </c>
      <c r="J1198" s="2948" t="s">
        <v>643</v>
      </c>
      <c r="K1198" s="2950">
        <v>33.03</v>
      </c>
      <c r="L1198" s="2950">
        <v>13.25</v>
      </c>
      <c r="M1198" s="2951">
        <v>550164</v>
      </c>
      <c r="N1198" s="2951">
        <v>550164</v>
      </c>
      <c r="O1198" s="2952">
        <v>550164</v>
      </c>
      <c r="P1198" s="2953">
        <v>550164</v>
      </c>
      <c r="Q1198" s="2951">
        <v>550164</v>
      </c>
      <c r="R1198" s="2954">
        <v>44497</v>
      </c>
      <c r="S1198" s="2954">
        <v>44499</v>
      </c>
      <c r="T1198" s="2954">
        <v>44526</v>
      </c>
      <c r="U1198" s="2954">
        <v>44526</v>
      </c>
      <c r="V1198" s="2948" t="s">
        <v>1613</v>
      </c>
      <c r="W1198" s="2944">
        <f t="shared" si="5"/>
        <v>16656.494096276099</v>
      </c>
    </row>
    <row r="1199" spans="1:23" s="2944" customFormat="1" ht="46.8">
      <c r="A1199" s="2948">
        <v>1198</v>
      </c>
      <c r="B1199" s="2948" t="s">
        <v>635</v>
      </c>
      <c r="C1199" s="2948" t="s">
        <v>636</v>
      </c>
      <c r="D1199" s="2948" t="s">
        <v>1862</v>
      </c>
      <c r="E1199" s="2948" t="s">
        <v>729</v>
      </c>
      <c r="F1199" s="2948" t="s">
        <v>1352</v>
      </c>
      <c r="G1199" s="2948" t="s">
        <v>640</v>
      </c>
      <c r="H1199" s="2948" t="s">
        <v>1863</v>
      </c>
      <c r="I1199" s="2948" t="s">
        <v>1027</v>
      </c>
      <c r="J1199" s="2948" t="s">
        <v>643</v>
      </c>
      <c r="K1199" s="2950">
        <v>33.03</v>
      </c>
      <c r="L1199" s="2950">
        <v>13.25</v>
      </c>
      <c r="M1199" s="2951">
        <v>550164</v>
      </c>
      <c r="N1199" s="2951">
        <v>550164</v>
      </c>
      <c r="O1199" s="2952">
        <v>550164</v>
      </c>
      <c r="P1199" s="2953">
        <v>550164</v>
      </c>
      <c r="Q1199" s="2951">
        <v>550164</v>
      </c>
      <c r="R1199" s="2954">
        <v>44497</v>
      </c>
      <c r="S1199" s="2954">
        <v>44499</v>
      </c>
      <c r="T1199" s="2954">
        <v>44526</v>
      </c>
      <c r="U1199" s="2954">
        <v>44526</v>
      </c>
      <c r="V1199" s="2948" t="s">
        <v>1598</v>
      </c>
      <c r="W1199" s="2944">
        <f t="shared" si="5"/>
        <v>16656.494096276099</v>
      </c>
    </row>
    <row r="1200" spans="1:23" s="2944" customFormat="1" ht="46.8">
      <c r="A1200" s="2948">
        <v>1199</v>
      </c>
      <c r="B1200" s="2948" t="s">
        <v>635</v>
      </c>
      <c r="C1200" s="2948" t="s">
        <v>636</v>
      </c>
      <c r="D1200" s="2948" t="s">
        <v>1862</v>
      </c>
      <c r="E1200" s="2948" t="s">
        <v>729</v>
      </c>
      <c r="F1200" s="2948" t="s">
        <v>1354</v>
      </c>
      <c r="G1200" s="2948" t="s">
        <v>640</v>
      </c>
      <c r="H1200" s="2948" t="s">
        <v>1863</v>
      </c>
      <c r="I1200" s="2948" t="s">
        <v>1027</v>
      </c>
      <c r="J1200" s="2948" t="s">
        <v>643</v>
      </c>
      <c r="K1200" s="2950">
        <v>33.03</v>
      </c>
      <c r="L1200" s="2950">
        <v>13.25</v>
      </c>
      <c r="M1200" s="2951">
        <v>550164</v>
      </c>
      <c r="N1200" s="2951">
        <v>550164</v>
      </c>
      <c r="O1200" s="2952">
        <v>550164</v>
      </c>
      <c r="P1200" s="2953">
        <v>550164</v>
      </c>
      <c r="Q1200" s="2951">
        <v>550164</v>
      </c>
      <c r="R1200" s="2954">
        <v>44496</v>
      </c>
      <c r="S1200" s="2954">
        <v>44497</v>
      </c>
      <c r="T1200" s="2954">
        <v>44537</v>
      </c>
      <c r="U1200" s="2954">
        <v>44537</v>
      </c>
      <c r="V1200" s="2948" t="s">
        <v>1622</v>
      </c>
      <c r="W1200" s="2944">
        <f t="shared" si="5"/>
        <v>16656.494096276099</v>
      </c>
    </row>
    <row r="1201" spans="1:23" s="2944" customFormat="1" ht="46.8">
      <c r="A1201" s="2948">
        <v>1200</v>
      </c>
      <c r="B1201" s="2948" t="s">
        <v>635</v>
      </c>
      <c r="C1201" s="2948" t="s">
        <v>636</v>
      </c>
      <c r="D1201" s="2948" t="s">
        <v>1862</v>
      </c>
      <c r="E1201" s="2948" t="s">
        <v>729</v>
      </c>
      <c r="F1201" s="2948" t="s">
        <v>1355</v>
      </c>
      <c r="G1201" s="2948" t="s">
        <v>640</v>
      </c>
      <c r="H1201" s="2948" t="s">
        <v>1863</v>
      </c>
      <c r="I1201" s="2948" t="s">
        <v>1027</v>
      </c>
      <c r="J1201" s="2948" t="s">
        <v>643</v>
      </c>
      <c r="K1201" s="2950">
        <v>33.03</v>
      </c>
      <c r="L1201" s="2950">
        <v>13.25</v>
      </c>
      <c r="M1201" s="2951">
        <v>550164</v>
      </c>
      <c r="N1201" s="2951">
        <v>550164</v>
      </c>
      <c r="O1201" s="2952">
        <v>550164</v>
      </c>
      <c r="P1201" s="2953">
        <v>550164</v>
      </c>
      <c r="Q1201" s="2951">
        <v>550164</v>
      </c>
      <c r="R1201" s="2954">
        <v>44496</v>
      </c>
      <c r="S1201" s="2954">
        <v>44497</v>
      </c>
      <c r="T1201" s="2954">
        <v>44526</v>
      </c>
      <c r="U1201" s="2954">
        <v>44526</v>
      </c>
      <c r="V1201" s="2948" t="s">
        <v>1605</v>
      </c>
      <c r="W1201" s="2944">
        <f t="shared" si="5"/>
        <v>16656.494096276099</v>
      </c>
    </row>
    <row r="1202" spans="1:23" s="2944" customFormat="1" ht="46.8">
      <c r="A1202" s="2948">
        <v>1201</v>
      </c>
      <c r="B1202" s="2948" t="s">
        <v>635</v>
      </c>
      <c r="C1202" s="2948" t="s">
        <v>636</v>
      </c>
      <c r="D1202" s="2948" t="s">
        <v>1862</v>
      </c>
      <c r="E1202" s="2948" t="s">
        <v>729</v>
      </c>
      <c r="F1202" s="2948" t="s">
        <v>1356</v>
      </c>
      <c r="G1202" s="2948" t="s">
        <v>640</v>
      </c>
      <c r="H1202" s="2948" t="s">
        <v>1863</v>
      </c>
      <c r="I1202" s="2948" t="s">
        <v>1027</v>
      </c>
      <c r="J1202" s="2948" t="s">
        <v>643</v>
      </c>
      <c r="K1202" s="2950">
        <v>33.03</v>
      </c>
      <c r="L1202" s="2950">
        <v>13.25</v>
      </c>
      <c r="M1202" s="2951">
        <v>550164</v>
      </c>
      <c r="N1202" s="2951">
        <v>550164</v>
      </c>
      <c r="O1202" s="2952">
        <v>550164</v>
      </c>
      <c r="P1202" s="2953">
        <v>550164</v>
      </c>
      <c r="Q1202" s="2951">
        <v>550164</v>
      </c>
      <c r="R1202" s="2954">
        <v>44497</v>
      </c>
      <c r="S1202" s="2954">
        <v>44499</v>
      </c>
      <c r="T1202" s="2954">
        <v>44528</v>
      </c>
      <c r="U1202" s="2954">
        <v>44528</v>
      </c>
      <c r="V1202" s="2948" t="s">
        <v>1603</v>
      </c>
      <c r="W1202" s="2944">
        <f t="shared" si="5"/>
        <v>16656.494096276099</v>
      </c>
    </row>
    <row r="1203" spans="1:23" s="2944" customFormat="1" ht="46.8">
      <c r="A1203" s="2948">
        <v>1202</v>
      </c>
      <c r="B1203" s="2948" t="s">
        <v>635</v>
      </c>
      <c r="C1203" s="2948" t="s">
        <v>636</v>
      </c>
      <c r="D1203" s="2948" t="s">
        <v>1862</v>
      </c>
      <c r="E1203" s="2948" t="s">
        <v>729</v>
      </c>
      <c r="F1203" s="2948" t="s">
        <v>904</v>
      </c>
      <c r="G1203" s="2948" t="s">
        <v>640</v>
      </c>
      <c r="H1203" s="2948" t="s">
        <v>1863</v>
      </c>
      <c r="I1203" s="2948" t="s">
        <v>1027</v>
      </c>
      <c r="J1203" s="2948" t="s">
        <v>643</v>
      </c>
      <c r="K1203" s="2950">
        <v>33.03</v>
      </c>
      <c r="L1203" s="2950">
        <v>13.25</v>
      </c>
      <c r="M1203" s="2951">
        <v>550164</v>
      </c>
      <c r="N1203" s="2951">
        <v>550164</v>
      </c>
      <c r="O1203" s="2952">
        <v>550164</v>
      </c>
      <c r="P1203" s="2953">
        <v>550164</v>
      </c>
      <c r="Q1203" s="2951">
        <v>550164</v>
      </c>
      <c r="R1203" s="2954">
        <v>44496</v>
      </c>
      <c r="S1203" s="2954">
        <v>44497</v>
      </c>
      <c r="T1203" s="2954">
        <v>44641</v>
      </c>
      <c r="U1203" s="2954">
        <v>44641</v>
      </c>
      <c r="V1203" s="2948" t="s">
        <v>1597</v>
      </c>
      <c r="W1203" s="2944">
        <f t="shared" si="5"/>
        <v>16656.494096276099</v>
      </c>
    </row>
    <row r="1204" spans="1:23" s="2944" customFormat="1" ht="46.8">
      <c r="A1204" s="2948">
        <v>1203</v>
      </c>
      <c r="B1204" s="2948" t="s">
        <v>635</v>
      </c>
      <c r="C1204" s="2948" t="s">
        <v>636</v>
      </c>
      <c r="D1204" s="2948" t="s">
        <v>1862</v>
      </c>
      <c r="E1204" s="2948" t="s">
        <v>729</v>
      </c>
      <c r="F1204" s="2948" t="s">
        <v>902</v>
      </c>
      <c r="G1204" s="2948" t="s">
        <v>640</v>
      </c>
      <c r="H1204" s="2948" t="s">
        <v>1863</v>
      </c>
      <c r="I1204" s="2948" t="s">
        <v>1027</v>
      </c>
      <c r="J1204" s="2948" t="s">
        <v>643</v>
      </c>
      <c r="K1204" s="2950">
        <v>33.03</v>
      </c>
      <c r="L1204" s="2950">
        <v>13.25</v>
      </c>
      <c r="M1204" s="2951">
        <v>550164</v>
      </c>
      <c r="N1204" s="2951">
        <v>550164</v>
      </c>
      <c r="O1204" s="2952">
        <v>550164</v>
      </c>
      <c r="P1204" s="2953">
        <v>550164</v>
      </c>
      <c r="Q1204" s="2951">
        <v>550164</v>
      </c>
      <c r="R1204" s="2954">
        <v>44735</v>
      </c>
      <c r="S1204" s="2954">
        <v>44737</v>
      </c>
      <c r="T1204" s="2954">
        <v>44756</v>
      </c>
      <c r="U1204" s="2954">
        <v>44756</v>
      </c>
      <c r="V1204" s="2948" t="s">
        <v>1589</v>
      </c>
      <c r="W1204" s="2944">
        <f t="shared" si="5"/>
        <v>16656.494096276099</v>
      </c>
    </row>
    <row r="1205" spans="1:23" s="2944" customFormat="1" ht="46.8" hidden="1">
      <c r="A1205" s="2948">
        <v>1204</v>
      </c>
      <c r="B1205" s="2948" t="s">
        <v>635</v>
      </c>
      <c r="C1205" s="2948" t="s">
        <v>636</v>
      </c>
      <c r="D1205" s="2948" t="s">
        <v>1862</v>
      </c>
      <c r="E1205" s="2948" t="s">
        <v>729</v>
      </c>
      <c r="F1205" s="2948" t="s">
        <v>1358</v>
      </c>
      <c r="G1205" s="2948" t="s">
        <v>1035</v>
      </c>
      <c r="H1205" s="2948" t="s">
        <v>1863</v>
      </c>
      <c r="I1205" s="2948" t="s">
        <v>1027</v>
      </c>
      <c r="J1205" s="2948" t="s">
        <v>643</v>
      </c>
      <c r="K1205" s="2950">
        <v>33.03</v>
      </c>
      <c r="L1205" s="2950">
        <v>13.25</v>
      </c>
      <c r="M1205" s="2951">
        <v>550164</v>
      </c>
      <c r="N1205" s="2951">
        <v>550164</v>
      </c>
      <c r="O1205" s="2955"/>
      <c r="P1205" s="2948"/>
      <c r="Q1205" s="2951">
        <v>0</v>
      </c>
      <c r="R1205" s="2948"/>
      <c r="S1205" s="2948"/>
      <c r="T1205" s="2948"/>
      <c r="U1205" s="2948"/>
      <c r="V1205" s="2948"/>
      <c r="W1205" s="2944">
        <f t="shared" si="5"/>
        <v>0</v>
      </c>
    </row>
    <row r="1206" spans="1:23" s="2944" customFormat="1" ht="46.8">
      <c r="A1206" s="2948">
        <v>1205</v>
      </c>
      <c r="B1206" s="2948" t="s">
        <v>635</v>
      </c>
      <c r="C1206" s="2948" t="s">
        <v>636</v>
      </c>
      <c r="D1206" s="2948" t="s">
        <v>1862</v>
      </c>
      <c r="E1206" s="2948" t="s">
        <v>729</v>
      </c>
      <c r="F1206" s="2948" t="s">
        <v>1359</v>
      </c>
      <c r="G1206" s="2948" t="s">
        <v>640</v>
      </c>
      <c r="H1206" s="2948" t="s">
        <v>1863</v>
      </c>
      <c r="I1206" s="2948" t="s">
        <v>1027</v>
      </c>
      <c r="J1206" s="2948" t="s">
        <v>643</v>
      </c>
      <c r="K1206" s="2950">
        <v>33.03</v>
      </c>
      <c r="L1206" s="2950">
        <v>13.25</v>
      </c>
      <c r="M1206" s="2951">
        <v>550164</v>
      </c>
      <c r="N1206" s="2951">
        <v>550164</v>
      </c>
      <c r="O1206" s="2952">
        <v>550164</v>
      </c>
      <c r="P1206" s="2953">
        <v>550164</v>
      </c>
      <c r="Q1206" s="2951">
        <v>550164</v>
      </c>
      <c r="R1206" s="2954">
        <v>44497</v>
      </c>
      <c r="S1206" s="2954">
        <v>44497</v>
      </c>
      <c r="T1206" s="2954">
        <v>44523</v>
      </c>
      <c r="U1206" s="2954">
        <v>44523</v>
      </c>
      <c r="V1206" s="2948" t="s">
        <v>1539</v>
      </c>
      <c r="W1206" s="2944">
        <f t="shared" si="5"/>
        <v>16656.494096276099</v>
      </c>
    </row>
    <row r="1207" spans="1:23" s="2944" customFormat="1" ht="46.8">
      <c r="A1207" s="2948">
        <v>1206</v>
      </c>
      <c r="B1207" s="2948" t="s">
        <v>635</v>
      </c>
      <c r="C1207" s="2948" t="s">
        <v>636</v>
      </c>
      <c r="D1207" s="2948" t="s">
        <v>1862</v>
      </c>
      <c r="E1207" s="2948" t="s">
        <v>729</v>
      </c>
      <c r="F1207" s="2948" t="s">
        <v>1360</v>
      </c>
      <c r="G1207" s="2948" t="s">
        <v>640</v>
      </c>
      <c r="H1207" s="2948" t="s">
        <v>1863</v>
      </c>
      <c r="I1207" s="2948" t="s">
        <v>1027</v>
      </c>
      <c r="J1207" s="2948" t="s">
        <v>643</v>
      </c>
      <c r="K1207" s="2950">
        <v>33.03</v>
      </c>
      <c r="L1207" s="2950">
        <v>13.25</v>
      </c>
      <c r="M1207" s="2951">
        <v>550164</v>
      </c>
      <c r="N1207" s="2951">
        <v>550164</v>
      </c>
      <c r="O1207" s="2952">
        <v>550164</v>
      </c>
      <c r="P1207" s="2953">
        <v>550164</v>
      </c>
      <c r="Q1207" s="2951">
        <v>550164</v>
      </c>
      <c r="R1207" s="2954">
        <v>44497</v>
      </c>
      <c r="S1207" s="2954">
        <v>44499</v>
      </c>
      <c r="T1207" s="2954">
        <v>44640</v>
      </c>
      <c r="U1207" s="2954">
        <v>44640</v>
      </c>
      <c r="V1207" s="2948" t="s">
        <v>1542</v>
      </c>
      <c r="W1207" s="2944">
        <f t="shared" si="5"/>
        <v>16656.494096276099</v>
      </c>
    </row>
    <row r="1208" spans="1:23" s="2944" customFormat="1" ht="46.8">
      <c r="A1208" s="2948">
        <v>1207</v>
      </c>
      <c r="B1208" s="2948" t="s">
        <v>635</v>
      </c>
      <c r="C1208" s="2948" t="s">
        <v>636</v>
      </c>
      <c r="D1208" s="2948" t="s">
        <v>1862</v>
      </c>
      <c r="E1208" s="2948" t="s">
        <v>729</v>
      </c>
      <c r="F1208" s="2948" t="s">
        <v>1361</v>
      </c>
      <c r="G1208" s="2948" t="s">
        <v>640</v>
      </c>
      <c r="H1208" s="2948" t="s">
        <v>1863</v>
      </c>
      <c r="I1208" s="2948" t="s">
        <v>1027</v>
      </c>
      <c r="J1208" s="2948" t="s">
        <v>643</v>
      </c>
      <c r="K1208" s="2950">
        <v>33.03</v>
      </c>
      <c r="L1208" s="2950">
        <v>13.25</v>
      </c>
      <c r="M1208" s="2951">
        <v>550164</v>
      </c>
      <c r="N1208" s="2951">
        <v>550164</v>
      </c>
      <c r="O1208" s="2952">
        <v>550164</v>
      </c>
      <c r="P1208" s="2953">
        <v>550164</v>
      </c>
      <c r="Q1208" s="2951">
        <v>550164</v>
      </c>
      <c r="R1208" s="2954">
        <v>44499</v>
      </c>
      <c r="S1208" s="2954">
        <v>44500</v>
      </c>
      <c r="T1208" s="2954">
        <v>44529</v>
      </c>
      <c r="U1208" s="2954">
        <v>44529</v>
      </c>
      <c r="V1208" s="2948" t="s">
        <v>1857</v>
      </c>
      <c r="W1208" s="2944">
        <f t="shared" si="5"/>
        <v>16656.494096276099</v>
      </c>
    </row>
    <row r="1209" spans="1:23" s="2944" customFormat="1" ht="46.8">
      <c r="A1209" s="2948">
        <v>1208</v>
      </c>
      <c r="B1209" s="2948" t="s">
        <v>635</v>
      </c>
      <c r="C1209" s="2948" t="s">
        <v>636</v>
      </c>
      <c r="D1209" s="2948" t="s">
        <v>1862</v>
      </c>
      <c r="E1209" s="2948" t="s">
        <v>729</v>
      </c>
      <c r="F1209" s="2948" t="s">
        <v>1362</v>
      </c>
      <c r="G1209" s="2948" t="s">
        <v>640</v>
      </c>
      <c r="H1209" s="2948" t="s">
        <v>1863</v>
      </c>
      <c r="I1209" s="2948" t="s">
        <v>1027</v>
      </c>
      <c r="J1209" s="2948" t="s">
        <v>643</v>
      </c>
      <c r="K1209" s="2950">
        <v>33.03</v>
      </c>
      <c r="L1209" s="2950">
        <v>13.25</v>
      </c>
      <c r="M1209" s="2951">
        <v>550164</v>
      </c>
      <c r="N1209" s="2951">
        <v>550164</v>
      </c>
      <c r="O1209" s="2952">
        <v>550164</v>
      </c>
      <c r="P1209" s="2953">
        <v>550164</v>
      </c>
      <c r="Q1209" s="2951">
        <v>550164</v>
      </c>
      <c r="R1209" s="2954">
        <v>44496</v>
      </c>
      <c r="S1209" s="2954">
        <v>44496</v>
      </c>
      <c r="T1209" s="2954">
        <v>44520</v>
      </c>
      <c r="U1209" s="2954">
        <v>44520</v>
      </c>
      <c r="V1209" s="2948" t="s">
        <v>867</v>
      </c>
      <c r="W1209" s="2944">
        <f t="shared" si="5"/>
        <v>16656.494096276099</v>
      </c>
    </row>
    <row r="1210" spans="1:23" s="2944" customFormat="1" ht="46.8">
      <c r="A1210" s="2948">
        <v>1209</v>
      </c>
      <c r="B1210" s="2948" t="s">
        <v>635</v>
      </c>
      <c r="C1210" s="2948" t="s">
        <v>636</v>
      </c>
      <c r="D1210" s="2948" t="s">
        <v>1862</v>
      </c>
      <c r="E1210" s="2948" t="s">
        <v>729</v>
      </c>
      <c r="F1210" s="2948" t="s">
        <v>1363</v>
      </c>
      <c r="G1210" s="2948" t="s">
        <v>640</v>
      </c>
      <c r="H1210" s="2948" t="s">
        <v>1863</v>
      </c>
      <c r="I1210" s="2948" t="s">
        <v>1027</v>
      </c>
      <c r="J1210" s="2948" t="s">
        <v>643</v>
      </c>
      <c r="K1210" s="2950">
        <v>33.03</v>
      </c>
      <c r="L1210" s="2950">
        <v>13.25</v>
      </c>
      <c r="M1210" s="2951">
        <v>550164</v>
      </c>
      <c r="N1210" s="2951">
        <v>550164</v>
      </c>
      <c r="O1210" s="2952">
        <v>522656</v>
      </c>
      <c r="P1210" s="2953">
        <v>522656</v>
      </c>
      <c r="Q1210" s="2951">
        <v>522656</v>
      </c>
      <c r="R1210" s="2948"/>
      <c r="S1210" s="2954">
        <v>44728.692384259302</v>
      </c>
      <c r="T1210" s="2954">
        <v>44785</v>
      </c>
      <c r="U1210" s="2954">
        <v>44785</v>
      </c>
      <c r="V1210" s="2948" t="s">
        <v>1584</v>
      </c>
      <c r="W1210" s="2944">
        <f t="shared" si="5"/>
        <v>15823.6754465637</v>
      </c>
    </row>
    <row r="1211" spans="1:23" s="2944" customFormat="1" ht="46.8">
      <c r="A1211" s="2948">
        <v>1210</v>
      </c>
      <c r="B1211" s="2948" t="s">
        <v>635</v>
      </c>
      <c r="C1211" s="2948" t="s">
        <v>636</v>
      </c>
      <c r="D1211" s="2948" t="s">
        <v>1862</v>
      </c>
      <c r="E1211" s="2948" t="s">
        <v>729</v>
      </c>
      <c r="F1211" s="2948" t="s">
        <v>1364</v>
      </c>
      <c r="G1211" s="2948" t="s">
        <v>640</v>
      </c>
      <c r="H1211" s="2948" t="s">
        <v>1863</v>
      </c>
      <c r="I1211" s="2948" t="s">
        <v>1027</v>
      </c>
      <c r="J1211" s="2948" t="s">
        <v>643</v>
      </c>
      <c r="K1211" s="2950">
        <v>33.03</v>
      </c>
      <c r="L1211" s="2950">
        <v>13.25</v>
      </c>
      <c r="M1211" s="2951">
        <v>550164</v>
      </c>
      <c r="N1211" s="2951">
        <v>550164</v>
      </c>
      <c r="O1211" s="2952">
        <v>550164</v>
      </c>
      <c r="P1211" s="2953">
        <v>550164</v>
      </c>
      <c r="Q1211" s="2951">
        <v>550164</v>
      </c>
      <c r="R1211" s="2954">
        <v>44499</v>
      </c>
      <c r="S1211" s="2954">
        <v>44500</v>
      </c>
      <c r="T1211" s="2954">
        <v>44516</v>
      </c>
      <c r="U1211" s="2954">
        <v>44516</v>
      </c>
      <c r="V1211" s="2948" t="s">
        <v>1516</v>
      </c>
      <c r="W1211" s="2944">
        <f t="shared" si="5"/>
        <v>16656.494096276099</v>
      </c>
    </row>
    <row r="1212" spans="1:23" s="2944" customFormat="1" ht="46.8">
      <c r="A1212" s="2948">
        <v>1211</v>
      </c>
      <c r="B1212" s="2948" t="s">
        <v>635</v>
      </c>
      <c r="C1212" s="2948" t="s">
        <v>636</v>
      </c>
      <c r="D1212" s="2948" t="s">
        <v>1862</v>
      </c>
      <c r="E1212" s="2948" t="s">
        <v>729</v>
      </c>
      <c r="F1212" s="2948" t="s">
        <v>1365</v>
      </c>
      <c r="G1212" s="2948" t="s">
        <v>640</v>
      </c>
      <c r="H1212" s="2948" t="s">
        <v>1863</v>
      </c>
      <c r="I1212" s="2948" t="s">
        <v>1027</v>
      </c>
      <c r="J1212" s="2948" t="s">
        <v>643</v>
      </c>
      <c r="K1212" s="2950">
        <v>33.03</v>
      </c>
      <c r="L1212" s="2950">
        <v>13.25</v>
      </c>
      <c r="M1212" s="2951">
        <v>550164</v>
      </c>
      <c r="N1212" s="2951">
        <v>550164</v>
      </c>
      <c r="O1212" s="2952">
        <v>550164</v>
      </c>
      <c r="P1212" s="2953">
        <v>550164</v>
      </c>
      <c r="Q1212" s="2951">
        <v>550164</v>
      </c>
      <c r="R1212" s="2954">
        <v>44499</v>
      </c>
      <c r="S1212" s="2954">
        <v>44500</v>
      </c>
      <c r="T1212" s="2954">
        <v>44521</v>
      </c>
      <c r="U1212" s="2954">
        <v>44521</v>
      </c>
      <c r="V1212" s="2948" t="s">
        <v>1517</v>
      </c>
      <c r="W1212" s="2944">
        <f t="shared" si="5"/>
        <v>16656.494096276099</v>
      </c>
    </row>
    <row r="1213" spans="1:23" s="2944" customFormat="1" ht="46.8">
      <c r="A1213" s="2948">
        <v>1212</v>
      </c>
      <c r="B1213" s="2948" t="s">
        <v>635</v>
      </c>
      <c r="C1213" s="2948" t="s">
        <v>636</v>
      </c>
      <c r="D1213" s="2948" t="s">
        <v>1862</v>
      </c>
      <c r="E1213" s="2948" t="s">
        <v>729</v>
      </c>
      <c r="F1213" s="2948" t="s">
        <v>1366</v>
      </c>
      <c r="G1213" s="2948" t="s">
        <v>640</v>
      </c>
      <c r="H1213" s="2948" t="s">
        <v>1863</v>
      </c>
      <c r="I1213" s="2948" t="s">
        <v>1027</v>
      </c>
      <c r="J1213" s="2948" t="s">
        <v>643</v>
      </c>
      <c r="K1213" s="2950">
        <v>33.03</v>
      </c>
      <c r="L1213" s="2950">
        <v>13.25</v>
      </c>
      <c r="M1213" s="2951">
        <v>550164</v>
      </c>
      <c r="N1213" s="2951">
        <v>550164</v>
      </c>
      <c r="O1213" s="2952">
        <v>550164</v>
      </c>
      <c r="P1213" s="2953">
        <v>550164</v>
      </c>
      <c r="Q1213" s="2951">
        <v>550164</v>
      </c>
      <c r="R1213" s="2954">
        <v>44560</v>
      </c>
      <c r="S1213" s="2954">
        <v>44561</v>
      </c>
      <c r="T1213" s="2954">
        <v>44813</v>
      </c>
      <c r="U1213" s="2954">
        <v>44813</v>
      </c>
      <c r="V1213" s="2948" t="s">
        <v>1534</v>
      </c>
      <c r="W1213" s="2944">
        <f t="shared" si="5"/>
        <v>16656.494096276099</v>
      </c>
    </row>
    <row r="1214" spans="1:23" s="2944" customFormat="1" ht="46.8">
      <c r="A1214" s="2948">
        <v>1213</v>
      </c>
      <c r="B1214" s="2948" t="s">
        <v>635</v>
      </c>
      <c r="C1214" s="2948" t="s">
        <v>636</v>
      </c>
      <c r="D1214" s="2948" t="s">
        <v>1862</v>
      </c>
      <c r="E1214" s="2948" t="s">
        <v>729</v>
      </c>
      <c r="F1214" s="2948" t="s">
        <v>1367</v>
      </c>
      <c r="G1214" s="2948" t="s">
        <v>640</v>
      </c>
      <c r="H1214" s="2948" t="s">
        <v>1863</v>
      </c>
      <c r="I1214" s="2948" t="s">
        <v>1027</v>
      </c>
      <c r="J1214" s="2948" t="s">
        <v>643</v>
      </c>
      <c r="K1214" s="2950">
        <v>33.03</v>
      </c>
      <c r="L1214" s="2950">
        <v>13.25</v>
      </c>
      <c r="M1214" s="2951">
        <v>550164</v>
      </c>
      <c r="N1214" s="2951">
        <v>550164</v>
      </c>
      <c r="O1214" s="2952">
        <v>550164</v>
      </c>
      <c r="P1214" s="2953">
        <v>550164</v>
      </c>
      <c r="Q1214" s="2951">
        <v>550164</v>
      </c>
      <c r="R1214" s="2954">
        <v>44497</v>
      </c>
      <c r="S1214" s="2954">
        <v>44499</v>
      </c>
      <c r="T1214" s="2954">
        <v>44530</v>
      </c>
      <c r="U1214" s="2954">
        <v>44526</v>
      </c>
      <c r="V1214" s="2948" t="s">
        <v>1571</v>
      </c>
      <c r="W1214" s="2944">
        <f t="shared" si="5"/>
        <v>16656.494096276099</v>
      </c>
    </row>
    <row r="1215" spans="1:23" s="2944" customFormat="1" ht="46.8">
      <c r="A1215" s="2948">
        <v>1214</v>
      </c>
      <c r="B1215" s="2948" t="s">
        <v>635</v>
      </c>
      <c r="C1215" s="2948" t="s">
        <v>636</v>
      </c>
      <c r="D1215" s="2948" t="s">
        <v>1862</v>
      </c>
      <c r="E1215" s="2948" t="s">
        <v>729</v>
      </c>
      <c r="F1215" s="2948" t="s">
        <v>1368</v>
      </c>
      <c r="G1215" s="2948" t="s">
        <v>640</v>
      </c>
      <c r="H1215" s="2948" t="s">
        <v>1863</v>
      </c>
      <c r="I1215" s="2948" t="s">
        <v>1027</v>
      </c>
      <c r="J1215" s="2948" t="s">
        <v>643</v>
      </c>
      <c r="K1215" s="2950">
        <v>33.03</v>
      </c>
      <c r="L1215" s="2950">
        <v>13.25</v>
      </c>
      <c r="M1215" s="2951">
        <v>550164</v>
      </c>
      <c r="N1215" s="2951">
        <v>550164</v>
      </c>
      <c r="O1215" s="2952">
        <v>550164</v>
      </c>
      <c r="P1215" s="2953">
        <v>550164</v>
      </c>
      <c r="Q1215" s="2951">
        <v>550164</v>
      </c>
      <c r="R1215" s="2954">
        <v>44497</v>
      </c>
      <c r="S1215" s="2954">
        <v>44499</v>
      </c>
      <c r="T1215" s="2954">
        <v>44530</v>
      </c>
      <c r="U1215" s="2954">
        <v>44530</v>
      </c>
      <c r="V1215" s="2948" t="s">
        <v>1572</v>
      </c>
      <c r="W1215" s="2944">
        <f t="shared" si="5"/>
        <v>16656.494096276099</v>
      </c>
    </row>
    <row r="1216" spans="1:23" s="2944" customFormat="1" ht="46.8">
      <c r="A1216" s="2948">
        <v>1215</v>
      </c>
      <c r="B1216" s="2948" t="s">
        <v>635</v>
      </c>
      <c r="C1216" s="2948" t="s">
        <v>636</v>
      </c>
      <c r="D1216" s="2948" t="s">
        <v>1862</v>
      </c>
      <c r="E1216" s="2948" t="s">
        <v>729</v>
      </c>
      <c r="F1216" s="2948" t="s">
        <v>1369</v>
      </c>
      <c r="G1216" s="2948" t="s">
        <v>640</v>
      </c>
      <c r="H1216" s="2948" t="s">
        <v>1863</v>
      </c>
      <c r="I1216" s="2948" t="s">
        <v>1027</v>
      </c>
      <c r="J1216" s="2948" t="s">
        <v>643</v>
      </c>
      <c r="K1216" s="2950">
        <v>33.03</v>
      </c>
      <c r="L1216" s="2950">
        <v>13.25</v>
      </c>
      <c r="M1216" s="2951">
        <v>550164</v>
      </c>
      <c r="N1216" s="2951">
        <v>550164</v>
      </c>
      <c r="O1216" s="2952">
        <v>550164</v>
      </c>
      <c r="P1216" s="2953">
        <v>550164</v>
      </c>
      <c r="Q1216" s="2951">
        <v>550164</v>
      </c>
      <c r="R1216" s="2954">
        <v>44496</v>
      </c>
      <c r="S1216" s="2954">
        <v>44496</v>
      </c>
      <c r="T1216" s="2954">
        <v>44526</v>
      </c>
      <c r="U1216" s="2954">
        <v>44526</v>
      </c>
      <c r="V1216" s="2948" t="s">
        <v>1547</v>
      </c>
      <c r="W1216" s="2944">
        <f t="shared" si="5"/>
        <v>16656.494096276099</v>
      </c>
    </row>
    <row r="1217" spans="1:23" s="2944" customFormat="1" ht="46.8">
      <c r="A1217" s="2948">
        <v>1216</v>
      </c>
      <c r="B1217" s="2948" t="s">
        <v>635</v>
      </c>
      <c r="C1217" s="2948" t="s">
        <v>636</v>
      </c>
      <c r="D1217" s="2948" t="s">
        <v>1862</v>
      </c>
      <c r="E1217" s="2948" t="s">
        <v>729</v>
      </c>
      <c r="F1217" s="2948" t="s">
        <v>1370</v>
      </c>
      <c r="G1217" s="2948" t="s">
        <v>640</v>
      </c>
      <c r="H1217" s="2948" t="s">
        <v>1863</v>
      </c>
      <c r="I1217" s="2948" t="s">
        <v>1027</v>
      </c>
      <c r="J1217" s="2948" t="s">
        <v>643</v>
      </c>
      <c r="K1217" s="2950">
        <v>33.03</v>
      </c>
      <c r="L1217" s="2950">
        <v>13.25</v>
      </c>
      <c r="M1217" s="2951">
        <v>550164</v>
      </c>
      <c r="N1217" s="2951">
        <v>550164</v>
      </c>
      <c r="O1217" s="2952">
        <v>550164</v>
      </c>
      <c r="P1217" s="2953">
        <v>550164</v>
      </c>
      <c r="Q1217" s="2951">
        <v>550164</v>
      </c>
      <c r="R1217" s="2954">
        <v>45102</v>
      </c>
      <c r="S1217" s="2954">
        <v>45106</v>
      </c>
      <c r="T1217" s="2954">
        <v>45106</v>
      </c>
      <c r="U1217" s="2954">
        <v>45106</v>
      </c>
      <c r="V1217" s="2948" t="s">
        <v>1712</v>
      </c>
      <c r="W1217" s="2944">
        <f t="shared" si="5"/>
        <v>16656.494096276099</v>
      </c>
    </row>
    <row r="1218" spans="1:23" s="2944" customFormat="1" ht="46.8">
      <c r="A1218" s="2948">
        <v>1217</v>
      </c>
      <c r="B1218" s="2948" t="s">
        <v>635</v>
      </c>
      <c r="C1218" s="2948" t="s">
        <v>636</v>
      </c>
      <c r="D1218" s="2948" t="s">
        <v>1862</v>
      </c>
      <c r="E1218" s="2948" t="s">
        <v>729</v>
      </c>
      <c r="F1218" s="2948" t="s">
        <v>1372</v>
      </c>
      <c r="G1218" s="2948" t="s">
        <v>640</v>
      </c>
      <c r="H1218" s="2948" t="s">
        <v>1863</v>
      </c>
      <c r="I1218" s="2948" t="s">
        <v>1027</v>
      </c>
      <c r="J1218" s="2948" t="s">
        <v>643</v>
      </c>
      <c r="K1218" s="2950">
        <v>33.03</v>
      </c>
      <c r="L1218" s="2950">
        <v>13.25</v>
      </c>
      <c r="M1218" s="2951">
        <v>550164</v>
      </c>
      <c r="N1218" s="2951">
        <v>550164</v>
      </c>
      <c r="O1218" s="2952">
        <v>550164</v>
      </c>
      <c r="P1218" s="2953">
        <v>550164</v>
      </c>
      <c r="Q1218" s="2951">
        <v>550164</v>
      </c>
      <c r="R1218" s="2954">
        <v>44735</v>
      </c>
      <c r="S1218" s="2954">
        <v>44736</v>
      </c>
      <c r="T1218" s="2954">
        <v>44753</v>
      </c>
      <c r="U1218" s="2954">
        <v>44753</v>
      </c>
      <c r="V1218" s="2948" t="s">
        <v>1538</v>
      </c>
      <c r="W1218" s="2944">
        <f t="shared" si="5"/>
        <v>16656.494096276099</v>
      </c>
    </row>
    <row r="1219" spans="1:23" s="2944" customFormat="1" ht="46.8">
      <c r="A1219" s="2948">
        <v>1218</v>
      </c>
      <c r="B1219" s="2948" t="s">
        <v>635</v>
      </c>
      <c r="C1219" s="2948" t="s">
        <v>636</v>
      </c>
      <c r="D1219" s="2948" t="s">
        <v>1862</v>
      </c>
      <c r="E1219" s="2948" t="s">
        <v>729</v>
      </c>
      <c r="F1219" s="2948" t="s">
        <v>1373</v>
      </c>
      <c r="G1219" s="2948" t="s">
        <v>640</v>
      </c>
      <c r="H1219" s="2948" t="s">
        <v>1863</v>
      </c>
      <c r="I1219" s="2948" t="s">
        <v>1027</v>
      </c>
      <c r="J1219" s="2948" t="s">
        <v>643</v>
      </c>
      <c r="K1219" s="2950">
        <v>33.03</v>
      </c>
      <c r="L1219" s="2950">
        <v>13.25</v>
      </c>
      <c r="M1219" s="2951">
        <v>550164</v>
      </c>
      <c r="N1219" s="2951">
        <v>550164</v>
      </c>
      <c r="O1219" s="2952">
        <v>550164</v>
      </c>
      <c r="P1219" s="2953">
        <v>550164</v>
      </c>
      <c r="Q1219" s="2951">
        <v>550164</v>
      </c>
      <c r="R1219" s="2954">
        <v>44526</v>
      </c>
      <c r="S1219" s="2954">
        <v>44526</v>
      </c>
      <c r="T1219" s="2954">
        <v>44743</v>
      </c>
      <c r="U1219" s="2954">
        <v>44743</v>
      </c>
      <c r="V1219" s="2948" t="s">
        <v>1521</v>
      </c>
      <c r="W1219" s="2944">
        <f t="shared" si="5"/>
        <v>16656.494096276099</v>
      </c>
    </row>
    <row r="1220" spans="1:23" s="2944" customFormat="1" ht="46.8">
      <c r="A1220" s="2948">
        <v>1219</v>
      </c>
      <c r="B1220" s="2948" t="s">
        <v>635</v>
      </c>
      <c r="C1220" s="2948" t="s">
        <v>636</v>
      </c>
      <c r="D1220" s="2948" t="s">
        <v>1862</v>
      </c>
      <c r="E1220" s="2948" t="s">
        <v>729</v>
      </c>
      <c r="F1220" s="2948" t="s">
        <v>1374</v>
      </c>
      <c r="G1220" s="2948" t="s">
        <v>640</v>
      </c>
      <c r="H1220" s="2948" t="s">
        <v>1863</v>
      </c>
      <c r="I1220" s="2948" t="s">
        <v>1027</v>
      </c>
      <c r="J1220" s="2948" t="s">
        <v>643</v>
      </c>
      <c r="K1220" s="2950">
        <v>33.03</v>
      </c>
      <c r="L1220" s="2950">
        <v>13.25</v>
      </c>
      <c r="M1220" s="2951">
        <v>550164</v>
      </c>
      <c r="N1220" s="2951">
        <v>550164</v>
      </c>
      <c r="O1220" s="2952">
        <v>550164</v>
      </c>
      <c r="P1220" s="2953">
        <v>550164</v>
      </c>
      <c r="Q1220" s="2951">
        <v>550164</v>
      </c>
      <c r="R1220" s="2954">
        <v>44497</v>
      </c>
      <c r="S1220" s="2954">
        <v>44499</v>
      </c>
      <c r="T1220" s="2954">
        <v>44523</v>
      </c>
      <c r="U1220" s="2954">
        <v>44523</v>
      </c>
      <c r="V1220" s="2948" t="s">
        <v>1506</v>
      </c>
      <c r="W1220" s="2944">
        <f t="shared" si="5"/>
        <v>16656.494096276099</v>
      </c>
    </row>
    <row r="1221" spans="1:23" s="2944" customFormat="1" ht="46.8">
      <c r="A1221" s="2948">
        <v>1220</v>
      </c>
      <c r="B1221" s="2948" t="s">
        <v>635</v>
      </c>
      <c r="C1221" s="2948" t="s">
        <v>636</v>
      </c>
      <c r="D1221" s="2948" t="s">
        <v>1862</v>
      </c>
      <c r="E1221" s="2948" t="s">
        <v>729</v>
      </c>
      <c r="F1221" s="2948" t="s">
        <v>1375</v>
      </c>
      <c r="G1221" s="2948" t="s">
        <v>640</v>
      </c>
      <c r="H1221" s="2948" t="s">
        <v>1863</v>
      </c>
      <c r="I1221" s="2948" t="s">
        <v>1027</v>
      </c>
      <c r="J1221" s="2948" t="s">
        <v>643</v>
      </c>
      <c r="K1221" s="2950">
        <v>33.03</v>
      </c>
      <c r="L1221" s="2950">
        <v>13.25</v>
      </c>
      <c r="M1221" s="2951">
        <v>550164</v>
      </c>
      <c r="N1221" s="2951">
        <v>550164</v>
      </c>
      <c r="O1221" s="2952">
        <v>522656</v>
      </c>
      <c r="P1221" s="2953">
        <v>522656</v>
      </c>
      <c r="Q1221" s="2951">
        <v>522656</v>
      </c>
      <c r="R1221" s="2954">
        <v>44558</v>
      </c>
      <c r="S1221" s="2954">
        <v>44728</v>
      </c>
      <c r="T1221" s="2954">
        <v>44747</v>
      </c>
      <c r="U1221" s="2954">
        <v>44747</v>
      </c>
      <c r="V1221" s="2948" t="s">
        <v>1510</v>
      </c>
      <c r="W1221" s="2944">
        <f t="shared" si="5"/>
        <v>15823.6754465637</v>
      </c>
    </row>
    <row r="1222" spans="1:23" s="2944" customFormat="1" ht="46.8">
      <c r="A1222" s="2948">
        <v>1221</v>
      </c>
      <c r="B1222" s="2948" t="s">
        <v>635</v>
      </c>
      <c r="C1222" s="2948" t="s">
        <v>636</v>
      </c>
      <c r="D1222" s="2948" t="s">
        <v>1862</v>
      </c>
      <c r="E1222" s="2948" t="s">
        <v>729</v>
      </c>
      <c r="F1222" s="2948" t="s">
        <v>1376</v>
      </c>
      <c r="G1222" s="2948" t="s">
        <v>640</v>
      </c>
      <c r="H1222" s="2948" t="s">
        <v>1863</v>
      </c>
      <c r="I1222" s="2948" t="s">
        <v>1027</v>
      </c>
      <c r="J1222" s="2948" t="s">
        <v>643</v>
      </c>
      <c r="K1222" s="2950">
        <v>33.03</v>
      </c>
      <c r="L1222" s="2950">
        <v>13.25</v>
      </c>
      <c r="M1222" s="2951">
        <v>550164</v>
      </c>
      <c r="N1222" s="2951">
        <v>550164</v>
      </c>
      <c r="O1222" s="2952">
        <v>550164</v>
      </c>
      <c r="P1222" s="2953">
        <v>550164</v>
      </c>
      <c r="Q1222" s="2951">
        <v>550164</v>
      </c>
      <c r="R1222" s="2954">
        <v>44496</v>
      </c>
      <c r="S1222" s="2954">
        <v>44497</v>
      </c>
      <c r="T1222" s="2954">
        <v>44636</v>
      </c>
      <c r="U1222" s="2954">
        <v>44636</v>
      </c>
      <c r="V1222" s="2948" t="s">
        <v>1540</v>
      </c>
      <c r="W1222" s="2944">
        <f t="shared" si="5"/>
        <v>16656.494096276099</v>
      </c>
    </row>
    <row r="1223" spans="1:23" s="2944" customFormat="1" ht="46.8">
      <c r="A1223" s="2948">
        <v>1222</v>
      </c>
      <c r="B1223" s="2948" t="s">
        <v>635</v>
      </c>
      <c r="C1223" s="2948" t="s">
        <v>636</v>
      </c>
      <c r="D1223" s="2948" t="s">
        <v>1862</v>
      </c>
      <c r="E1223" s="2948" t="s">
        <v>729</v>
      </c>
      <c r="F1223" s="2948" t="s">
        <v>1377</v>
      </c>
      <c r="G1223" s="2948" t="s">
        <v>640</v>
      </c>
      <c r="H1223" s="2948" t="s">
        <v>1863</v>
      </c>
      <c r="I1223" s="2948" t="s">
        <v>1027</v>
      </c>
      <c r="J1223" s="2948" t="s">
        <v>643</v>
      </c>
      <c r="K1223" s="2950">
        <v>33.03</v>
      </c>
      <c r="L1223" s="2950">
        <v>13.25</v>
      </c>
      <c r="M1223" s="2951">
        <v>550164</v>
      </c>
      <c r="N1223" s="2951">
        <v>550164</v>
      </c>
      <c r="O1223" s="2952">
        <v>550164</v>
      </c>
      <c r="P1223" s="2953">
        <v>550164</v>
      </c>
      <c r="Q1223" s="2951">
        <v>550164</v>
      </c>
      <c r="R1223" s="2954">
        <v>44497</v>
      </c>
      <c r="S1223" s="2954">
        <v>44499</v>
      </c>
      <c r="T1223" s="2954">
        <v>44644</v>
      </c>
      <c r="U1223" s="2954">
        <v>44644</v>
      </c>
      <c r="V1223" s="2948" t="s">
        <v>1505</v>
      </c>
      <c r="W1223" s="2944">
        <f t="shared" si="5"/>
        <v>16656.494096276099</v>
      </c>
    </row>
    <row r="1224" spans="1:23" s="2944" customFormat="1" ht="46.8">
      <c r="A1224" s="2948">
        <v>1223</v>
      </c>
      <c r="B1224" s="2948" t="s">
        <v>635</v>
      </c>
      <c r="C1224" s="2948" t="s">
        <v>636</v>
      </c>
      <c r="D1224" s="2948" t="s">
        <v>1862</v>
      </c>
      <c r="E1224" s="2948" t="s">
        <v>729</v>
      </c>
      <c r="F1224" s="2948" t="s">
        <v>1379</v>
      </c>
      <c r="G1224" s="2948" t="s">
        <v>640</v>
      </c>
      <c r="H1224" s="2948" t="s">
        <v>1863</v>
      </c>
      <c r="I1224" s="2948" t="s">
        <v>1027</v>
      </c>
      <c r="J1224" s="2948" t="s">
        <v>643</v>
      </c>
      <c r="K1224" s="2950">
        <v>33.03</v>
      </c>
      <c r="L1224" s="2950">
        <v>13.25</v>
      </c>
      <c r="M1224" s="2951">
        <v>550164</v>
      </c>
      <c r="N1224" s="2951">
        <v>550164</v>
      </c>
      <c r="O1224" s="2952">
        <v>550164</v>
      </c>
      <c r="P1224" s="2953">
        <v>550164</v>
      </c>
      <c r="Q1224" s="2951">
        <v>550164</v>
      </c>
      <c r="R1224" s="2954">
        <v>44495</v>
      </c>
      <c r="S1224" s="2954">
        <v>44496</v>
      </c>
      <c r="T1224" s="2954">
        <v>44527</v>
      </c>
      <c r="U1224" s="2954">
        <v>44527</v>
      </c>
      <c r="V1224" s="2948" t="s">
        <v>1546</v>
      </c>
      <c r="W1224" s="2944">
        <f t="shared" si="5"/>
        <v>16656.494096276099</v>
      </c>
    </row>
    <row r="1225" spans="1:23" s="2944" customFormat="1" ht="46.8">
      <c r="A1225" s="2948">
        <v>1224</v>
      </c>
      <c r="B1225" s="2948" t="s">
        <v>635</v>
      </c>
      <c r="C1225" s="2948" t="s">
        <v>636</v>
      </c>
      <c r="D1225" s="2948" t="s">
        <v>1862</v>
      </c>
      <c r="E1225" s="2948" t="s">
        <v>729</v>
      </c>
      <c r="F1225" s="2948" t="s">
        <v>1380</v>
      </c>
      <c r="G1225" s="2948" t="s">
        <v>640</v>
      </c>
      <c r="H1225" s="2948" t="s">
        <v>1863</v>
      </c>
      <c r="I1225" s="2948" t="s">
        <v>1027</v>
      </c>
      <c r="J1225" s="2948" t="s">
        <v>643</v>
      </c>
      <c r="K1225" s="2950">
        <v>33.03</v>
      </c>
      <c r="L1225" s="2950">
        <v>13.25</v>
      </c>
      <c r="M1225" s="2951">
        <v>550164</v>
      </c>
      <c r="N1225" s="2951">
        <v>550164</v>
      </c>
      <c r="O1225" s="2952">
        <v>550164</v>
      </c>
      <c r="P1225" s="2953">
        <v>550164</v>
      </c>
      <c r="Q1225" s="2951">
        <v>550164</v>
      </c>
      <c r="R1225" s="2954">
        <v>44495</v>
      </c>
      <c r="S1225" s="2954">
        <v>44497</v>
      </c>
      <c r="T1225" s="2954">
        <v>44518</v>
      </c>
      <c r="U1225" s="2954">
        <v>44518</v>
      </c>
      <c r="V1225" s="2948" t="s">
        <v>1512</v>
      </c>
      <c r="W1225" s="2944">
        <f t="shared" si="5"/>
        <v>16656.494096276099</v>
      </c>
    </row>
    <row r="1226" spans="1:23" s="2944" customFormat="1" ht="46.8">
      <c r="A1226" s="2948">
        <v>1225</v>
      </c>
      <c r="B1226" s="2948" t="s">
        <v>635</v>
      </c>
      <c r="C1226" s="2948" t="s">
        <v>636</v>
      </c>
      <c r="D1226" s="2948" t="s">
        <v>1862</v>
      </c>
      <c r="E1226" s="2948" t="s">
        <v>729</v>
      </c>
      <c r="F1226" s="2948" t="s">
        <v>1382</v>
      </c>
      <c r="G1226" s="2948" t="s">
        <v>640</v>
      </c>
      <c r="H1226" s="2948" t="s">
        <v>1863</v>
      </c>
      <c r="I1226" s="2948" t="s">
        <v>1027</v>
      </c>
      <c r="J1226" s="2948" t="s">
        <v>643</v>
      </c>
      <c r="K1226" s="2950">
        <v>33.03</v>
      </c>
      <c r="L1226" s="2950">
        <v>13.25</v>
      </c>
      <c r="M1226" s="2951">
        <v>550164</v>
      </c>
      <c r="N1226" s="2951">
        <v>550164</v>
      </c>
      <c r="O1226" s="2952">
        <v>550164</v>
      </c>
      <c r="P1226" s="2953">
        <v>550164</v>
      </c>
      <c r="Q1226" s="2951">
        <v>550164</v>
      </c>
      <c r="R1226" s="2954">
        <v>44497</v>
      </c>
      <c r="S1226" s="2954">
        <v>44497</v>
      </c>
      <c r="T1226" s="2954">
        <v>44524</v>
      </c>
      <c r="U1226" s="2954">
        <v>44524</v>
      </c>
      <c r="V1226" s="2948" t="s">
        <v>1518</v>
      </c>
      <c r="W1226" s="2944">
        <f t="shared" si="5"/>
        <v>16656.494096276099</v>
      </c>
    </row>
    <row r="1227" spans="1:23" s="2944" customFormat="1" ht="46.8">
      <c r="A1227" s="2948">
        <v>1226</v>
      </c>
      <c r="B1227" s="2948" t="s">
        <v>635</v>
      </c>
      <c r="C1227" s="2948" t="s">
        <v>636</v>
      </c>
      <c r="D1227" s="2948" t="s">
        <v>1862</v>
      </c>
      <c r="E1227" s="2948" t="s">
        <v>729</v>
      </c>
      <c r="F1227" s="2948" t="s">
        <v>1383</v>
      </c>
      <c r="G1227" s="2948" t="s">
        <v>640</v>
      </c>
      <c r="H1227" s="2948" t="s">
        <v>1863</v>
      </c>
      <c r="I1227" s="2948" t="s">
        <v>1027</v>
      </c>
      <c r="J1227" s="2948" t="s">
        <v>643</v>
      </c>
      <c r="K1227" s="2950">
        <v>33.03</v>
      </c>
      <c r="L1227" s="2950">
        <v>13.25</v>
      </c>
      <c r="M1227" s="2951">
        <v>550164</v>
      </c>
      <c r="N1227" s="2951">
        <v>550164</v>
      </c>
      <c r="O1227" s="2952">
        <v>550164</v>
      </c>
      <c r="P1227" s="2953">
        <v>550164</v>
      </c>
      <c r="Q1227" s="2951">
        <v>550164</v>
      </c>
      <c r="R1227" s="2954">
        <v>44495</v>
      </c>
      <c r="S1227" s="2954">
        <v>44496</v>
      </c>
      <c r="T1227" s="2954">
        <v>44533</v>
      </c>
      <c r="U1227" s="2954">
        <v>44533</v>
      </c>
      <c r="V1227" s="2948" t="s">
        <v>1526</v>
      </c>
      <c r="W1227" s="2944">
        <f t="shared" si="5"/>
        <v>16656.494096276099</v>
      </c>
    </row>
    <row r="1228" spans="1:23" s="2944" customFormat="1" ht="46.8">
      <c r="A1228" s="2948">
        <v>1227</v>
      </c>
      <c r="B1228" s="2948" t="s">
        <v>635</v>
      </c>
      <c r="C1228" s="2948" t="s">
        <v>636</v>
      </c>
      <c r="D1228" s="2948" t="s">
        <v>1862</v>
      </c>
      <c r="E1228" s="2948" t="s">
        <v>729</v>
      </c>
      <c r="F1228" s="2948" t="s">
        <v>1384</v>
      </c>
      <c r="G1228" s="2948" t="s">
        <v>640</v>
      </c>
      <c r="H1228" s="2948" t="s">
        <v>1863</v>
      </c>
      <c r="I1228" s="2948" t="s">
        <v>1027</v>
      </c>
      <c r="J1228" s="2948" t="s">
        <v>643</v>
      </c>
      <c r="K1228" s="2950">
        <v>33.03</v>
      </c>
      <c r="L1228" s="2950">
        <v>13.25</v>
      </c>
      <c r="M1228" s="2951">
        <v>550164</v>
      </c>
      <c r="N1228" s="2951">
        <v>550164</v>
      </c>
      <c r="O1228" s="2952">
        <v>550164</v>
      </c>
      <c r="P1228" s="2953">
        <v>550164</v>
      </c>
      <c r="Q1228" s="2951">
        <v>550164</v>
      </c>
      <c r="R1228" s="2954">
        <v>44497</v>
      </c>
      <c r="S1228" s="2954">
        <v>44497</v>
      </c>
      <c r="T1228" s="2954">
        <v>44527</v>
      </c>
      <c r="U1228" s="2954">
        <v>44527</v>
      </c>
      <c r="V1228" s="2948" t="s">
        <v>1544</v>
      </c>
      <c r="W1228" s="2944">
        <f t="shared" si="5"/>
        <v>16656.494096276099</v>
      </c>
    </row>
    <row r="1229" spans="1:23" s="2944" customFormat="1" ht="46.8">
      <c r="A1229" s="2948">
        <v>1228</v>
      </c>
      <c r="B1229" s="2948" t="s">
        <v>635</v>
      </c>
      <c r="C1229" s="2948" t="s">
        <v>636</v>
      </c>
      <c r="D1229" s="2948" t="s">
        <v>1862</v>
      </c>
      <c r="E1229" s="2948" t="s">
        <v>729</v>
      </c>
      <c r="F1229" s="2948" t="s">
        <v>1385</v>
      </c>
      <c r="G1229" s="2948" t="s">
        <v>640</v>
      </c>
      <c r="H1229" s="2948" t="s">
        <v>1863</v>
      </c>
      <c r="I1229" s="2948" t="s">
        <v>1027</v>
      </c>
      <c r="J1229" s="2948" t="s">
        <v>643</v>
      </c>
      <c r="K1229" s="2950">
        <v>33.03</v>
      </c>
      <c r="L1229" s="2950">
        <v>13.25</v>
      </c>
      <c r="M1229" s="2951">
        <v>550164</v>
      </c>
      <c r="N1229" s="2951">
        <v>550164</v>
      </c>
      <c r="O1229" s="2952">
        <v>550164</v>
      </c>
      <c r="P1229" s="2953">
        <v>550164</v>
      </c>
      <c r="Q1229" s="2951">
        <v>550164</v>
      </c>
      <c r="R1229" s="2954">
        <v>44495</v>
      </c>
      <c r="S1229" s="2954">
        <v>44497</v>
      </c>
      <c r="T1229" s="2954">
        <v>44505</v>
      </c>
      <c r="U1229" s="2954">
        <v>44505</v>
      </c>
      <c r="V1229" s="2948" t="s">
        <v>1528</v>
      </c>
      <c r="W1229" s="2944">
        <f t="shared" si="5"/>
        <v>16656.494096276099</v>
      </c>
    </row>
    <row r="1230" spans="1:23" s="2944" customFormat="1" ht="46.8" hidden="1">
      <c r="A1230" s="2948">
        <v>1229</v>
      </c>
      <c r="B1230" s="2948" t="s">
        <v>635</v>
      </c>
      <c r="C1230" s="2948" t="s">
        <v>636</v>
      </c>
      <c r="D1230" s="2948" t="s">
        <v>1862</v>
      </c>
      <c r="E1230" s="2948" t="s">
        <v>729</v>
      </c>
      <c r="F1230" s="2948" t="s">
        <v>1386</v>
      </c>
      <c r="G1230" s="2948" t="s">
        <v>1035</v>
      </c>
      <c r="H1230" s="2948" t="s">
        <v>1863</v>
      </c>
      <c r="I1230" s="2948" t="s">
        <v>1027</v>
      </c>
      <c r="J1230" s="2948" t="s">
        <v>643</v>
      </c>
      <c r="K1230" s="2950">
        <v>33.03</v>
      </c>
      <c r="L1230" s="2950">
        <v>13.25</v>
      </c>
      <c r="M1230" s="2951">
        <v>550164</v>
      </c>
      <c r="N1230" s="2951">
        <v>550164</v>
      </c>
      <c r="O1230" s="2955"/>
      <c r="P1230" s="2948"/>
      <c r="Q1230" s="2951">
        <v>0</v>
      </c>
      <c r="R1230" s="2948"/>
      <c r="S1230" s="2948"/>
      <c r="T1230" s="2948"/>
      <c r="U1230" s="2948"/>
      <c r="V1230" s="2948"/>
      <c r="W1230" s="2944">
        <f t="shared" si="5"/>
        <v>0</v>
      </c>
    </row>
    <row r="1231" spans="1:23" s="2944" customFormat="1" ht="46.8">
      <c r="A1231" s="2948">
        <v>1230</v>
      </c>
      <c r="B1231" s="2948" t="s">
        <v>635</v>
      </c>
      <c r="C1231" s="2948" t="s">
        <v>636</v>
      </c>
      <c r="D1231" s="2948" t="s">
        <v>1862</v>
      </c>
      <c r="E1231" s="2948" t="s">
        <v>729</v>
      </c>
      <c r="F1231" s="2948" t="s">
        <v>1387</v>
      </c>
      <c r="G1231" s="2948" t="s">
        <v>640</v>
      </c>
      <c r="H1231" s="2948" t="s">
        <v>1863</v>
      </c>
      <c r="I1231" s="2948" t="s">
        <v>1027</v>
      </c>
      <c r="J1231" s="2948" t="s">
        <v>643</v>
      </c>
      <c r="K1231" s="2950">
        <v>33.03</v>
      </c>
      <c r="L1231" s="2950">
        <v>13.25</v>
      </c>
      <c r="M1231" s="2951">
        <v>550164</v>
      </c>
      <c r="N1231" s="2951">
        <v>550164</v>
      </c>
      <c r="O1231" s="2952">
        <v>550164</v>
      </c>
      <c r="P1231" s="2953">
        <v>550164</v>
      </c>
      <c r="Q1231" s="2951">
        <v>550164</v>
      </c>
      <c r="R1231" s="2954">
        <v>44737</v>
      </c>
      <c r="S1231" s="2954">
        <v>44737</v>
      </c>
      <c r="T1231" s="2954">
        <v>44756</v>
      </c>
      <c r="U1231" s="2954">
        <v>44756</v>
      </c>
      <c r="V1231" s="2948" t="s">
        <v>1781</v>
      </c>
      <c r="W1231" s="2944">
        <f t="shared" si="5"/>
        <v>16656.494096276099</v>
      </c>
    </row>
    <row r="1232" spans="1:23" s="2944" customFormat="1" ht="46.8">
      <c r="A1232" s="2948">
        <v>1231</v>
      </c>
      <c r="B1232" s="2948" t="s">
        <v>635</v>
      </c>
      <c r="C1232" s="2948" t="s">
        <v>636</v>
      </c>
      <c r="D1232" s="2948" t="s">
        <v>1862</v>
      </c>
      <c r="E1232" s="2948" t="s">
        <v>729</v>
      </c>
      <c r="F1232" s="2948" t="s">
        <v>1388</v>
      </c>
      <c r="G1232" s="2948" t="s">
        <v>640</v>
      </c>
      <c r="H1232" s="2948" t="s">
        <v>1863</v>
      </c>
      <c r="I1232" s="2948" t="s">
        <v>1027</v>
      </c>
      <c r="J1232" s="2948" t="s">
        <v>643</v>
      </c>
      <c r="K1232" s="2950">
        <v>33.03</v>
      </c>
      <c r="L1232" s="2950">
        <v>13.25</v>
      </c>
      <c r="M1232" s="2951">
        <v>550164</v>
      </c>
      <c r="N1232" s="2951">
        <v>550164</v>
      </c>
      <c r="O1232" s="2952">
        <v>550164</v>
      </c>
      <c r="P1232" s="2953">
        <v>550164</v>
      </c>
      <c r="Q1232" s="2951">
        <v>550164</v>
      </c>
      <c r="R1232" s="2954">
        <v>44497</v>
      </c>
      <c r="S1232" s="2954">
        <v>44499</v>
      </c>
      <c r="T1232" s="2954">
        <v>44523</v>
      </c>
      <c r="U1232" s="2954">
        <v>44523</v>
      </c>
      <c r="V1232" s="2948" t="s">
        <v>1532</v>
      </c>
      <c r="W1232" s="2944">
        <f t="shared" ref="W1232:W1295" si="6">O1232/K1232</f>
        <v>16656.494096276099</v>
      </c>
    </row>
    <row r="1233" spans="1:23" s="2944" customFormat="1" ht="46.8">
      <c r="A1233" s="2948">
        <v>1232</v>
      </c>
      <c r="B1233" s="2948" t="s">
        <v>635</v>
      </c>
      <c r="C1233" s="2948" t="s">
        <v>636</v>
      </c>
      <c r="D1233" s="2948" t="s">
        <v>1862</v>
      </c>
      <c r="E1233" s="2948" t="s">
        <v>729</v>
      </c>
      <c r="F1233" s="2948" t="s">
        <v>1389</v>
      </c>
      <c r="G1233" s="2948" t="s">
        <v>640</v>
      </c>
      <c r="H1233" s="2948" t="s">
        <v>1863</v>
      </c>
      <c r="I1233" s="2948" t="s">
        <v>1027</v>
      </c>
      <c r="J1233" s="2948" t="s">
        <v>643</v>
      </c>
      <c r="K1233" s="2950">
        <v>33.03</v>
      </c>
      <c r="L1233" s="2950">
        <v>13.25</v>
      </c>
      <c r="M1233" s="2951">
        <v>550164</v>
      </c>
      <c r="N1233" s="2951">
        <v>550164</v>
      </c>
      <c r="O1233" s="2952">
        <v>550164</v>
      </c>
      <c r="P1233" s="2953">
        <v>550164</v>
      </c>
      <c r="Q1233" s="2951">
        <v>550164</v>
      </c>
      <c r="R1233" s="2954">
        <v>44497</v>
      </c>
      <c r="S1233" s="2954">
        <v>44497</v>
      </c>
      <c r="T1233" s="2954">
        <v>44753</v>
      </c>
      <c r="U1233" s="2954">
        <v>44753</v>
      </c>
      <c r="V1233" s="2948" t="s">
        <v>1653</v>
      </c>
      <c r="W1233" s="2944">
        <f t="shared" si="6"/>
        <v>16656.494096276099</v>
      </c>
    </row>
    <row r="1234" spans="1:23" s="2944" customFormat="1" ht="46.8">
      <c r="A1234" s="2948">
        <v>1233</v>
      </c>
      <c r="B1234" s="2948" t="s">
        <v>635</v>
      </c>
      <c r="C1234" s="2948" t="s">
        <v>636</v>
      </c>
      <c r="D1234" s="2948" t="s">
        <v>1862</v>
      </c>
      <c r="E1234" s="2948" t="s">
        <v>729</v>
      </c>
      <c r="F1234" s="2948" t="s">
        <v>1391</v>
      </c>
      <c r="G1234" s="2948" t="s">
        <v>640</v>
      </c>
      <c r="H1234" s="2948" t="s">
        <v>1863</v>
      </c>
      <c r="I1234" s="2948" t="s">
        <v>1027</v>
      </c>
      <c r="J1234" s="2948" t="s">
        <v>643</v>
      </c>
      <c r="K1234" s="2950">
        <v>33.03</v>
      </c>
      <c r="L1234" s="2950">
        <v>13.25</v>
      </c>
      <c r="M1234" s="2951">
        <v>550164</v>
      </c>
      <c r="N1234" s="2951">
        <v>550164</v>
      </c>
      <c r="O1234" s="2952">
        <v>550164</v>
      </c>
      <c r="P1234" s="2953">
        <v>550164</v>
      </c>
      <c r="Q1234" s="2951">
        <v>550164</v>
      </c>
      <c r="R1234" s="2954">
        <v>44496</v>
      </c>
      <c r="S1234" s="2954">
        <v>44496</v>
      </c>
      <c r="T1234" s="2954">
        <v>44516</v>
      </c>
      <c r="U1234" s="2954">
        <v>44516</v>
      </c>
      <c r="V1234" s="2948" t="s">
        <v>1659</v>
      </c>
      <c r="W1234" s="2944">
        <f t="shared" si="6"/>
        <v>16656.494096276099</v>
      </c>
    </row>
    <row r="1235" spans="1:23" s="2944" customFormat="1" ht="46.8">
      <c r="A1235" s="2948">
        <v>1234</v>
      </c>
      <c r="B1235" s="2948" t="s">
        <v>635</v>
      </c>
      <c r="C1235" s="2948" t="s">
        <v>636</v>
      </c>
      <c r="D1235" s="2948" t="s">
        <v>1862</v>
      </c>
      <c r="E1235" s="2948" t="s">
        <v>729</v>
      </c>
      <c r="F1235" s="2948" t="s">
        <v>1392</v>
      </c>
      <c r="G1235" s="2948" t="s">
        <v>640</v>
      </c>
      <c r="H1235" s="2948" t="s">
        <v>1863</v>
      </c>
      <c r="I1235" s="2948" t="s">
        <v>1027</v>
      </c>
      <c r="J1235" s="2948" t="s">
        <v>643</v>
      </c>
      <c r="K1235" s="2950">
        <v>33.03</v>
      </c>
      <c r="L1235" s="2950">
        <v>13.25</v>
      </c>
      <c r="M1235" s="2951">
        <v>550164</v>
      </c>
      <c r="N1235" s="2951">
        <v>550164</v>
      </c>
      <c r="O1235" s="2952">
        <v>550164</v>
      </c>
      <c r="P1235" s="2953">
        <v>550164</v>
      </c>
      <c r="Q1235" s="2951">
        <v>550164</v>
      </c>
      <c r="R1235" s="2954">
        <v>44497</v>
      </c>
      <c r="S1235" s="2954">
        <v>44499</v>
      </c>
      <c r="T1235" s="2954">
        <v>44526</v>
      </c>
      <c r="U1235" s="2954">
        <v>44526</v>
      </c>
      <c r="V1235" s="2948" t="s">
        <v>1656</v>
      </c>
      <c r="W1235" s="2944">
        <f t="shared" si="6"/>
        <v>16656.494096276099</v>
      </c>
    </row>
    <row r="1236" spans="1:23" s="2944" customFormat="1" ht="46.8">
      <c r="A1236" s="2948">
        <v>1235</v>
      </c>
      <c r="B1236" s="2948" t="s">
        <v>635</v>
      </c>
      <c r="C1236" s="2948" t="s">
        <v>636</v>
      </c>
      <c r="D1236" s="2948" t="s">
        <v>1862</v>
      </c>
      <c r="E1236" s="2948" t="s">
        <v>729</v>
      </c>
      <c r="F1236" s="2948" t="s">
        <v>1394</v>
      </c>
      <c r="G1236" s="2948" t="s">
        <v>640</v>
      </c>
      <c r="H1236" s="2948" t="s">
        <v>1863</v>
      </c>
      <c r="I1236" s="2948" t="s">
        <v>1027</v>
      </c>
      <c r="J1236" s="2948" t="s">
        <v>643</v>
      </c>
      <c r="K1236" s="2950">
        <v>33.03</v>
      </c>
      <c r="L1236" s="2950">
        <v>13.25</v>
      </c>
      <c r="M1236" s="2951">
        <v>550164</v>
      </c>
      <c r="N1236" s="2951">
        <v>550164</v>
      </c>
      <c r="O1236" s="2952">
        <v>550164</v>
      </c>
      <c r="P1236" s="2953">
        <v>550164</v>
      </c>
      <c r="Q1236" s="2951">
        <v>550164</v>
      </c>
      <c r="R1236" s="2954">
        <v>44497</v>
      </c>
      <c r="S1236" s="2954">
        <v>44499</v>
      </c>
      <c r="T1236" s="2954">
        <v>44528</v>
      </c>
      <c r="U1236" s="2954">
        <v>44528</v>
      </c>
      <c r="V1236" s="2948" t="s">
        <v>1543</v>
      </c>
      <c r="W1236" s="2944">
        <f t="shared" si="6"/>
        <v>16656.494096276099</v>
      </c>
    </row>
    <row r="1237" spans="1:23" s="2944" customFormat="1" ht="46.8">
      <c r="A1237" s="2948">
        <v>1236</v>
      </c>
      <c r="B1237" s="2948" t="s">
        <v>635</v>
      </c>
      <c r="C1237" s="2948" t="s">
        <v>636</v>
      </c>
      <c r="D1237" s="2948" t="s">
        <v>1862</v>
      </c>
      <c r="E1237" s="2948" t="s">
        <v>729</v>
      </c>
      <c r="F1237" s="2948" t="s">
        <v>1395</v>
      </c>
      <c r="G1237" s="2948" t="s">
        <v>640</v>
      </c>
      <c r="H1237" s="2948" t="s">
        <v>1863</v>
      </c>
      <c r="I1237" s="2948" t="s">
        <v>1027</v>
      </c>
      <c r="J1237" s="2948" t="s">
        <v>643</v>
      </c>
      <c r="K1237" s="2950">
        <v>33.03</v>
      </c>
      <c r="L1237" s="2950">
        <v>13.25</v>
      </c>
      <c r="M1237" s="2951">
        <v>550164</v>
      </c>
      <c r="N1237" s="2951">
        <v>550164</v>
      </c>
      <c r="O1237" s="2952">
        <v>550164</v>
      </c>
      <c r="P1237" s="2953">
        <v>550164</v>
      </c>
      <c r="Q1237" s="2951">
        <v>550164</v>
      </c>
      <c r="R1237" s="2954">
        <v>44495</v>
      </c>
      <c r="S1237" s="2954">
        <v>44497</v>
      </c>
      <c r="T1237" s="2954">
        <v>44526</v>
      </c>
      <c r="U1237" s="2954">
        <v>44526</v>
      </c>
      <c r="V1237" s="2948" t="s">
        <v>1618</v>
      </c>
      <c r="W1237" s="2944">
        <f t="shared" si="6"/>
        <v>16656.494096276099</v>
      </c>
    </row>
    <row r="1238" spans="1:23" s="2944" customFormat="1" ht="46.8">
      <c r="A1238" s="2948">
        <v>1237</v>
      </c>
      <c r="B1238" s="2948" t="s">
        <v>635</v>
      </c>
      <c r="C1238" s="2948" t="s">
        <v>636</v>
      </c>
      <c r="D1238" s="2948" t="s">
        <v>1862</v>
      </c>
      <c r="E1238" s="2948" t="s">
        <v>729</v>
      </c>
      <c r="F1238" s="2948" t="s">
        <v>1397</v>
      </c>
      <c r="G1238" s="2948" t="s">
        <v>640</v>
      </c>
      <c r="H1238" s="2948" t="s">
        <v>1863</v>
      </c>
      <c r="I1238" s="2948" t="s">
        <v>1027</v>
      </c>
      <c r="J1238" s="2948" t="s">
        <v>643</v>
      </c>
      <c r="K1238" s="2950">
        <v>33.03</v>
      </c>
      <c r="L1238" s="2950">
        <v>13.25</v>
      </c>
      <c r="M1238" s="2951">
        <v>550164</v>
      </c>
      <c r="N1238" s="2951">
        <v>550164</v>
      </c>
      <c r="O1238" s="2952">
        <v>550164</v>
      </c>
      <c r="P1238" s="2953">
        <v>550164</v>
      </c>
      <c r="Q1238" s="2951">
        <v>550164</v>
      </c>
      <c r="R1238" s="2954">
        <v>44500</v>
      </c>
      <c r="S1238" s="2954">
        <v>44500</v>
      </c>
      <c r="T1238" s="2954">
        <v>44521</v>
      </c>
      <c r="U1238" s="2954">
        <v>44521</v>
      </c>
      <c r="V1238" s="2948" t="s">
        <v>1844</v>
      </c>
      <c r="W1238" s="2944">
        <f t="shared" si="6"/>
        <v>16656.494096276099</v>
      </c>
    </row>
    <row r="1239" spans="1:23" s="2944" customFormat="1" ht="46.8">
      <c r="A1239" s="2948">
        <v>1238</v>
      </c>
      <c r="B1239" s="2948" t="s">
        <v>635</v>
      </c>
      <c r="C1239" s="2948" t="s">
        <v>636</v>
      </c>
      <c r="D1239" s="2948" t="s">
        <v>1862</v>
      </c>
      <c r="E1239" s="2948" t="s">
        <v>729</v>
      </c>
      <c r="F1239" s="2948" t="s">
        <v>1398</v>
      </c>
      <c r="G1239" s="2948" t="s">
        <v>640</v>
      </c>
      <c r="H1239" s="2948" t="s">
        <v>1863</v>
      </c>
      <c r="I1239" s="2948" t="s">
        <v>1027</v>
      </c>
      <c r="J1239" s="2948" t="s">
        <v>643</v>
      </c>
      <c r="K1239" s="2950">
        <v>33.03</v>
      </c>
      <c r="L1239" s="2950">
        <v>13.25</v>
      </c>
      <c r="M1239" s="2951">
        <v>550164</v>
      </c>
      <c r="N1239" s="2951">
        <v>550164</v>
      </c>
      <c r="O1239" s="2952">
        <v>550164</v>
      </c>
      <c r="P1239" s="2953">
        <v>550164</v>
      </c>
      <c r="Q1239" s="2951">
        <v>550164</v>
      </c>
      <c r="R1239" s="2954">
        <v>44519</v>
      </c>
      <c r="S1239" s="2954">
        <v>44530</v>
      </c>
      <c r="T1239" s="2954">
        <v>44755</v>
      </c>
      <c r="U1239" s="2954">
        <v>44755</v>
      </c>
      <c r="V1239" s="2948" t="s">
        <v>1816</v>
      </c>
      <c r="W1239" s="2944">
        <f t="shared" si="6"/>
        <v>16656.494096276099</v>
      </c>
    </row>
    <row r="1240" spans="1:23" s="2944" customFormat="1" ht="46.8">
      <c r="A1240" s="2948">
        <v>1239</v>
      </c>
      <c r="B1240" s="2948" t="s">
        <v>635</v>
      </c>
      <c r="C1240" s="2948" t="s">
        <v>636</v>
      </c>
      <c r="D1240" s="2948" t="s">
        <v>1862</v>
      </c>
      <c r="E1240" s="2948" t="s">
        <v>729</v>
      </c>
      <c r="F1240" s="2948" t="s">
        <v>1399</v>
      </c>
      <c r="G1240" s="2948" t="s">
        <v>640</v>
      </c>
      <c r="H1240" s="2948" t="s">
        <v>1863</v>
      </c>
      <c r="I1240" s="2948" t="s">
        <v>1027</v>
      </c>
      <c r="J1240" s="2948" t="s">
        <v>643</v>
      </c>
      <c r="K1240" s="2950">
        <v>33.03</v>
      </c>
      <c r="L1240" s="2950">
        <v>13.25</v>
      </c>
      <c r="M1240" s="2951">
        <v>550164</v>
      </c>
      <c r="N1240" s="2951">
        <v>550164</v>
      </c>
      <c r="O1240" s="2952">
        <v>550164</v>
      </c>
      <c r="P1240" s="2953">
        <v>550164</v>
      </c>
      <c r="Q1240" s="2951">
        <v>550164</v>
      </c>
      <c r="R1240" s="2954">
        <v>44497</v>
      </c>
      <c r="S1240" s="2954">
        <v>44497</v>
      </c>
      <c r="T1240" s="2954">
        <v>44753</v>
      </c>
      <c r="U1240" s="2954">
        <v>44753</v>
      </c>
      <c r="V1240" s="2948" t="s">
        <v>1623</v>
      </c>
      <c r="W1240" s="2944">
        <f t="shared" si="6"/>
        <v>16656.494096276099</v>
      </c>
    </row>
    <row r="1241" spans="1:23" s="2944" customFormat="1" ht="46.8">
      <c r="A1241" s="2948">
        <v>1240</v>
      </c>
      <c r="B1241" s="2948" t="s">
        <v>635</v>
      </c>
      <c r="C1241" s="2948" t="s">
        <v>636</v>
      </c>
      <c r="D1241" s="2948" t="s">
        <v>1862</v>
      </c>
      <c r="E1241" s="2948" t="s">
        <v>729</v>
      </c>
      <c r="F1241" s="2948" t="s">
        <v>1400</v>
      </c>
      <c r="G1241" s="2948" t="s">
        <v>640</v>
      </c>
      <c r="H1241" s="2948" t="s">
        <v>1863</v>
      </c>
      <c r="I1241" s="2948" t="s">
        <v>1027</v>
      </c>
      <c r="J1241" s="2948" t="s">
        <v>643</v>
      </c>
      <c r="K1241" s="2950">
        <v>33.03</v>
      </c>
      <c r="L1241" s="2950">
        <v>13.25</v>
      </c>
      <c r="M1241" s="2951">
        <v>550164</v>
      </c>
      <c r="N1241" s="2951">
        <v>550164</v>
      </c>
      <c r="O1241" s="2952">
        <v>550164</v>
      </c>
      <c r="P1241" s="2953">
        <v>550164</v>
      </c>
      <c r="Q1241" s="2951">
        <v>550164</v>
      </c>
      <c r="R1241" s="2954">
        <v>44497</v>
      </c>
      <c r="S1241" s="2954">
        <v>44500</v>
      </c>
      <c r="T1241" s="2954">
        <v>44753</v>
      </c>
      <c r="U1241" s="2954">
        <v>44753</v>
      </c>
      <c r="V1241" s="2948" t="s">
        <v>1667</v>
      </c>
      <c r="W1241" s="2944">
        <f t="shared" si="6"/>
        <v>16656.494096276099</v>
      </c>
    </row>
    <row r="1242" spans="1:23" s="2944" customFormat="1" ht="46.8">
      <c r="A1242" s="2948">
        <v>1241</v>
      </c>
      <c r="B1242" s="2948" t="s">
        <v>635</v>
      </c>
      <c r="C1242" s="2948" t="s">
        <v>636</v>
      </c>
      <c r="D1242" s="2948" t="s">
        <v>1862</v>
      </c>
      <c r="E1242" s="2948" t="s">
        <v>729</v>
      </c>
      <c r="F1242" s="2948" t="s">
        <v>1401</v>
      </c>
      <c r="G1242" s="2948" t="s">
        <v>640</v>
      </c>
      <c r="H1242" s="2948" t="s">
        <v>1863</v>
      </c>
      <c r="I1242" s="2948" t="s">
        <v>1027</v>
      </c>
      <c r="J1242" s="2948" t="s">
        <v>643</v>
      </c>
      <c r="K1242" s="2950">
        <v>33.03</v>
      </c>
      <c r="L1242" s="2950">
        <v>13.25</v>
      </c>
      <c r="M1242" s="2951">
        <v>550164</v>
      </c>
      <c r="N1242" s="2951">
        <v>550164</v>
      </c>
      <c r="O1242" s="2952">
        <v>550164</v>
      </c>
      <c r="P1242" s="2953">
        <v>550164</v>
      </c>
      <c r="Q1242" s="2951">
        <v>550164</v>
      </c>
      <c r="R1242" s="2954">
        <v>44497</v>
      </c>
      <c r="S1242" s="2954">
        <v>44499</v>
      </c>
      <c r="T1242" s="2954">
        <v>44529</v>
      </c>
      <c r="U1242" s="2954">
        <v>44529</v>
      </c>
      <c r="V1242" s="2948" t="s">
        <v>1660</v>
      </c>
      <c r="W1242" s="2944">
        <f t="shared" si="6"/>
        <v>16656.494096276099</v>
      </c>
    </row>
    <row r="1243" spans="1:23" s="2944" customFormat="1" ht="46.8">
      <c r="A1243" s="2948">
        <v>1242</v>
      </c>
      <c r="B1243" s="2948" t="s">
        <v>635</v>
      </c>
      <c r="C1243" s="2948" t="s">
        <v>636</v>
      </c>
      <c r="D1243" s="2948" t="s">
        <v>1862</v>
      </c>
      <c r="E1243" s="2948" t="s">
        <v>729</v>
      </c>
      <c r="F1243" s="2948" t="s">
        <v>1402</v>
      </c>
      <c r="G1243" s="2948" t="s">
        <v>640</v>
      </c>
      <c r="H1243" s="2948" t="s">
        <v>1863</v>
      </c>
      <c r="I1243" s="2948" t="s">
        <v>1027</v>
      </c>
      <c r="J1243" s="2948" t="s">
        <v>643</v>
      </c>
      <c r="K1243" s="2950">
        <v>33.03</v>
      </c>
      <c r="L1243" s="2950">
        <v>13.25</v>
      </c>
      <c r="M1243" s="2951">
        <v>550164</v>
      </c>
      <c r="N1243" s="2951">
        <v>550164</v>
      </c>
      <c r="O1243" s="2952">
        <v>550164</v>
      </c>
      <c r="P1243" s="2953">
        <v>550164</v>
      </c>
      <c r="Q1243" s="2951">
        <v>550164</v>
      </c>
      <c r="R1243" s="2954">
        <v>44746</v>
      </c>
      <c r="S1243" s="2954">
        <v>44746</v>
      </c>
      <c r="T1243" s="2954">
        <v>44749</v>
      </c>
      <c r="U1243" s="2954">
        <v>44749</v>
      </c>
      <c r="V1243" s="2948" t="s">
        <v>1678</v>
      </c>
      <c r="W1243" s="2944">
        <f t="shared" si="6"/>
        <v>16656.494096276099</v>
      </c>
    </row>
    <row r="1244" spans="1:23" s="2944" customFormat="1" ht="46.8">
      <c r="A1244" s="2948">
        <v>1243</v>
      </c>
      <c r="B1244" s="2948" t="s">
        <v>635</v>
      </c>
      <c r="C1244" s="2948" t="s">
        <v>636</v>
      </c>
      <c r="D1244" s="2948" t="s">
        <v>1862</v>
      </c>
      <c r="E1244" s="2948" t="s">
        <v>729</v>
      </c>
      <c r="F1244" s="2948" t="s">
        <v>1403</v>
      </c>
      <c r="G1244" s="2948" t="s">
        <v>640</v>
      </c>
      <c r="H1244" s="2948" t="s">
        <v>1863</v>
      </c>
      <c r="I1244" s="2948" t="s">
        <v>1027</v>
      </c>
      <c r="J1244" s="2948" t="s">
        <v>643</v>
      </c>
      <c r="K1244" s="2950">
        <v>33.03</v>
      </c>
      <c r="L1244" s="2950">
        <v>13.25</v>
      </c>
      <c r="M1244" s="2951">
        <v>550164</v>
      </c>
      <c r="N1244" s="2951">
        <v>550164</v>
      </c>
      <c r="O1244" s="2952">
        <v>550164</v>
      </c>
      <c r="P1244" s="2953">
        <v>550164</v>
      </c>
      <c r="Q1244" s="2951">
        <v>550164</v>
      </c>
      <c r="R1244" s="2954">
        <v>44739</v>
      </c>
      <c r="S1244" s="2954">
        <v>44739</v>
      </c>
      <c r="T1244" s="2954">
        <v>44756</v>
      </c>
      <c r="U1244" s="2954">
        <v>44756</v>
      </c>
      <c r="V1244" s="2948" t="s">
        <v>1608</v>
      </c>
      <c r="W1244" s="2944">
        <f t="shared" si="6"/>
        <v>16656.494096276099</v>
      </c>
    </row>
    <row r="1245" spans="1:23" s="2944" customFormat="1" ht="46.8">
      <c r="A1245" s="2948">
        <v>1244</v>
      </c>
      <c r="B1245" s="2948" t="s">
        <v>635</v>
      </c>
      <c r="C1245" s="2948" t="s">
        <v>636</v>
      </c>
      <c r="D1245" s="2948" t="s">
        <v>1862</v>
      </c>
      <c r="E1245" s="2948" t="s">
        <v>729</v>
      </c>
      <c r="F1245" s="2948" t="s">
        <v>1404</v>
      </c>
      <c r="G1245" s="2948" t="s">
        <v>640</v>
      </c>
      <c r="H1245" s="2948" t="s">
        <v>1863</v>
      </c>
      <c r="I1245" s="2948" t="s">
        <v>1027</v>
      </c>
      <c r="J1245" s="2948" t="s">
        <v>643</v>
      </c>
      <c r="K1245" s="2950">
        <v>33.03</v>
      </c>
      <c r="L1245" s="2950">
        <v>13.25</v>
      </c>
      <c r="M1245" s="2951">
        <v>550164</v>
      </c>
      <c r="N1245" s="2951">
        <v>550164</v>
      </c>
      <c r="O1245" s="2952">
        <v>550164</v>
      </c>
      <c r="P1245" s="2953">
        <v>550164</v>
      </c>
      <c r="Q1245" s="2951">
        <v>550164</v>
      </c>
      <c r="R1245" s="2954">
        <v>44734</v>
      </c>
      <c r="S1245" s="2954">
        <v>44736</v>
      </c>
      <c r="T1245" s="2954">
        <v>44756</v>
      </c>
      <c r="U1245" s="2954">
        <v>44756</v>
      </c>
      <c r="V1245" s="2948" t="s">
        <v>1763</v>
      </c>
      <c r="W1245" s="2944">
        <f t="shared" si="6"/>
        <v>16656.494096276099</v>
      </c>
    </row>
    <row r="1246" spans="1:23" s="2944" customFormat="1" ht="46.8">
      <c r="A1246" s="2948">
        <v>1245</v>
      </c>
      <c r="B1246" s="2948" t="s">
        <v>635</v>
      </c>
      <c r="C1246" s="2948" t="s">
        <v>636</v>
      </c>
      <c r="D1246" s="2948" t="s">
        <v>1862</v>
      </c>
      <c r="E1246" s="2948" t="s">
        <v>729</v>
      </c>
      <c r="F1246" s="2948" t="s">
        <v>1405</v>
      </c>
      <c r="G1246" s="2948" t="s">
        <v>640</v>
      </c>
      <c r="H1246" s="2948" t="s">
        <v>1863</v>
      </c>
      <c r="I1246" s="2948" t="s">
        <v>1027</v>
      </c>
      <c r="J1246" s="2948" t="s">
        <v>643</v>
      </c>
      <c r="K1246" s="2950">
        <v>33.03</v>
      </c>
      <c r="L1246" s="2950">
        <v>13.25</v>
      </c>
      <c r="M1246" s="2951">
        <v>550164</v>
      </c>
      <c r="N1246" s="2951">
        <v>550164</v>
      </c>
      <c r="O1246" s="2952">
        <v>550164</v>
      </c>
      <c r="P1246" s="2953">
        <v>550164</v>
      </c>
      <c r="Q1246" s="2951">
        <v>550164</v>
      </c>
      <c r="R1246" s="2954">
        <v>44738</v>
      </c>
      <c r="S1246" s="2954">
        <v>44738</v>
      </c>
      <c r="T1246" s="2954">
        <v>44741</v>
      </c>
      <c r="U1246" s="2954">
        <v>44741</v>
      </c>
      <c r="V1246" s="2948" t="s">
        <v>1767</v>
      </c>
      <c r="W1246" s="2944">
        <f t="shared" si="6"/>
        <v>16656.494096276099</v>
      </c>
    </row>
    <row r="1247" spans="1:23" s="2944" customFormat="1" ht="46.8">
      <c r="A1247" s="2948">
        <v>1246</v>
      </c>
      <c r="B1247" s="2948" t="s">
        <v>635</v>
      </c>
      <c r="C1247" s="2948" t="s">
        <v>636</v>
      </c>
      <c r="D1247" s="2948" t="s">
        <v>1862</v>
      </c>
      <c r="E1247" s="2948" t="s">
        <v>729</v>
      </c>
      <c r="F1247" s="2948" t="s">
        <v>1406</v>
      </c>
      <c r="G1247" s="2948" t="s">
        <v>640</v>
      </c>
      <c r="H1247" s="2948" t="s">
        <v>1863</v>
      </c>
      <c r="I1247" s="2948" t="s">
        <v>1027</v>
      </c>
      <c r="J1247" s="2948" t="s">
        <v>643</v>
      </c>
      <c r="K1247" s="2950">
        <v>33.03</v>
      </c>
      <c r="L1247" s="2950">
        <v>13.25</v>
      </c>
      <c r="M1247" s="2951">
        <v>550164</v>
      </c>
      <c r="N1247" s="2951">
        <v>550164</v>
      </c>
      <c r="O1247" s="2952">
        <v>550164</v>
      </c>
      <c r="P1247" s="2953">
        <v>550164</v>
      </c>
      <c r="Q1247" s="2951">
        <v>550164</v>
      </c>
      <c r="R1247" s="2954">
        <v>44737</v>
      </c>
      <c r="S1247" s="2954">
        <v>44738</v>
      </c>
      <c r="T1247" s="2954">
        <v>44742</v>
      </c>
      <c r="U1247" s="2954">
        <v>44742</v>
      </c>
      <c r="V1247" s="2948" t="s">
        <v>1764</v>
      </c>
      <c r="W1247" s="2944">
        <f t="shared" si="6"/>
        <v>16656.494096276099</v>
      </c>
    </row>
    <row r="1248" spans="1:23" s="2944" customFormat="1" ht="46.8">
      <c r="A1248" s="2948">
        <v>1247</v>
      </c>
      <c r="B1248" s="2948" t="s">
        <v>635</v>
      </c>
      <c r="C1248" s="2948" t="s">
        <v>636</v>
      </c>
      <c r="D1248" s="2948" t="s">
        <v>1862</v>
      </c>
      <c r="E1248" s="2948" t="s">
        <v>729</v>
      </c>
      <c r="F1248" s="2948" t="s">
        <v>1407</v>
      </c>
      <c r="G1248" s="2948" t="s">
        <v>640</v>
      </c>
      <c r="H1248" s="2948" t="s">
        <v>1863</v>
      </c>
      <c r="I1248" s="2948" t="s">
        <v>1027</v>
      </c>
      <c r="J1248" s="2948" t="s">
        <v>643</v>
      </c>
      <c r="K1248" s="2950">
        <v>33.03</v>
      </c>
      <c r="L1248" s="2950">
        <v>13.25</v>
      </c>
      <c r="M1248" s="2951">
        <v>550164</v>
      </c>
      <c r="N1248" s="2951">
        <v>550164</v>
      </c>
      <c r="O1248" s="2952">
        <v>550164</v>
      </c>
      <c r="P1248" s="2953">
        <v>550164</v>
      </c>
      <c r="Q1248" s="2951">
        <v>550164</v>
      </c>
      <c r="R1248" s="2954">
        <v>45287</v>
      </c>
      <c r="S1248" s="2954">
        <v>45287</v>
      </c>
      <c r="T1248" s="2948"/>
      <c r="U1248" s="2948"/>
      <c r="V1248" s="2948" t="s">
        <v>1867</v>
      </c>
      <c r="W1248" s="2944">
        <f t="shared" si="6"/>
        <v>16656.494096276099</v>
      </c>
    </row>
    <row r="1249" spans="1:23" s="2944" customFormat="1" ht="46.8" hidden="1">
      <c r="A1249" s="2948">
        <v>1248</v>
      </c>
      <c r="B1249" s="2948" t="s">
        <v>635</v>
      </c>
      <c r="C1249" s="2948" t="s">
        <v>636</v>
      </c>
      <c r="D1249" s="2948" t="s">
        <v>1862</v>
      </c>
      <c r="E1249" s="2948" t="s">
        <v>729</v>
      </c>
      <c r="F1249" s="2948" t="s">
        <v>1408</v>
      </c>
      <c r="G1249" s="2948" t="s">
        <v>1035</v>
      </c>
      <c r="H1249" s="2948" t="s">
        <v>1863</v>
      </c>
      <c r="I1249" s="2948" t="s">
        <v>1027</v>
      </c>
      <c r="J1249" s="2948" t="s">
        <v>643</v>
      </c>
      <c r="K1249" s="2950">
        <v>33.03</v>
      </c>
      <c r="L1249" s="2950">
        <v>13.25</v>
      </c>
      <c r="M1249" s="2951">
        <v>550164</v>
      </c>
      <c r="N1249" s="2951">
        <v>550164</v>
      </c>
      <c r="O1249" s="2955"/>
      <c r="P1249" s="2948"/>
      <c r="Q1249" s="2951">
        <v>0</v>
      </c>
      <c r="R1249" s="2948"/>
      <c r="S1249" s="2948"/>
      <c r="T1249" s="2948"/>
      <c r="U1249" s="2948"/>
      <c r="V1249" s="2948"/>
      <c r="W1249" s="2944">
        <f t="shared" si="6"/>
        <v>0</v>
      </c>
    </row>
    <row r="1250" spans="1:23" s="2944" customFormat="1" ht="46.8">
      <c r="A1250" s="2948">
        <v>1249</v>
      </c>
      <c r="B1250" s="2948" t="s">
        <v>635</v>
      </c>
      <c r="C1250" s="2948" t="s">
        <v>636</v>
      </c>
      <c r="D1250" s="2948" t="s">
        <v>1862</v>
      </c>
      <c r="E1250" s="2948" t="s">
        <v>729</v>
      </c>
      <c r="F1250" s="2948" t="s">
        <v>1409</v>
      </c>
      <c r="G1250" s="2948" t="s">
        <v>640</v>
      </c>
      <c r="H1250" s="2948" t="s">
        <v>1863</v>
      </c>
      <c r="I1250" s="2948" t="s">
        <v>1027</v>
      </c>
      <c r="J1250" s="2948" t="s">
        <v>643</v>
      </c>
      <c r="K1250" s="2950">
        <v>33.03</v>
      </c>
      <c r="L1250" s="2950">
        <v>13.25</v>
      </c>
      <c r="M1250" s="2951">
        <v>550164</v>
      </c>
      <c r="N1250" s="2951">
        <v>550164</v>
      </c>
      <c r="O1250" s="2952">
        <v>522656</v>
      </c>
      <c r="P1250" s="2953">
        <v>522656</v>
      </c>
      <c r="Q1250" s="2951">
        <v>522656</v>
      </c>
      <c r="R1250" s="2954">
        <v>44830</v>
      </c>
      <c r="S1250" s="2954">
        <v>44834</v>
      </c>
      <c r="T1250" s="2954">
        <v>44834</v>
      </c>
      <c r="U1250" s="2954">
        <v>44834</v>
      </c>
      <c r="V1250" s="2948" t="s">
        <v>1669</v>
      </c>
      <c r="W1250" s="2944">
        <f t="shared" si="6"/>
        <v>15823.6754465637</v>
      </c>
    </row>
    <row r="1251" spans="1:23" s="2944" customFormat="1" ht="46.8" hidden="1">
      <c r="A1251" s="2948">
        <v>1250</v>
      </c>
      <c r="B1251" s="2948" t="s">
        <v>635</v>
      </c>
      <c r="C1251" s="2948" t="s">
        <v>636</v>
      </c>
      <c r="D1251" s="2948" t="s">
        <v>1862</v>
      </c>
      <c r="E1251" s="2948" t="s">
        <v>729</v>
      </c>
      <c r="F1251" s="2948" t="s">
        <v>1410</v>
      </c>
      <c r="G1251" s="2948" t="s">
        <v>1035</v>
      </c>
      <c r="H1251" s="2948" t="s">
        <v>1863</v>
      </c>
      <c r="I1251" s="2948" t="s">
        <v>1027</v>
      </c>
      <c r="J1251" s="2948" t="s">
        <v>643</v>
      </c>
      <c r="K1251" s="2950">
        <v>33.03</v>
      </c>
      <c r="L1251" s="2950">
        <v>13.25</v>
      </c>
      <c r="M1251" s="2951">
        <v>550164</v>
      </c>
      <c r="N1251" s="2951">
        <v>550164</v>
      </c>
      <c r="O1251" s="2955"/>
      <c r="P1251" s="2948"/>
      <c r="Q1251" s="2951">
        <v>0</v>
      </c>
      <c r="R1251" s="2948"/>
      <c r="S1251" s="2948"/>
      <c r="T1251" s="2948"/>
      <c r="U1251" s="2948"/>
      <c r="V1251" s="2948"/>
      <c r="W1251" s="2944">
        <f t="shared" si="6"/>
        <v>0</v>
      </c>
    </row>
    <row r="1252" spans="1:23" s="2944" customFormat="1" ht="46.8">
      <c r="A1252" s="2948">
        <v>1251</v>
      </c>
      <c r="B1252" s="2948" t="s">
        <v>635</v>
      </c>
      <c r="C1252" s="2948" t="s">
        <v>636</v>
      </c>
      <c r="D1252" s="2948" t="s">
        <v>1862</v>
      </c>
      <c r="E1252" s="2948" t="s">
        <v>729</v>
      </c>
      <c r="F1252" s="2948" t="s">
        <v>1411</v>
      </c>
      <c r="G1252" s="2948" t="s">
        <v>640</v>
      </c>
      <c r="H1252" s="2948" t="s">
        <v>1863</v>
      </c>
      <c r="I1252" s="2948" t="s">
        <v>1027</v>
      </c>
      <c r="J1252" s="2948" t="s">
        <v>643</v>
      </c>
      <c r="K1252" s="2950">
        <v>33.03</v>
      </c>
      <c r="L1252" s="2950">
        <v>13.25</v>
      </c>
      <c r="M1252" s="2951">
        <v>550164</v>
      </c>
      <c r="N1252" s="2951">
        <v>550164</v>
      </c>
      <c r="O1252" s="2952">
        <v>550164</v>
      </c>
      <c r="P1252" s="2953">
        <v>550164</v>
      </c>
      <c r="Q1252" s="2951">
        <v>550164</v>
      </c>
      <c r="R1252" s="2954">
        <v>44734</v>
      </c>
      <c r="S1252" s="2954">
        <v>44737</v>
      </c>
      <c r="T1252" s="2954">
        <v>44748</v>
      </c>
      <c r="U1252" s="2954">
        <v>44748</v>
      </c>
      <c r="V1252" s="2948" t="s">
        <v>1794</v>
      </c>
      <c r="W1252" s="2944">
        <f t="shared" si="6"/>
        <v>16656.494096276099</v>
      </c>
    </row>
    <row r="1253" spans="1:23" s="2944" customFormat="1" ht="46.8">
      <c r="A1253" s="2948">
        <v>1252</v>
      </c>
      <c r="B1253" s="2948" t="s">
        <v>635</v>
      </c>
      <c r="C1253" s="2948" t="s">
        <v>636</v>
      </c>
      <c r="D1253" s="2948" t="s">
        <v>1862</v>
      </c>
      <c r="E1253" s="2948" t="s">
        <v>729</v>
      </c>
      <c r="F1253" s="2948" t="s">
        <v>1412</v>
      </c>
      <c r="G1253" s="2948" t="s">
        <v>640</v>
      </c>
      <c r="H1253" s="2948" t="s">
        <v>1863</v>
      </c>
      <c r="I1253" s="2948" t="s">
        <v>1027</v>
      </c>
      <c r="J1253" s="2948" t="s">
        <v>643</v>
      </c>
      <c r="K1253" s="2950">
        <v>33.03</v>
      </c>
      <c r="L1253" s="2950">
        <v>13.25</v>
      </c>
      <c r="M1253" s="2951">
        <v>550164</v>
      </c>
      <c r="N1253" s="2951">
        <v>550164</v>
      </c>
      <c r="O1253" s="2952">
        <v>550164</v>
      </c>
      <c r="P1253" s="2953">
        <v>550164</v>
      </c>
      <c r="Q1253" s="2951">
        <v>550164</v>
      </c>
      <c r="R1253" s="2954">
        <v>44498</v>
      </c>
      <c r="S1253" s="2954">
        <v>44498</v>
      </c>
      <c r="T1253" s="2954">
        <v>44749</v>
      </c>
      <c r="U1253" s="2954">
        <v>44749</v>
      </c>
      <c r="V1253" s="2948" t="s">
        <v>1654</v>
      </c>
      <c r="W1253" s="2944">
        <f t="shared" si="6"/>
        <v>16656.494096276099</v>
      </c>
    </row>
    <row r="1254" spans="1:23" s="2944" customFormat="1" ht="46.8">
      <c r="A1254" s="2948">
        <v>1253</v>
      </c>
      <c r="B1254" s="2948" t="s">
        <v>635</v>
      </c>
      <c r="C1254" s="2948" t="s">
        <v>636</v>
      </c>
      <c r="D1254" s="2948" t="s">
        <v>1862</v>
      </c>
      <c r="E1254" s="2948" t="s">
        <v>729</v>
      </c>
      <c r="F1254" s="2948" t="s">
        <v>1413</v>
      </c>
      <c r="G1254" s="2948" t="s">
        <v>640</v>
      </c>
      <c r="H1254" s="2948" t="s">
        <v>1863</v>
      </c>
      <c r="I1254" s="2948" t="s">
        <v>1027</v>
      </c>
      <c r="J1254" s="2948" t="s">
        <v>643</v>
      </c>
      <c r="K1254" s="2950">
        <v>33.03</v>
      </c>
      <c r="L1254" s="2950">
        <v>13.25</v>
      </c>
      <c r="M1254" s="2951">
        <v>550164</v>
      </c>
      <c r="N1254" s="2951">
        <v>550164</v>
      </c>
      <c r="O1254" s="2952">
        <v>550164</v>
      </c>
      <c r="P1254" s="2953">
        <v>550164</v>
      </c>
      <c r="Q1254" s="2951">
        <v>550164</v>
      </c>
      <c r="R1254" s="2954">
        <v>45046</v>
      </c>
      <c r="S1254" s="2954">
        <v>45046</v>
      </c>
      <c r="T1254" s="2954">
        <v>45064</v>
      </c>
      <c r="U1254" s="2954">
        <v>45064</v>
      </c>
      <c r="V1254" s="2948" t="s">
        <v>1786</v>
      </c>
      <c r="W1254" s="2944">
        <f t="shared" si="6"/>
        <v>16656.494096276099</v>
      </c>
    </row>
    <row r="1255" spans="1:23" s="2944" customFormat="1" ht="46.8">
      <c r="A1255" s="2948">
        <v>1254</v>
      </c>
      <c r="B1255" s="2948" t="s">
        <v>635</v>
      </c>
      <c r="C1255" s="2948" t="s">
        <v>636</v>
      </c>
      <c r="D1255" s="2948" t="s">
        <v>1862</v>
      </c>
      <c r="E1255" s="2948" t="s">
        <v>729</v>
      </c>
      <c r="F1255" s="2948" t="s">
        <v>1414</v>
      </c>
      <c r="G1255" s="2948" t="s">
        <v>640</v>
      </c>
      <c r="H1255" s="2948" t="s">
        <v>1863</v>
      </c>
      <c r="I1255" s="2948" t="s">
        <v>1027</v>
      </c>
      <c r="J1255" s="2948" t="s">
        <v>643</v>
      </c>
      <c r="K1255" s="2950">
        <v>33.03</v>
      </c>
      <c r="L1255" s="2950">
        <v>13.25</v>
      </c>
      <c r="M1255" s="2951">
        <v>550164</v>
      </c>
      <c r="N1255" s="2951">
        <v>550164</v>
      </c>
      <c r="O1255" s="2952">
        <v>550164</v>
      </c>
      <c r="P1255" s="2953">
        <v>550164</v>
      </c>
      <c r="Q1255" s="2951">
        <v>550164</v>
      </c>
      <c r="R1255" s="2954">
        <v>44497</v>
      </c>
      <c r="S1255" s="2954">
        <v>44499</v>
      </c>
      <c r="T1255" s="2954">
        <v>44516</v>
      </c>
      <c r="U1255" s="2954">
        <v>44516</v>
      </c>
      <c r="V1255" s="2948" t="s">
        <v>1789</v>
      </c>
      <c r="W1255" s="2944">
        <f t="shared" si="6"/>
        <v>16656.494096276099</v>
      </c>
    </row>
    <row r="1256" spans="1:23" s="2944" customFormat="1" ht="46.8">
      <c r="A1256" s="2948">
        <v>1255</v>
      </c>
      <c r="B1256" s="2948" t="s">
        <v>635</v>
      </c>
      <c r="C1256" s="2948" t="s">
        <v>636</v>
      </c>
      <c r="D1256" s="2948" t="s">
        <v>1862</v>
      </c>
      <c r="E1256" s="2948" t="s">
        <v>729</v>
      </c>
      <c r="F1256" s="2948" t="s">
        <v>1415</v>
      </c>
      <c r="G1256" s="2948" t="s">
        <v>640</v>
      </c>
      <c r="H1256" s="2948" t="s">
        <v>1863</v>
      </c>
      <c r="I1256" s="2948" t="s">
        <v>1027</v>
      </c>
      <c r="J1256" s="2948" t="s">
        <v>643</v>
      </c>
      <c r="K1256" s="2950">
        <v>33.03</v>
      </c>
      <c r="L1256" s="2950">
        <v>13.25</v>
      </c>
      <c r="M1256" s="2951">
        <v>550164</v>
      </c>
      <c r="N1256" s="2951">
        <v>550164</v>
      </c>
      <c r="O1256" s="2952">
        <v>550164</v>
      </c>
      <c r="P1256" s="2953">
        <v>550164</v>
      </c>
      <c r="Q1256" s="2951">
        <v>550164</v>
      </c>
      <c r="R1256" s="2954">
        <v>44497</v>
      </c>
      <c r="S1256" s="2954">
        <v>44728</v>
      </c>
      <c r="T1256" s="2954">
        <v>45112</v>
      </c>
      <c r="U1256" s="2954">
        <v>45112</v>
      </c>
      <c r="V1256" s="2948" t="s">
        <v>1681</v>
      </c>
      <c r="W1256" s="2944">
        <f t="shared" si="6"/>
        <v>16656.494096276099</v>
      </c>
    </row>
    <row r="1257" spans="1:23" s="2944" customFormat="1" ht="46.8">
      <c r="A1257" s="2948">
        <v>1256</v>
      </c>
      <c r="B1257" s="2948" t="s">
        <v>635</v>
      </c>
      <c r="C1257" s="2948" t="s">
        <v>636</v>
      </c>
      <c r="D1257" s="2948" t="s">
        <v>1862</v>
      </c>
      <c r="E1257" s="2948" t="s">
        <v>729</v>
      </c>
      <c r="F1257" s="2948" t="s">
        <v>1416</v>
      </c>
      <c r="G1257" s="2948" t="s">
        <v>640</v>
      </c>
      <c r="H1257" s="2948" t="s">
        <v>1863</v>
      </c>
      <c r="I1257" s="2948" t="s">
        <v>1027</v>
      </c>
      <c r="J1257" s="2948" t="s">
        <v>643</v>
      </c>
      <c r="K1257" s="2950">
        <v>33.03</v>
      </c>
      <c r="L1257" s="2950">
        <v>13.25</v>
      </c>
      <c r="M1257" s="2951">
        <v>550164</v>
      </c>
      <c r="N1257" s="2951">
        <v>550164</v>
      </c>
      <c r="O1257" s="2952">
        <v>550164</v>
      </c>
      <c r="P1257" s="2953">
        <v>550164</v>
      </c>
      <c r="Q1257" s="2951">
        <v>550164</v>
      </c>
      <c r="R1257" s="2954">
        <v>44494</v>
      </c>
      <c r="S1257" s="2954">
        <v>44497</v>
      </c>
      <c r="T1257" s="2954">
        <v>44517</v>
      </c>
      <c r="U1257" s="2954">
        <v>44517</v>
      </c>
      <c r="V1257" s="2948" t="s">
        <v>1693</v>
      </c>
      <c r="W1257" s="2944">
        <f t="shared" si="6"/>
        <v>16656.494096276099</v>
      </c>
    </row>
    <row r="1258" spans="1:23" s="2944" customFormat="1" ht="46.8">
      <c r="A1258" s="2948">
        <v>1257</v>
      </c>
      <c r="B1258" s="2948" t="s">
        <v>635</v>
      </c>
      <c r="C1258" s="2948" t="s">
        <v>636</v>
      </c>
      <c r="D1258" s="2948" t="s">
        <v>1862</v>
      </c>
      <c r="E1258" s="2948" t="s">
        <v>729</v>
      </c>
      <c r="F1258" s="2948" t="s">
        <v>1417</v>
      </c>
      <c r="G1258" s="2948" t="s">
        <v>640</v>
      </c>
      <c r="H1258" s="2948" t="s">
        <v>1863</v>
      </c>
      <c r="I1258" s="2948" t="s">
        <v>1027</v>
      </c>
      <c r="J1258" s="2948" t="s">
        <v>643</v>
      </c>
      <c r="K1258" s="2950">
        <v>33.03</v>
      </c>
      <c r="L1258" s="2950">
        <v>13.25</v>
      </c>
      <c r="M1258" s="2951">
        <v>550164</v>
      </c>
      <c r="N1258" s="2951">
        <v>550164</v>
      </c>
      <c r="O1258" s="2952">
        <v>550164</v>
      </c>
      <c r="P1258" s="2953">
        <v>550164</v>
      </c>
      <c r="Q1258" s="2951">
        <v>175000</v>
      </c>
      <c r="R1258" s="2954">
        <v>45281</v>
      </c>
      <c r="S1258" s="2954">
        <v>45281</v>
      </c>
      <c r="T1258" s="2948"/>
      <c r="U1258" s="2948"/>
      <c r="V1258" s="2948" t="s">
        <v>1856</v>
      </c>
      <c r="W1258" s="2944">
        <f t="shared" si="6"/>
        <v>16656.494096276099</v>
      </c>
    </row>
    <row r="1259" spans="1:23" s="2944" customFormat="1" ht="46.8">
      <c r="A1259" s="2948">
        <v>1258</v>
      </c>
      <c r="B1259" s="2948" t="s">
        <v>635</v>
      </c>
      <c r="C1259" s="2948" t="s">
        <v>636</v>
      </c>
      <c r="D1259" s="2948" t="s">
        <v>1862</v>
      </c>
      <c r="E1259" s="2948" t="s">
        <v>729</v>
      </c>
      <c r="F1259" s="2948" t="s">
        <v>1418</v>
      </c>
      <c r="G1259" s="2948" t="s">
        <v>640</v>
      </c>
      <c r="H1259" s="2948" t="s">
        <v>1863</v>
      </c>
      <c r="I1259" s="2948" t="s">
        <v>1027</v>
      </c>
      <c r="J1259" s="2948" t="s">
        <v>643</v>
      </c>
      <c r="K1259" s="2950">
        <v>33.03</v>
      </c>
      <c r="L1259" s="2950">
        <v>13.25</v>
      </c>
      <c r="M1259" s="2951">
        <v>550164</v>
      </c>
      <c r="N1259" s="2951">
        <v>550164</v>
      </c>
      <c r="O1259" s="2952">
        <v>550164</v>
      </c>
      <c r="P1259" s="2953">
        <v>550164</v>
      </c>
      <c r="Q1259" s="2951">
        <v>550164</v>
      </c>
      <c r="R1259" s="2954">
        <v>44791</v>
      </c>
      <c r="S1259" s="2954">
        <v>44791</v>
      </c>
      <c r="T1259" s="2954">
        <v>44791</v>
      </c>
      <c r="U1259" s="2954">
        <v>44791</v>
      </c>
      <c r="V1259" s="2948" t="s">
        <v>1771</v>
      </c>
      <c r="W1259" s="2944">
        <f t="shared" si="6"/>
        <v>16656.494096276099</v>
      </c>
    </row>
    <row r="1260" spans="1:23" s="2944" customFormat="1" ht="46.8">
      <c r="A1260" s="2948">
        <v>1259</v>
      </c>
      <c r="B1260" s="2948" t="s">
        <v>635</v>
      </c>
      <c r="C1260" s="2948" t="s">
        <v>636</v>
      </c>
      <c r="D1260" s="2948" t="s">
        <v>1862</v>
      </c>
      <c r="E1260" s="2948" t="s">
        <v>729</v>
      </c>
      <c r="F1260" s="2948" t="s">
        <v>1419</v>
      </c>
      <c r="G1260" s="2948" t="s">
        <v>640</v>
      </c>
      <c r="H1260" s="2948" t="s">
        <v>1863</v>
      </c>
      <c r="I1260" s="2948" t="s">
        <v>1027</v>
      </c>
      <c r="J1260" s="2948" t="s">
        <v>643</v>
      </c>
      <c r="K1260" s="2950">
        <v>33.03</v>
      </c>
      <c r="L1260" s="2950">
        <v>13.25</v>
      </c>
      <c r="M1260" s="2951">
        <v>550164</v>
      </c>
      <c r="N1260" s="2951">
        <v>550164</v>
      </c>
      <c r="O1260" s="2952">
        <v>550164</v>
      </c>
      <c r="P1260" s="2953">
        <v>550164</v>
      </c>
      <c r="Q1260" s="2951">
        <v>550164</v>
      </c>
      <c r="R1260" s="2954">
        <v>44984</v>
      </c>
      <c r="S1260" s="2954">
        <v>44984</v>
      </c>
      <c r="T1260" s="2954">
        <v>44995</v>
      </c>
      <c r="U1260" s="2954">
        <v>44995</v>
      </c>
      <c r="V1260" s="2948" t="s">
        <v>1768</v>
      </c>
      <c r="W1260" s="2944">
        <f t="shared" si="6"/>
        <v>16656.494096276099</v>
      </c>
    </row>
    <row r="1261" spans="1:23" s="2944" customFormat="1" ht="46.8">
      <c r="A1261" s="2948">
        <v>1260</v>
      </c>
      <c r="B1261" s="2948" t="s">
        <v>635</v>
      </c>
      <c r="C1261" s="2948" t="s">
        <v>636</v>
      </c>
      <c r="D1261" s="2948" t="s">
        <v>1862</v>
      </c>
      <c r="E1261" s="2948" t="s">
        <v>729</v>
      </c>
      <c r="F1261" s="2948" t="s">
        <v>1420</v>
      </c>
      <c r="G1261" s="2948" t="s">
        <v>640</v>
      </c>
      <c r="H1261" s="2948" t="s">
        <v>1863</v>
      </c>
      <c r="I1261" s="2948" t="s">
        <v>1027</v>
      </c>
      <c r="J1261" s="2948" t="s">
        <v>643</v>
      </c>
      <c r="K1261" s="2950">
        <v>33.03</v>
      </c>
      <c r="L1261" s="2950">
        <v>13.25</v>
      </c>
      <c r="M1261" s="2951">
        <v>550164</v>
      </c>
      <c r="N1261" s="2951">
        <v>550164</v>
      </c>
      <c r="O1261" s="2952">
        <v>550164</v>
      </c>
      <c r="P1261" s="2953">
        <v>550164</v>
      </c>
      <c r="Q1261" s="2951">
        <v>550164</v>
      </c>
      <c r="R1261" s="2954">
        <v>44497</v>
      </c>
      <c r="S1261" s="2954">
        <v>44499</v>
      </c>
      <c r="T1261" s="2954">
        <v>44512</v>
      </c>
      <c r="U1261" s="2954">
        <v>44512</v>
      </c>
      <c r="V1261" s="2948" t="s">
        <v>1781</v>
      </c>
      <c r="W1261" s="2944">
        <f t="shared" si="6"/>
        <v>16656.494096276099</v>
      </c>
    </row>
    <row r="1262" spans="1:23" s="2944" customFormat="1" ht="46.8">
      <c r="A1262" s="2948">
        <v>1261</v>
      </c>
      <c r="B1262" s="2948" t="s">
        <v>635</v>
      </c>
      <c r="C1262" s="2948" t="s">
        <v>636</v>
      </c>
      <c r="D1262" s="2948" t="s">
        <v>1862</v>
      </c>
      <c r="E1262" s="2948" t="s">
        <v>729</v>
      </c>
      <c r="F1262" s="2948" t="s">
        <v>1421</v>
      </c>
      <c r="G1262" s="2948" t="s">
        <v>640</v>
      </c>
      <c r="H1262" s="2948" t="s">
        <v>1863</v>
      </c>
      <c r="I1262" s="2948" t="s">
        <v>1027</v>
      </c>
      <c r="J1262" s="2948" t="s">
        <v>643</v>
      </c>
      <c r="K1262" s="2950">
        <v>33.03</v>
      </c>
      <c r="L1262" s="2950">
        <v>13.25</v>
      </c>
      <c r="M1262" s="2951">
        <v>550164</v>
      </c>
      <c r="N1262" s="2951">
        <v>550164</v>
      </c>
      <c r="O1262" s="2952">
        <v>550164</v>
      </c>
      <c r="P1262" s="2953">
        <v>550164</v>
      </c>
      <c r="Q1262" s="2951">
        <v>550164</v>
      </c>
      <c r="R1262" s="2954">
        <v>44743</v>
      </c>
      <c r="S1262" s="2954">
        <v>44743</v>
      </c>
      <c r="T1262" s="2954">
        <v>44743</v>
      </c>
      <c r="U1262" s="2954">
        <v>44743</v>
      </c>
      <c r="V1262" s="2948" t="s">
        <v>1764</v>
      </c>
      <c r="W1262" s="2944">
        <f t="shared" si="6"/>
        <v>16656.494096276099</v>
      </c>
    </row>
    <row r="1263" spans="1:23" s="2944" customFormat="1" ht="46.8">
      <c r="A1263" s="2948">
        <v>1262</v>
      </c>
      <c r="B1263" s="2948" t="s">
        <v>635</v>
      </c>
      <c r="C1263" s="2948" t="s">
        <v>636</v>
      </c>
      <c r="D1263" s="2948" t="s">
        <v>1862</v>
      </c>
      <c r="E1263" s="2948" t="s">
        <v>729</v>
      </c>
      <c r="F1263" s="2948" t="s">
        <v>1423</v>
      </c>
      <c r="G1263" s="2948" t="s">
        <v>640</v>
      </c>
      <c r="H1263" s="2948" t="s">
        <v>1863</v>
      </c>
      <c r="I1263" s="2948" t="s">
        <v>1027</v>
      </c>
      <c r="J1263" s="2948" t="s">
        <v>643</v>
      </c>
      <c r="K1263" s="2950">
        <v>33.03</v>
      </c>
      <c r="L1263" s="2950">
        <v>13.25</v>
      </c>
      <c r="M1263" s="2951">
        <v>550164</v>
      </c>
      <c r="N1263" s="2951">
        <v>550164</v>
      </c>
      <c r="O1263" s="2952">
        <v>550164</v>
      </c>
      <c r="P1263" s="2953">
        <v>550164</v>
      </c>
      <c r="Q1263" s="2951">
        <v>550164</v>
      </c>
      <c r="R1263" s="2954">
        <v>44558</v>
      </c>
      <c r="S1263" s="2954">
        <v>44567</v>
      </c>
      <c r="T1263" s="2954">
        <v>44640</v>
      </c>
      <c r="U1263" s="2954">
        <v>44640</v>
      </c>
      <c r="V1263" s="2948" t="s">
        <v>1868</v>
      </c>
      <c r="W1263" s="2944">
        <f t="shared" si="6"/>
        <v>16656.494096276099</v>
      </c>
    </row>
    <row r="1264" spans="1:23" s="2944" customFormat="1" ht="46.8">
      <c r="A1264" s="2948">
        <v>1263</v>
      </c>
      <c r="B1264" s="2948" t="s">
        <v>635</v>
      </c>
      <c r="C1264" s="2948" t="s">
        <v>636</v>
      </c>
      <c r="D1264" s="2948" t="s">
        <v>1862</v>
      </c>
      <c r="E1264" s="2948" t="s">
        <v>729</v>
      </c>
      <c r="F1264" s="2948" t="s">
        <v>1424</v>
      </c>
      <c r="G1264" s="2948" t="s">
        <v>640</v>
      </c>
      <c r="H1264" s="2948" t="s">
        <v>1863</v>
      </c>
      <c r="I1264" s="2948" t="s">
        <v>1027</v>
      </c>
      <c r="J1264" s="2948" t="s">
        <v>643</v>
      </c>
      <c r="K1264" s="2950">
        <v>33.03</v>
      </c>
      <c r="L1264" s="2950">
        <v>13.25</v>
      </c>
      <c r="M1264" s="2951">
        <v>550164</v>
      </c>
      <c r="N1264" s="2951">
        <v>550164</v>
      </c>
      <c r="O1264" s="2952">
        <v>550164</v>
      </c>
      <c r="P1264" s="2953">
        <v>550164</v>
      </c>
      <c r="Q1264" s="2951">
        <v>550164</v>
      </c>
      <c r="R1264" s="2954">
        <v>44750</v>
      </c>
      <c r="S1264" s="2954">
        <v>44756</v>
      </c>
      <c r="T1264" s="2954">
        <v>44756</v>
      </c>
      <c r="U1264" s="2954">
        <v>44756</v>
      </c>
      <c r="V1264" s="2948" t="s">
        <v>1849</v>
      </c>
      <c r="W1264" s="2944">
        <f t="shared" si="6"/>
        <v>16656.494096276099</v>
      </c>
    </row>
    <row r="1265" spans="1:23" s="2944" customFormat="1" ht="46.8">
      <c r="A1265" s="2948">
        <v>1264</v>
      </c>
      <c r="B1265" s="2948" t="s">
        <v>635</v>
      </c>
      <c r="C1265" s="2948" t="s">
        <v>636</v>
      </c>
      <c r="D1265" s="2948" t="s">
        <v>1862</v>
      </c>
      <c r="E1265" s="2948" t="s">
        <v>729</v>
      </c>
      <c r="F1265" s="2948" t="s">
        <v>1425</v>
      </c>
      <c r="G1265" s="2948" t="s">
        <v>640</v>
      </c>
      <c r="H1265" s="2948" t="s">
        <v>1863</v>
      </c>
      <c r="I1265" s="2948" t="s">
        <v>1027</v>
      </c>
      <c r="J1265" s="2948" t="s">
        <v>643</v>
      </c>
      <c r="K1265" s="2950">
        <v>33.03</v>
      </c>
      <c r="L1265" s="2950">
        <v>13.25</v>
      </c>
      <c r="M1265" s="2951">
        <v>550164</v>
      </c>
      <c r="N1265" s="2951">
        <v>550164</v>
      </c>
      <c r="O1265" s="2952">
        <v>550164</v>
      </c>
      <c r="P1265" s="2953">
        <v>550164</v>
      </c>
      <c r="Q1265" s="2951">
        <v>550164</v>
      </c>
      <c r="R1265" s="2954">
        <v>44734</v>
      </c>
      <c r="S1265" s="2954">
        <v>44737</v>
      </c>
      <c r="T1265" s="2954">
        <v>44749</v>
      </c>
      <c r="U1265" s="2954">
        <v>44749</v>
      </c>
      <c r="V1265" s="2948" t="s">
        <v>1869</v>
      </c>
      <c r="W1265" s="2944">
        <f t="shared" si="6"/>
        <v>16656.494096276099</v>
      </c>
    </row>
    <row r="1266" spans="1:23" s="2944" customFormat="1" ht="46.8">
      <c r="A1266" s="2948">
        <v>1265</v>
      </c>
      <c r="B1266" s="2948" t="s">
        <v>635</v>
      </c>
      <c r="C1266" s="2948" t="s">
        <v>636</v>
      </c>
      <c r="D1266" s="2948" t="s">
        <v>1862</v>
      </c>
      <c r="E1266" s="2948" t="s">
        <v>729</v>
      </c>
      <c r="F1266" s="2948" t="s">
        <v>1426</v>
      </c>
      <c r="G1266" s="2948" t="s">
        <v>640</v>
      </c>
      <c r="H1266" s="2948" t="s">
        <v>1863</v>
      </c>
      <c r="I1266" s="2948" t="s">
        <v>1027</v>
      </c>
      <c r="J1266" s="2948" t="s">
        <v>643</v>
      </c>
      <c r="K1266" s="2950">
        <v>33.03</v>
      </c>
      <c r="L1266" s="2950">
        <v>13.25</v>
      </c>
      <c r="M1266" s="2951">
        <v>550164</v>
      </c>
      <c r="N1266" s="2951">
        <v>550164</v>
      </c>
      <c r="O1266" s="2952">
        <v>550164</v>
      </c>
      <c r="P1266" s="2953">
        <v>550164</v>
      </c>
      <c r="Q1266" s="2951">
        <v>550164</v>
      </c>
      <c r="R1266" s="2954">
        <v>44495</v>
      </c>
      <c r="S1266" s="2954">
        <v>44497</v>
      </c>
      <c r="T1266" s="2954">
        <v>44530</v>
      </c>
      <c r="U1266" s="2954">
        <v>44530</v>
      </c>
      <c r="V1266" s="2948" t="s">
        <v>1792</v>
      </c>
      <c r="W1266" s="2944">
        <f t="shared" si="6"/>
        <v>16656.494096276099</v>
      </c>
    </row>
    <row r="1267" spans="1:23" s="2944" customFormat="1" ht="46.8">
      <c r="A1267" s="2948">
        <v>1266</v>
      </c>
      <c r="B1267" s="2948" t="s">
        <v>635</v>
      </c>
      <c r="C1267" s="2948" t="s">
        <v>636</v>
      </c>
      <c r="D1267" s="2948" t="s">
        <v>1862</v>
      </c>
      <c r="E1267" s="2948" t="s">
        <v>729</v>
      </c>
      <c r="F1267" s="2948" t="s">
        <v>1427</v>
      </c>
      <c r="G1267" s="2948" t="s">
        <v>640</v>
      </c>
      <c r="H1267" s="2948" t="s">
        <v>1863</v>
      </c>
      <c r="I1267" s="2948" t="s">
        <v>1027</v>
      </c>
      <c r="J1267" s="2948" t="s">
        <v>643</v>
      </c>
      <c r="K1267" s="2950">
        <v>33.03</v>
      </c>
      <c r="L1267" s="2950">
        <v>13.25</v>
      </c>
      <c r="M1267" s="2951">
        <v>550164</v>
      </c>
      <c r="N1267" s="2951">
        <v>550164</v>
      </c>
      <c r="O1267" s="2952">
        <v>550164</v>
      </c>
      <c r="P1267" s="2953">
        <v>550164</v>
      </c>
      <c r="Q1267" s="2951">
        <v>550164</v>
      </c>
      <c r="R1267" s="2954">
        <v>44495</v>
      </c>
      <c r="S1267" s="2954">
        <v>44497</v>
      </c>
      <c r="T1267" s="2954">
        <v>44501</v>
      </c>
      <c r="U1267" s="2954">
        <v>44501</v>
      </c>
      <c r="V1267" s="2948" t="s">
        <v>1627</v>
      </c>
      <c r="W1267" s="2944">
        <f t="shared" si="6"/>
        <v>16656.494096276099</v>
      </c>
    </row>
    <row r="1268" spans="1:23" s="2944" customFormat="1" ht="46.8">
      <c r="A1268" s="2948">
        <v>1267</v>
      </c>
      <c r="B1268" s="2948" t="s">
        <v>635</v>
      </c>
      <c r="C1268" s="2948" t="s">
        <v>636</v>
      </c>
      <c r="D1268" s="2948" t="s">
        <v>1862</v>
      </c>
      <c r="E1268" s="2948" t="s">
        <v>729</v>
      </c>
      <c r="F1268" s="2948" t="s">
        <v>1428</v>
      </c>
      <c r="G1268" s="2948" t="s">
        <v>640</v>
      </c>
      <c r="H1268" s="2948" t="s">
        <v>1863</v>
      </c>
      <c r="I1268" s="2948" t="s">
        <v>1027</v>
      </c>
      <c r="J1268" s="2948" t="s">
        <v>643</v>
      </c>
      <c r="K1268" s="2950">
        <v>33.03</v>
      </c>
      <c r="L1268" s="2950">
        <v>13.25</v>
      </c>
      <c r="M1268" s="2951">
        <v>550164</v>
      </c>
      <c r="N1268" s="2951">
        <v>550164</v>
      </c>
      <c r="O1268" s="2952">
        <v>550164</v>
      </c>
      <c r="P1268" s="2953">
        <v>550164</v>
      </c>
      <c r="Q1268" s="2951">
        <v>550164</v>
      </c>
      <c r="R1268" s="2954">
        <v>44495</v>
      </c>
      <c r="S1268" s="2954">
        <v>44497</v>
      </c>
      <c r="T1268" s="2954">
        <v>44637</v>
      </c>
      <c r="U1268" s="2954">
        <v>44637</v>
      </c>
      <c r="V1268" s="2948" t="s">
        <v>1799</v>
      </c>
      <c r="W1268" s="2944">
        <f t="shared" si="6"/>
        <v>16656.494096276099</v>
      </c>
    </row>
    <row r="1269" spans="1:23" s="2944" customFormat="1" ht="46.8">
      <c r="A1269" s="2948">
        <v>1268</v>
      </c>
      <c r="B1269" s="2948" t="s">
        <v>635</v>
      </c>
      <c r="C1269" s="2948" t="s">
        <v>636</v>
      </c>
      <c r="D1269" s="2948" t="s">
        <v>1862</v>
      </c>
      <c r="E1269" s="2948" t="s">
        <v>729</v>
      </c>
      <c r="F1269" s="2948" t="s">
        <v>1429</v>
      </c>
      <c r="G1269" s="2948" t="s">
        <v>640</v>
      </c>
      <c r="H1269" s="2948" t="s">
        <v>1863</v>
      </c>
      <c r="I1269" s="2948" t="s">
        <v>1027</v>
      </c>
      <c r="J1269" s="2948" t="s">
        <v>643</v>
      </c>
      <c r="K1269" s="2950">
        <v>33.03</v>
      </c>
      <c r="L1269" s="2950">
        <v>13.25</v>
      </c>
      <c r="M1269" s="2951">
        <v>550164</v>
      </c>
      <c r="N1269" s="2951">
        <v>550164</v>
      </c>
      <c r="O1269" s="2952">
        <v>550164</v>
      </c>
      <c r="P1269" s="2953">
        <v>550164</v>
      </c>
      <c r="Q1269" s="2951">
        <v>550164</v>
      </c>
      <c r="R1269" s="2954">
        <v>44494</v>
      </c>
      <c r="S1269" s="2954">
        <v>44497</v>
      </c>
      <c r="T1269" s="2954">
        <v>44502</v>
      </c>
      <c r="U1269" s="2954">
        <v>44502</v>
      </c>
      <c r="V1269" s="2948" t="s">
        <v>1788</v>
      </c>
      <c r="W1269" s="2944">
        <f t="shared" si="6"/>
        <v>16656.494096276099</v>
      </c>
    </row>
    <row r="1270" spans="1:23" s="2944" customFormat="1" ht="46.8">
      <c r="A1270" s="2948">
        <v>1269</v>
      </c>
      <c r="B1270" s="2948" t="s">
        <v>635</v>
      </c>
      <c r="C1270" s="2948" t="s">
        <v>636</v>
      </c>
      <c r="D1270" s="2948" t="s">
        <v>1862</v>
      </c>
      <c r="E1270" s="2948" t="s">
        <v>729</v>
      </c>
      <c r="F1270" s="2948" t="s">
        <v>1430</v>
      </c>
      <c r="G1270" s="2948" t="s">
        <v>640</v>
      </c>
      <c r="H1270" s="2948" t="s">
        <v>1863</v>
      </c>
      <c r="I1270" s="2948" t="s">
        <v>1027</v>
      </c>
      <c r="J1270" s="2948" t="s">
        <v>643</v>
      </c>
      <c r="K1270" s="2950">
        <v>33.03</v>
      </c>
      <c r="L1270" s="2950">
        <v>13.25</v>
      </c>
      <c r="M1270" s="2951">
        <v>550164</v>
      </c>
      <c r="N1270" s="2951">
        <v>550164</v>
      </c>
      <c r="O1270" s="2952">
        <v>550164</v>
      </c>
      <c r="P1270" s="2953">
        <v>550164</v>
      </c>
      <c r="Q1270" s="2951">
        <v>550164</v>
      </c>
      <c r="R1270" s="2954">
        <v>44498</v>
      </c>
      <c r="S1270" s="2954">
        <v>44500</v>
      </c>
      <c r="T1270" s="2954">
        <v>44753</v>
      </c>
      <c r="U1270" s="2954">
        <v>44753</v>
      </c>
      <c r="V1270" s="2948" t="s">
        <v>1694</v>
      </c>
      <c r="W1270" s="2944">
        <f t="shared" si="6"/>
        <v>16656.494096276099</v>
      </c>
    </row>
    <row r="1271" spans="1:23" s="2944" customFormat="1" ht="46.8">
      <c r="A1271" s="2948">
        <v>1270</v>
      </c>
      <c r="B1271" s="2948" t="s">
        <v>635</v>
      </c>
      <c r="C1271" s="2948" t="s">
        <v>636</v>
      </c>
      <c r="D1271" s="2948" t="s">
        <v>1862</v>
      </c>
      <c r="E1271" s="2948" t="s">
        <v>729</v>
      </c>
      <c r="F1271" s="2948" t="s">
        <v>1431</v>
      </c>
      <c r="G1271" s="2948" t="s">
        <v>640</v>
      </c>
      <c r="H1271" s="2948" t="s">
        <v>1863</v>
      </c>
      <c r="I1271" s="2948" t="s">
        <v>1027</v>
      </c>
      <c r="J1271" s="2948" t="s">
        <v>643</v>
      </c>
      <c r="K1271" s="2950">
        <v>33.03</v>
      </c>
      <c r="L1271" s="2950">
        <v>13.25</v>
      </c>
      <c r="M1271" s="2951">
        <v>550164</v>
      </c>
      <c r="N1271" s="2951">
        <v>550164</v>
      </c>
      <c r="O1271" s="2952">
        <v>550164</v>
      </c>
      <c r="P1271" s="2953">
        <v>550164</v>
      </c>
      <c r="Q1271" s="2951">
        <v>550164</v>
      </c>
      <c r="R1271" s="2954">
        <v>44498</v>
      </c>
      <c r="S1271" s="2954">
        <v>44500</v>
      </c>
      <c r="T1271" s="2954">
        <v>44762</v>
      </c>
      <c r="U1271" s="2954">
        <v>44762</v>
      </c>
      <c r="V1271" s="2948" t="s">
        <v>1657</v>
      </c>
      <c r="W1271" s="2944">
        <f t="shared" si="6"/>
        <v>16656.494096276099</v>
      </c>
    </row>
    <row r="1272" spans="1:23" s="2944" customFormat="1" ht="46.8">
      <c r="A1272" s="2948">
        <v>1271</v>
      </c>
      <c r="B1272" s="2948" t="s">
        <v>635</v>
      </c>
      <c r="C1272" s="2948" t="s">
        <v>636</v>
      </c>
      <c r="D1272" s="2948" t="s">
        <v>1862</v>
      </c>
      <c r="E1272" s="2948" t="s">
        <v>729</v>
      </c>
      <c r="F1272" s="2948" t="s">
        <v>1432</v>
      </c>
      <c r="G1272" s="2948" t="s">
        <v>640</v>
      </c>
      <c r="H1272" s="2948" t="s">
        <v>1863</v>
      </c>
      <c r="I1272" s="2948" t="s">
        <v>1027</v>
      </c>
      <c r="J1272" s="2948" t="s">
        <v>643</v>
      </c>
      <c r="K1272" s="2950">
        <v>33.03</v>
      </c>
      <c r="L1272" s="2950">
        <v>13.25</v>
      </c>
      <c r="M1272" s="2951">
        <v>550164</v>
      </c>
      <c r="N1272" s="2951">
        <v>550164</v>
      </c>
      <c r="O1272" s="2952">
        <v>550164</v>
      </c>
      <c r="P1272" s="2953">
        <v>550164</v>
      </c>
      <c r="Q1272" s="2951">
        <v>550164</v>
      </c>
      <c r="R1272" s="2954">
        <v>44497</v>
      </c>
      <c r="S1272" s="2954">
        <v>44499</v>
      </c>
      <c r="T1272" s="2954">
        <v>44637</v>
      </c>
      <c r="U1272" s="2954">
        <v>44637</v>
      </c>
      <c r="V1272" s="2948" t="s">
        <v>1790</v>
      </c>
      <c r="W1272" s="2944">
        <f t="shared" si="6"/>
        <v>16656.494096276099</v>
      </c>
    </row>
    <row r="1273" spans="1:23" s="2944" customFormat="1" ht="46.8">
      <c r="A1273" s="2948">
        <v>1272</v>
      </c>
      <c r="B1273" s="2948" t="s">
        <v>635</v>
      </c>
      <c r="C1273" s="2948" t="s">
        <v>636</v>
      </c>
      <c r="D1273" s="2948" t="s">
        <v>1862</v>
      </c>
      <c r="E1273" s="2948" t="s">
        <v>729</v>
      </c>
      <c r="F1273" s="2948" t="s">
        <v>1433</v>
      </c>
      <c r="G1273" s="2948" t="s">
        <v>640</v>
      </c>
      <c r="H1273" s="2948" t="s">
        <v>1863</v>
      </c>
      <c r="I1273" s="2948" t="s">
        <v>1027</v>
      </c>
      <c r="J1273" s="2948" t="s">
        <v>643</v>
      </c>
      <c r="K1273" s="2950">
        <v>33.03</v>
      </c>
      <c r="L1273" s="2950">
        <v>13.25</v>
      </c>
      <c r="M1273" s="2951">
        <v>550164</v>
      </c>
      <c r="N1273" s="2951">
        <v>550164</v>
      </c>
      <c r="O1273" s="2952">
        <v>550164</v>
      </c>
      <c r="P1273" s="2953">
        <v>550164</v>
      </c>
      <c r="Q1273" s="2951">
        <v>550164</v>
      </c>
      <c r="R1273" s="2954">
        <v>44497</v>
      </c>
      <c r="S1273" s="2954">
        <v>44497</v>
      </c>
      <c r="T1273" s="2954">
        <v>44745</v>
      </c>
      <c r="U1273" s="2954">
        <v>44745</v>
      </c>
      <c r="V1273" s="2948" t="s">
        <v>1682</v>
      </c>
      <c r="W1273" s="2944">
        <f t="shared" si="6"/>
        <v>16656.494096276099</v>
      </c>
    </row>
    <row r="1274" spans="1:23" s="2944" customFormat="1" ht="46.8">
      <c r="A1274" s="2948">
        <v>1273</v>
      </c>
      <c r="B1274" s="2948" t="s">
        <v>635</v>
      </c>
      <c r="C1274" s="2948" t="s">
        <v>636</v>
      </c>
      <c r="D1274" s="2948" t="s">
        <v>1862</v>
      </c>
      <c r="E1274" s="2948" t="s">
        <v>729</v>
      </c>
      <c r="F1274" s="2948" t="s">
        <v>1434</v>
      </c>
      <c r="G1274" s="2948" t="s">
        <v>640</v>
      </c>
      <c r="H1274" s="2948" t="s">
        <v>1863</v>
      </c>
      <c r="I1274" s="2948" t="s">
        <v>1027</v>
      </c>
      <c r="J1274" s="2948" t="s">
        <v>643</v>
      </c>
      <c r="K1274" s="2950">
        <v>33.03</v>
      </c>
      <c r="L1274" s="2950">
        <v>13.25</v>
      </c>
      <c r="M1274" s="2951">
        <v>550164</v>
      </c>
      <c r="N1274" s="2951">
        <v>550164</v>
      </c>
      <c r="O1274" s="2952">
        <v>550164</v>
      </c>
      <c r="P1274" s="2953">
        <v>550164</v>
      </c>
      <c r="Q1274" s="2951">
        <v>550164</v>
      </c>
      <c r="R1274" s="2954">
        <v>44497</v>
      </c>
      <c r="S1274" s="2954">
        <v>44528</v>
      </c>
      <c r="T1274" s="2954">
        <v>44528</v>
      </c>
      <c r="U1274" s="2954">
        <v>44528</v>
      </c>
      <c r="V1274" s="2948" t="s">
        <v>1666</v>
      </c>
      <c r="W1274" s="2944">
        <f t="shared" si="6"/>
        <v>16656.494096276099</v>
      </c>
    </row>
    <row r="1275" spans="1:23" s="2944" customFormat="1" ht="46.8">
      <c r="A1275" s="2948">
        <v>1274</v>
      </c>
      <c r="B1275" s="2948" t="s">
        <v>635</v>
      </c>
      <c r="C1275" s="2948" t="s">
        <v>636</v>
      </c>
      <c r="D1275" s="2948" t="s">
        <v>1862</v>
      </c>
      <c r="E1275" s="2948" t="s">
        <v>729</v>
      </c>
      <c r="F1275" s="2948" t="s">
        <v>1435</v>
      </c>
      <c r="G1275" s="2948" t="s">
        <v>640</v>
      </c>
      <c r="H1275" s="2948" t="s">
        <v>1863</v>
      </c>
      <c r="I1275" s="2948" t="s">
        <v>1027</v>
      </c>
      <c r="J1275" s="2948" t="s">
        <v>643</v>
      </c>
      <c r="K1275" s="2950">
        <v>33.03</v>
      </c>
      <c r="L1275" s="2950">
        <v>13.25</v>
      </c>
      <c r="M1275" s="2951">
        <v>550164</v>
      </c>
      <c r="N1275" s="2951">
        <v>550164</v>
      </c>
      <c r="O1275" s="2952">
        <v>522656</v>
      </c>
      <c r="P1275" s="2953">
        <v>522656</v>
      </c>
      <c r="Q1275" s="2951">
        <v>522656</v>
      </c>
      <c r="R1275" s="2954">
        <v>44498</v>
      </c>
      <c r="S1275" s="2954">
        <v>44636</v>
      </c>
      <c r="T1275" s="2954">
        <v>44636</v>
      </c>
      <c r="U1275" s="2954">
        <v>44636</v>
      </c>
      <c r="V1275" s="2948" t="s">
        <v>1615</v>
      </c>
      <c r="W1275" s="2944">
        <f t="shared" si="6"/>
        <v>15823.6754465637</v>
      </c>
    </row>
    <row r="1276" spans="1:23" s="2944" customFormat="1" ht="46.8">
      <c r="A1276" s="2948">
        <v>1275</v>
      </c>
      <c r="B1276" s="2948" t="s">
        <v>635</v>
      </c>
      <c r="C1276" s="2948" t="s">
        <v>636</v>
      </c>
      <c r="D1276" s="2948" t="s">
        <v>1862</v>
      </c>
      <c r="E1276" s="2948" t="s">
        <v>729</v>
      </c>
      <c r="F1276" s="2948" t="s">
        <v>1436</v>
      </c>
      <c r="G1276" s="2948" t="s">
        <v>640</v>
      </c>
      <c r="H1276" s="2948" t="s">
        <v>1863</v>
      </c>
      <c r="I1276" s="2948" t="s">
        <v>1027</v>
      </c>
      <c r="J1276" s="2948" t="s">
        <v>643</v>
      </c>
      <c r="K1276" s="2950">
        <v>33.03</v>
      </c>
      <c r="L1276" s="2950">
        <v>13.25</v>
      </c>
      <c r="M1276" s="2951">
        <v>550164</v>
      </c>
      <c r="N1276" s="2951">
        <v>550164</v>
      </c>
      <c r="O1276" s="2952">
        <v>550164</v>
      </c>
      <c r="P1276" s="2953">
        <v>550164</v>
      </c>
      <c r="Q1276" s="2951">
        <v>550164</v>
      </c>
      <c r="R1276" s="2954">
        <v>44497</v>
      </c>
      <c r="S1276" s="2954">
        <v>44499</v>
      </c>
      <c r="T1276" s="2954">
        <v>44781</v>
      </c>
      <c r="U1276" s="2954">
        <v>44781</v>
      </c>
      <c r="V1276" s="2948" t="s">
        <v>1658</v>
      </c>
      <c r="W1276" s="2944">
        <f t="shared" si="6"/>
        <v>16656.494096276099</v>
      </c>
    </row>
    <row r="1277" spans="1:23" s="2944" customFormat="1" ht="46.8">
      <c r="A1277" s="2948">
        <v>1276</v>
      </c>
      <c r="B1277" s="2948" t="s">
        <v>635</v>
      </c>
      <c r="C1277" s="2948" t="s">
        <v>636</v>
      </c>
      <c r="D1277" s="2948" t="s">
        <v>1862</v>
      </c>
      <c r="E1277" s="2948" t="s">
        <v>729</v>
      </c>
      <c r="F1277" s="2948" t="s">
        <v>1437</v>
      </c>
      <c r="G1277" s="2948" t="s">
        <v>640</v>
      </c>
      <c r="H1277" s="2948" t="s">
        <v>1863</v>
      </c>
      <c r="I1277" s="2948" t="s">
        <v>1027</v>
      </c>
      <c r="J1277" s="2948" t="s">
        <v>643</v>
      </c>
      <c r="K1277" s="2950">
        <v>33.03</v>
      </c>
      <c r="L1277" s="2950">
        <v>13.25</v>
      </c>
      <c r="M1277" s="2951">
        <v>550164</v>
      </c>
      <c r="N1277" s="2951">
        <v>550164</v>
      </c>
      <c r="O1277" s="2952">
        <v>550164</v>
      </c>
      <c r="P1277" s="2953">
        <v>550164</v>
      </c>
      <c r="Q1277" s="2951">
        <v>550164</v>
      </c>
      <c r="R1277" s="2954">
        <v>44498</v>
      </c>
      <c r="S1277" s="2954">
        <v>44498</v>
      </c>
      <c r="T1277" s="2954">
        <v>44530</v>
      </c>
      <c r="U1277" s="2954">
        <v>44530</v>
      </c>
      <c r="V1277" s="2948" t="s">
        <v>1690</v>
      </c>
      <c r="W1277" s="2944">
        <f t="shared" si="6"/>
        <v>16656.494096276099</v>
      </c>
    </row>
    <row r="1278" spans="1:23" s="2944" customFormat="1" ht="46.8">
      <c r="A1278" s="2948">
        <v>1277</v>
      </c>
      <c r="B1278" s="2948" t="s">
        <v>635</v>
      </c>
      <c r="C1278" s="2948" t="s">
        <v>636</v>
      </c>
      <c r="D1278" s="2948" t="s">
        <v>1862</v>
      </c>
      <c r="E1278" s="2948" t="s">
        <v>729</v>
      </c>
      <c r="F1278" s="2948" t="s">
        <v>1438</v>
      </c>
      <c r="G1278" s="2948" t="s">
        <v>640</v>
      </c>
      <c r="H1278" s="2948" t="s">
        <v>1863</v>
      </c>
      <c r="I1278" s="2948" t="s">
        <v>1027</v>
      </c>
      <c r="J1278" s="2948" t="s">
        <v>643</v>
      </c>
      <c r="K1278" s="2950">
        <v>33.03</v>
      </c>
      <c r="L1278" s="2950">
        <v>13.25</v>
      </c>
      <c r="M1278" s="2951">
        <v>550164</v>
      </c>
      <c r="N1278" s="2951">
        <v>550164</v>
      </c>
      <c r="O1278" s="2952">
        <v>550164</v>
      </c>
      <c r="P1278" s="2953">
        <v>550164</v>
      </c>
      <c r="Q1278" s="2951">
        <v>550164</v>
      </c>
      <c r="R1278" s="2954">
        <v>44496</v>
      </c>
      <c r="S1278" s="2954">
        <v>44497</v>
      </c>
      <c r="T1278" s="2954">
        <v>44636</v>
      </c>
      <c r="U1278" s="2954">
        <v>44636</v>
      </c>
      <c r="V1278" s="2948" t="s">
        <v>1699</v>
      </c>
      <c r="W1278" s="2944">
        <f t="shared" si="6"/>
        <v>16656.494096276099</v>
      </c>
    </row>
    <row r="1279" spans="1:23" s="2944" customFormat="1" ht="46.8">
      <c r="A1279" s="2948">
        <v>1278</v>
      </c>
      <c r="B1279" s="2948" t="s">
        <v>635</v>
      </c>
      <c r="C1279" s="2948" t="s">
        <v>636</v>
      </c>
      <c r="D1279" s="2948" t="s">
        <v>1862</v>
      </c>
      <c r="E1279" s="2948" t="s">
        <v>729</v>
      </c>
      <c r="F1279" s="2948" t="s">
        <v>1439</v>
      </c>
      <c r="G1279" s="2948" t="s">
        <v>640</v>
      </c>
      <c r="H1279" s="2948" t="s">
        <v>1863</v>
      </c>
      <c r="I1279" s="2948" t="s">
        <v>1027</v>
      </c>
      <c r="J1279" s="2948" t="s">
        <v>643</v>
      </c>
      <c r="K1279" s="2950">
        <v>33.03</v>
      </c>
      <c r="L1279" s="2950">
        <v>13.25</v>
      </c>
      <c r="M1279" s="2951">
        <v>550164</v>
      </c>
      <c r="N1279" s="2951">
        <v>550164</v>
      </c>
      <c r="O1279" s="2952">
        <v>550164</v>
      </c>
      <c r="P1279" s="2953">
        <v>550164</v>
      </c>
      <c r="Q1279" s="2951">
        <v>550164</v>
      </c>
      <c r="R1279" s="2954">
        <v>44496</v>
      </c>
      <c r="S1279" s="2954">
        <v>44496</v>
      </c>
      <c r="T1279" s="2954">
        <v>44530</v>
      </c>
      <c r="U1279" s="2954">
        <v>44530</v>
      </c>
      <c r="V1279" s="2948" t="s">
        <v>1692</v>
      </c>
      <c r="W1279" s="2944">
        <f t="shared" si="6"/>
        <v>16656.494096276099</v>
      </c>
    </row>
    <row r="1280" spans="1:23" s="2944" customFormat="1" ht="46.8">
      <c r="A1280" s="2948">
        <v>1279</v>
      </c>
      <c r="B1280" s="2948" t="s">
        <v>635</v>
      </c>
      <c r="C1280" s="2948" t="s">
        <v>636</v>
      </c>
      <c r="D1280" s="2948" t="s">
        <v>1862</v>
      </c>
      <c r="E1280" s="2948" t="s">
        <v>729</v>
      </c>
      <c r="F1280" s="2948" t="s">
        <v>1440</v>
      </c>
      <c r="G1280" s="2948" t="s">
        <v>640</v>
      </c>
      <c r="H1280" s="2948" t="s">
        <v>1863</v>
      </c>
      <c r="I1280" s="2948" t="s">
        <v>1027</v>
      </c>
      <c r="J1280" s="2948" t="s">
        <v>643</v>
      </c>
      <c r="K1280" s="2950">
        <v>33.03</v>
      </c>
      <c r="L1280" s="2950">
        <v>13.25</v>
      </c>
      <c r="M1280" s="2951">
        <v>550164</v>
      </c>
      <c r="N1280" s="2951">
        <v>550164</v>
      </c>
      <c r="O1280" s="2952">
        <v>550164</v>
      </c>
      <c r="P1280" s="2953">
        <v>550164</v>
      </c>
      <c r="Q1280" s="2951">
        <v>550164</v>
      </c>
      <c r="R1280" s="2954">
        <v>44497</v>
      </c>
      <c r="S1280" s="2954">
        <v>44499</v>
      </c>
      <c r="T1280" s="2954">
        <v>44529</v>
      </c>
      <c r="U1280" s="2954">
        <v>44529</v>
      </c>
      <c r="V1280" s="2948" t="s">
        <v>1696</v>
      </c>
      <c r="W1280" s="2944">
        <f t="shared" si="6"/>
        <v>16656.494096276099</v>
      </c>
    </row>
    <row r="1281" spans="1:23" s="2944" customFormat="1" ht="46.8">
      <c r="A1281" s="2948">
        <v>1280</v>
      </c>
      <c r="B1281" s="2948" t="s">
        <v>635</v>
      </c>
      <c r="C1281" s="2948" t="s">
        <v>636</v>
      </c>
      <c r="D1281" s="2948" t="s">
        <v>1862</v>
      </c>
      <c r="E1281" s="2948" t="s">
        <v>729</v>
      </c>
      <c r="F1281" s="2948" t="s">
        <v>1441</v>
      </c>
      <c r="G1281" s="2948" t="s">
        <v>640</v>
      </c>
      <c r="H1281" s="2948" t="s">
        <v>1863</v>
      </c>
      <c r="I1281" s="2948" t="s">
        <v>1027</v>
      </c>
      <c r="J1281" s="2948" t="s">
        <v>643</v>
      </c>
      <c r="K1281" s="2950">
        <v>33.03</v>
      </c>
      <c r="L1281" s="2950">
        <v>13.25</v>
      </c>
      <c r="M1281" s="2951">
        <v>550164</v>
      </c>
      <c r="N1281" s="2951">
        <v>550164</v>
      </c>
      <c r="O1281" s="2952">
        <v>550164</v>
      </c>
      <c r="P1281" s="2953">
        <v>550164</v>
      </c>
      <c r="Q1281" s="2951">
        <v>550164</v>
      </c>
      <c r="R1281" s="2954">
        <v>44498</v>
      </c>
      <c r="S1281" s="2954">
        <v>44680</v>
      </c>
      <c r="T1281" s="2954">
        <v>44756</v>
      </c>
      <c r="U1281" s="2954">
        <v>44756</v>
      </c>
      <c r="V1281" s="2948" t="s">
        <v>1688</v>
      </c>
      <c r="W1281" s="2944">
        <f t="shared" si="6"/>
        <v>16656.494096276099</v>
      </c>
    </row>
    <row r="1282" spans="1:23" s="2944" customFormat="1" ht="46.8">
      <c r="A1282" s="2948">
        <v>1281</v>
      </c>
      <c r="B1282" s="2948" t="s">
        <v>635</v>
      </c>
      <c r="C1282" s="2948" t="s">
        <v>636</v>
      </c>
      <c r="D1282" s="2948" t="s">
        <v>1862</v>
      </c>
      <c r="E1282" s="2948" t="s">
        <v>729</v>
      </c>
      <c r="F1282" s="2948" t="s">
        <v>1443</v>
      </c>
      <c r="G1282" s="2948" t="s">
        <v>640</v>
      </c>
      <c r="H1282" s="2948" t="s">
        <v>1863</v>
      </c>
      <c r="I1282" s="2948" t="s">
        <v>1027</v>
      </c>
      <c r="J1282" s="2948" t="s">
        <v>643</v>
      </c>
      <c r="K1282" s="2950">
        <v>33.03</v>
      </c>
      <c r="L1282" s="2950">
        <v>13.25</v>
      </c>
      <c r="M1282" s="2951">
        <v>550164</v>
      </c>
      <c r="N1282" s="2951">
        <v>550164</v>
      </c>
      <c r="O1282" s="2952">
        <v>550164</v>
      </c>
      <c r="P1282" s="2953">
        <v>550164</v>
      </c>
      <c r="Q1282" s="2951">
        <v>550164</v>
      </c>
      <c r="R1282" s="2954">
        <v>44734</v>
      </c>
      <c r="S1282" s="2954">
        <v>44736</v>
      </c>
      <c r="T1282" s="2954">
        <v>44756</v>
      </c>
      <c r="U1282" s="2954">
        <v>44756</v>
      </c>
      <c r="V1282" s="2948" t="s">
        <v>1769</v>
      </c>
      <c r="W1282" s="2944">
        <f t="shared" si="6"/>
        <v>16656.494096276099</v>
      </c>
    </row>
    <row r="1283" spans="1:23" s="2944" customFormat="1" ht="46.8">
      <c r="A1283" s="2948">
        <v>1282</v>
      </c>
      <c r="B1283" s="2948" t="s">
        <v>635</v>
      </c>
      <c r="C1283" s="2948" t="s">
        <v>636</v>
      </c>
      <c r="D1283" s="2948" t="s">
        <v>1862</v>
      </c>
      <c r="E1283" s="2948" t="s">
        <v>729</v>
      </c>
      <c r="F1283" s="2948" t="s">
        <v>1444</v>
      </c>
      <c r="G1283" s="2948" t="s">
        <v>640</v>
      </c>
      <c r="H1283" s="2948" t="s">
        <v>1863</v>
      </c>
      <c r="I1283" s="2948" t="s">
        <v>1027</v>
      </c>
      <c r="J1283" s="2948" t="s">
        <v>643</v>
      </c>
      <c r="K1283" s="2950">
        <v>33.03</v>
      </c>
      <c r="L1283" s="2950">
        <v>13.25</v>
      </c>
      <c r="M1283" s="2951">
        <v>550164</v>
      </c>
      <c r="N1283" s="2951">
        <v>550164</v>
      </c>
      <c r="O1283" s="2952">
        <v>550164</v>
      </c>
      <c r="P1283" s="2953">
        <v>550164</v>
      </c>
      <c r="Q1283" s="2951">
        <v>550164</v>
      </c>
      <c r="R1283" s="2954">
        <v>44734</v>
      </c>
      <c r="S1283" s="2954">
        <v>44737</v>
      </c>
      <c r="T1283" s="2954">
        <v>44777</v>
      </c>
      <c r="U1283" s="2954">
        <v>44777</v>
      </c>
      <c r="V1283" s="2948" t="s">
        <v>1770</v>
      </c>
      <c r="W1283" s="2944">
        <f t="shared" si="6"/>
        <v>16656.494096276099</v>
      </c>
    </row>
    <row r="1284" spans="1:23" s="2944" customFormat="1" ht="46.8">
      <c r="A1284" s="2948">
        <v>1283</v>
      </c>
      <c r="B1284" s="2948" t="s">
        <v>635</v>
      </c>
      <c r="C1284" s="2948" t="s">
        <v>636</v>
      </c>
      <c r="D1284" s="2948" t="s">
        <v>1862</v>
      </c>
      <c r="E1284" s="2948" t="s">
        <v>729</v>
      </c>
      <c r="F1284" s="2948" t="s">
        <v>1445</v>
      </c>
      <c r="G1284" s="2948" t="s">
        <v>640</v>
      </c>
      <c r="H1284" s="2948" t="s">
        <v>1863</v>
      </c>
      <c r="I1284" s="2948" t="s">
        <v>1027</v>
      </c>
      <c r="J1284" s="2948" t="s">
        <v>643</v>
      </c>
      <c r="K1284" s="2950">
        <v>33.03</v>
      </c>
      <c r="L1284" s="2950">
        <v>13.25</v>
      </c>
      <c r="M1284" s="2951">
        <v>550164</v>
      </c>
      <c r="N1284" s="2951">
        <v>550164</v>
      </c>
      <c r="O1284" s="2952">
        <v>550164</v>
      </c>
      <c r="P1284" s="2953">
        <v>550164</v>
      </c>
      <c r="Q1284" s="2951">
        <v>550164</v>
      </c>
      <c r="R1284" s="2954">
        <v>44734</v>
      </c>
      <c r="S1284" s="2954">
        <v>44737</v>
      </c>
      <c r="T1284" s="2954">
        <v>44741</v>
      </c>
      <c r="U1284" s="2954">
        <v>44741</v>
      </c>
      <c r="V1284" s="2948" t="s">
        <v>1853</v>
      </c>
      <c r="W1284" s="2944">
        <f t="shared" si="6"/>
        <v>16656.494096276099</v>
      </c>
    </row>
    <row r="1285" spans="1:23" s="2944" customFormat="1" ht="46.8">
      <c r="A1285" s="2948">
        <v>1284</v>
      </c>
      <c r="B1285" s="2948" t="s">
        <v>635</v>
      </c>
      <c r="C1285" s="2948" t="s">
        <v>636</v>
      </c>
      <c r="D1285" s="2948" t="s">
        <v>1862</v>
      </c>
      <c r="E1285" s="2948" t="s">
        <v>729</v>
      </c>
      <c r="F1285" s="2948" t="s">
        <v>1446</v>
      </c>
      <c r="G1285" s="2948" t="s">
        <v>640</v>
      </c>
      <c r="H1285" s="2948" t="s">
        <v>1863</v>
      </c>
      <c r="I1285" s="2948" t="s">
        <v>1027</v>
      </c>
      <c r="J1285" s="2948" t="s">
        <v>643</v>
      </c>
      <c r="K1285" s="2950">
        <v>33.03</v>
      </c>
      <c r="L1285" s="2950">
        <v>13.25</v>
      </c>
      <c r="M1285" s="2951">
        <v>550164</v>
      </c>
      <c r="N1285" s="2951">
        <v>550164</v>
      </c>
      <c r="O1285" s="2952">
        <v>550164</v>
      </c>
      <c r="P1285" s="2953">
        <v>550164</v>
      </c>
      <c r="Q1285" s="2951">
        <v>550164</v>
      </c>
      <c r="R1285" s="2954">
        <v>45287</v>
      </c>
      <c r="S1285" s="2954">
        <v>45287</v>
      </c>
      <c r="T1285" s="2948"/>
      <c r="U1285" s="2948"/>
      <c r="V1285" s="2948" t="s">
        <v>1870</v>
      </c>
      <c r="W1285" s="2944">
        <f t="shared" si="6"/>
        <v>16656.494096276099</v>
      </c>
    </row>
    <row r="1286" spans="1:23" s="2944" customFormat="1" ht="46.8">
      <c r="A1286" s="2948">
        <v>1285</v>
      </c>
      <c r="B1286" s="2948" t="s">
        <v>635</v>
      </c>
      <c r="C1286" s="2948" t="s">
        <v>636</v>
      </c>
      <c r="D1286" s="2948" t="s">
        <v>1862</v>
      </c>
      <c r="E1286" s="2948" t="s">
        <v>729</v>
      </c>
      <c r="F1286" s="2948" t="s">
        <v>1448</v>
      </c>
      <c r="G1286" s="2948" t="s">
        <v>640</v>
      </c>
      <c r="H1286" s="2948" t="s">
        <v>1863</v>
      </c>
      <c r="I1286" s="2948" t="s">
        <v>1027</v>
      </c>
      <c r="J1286" s="2948" t="s">
        <v>643</v>
      </c>
      <c r="K1286" s="2950">
        <v>33.03</v>
      </c>
      <c r="L1286" s="2950">
        <v>13.25</v>
      </c>
      <c r="M1286" s="2951">
        <v>550164</v>
      </c>
      <c r="N1286" s="2951">
        <v>550164</v>
      </c>
      <c r="O1286" s="2952">
        <v>550164</v>
      </c>
      <c r="P1286" s="2953">
        <v>550164</v>
      </c>
      <c r="Q1286" s="2951">
        <v>550164</v>
      </c>
      <c r="R1286" s="2954">
        <v>44495</v>
      </c>
      <c r="S1286" s="2954">
        <v>44496</v>
      </c>
      <c r="T1286" s="2954">
        <v>44527</v>
      </c>
      <c r="U1286" s="2954">
        <v>44527</v>
      </c>
      <c r="V1286" s="2948" t="s">
        <v>1661</v>
      </c>
      <c r="W1286" s="2944">
        <f t="shared" si="6"/>
        <v>16656.494096276099</v>
      </c>
    </row>
    <row r="1287" spans="1:23" s="2944" customFormat="1" ht="46.8">
      <c r="A1287" s="2948">
        <v>1286</v>
      </c>
      <c r="B1287" s="2948" t="s">
        <v>635</v>
      </c>
      <c r="C1287" s="2948" t="s">
        <v>636</v>
      </c>
      <c r="D1287" s="2948" t="s">
        <v>1862</v>
      </c>
      <c r="E1287" s="2948" t="s">
        <v>729</v>
      </c>
      <c r="F1287" s="2948" t="s">
        <v>1871</v>
      </c>
      <c r="G1287" s="2948" t="s">
        <v>640</v>
      </c>
      <c r="H1287" s="2948" t="s">
        <v>1863</v>
      </c>
      <c r="I1287" s="2948" t="s">
        <v>1027</v>
      </c>
      <c r="J1287" s="2948" t="s">
        <v>643</v>
      </c>
      <c r="K1287" s="2950">
        <v>33.03</v>
      </c>
      <c r="L1287" s="2950">
        <v>13.25</v>
      </c>
      <c r="M1287" s="2951">
        <v>550164</v>
      </c>
      <c r="N1287" s="2951">
        <v>550164</v>
      </c>
      <c r="O1287" s="2952">
        <v>550164</v>
      </c>
      <c r="P1287" s="2953">
        <v>550164</v>
      </c>
      <c r="Q1287" s="2951">
        <v>550164</v>
      </c>
      <c r="R1287" s="2954">
        <v>44554</v>
      </c>
      <c r="S1287" s="2954">
        <v>44561</v>
      </c>
      <c r="T1287" s="2954">
        <v>44753</v>
      </c>
      <c r="U1287" s="2954">
        <v>44753</v>
      </c>
      <c r="V1287" s="2948" t="s">
        <v>1701</v>
      </c>
      <c r="W1287" s="2944">
        <f t="shared" si="6"/>
        <v>16656.494096276099</v>
      </c>
    </row>
    <row r="1288" spans="1:23" s="2944" customFormat="1" ht="46.8">
      <c r="A1288" s="2948">
        <v>1287</v>
      </c>
      <c r="B1288" s="2948" t="s">
        <v>635</v>
      </c>
      <c r="C1288" s="2948" t="s">
        <v>636</v>
      </c>
      <c r="D1288" s="2948" t="s">
        <v>1862</v>
      </c>
      <c r="E1288" s="2948" t="s">
        <v>729</v>
      </c>
      <c r="F1288" s="2948" t="s">
        <v>1872</v>
      </c>
      <c r="G1288" s="2948" t="s">
        <v>640</v>
      </c>
      <c r="H1288" s="2948" t="s">
        <v>1863</v>
      </c>
      <c r="I1288" s="2948" t="s">
        <v>1027</v>
      </c>
      <c r="J1288" s="2948" t="s">
        <v>643</v>
      </c>
      <c r="K1288" s="2950">
        <v>33.03</v>
      </c>
      <c r="L1288" s="2950">
        <v>13.25</v>
      </c>
      <c r="M1288" s="2951">
        <v>550164</v>
      </c>
      <c r="N1288" s="2951">
        <v>550164</v>
      </c>
      <c r="O1288" s="2952">
        <v>550164</v>
      </c>
      <c r="P1288" s="2953">
        <v>550164</v>
      </c>
      <c r="Q1288" s="2951">
        <v>550164</v>
      </c>
      <c r="R1288" s="2954">
        <v>44497</v>
      </c>
      <c r="S1288" s="2954">
        <v>44499</v>
      </c>
      <c r="T1288" s="2954">
        <v>44761</v>
      </c>
      <c r="U1288" s="2954">
        <v>44761</v>
      </c>
      <c r="V1288" s="2948" t="s">
        <v>1839</v>
      </c>
      <c r="W1288" s="2944">
        <f t="shared" si="6"/>
        <v>16656.494096276099</v>
      </c>
    </row>
    <row r="1289" spans="1:23" s="2944" customFormat="1" ht="46.8">
      <c r="A1289" s="2948">
        <v>1288</v>
      </c>
      <c r="B1289" s="2948" t="s">
        <v>635</v>
      </c>
      <c r="C1289" s="2948" t="s">
        <v>636</v>
      </c>
      <c r="D1289" s="2948" t="s">
        <v>1862</v>
      </c>
      <c r="E1289" s="2948" t="s">
        <v>729</v>
      </c>
      <c r="F1289" s="2948" t="s">
        <v>1873</v>
      </c>
      <c r="G1289" s="2948" t="s">
        <v>640</v>
      </c>
      <c r="H1289" s="2948" t="s">
        <v>1863</v>
      </c>
      <c r="I1289" s="2948" t="s">
        <v>1027</v>
      </c>
      <c r="J1289" s="2948" t="s">
        <v>643</v>
      </c>
      <c r="K1289" s="2950">
        <v>33.03</v>
      </c>
      <c r="L1289" s="2950">
        <v>13.25</v>
      </c>
      <c r="M1289" s="2951">
        <v>550164</v>
      </c>
      <c r="N1289" s="2951">
        <v>550164</v>
      </c>
      <c r="O1289" s="2952">
        <v>550164</v>
      </c>
      <c r="P1289" s="2953">
        <v>550164</v>
      </c>
      <c r="Q1289" s="2951">
        <v>550164</v>
      </c>
      <c r="R1289" s="2954">
        <v>44496</v>
      </c>
      <c r="S1289" s="2954">
        <v>44497</v>
      </c>
      <c r="T1289" s="2954">
        <v>45013</v>
      </c>
      <c r="U1289" s="2954">
        <v>45013</v>
      </c>
      <c r="V1289" s="2948" t="s">
        <v>1684</v>
      </c>
      <c r="W1289" s="2944">
        <f t="shared" si="6"/>
        <v>16656.494096276099</v>
      </c>
    </row>
    <row r="1290" spans="1:23" s="2944" customFormat="1" ht="46.8">
      <c r="A1290" s="2948">
        <v>1289</v>
      </c>
      <c r="B1290" s="2948" t="s">
        <v>635</v>
      </c>
      <c r="C1290" s="2948" t="s">
        <v>636</v>
      </c>
      <c r="D1290" s="2948" t="s">
        <v>1862</v>
      </c>
      <c r="E1290" s="2948" t="s">
        <v>729</v>
      </c>
      <c r="F1290" s="2948" t="s">
        <v>1874</v>
      </c>
      <c r="G1290" s="2948" t="s">
        <v>640</v>
      </c>
      <c r="H1290" s="2948" t="s">
        <v>1863</v>
      </c>
      <c r="I1290" s="2948" t="s">
        <v>1027</v>
      </c>
      <c r="J1290" s="2948" t="s">
        <v>643</v>
      </c>
      <c r="K1290" s="2950">
        <v>33.03</v>
      </c>
      <c r="L1290" s="2950">
        <v>13.25</v>
      </c>
      <c r="M1290" s="2951">
        <v>550164</v>
      </c>
      <c r="N1290" s="2951">
        <v>550164</v>
      </c>
      <c r="O1290" s="2952">
        <v>550164</v>
      </c>
      <c r="P1290" s="2953">
        <v>550164</v>
      </c>
      <c r="Q1290" s="2951">
        <v>550164</v>
      </c>
      <c r="R1290" s="2954">
        <v>44495</v>
      </c>
      <c r="S1290" s="2954">
        <v>44497</v>
      </c>
      <c r="T1290" s="2954">
        <v>44530</v>
      </c>
      <c r="U1290" s="2954">
        <v>44530</v>
      </c>
      <c r="V1290" s="2948" t="s">
        <v>1835</v>
      </c>
      <c r="W1290" s="2944">
        <f t="shared" si="6"/>
        <v>16656.494096276099</v>
      </c>
    </row>
    <row r="1291" spans="1:23" s="2944" customFormat="1" ht="46.8">
      <c r="A1291" s="2948">
        <v>1290</v>
      </c>
      <c r="B1291" s="2948" t="s">
        <v>635</v>
      </c>
      <c r="C1291" s="2948" t="s">
        <v>636</v>
      </c>
      <c r="D1291" s="2948" t="s">
        <v>1862</v>
      </c>
      <c r="E1291" s="2948" t="s">
        <v>729</v>
      </c>
      <c r="F1291" s="2948" t="s">
        <v>1875</v>
      </c>
      <c r="G1291" s="2948" t="s">
        <v>640</v>
      </c>
      <c r="H1291" s="2948" t="s">
        <v>1863</v>
      </c>
      <c r="I1291" s="2948" t="s">
        <v>1027</v>
      </c>
      <c r="J1291" s="2948" t="s">
        <v>643</v>
      </c>
      <c r="K1291" s="2950">
        <v>33.03</v>
      </c>
      <c r="L1291" s="2950">
        <v>13.25</v>
      </c>
      <c r="M1291" s="2951">
        <v>550164</v>
      </c>
      <c r="N1291" s="2951">
        <v>550164</v>
      </c>
      <c r="O1291" s="2952">
        <v>550164</v>
      </c>
      <c r="P1291" s="2953">
        <v>550164</v>
      </c>
      <c r="Q1291" s="2951">
        <v>550164</v>
      </c>
      <c r="R1291" s="2954">
        <v>44496</v>
      </c>
      <c r="S1291" s="2954">
        <v>44496</v>
      </c>
      <c r="T1291" s="2954">
        <v>44527</v>
      </c>
      <c r="U1291" s="2954">
        <v>44527</v>
      </c>
      <c r="V1291" s="2948" t="s">
        <v>1797</v>
      </c>
      <c r="W1291" s="2944">
        <f t="shared" si="6"/>
        <v>16656.494096276099</v>
      </c>
    </row>
    <row r="1292" spans="1:23" s="2944" customFormat="1" ht="46.8">
      <c r="A1292" s="2948">
        <v>1291</v>
      </c>
      <c r="B1292" s="2948" t="s">
        <v>635</v>
      </c>
      <c r="C1292" s="2948" t="s">
        <v>636</v>
      </c>
      <c r="D1292" s="2948" t="s">
        <v>1862</v>
      </c>
      <c r="E1292" s="2948" t="s">
        <v>729</v>
      </c>
      <c r="F1292" s="2948" t="s">
        <v>1876</v>
      </c>
      <c r="G1292" s="2948" t="s">
        <v>640</v>
      </c>
      <c r="H1292" s="2948" t="s">
        <v>1863</v>
      </c>
      <c r="I1292" s="2948" t="s">
        <v>1027</v>
      </c>
      <c r="J1292" s="2948" t="s">
        <v>643</v>
      </c>
      <c r="K1292" s="2950">
        <v>33.03</v>
      </c>
      <c r="L1292" s="2950">
        <v>13.25</v>
      </c>
      <c r="M1292" s="2951">
        <v>550164</v>
      </c>
      <c r="N1292" s="2951">
        <v>550164</v>
      </c>
      <c r="O1292" s="2952">
        <v>550164</v>
      </c>
      <c r="P1292" s="2953">
        <v>550164</v>
      </c>
      <c r="Q1292" s="2951">
        <v>550164</v>
      </c>
      <c r="R1292" s="2954">
        <v>44497</v>
      </c>
      <c r="S1292" s="2954">
        <v>44497</v>
      </c>
      <c r="T1292" s="2954">
        <v>44745</v>
      </c>
      <c r="U1292" s="2954">
        <v>44745</v>
      </c>
      <c r="V1292" s="2948" t="s">
        <v>1849</v>
      </c>
      <c r="W1292" s="2944">
        <f t="shared" si="6"/>
        <v>16656.494096276099</v>
      </c>
    </row>
    <row r="1293" spans="1:23" s="2944" customFormat="1" ht="46.8">
      <c r="A1293" s="2948">
        <v>1292</v>
      </c>
      <c r="B1293" s="2948" t="s">
        <v>635</v>
      </c>
      <c r="C1293" s="2948" t="s">
        <v>636</v>
      </c>
      <c r="D1293" s="2948" t="s">
        <v>1862</v>
      </c>
      <c r="E1293" s="2948" t="s">
        <v>729</v>
      </c>
      <c r="F1293" s="2948" t="s">
        <v>1877</v>
      </c>
      <c r="G1293" s="2948" t="s">
        <v>640</v>
      </c>
      <c r="H1293" s="2948" t="s">
        <v>1863</v>
      </c>
      <c r="I1293" s="2948" t="s">
        <v>1027</v>
      </c>
      <c r="J1293" s="2948" t="s">
        <v>643</v>
      </c>
      <c r="K1293" s="2950">
        <v>33.03</v>
      </c>
      <c r="L1293" s="2950">
        <v>13.25</v>
      </c>
      <c r="M1293" s="2951">
        <v>550164</v>
      </c>
      <c r="N1293" s="2951">
        <v>550164</v>
      </c>
      <c r="O1293" s="2952">
        <v>550164</v>
      </c>
      <c r="P1293" s="2953">
        <v>550164</v>
      </c>
      <c r="Q1293" s="2951">
        <v>550164</v>
      </c>
      <c r="R1293" s="2954">
        <v>44494</v>
      </c>
      <c r="S1293" s="2954">
        <v>44497</v>
      </c>
      <c r="T1293" s="2954">
        <v>44503</v>
      </c>
      <c r="U1293" s="2954">
        <v>44503</v>
      </c>
      <c r="V1293" s="2948" t="s">
        <v>1663</v>
      </c>
      <c r="W1293" s="2944">
        <f t="shared" si="6"/>
        <v>16656.494096276099</v>
      </c>
    </row>
    <row r="1294" spans="1:23" s="2944" customFormat="1" ht="46.8">
      <c r="A1294" s="2948">
        <v>1293</v>
      </c>
      <c r="B1294" s="2948" t="s">
        <v>635</v>
      </c>
      <c r="C1294" s="2948" t="s">
        <v>636</v>
      </c>
      <c r="D1294" s="2948" t="s">
        <v>1862</v>
      </c>
      <c r="E1294" s="2948" t="s">
        <v>729</v>
      </c>
      <c r="F1294" s="2948" t="s">
        <v>1878</v>
      </c>
      <c r="G1294" s="2948" t="s">
        <v>640</v>
      </c>
      <c r="H1294" s="2948" t="s">
        <v>1863</v>
      </c>
      <c r="I1294" s="2948" t="s">
        <v>1027</v>
      </c>
      <c r="J1294" s="2948" t="s">
        <v>643</v>
      </c>
      <c r="K1294" s="2950">
        <v>33.03</v>
      </c>
      <c r="L1294" s="2950">
        <v>13.25</v>
      </c>
      <c r="M1294" s="2951">
        <v>550164</v>
      </c>
      <c r="N1294" s="2951">
        <v>550164</v>
      </c>
      <c r="O1294" s="2952">
        <v>533659</v>
      </c>
      <c r="P1294" s="2953">
        <v>533659</v>
      </c>
      <c r="Q1294" s="2951">
        <v>533659</v>
      </c>
      <c r="R1294" s="2954">
        <v>44501</v>
      </c>
      <c r="S1294" s="2954">
        <v>44561</v>
      </c>
      <c r="T1294" s="2954">
        <v>44778</v>
      </c>
      <c r="U1294" s="2954">
        <v>44778</v>
      </c>
      <c r="V1294" s="2948" t="s">
        <v>1836</v>
      </c>
      <c r="W1294" s="2944">
        <f t="shared" si="6"/>
        <v>16156.796851347301</v>
      </c>
    </row>
    <row r="1295" spans="1:23" s="2944" customFormat="1" ht="46.8">
      <c r="A1295" s="2948">
        <v>1294</v>
      </c>
      <c r="B1295" s="2948" t="s">
        <v>635</v>
      </c>
      <c r="C1295" s="2948" t="s">
        <v>636</v>
      </c>
      <c r="D1295" s="2948" t="s">
        <v>1862</v>
      </c>
      <c r="E1295" s="2948" t="s">
        <v>729</v>
      </c>
      <c r="F1295" s="2948" t="s">
        <v>1879</v>
      </c>
      <c r="G1295" s="2948" t="s">
        <v>640</v>
      </c>
      <c r="H1295" s="2948" t="s">
        <v>1863</v>
      </c>
      <c r="I1295" s="2948" t="s">
        <v>1027</v>
      </c>
      <c r="J1295" s="2948" t="s">
        <v>643</v>
      </c>
      <c r="K1295" s="2950">
        <v>33.03</v>
      </c>
      <c r="L1295" s="2950">
        <v>13.25</v>
      </c>
      <c r="M1295" s="2951">
        <v>550164</v>
      </c>
      <c r="N1295" s="2951">
        <v>550164</v>
      </c>
      <c r="O1295" s="2952">
        <v>550164</v>
      </c>
      <c r="P1295" s="2953">
        <v>550164</v>
      </c>
      <c r="Q1295" s="2951">
        <v>550164</v>
      </c>
      <c r="R1295" s="2954">
        <v>44709</v>
      </c>
      <c r="S1295" s="2954">
        <v>44727</v>
      </c>
      <c r="T1295" s="2954">
        <v>44756</v>
      </c>
      <c r="U1295" s="2954">
        <v>44756</v>
      </c>
      <c r="V1295" s="2948" t="s">
        <v>1771</v>
      </c>
      <c r="W1295" s="2944">
        <f t="shared" si="6"/>
        <v>16656.494096276099</v>
      </c>
    </row>
    <row r="1296" spans="1:23" s="2944" customFormat="1" ht="46.8">
      <c r="A1296" s="2948">
        <v>1295</v>
      </c>
      <c r="B1296" s="2948" t="s">
        <v>635</v>
      </c>
      <c r="C1296" s="2948" t="s">
        <v>636</v>
      </c>
      <c r="D1296" s="2948" t="s">
        <v>1862</v>
      </c>
      <c r="E1296" s="2948" t="s">
        <v>729</v>
      </c>
      <c r="F1296" s="2948" t="s">
        <v>1880</v>
      </c>
      <c r="G1296" s="2948" t="s">
        <v>640</v>
      </c>
      <c r="H1296" s="2948" t="s">
        <v>1863</v>
      </c>
      <c r="I1296" s="2948" t="s">
        <v>1027</v>
      </c>
      <c r="J1296" s="2948" t="s">
        <v>643</v>
      </c>
      <c r="K1296" s="2950">
        <v>33.03</v>
      </c>
      <c r="L1296" s="2950">
        <v>13.25</v>
      </c>
      <c r="M1296" s="2951">
        <v>550164</v>
      </c>
      <c r="N1296" s="2951">
        <v>550164</v>
      </c>
      <c r="O1296" s="2952">
        <v>550164</v>
      </c>
      <c r="P1296" s="2953">
        <v>550164</v>
      </c>
      <c r="Q1296" s="2951">
        <v>550164</v>
      </c>
      <c r="R1296" s="2954">
        <v>44498</v>
      </c>
      <c r="S1296" s="2954">
        <v>44498</v>
      </c>
      <c r="T1296" s="2954">
        <v>44506</v>
      </c>
      <c r="U1296" s="2954">
        <v>44506</v>
      </c>
      <c r="V1296" s="2948" t="s">
        <v>1802</v>
      </c>
      <c r="W1296" s="2944">
        <f t="shared" ref="W1296:W1359" si="7">O1296/K1296</f>
        <v>16656.494096276099</v>
      </c>
    </row>
    <row r="1297" spans="1:23" s="2944" customFormat="1" ht="46.8">
      <c r="A1297" s="2948">
        <v>1296</v>
      </c>
      <c r="B1297" s="2948" t="s">
        <v>635</v>
      </c>
      <c r="C1297" s="2948" t="s">
        <v>636</v>
      </c>
      <c r="D1297" s="2948" t="s">
        <v>1862</v>
      </c>
      <c r="E1297" s="2948" t="s">
        <v>729</v>
      </c>
      <c r="F1297" s="2948" t="s">
        <v>1881</v>
      </c>
      <c r="G1297" s="2948" t="s">
        <v>640</v>
      </c>
      <c r="H1297" s="2948" t="s">
        <v>1863</v>
      </c>
      <c r="I1297" s="2948" t="s">
        <v>1027</v>
      </c>
      <c r="J1297" s="2948" t="s">
        <v>643</v>
      </c>
      <c r="K1297" s="2950">
        <v>33.03</v>
      </c>
      <c r="L1297" s="2950">
        <v>13.25</v>
      </c>
      <c r="M1297" s="2951">
        <v>550164</v>
      </c>
      <c r="N1297" s="2951">
        <v>550164</v>
      </c>
      <c r="O1297" s="2952">
        <v>550164</v>
      </c>
      <c r="P1297" s="2953">
        <v>550164</v>
      </c>
      <c r="Q1297" s="2951">
        <v>550164</v>
      </c>
      <c r="R1297" s="2954">
        <v>45278</v>
      </c>
      <c r="S1297" s="2954">
        <v>45281</v>
      </c>
      <c r="T1297" s="2954">
        <v>45281</v>
      </c>
      <c r="U1297" s="2954">
        <v>45281</v>
      </c>
      <c r="V1297" s="2948" t="s">
        <v>1787</v>
      </c>
      <c r="W1297" s="2944">
        <f t="shared" si="7"/>
        <v>16656.494096276099</v>
      </c>
    </row>
    <row r="1298" spans="1:23" s="2944" customFormat="1" ht="46.8">
      <c r="A1298" s="2948">
        <v>1297</v>
      </c>
      <c r="B1298" s="2948" t="s">
        <v>635</v>
      </c>
      <c r="C1298" s="2948" t="s">
        <v>636</v>
      </c>
      <c r="D1298" s="2948" t="s">
        <v>1862</v>
      </c>
      <c r="E1298" s="2948" t="s">
        <v>729</v>
      </c>
      <c r="F1298" s="2948" t="s">
        <v>1882</v>
      </c>
      <c r="G1298" s="2948" t="s">
        <v>640</v>
      </c>
      <c r="H1298" s="2948" t="s">
        <v>1863</v>
      </c>
      <c r="I1298" s="2948" t="s">
        <v>1027</v>
      </c>
      <c r="J1298" s="2948" t="s">
        <v>643</v>
      </c>
      <c r="K1298" s="2950">
        <v>33.03</v>
      </c>
      <c r="L1298" s="2950">
        <v>13.25</v>
      </c>
      <c r="M1298" s="2951">
        <v>550164</v>
      </c>
      <c r="N1298" s="2951">
        <v>550164</v>
      </c>
      <c r="O1298" s="2952">
        <v>550164</v>
      </c>
      <c r="P1298" s="2953">
        <v>550164</v>
      </c>
      <c r="Q1298" s="2951">
        <v>550164</v>
      </c>
      <c r="R1298" s="2954">
        <v>44734</v>
      </c>
      <c r="S1298" s="2954">
        <v>44736</v>
      </c>
      <c r="T1298" s="2954">
        <v>44743</v>
      </c>
      <c r="U1298" s="2954">
        <v>44743</v>
      </c>
      <c r="V1298" s="2948" t="s">
        <v>1760</v>
      </c>
      <c r="W1298" s="2944">
        <f t="shared" si="7"/>
        <v>16656.494096276099</v>
      </c>
    </row>
    <row r="1299" spans="1:23" s="2944" customFormat="1" ht="46.8">
      <c r="A1299" s="2948">
        <v>1298</v>
      </c>
      <c r="B1299" s="2948" t="s">
        <v>635</v>
      </c>
      <c r="C1299" s="2948" t="s">
        <v>636</v>
      </c>
      <c r="D1299" s="2948" t="s">
        <v>1862</v>
      </c>
      <c r="E1299" s="2948" t="s">
        <v>729</v>
      </c>
      <c r="F1299" s="2948" t="s">
        <v>1883</v>
      </c>
      <c r="G1299" s="2948" t="s">
        <v>640</v>
      </c>
      <c r="H1299" s="2948" t="s">
        <v>1863</v>
      </c>
      <c r="I1299" s="2948" t="s">
        <v>1027</v>
      </c>
      <c r="J1299" s="2948" t="s">
        <v>643</v>
      </c>
      <c r="K1299" s="2950">
        <v>33.03</v>
      </c>
      <c r="L1299" s="2950">
        <v>13.25</v>
      </c>
      <c r="M1299" s="2951">
        <v>550164</v>
      </c>
      <c r="N1299" s="2951">
        <v>550164</v>
      </c>
      <c r="O1299" s="2952">
        <v>522656</v>
      </c>
      <c r="P1299" s="2953">
        <v>522656</v>
      </c>
      <c r="Q1299" s="2951">
        <v>522656</v>
      </c>
      <c r="R1299" s="2954">
        <v>44736</v>
      </c>
      <c r="S1299" s="2954">
        <v>44737</v>
      </c>
      <c r="T1299" s="2954">
        <v>44756</v>
      </c>
      <c r="U1299" s="2954">
        <v>44743</v>
      </c>
      <c r="V1299" s="2948" t="s">
        <v>1800</v>
      </c>
      <c r="W1299" s="2944">
        <f t="shared" si="7"/>
        <v>15823.6754465637</v>
      </c>
    </row>
    <row r="1300" spans="1:23" s="2944" customFormat="1" ht="46.8">
      <c r="A1300" s="2948">
        <v>1299</v>
      </c>
      <c r="B1300" s="2948" t="s">
        <v>635</v>
      </c>
      <c r="C1300" s="2948" t="s">
        <v>636</v>
      </c>
      <c r="D1300" s="2948" t="s">
        <v>1862</v>
      </c>
      <c r="E1300" s="2948" t="s">
        <v>729</v>
      </c>
      <c r="F1300" s="2948" t="s">
        <v>1884</v>
      </c>
      <c r="G1300" s="2948" t="s">
        <v>640</v>
      </c>
      <c r="H1300" s="2948" t="s">
        <v>1863</v>
      </c>
      <c r="I1300" s="2948" t="s">
        <v>1027</v>
      </c>
      <c r="J1300" s="2948" t="s">
        <v>643</v>
      </c>
      <c r="K1300" s="2950">
        <v>33.03</v>
      </c>
      <c r="L1300" s="2950">
        <v>13.25</v>
      </c>
      <c r="M1300" s="2951">
        <v>550164</v>
      </c>
      <c r="N1300" s="2951">
        <v>550164</v>
      </c>
      <c r="O1300" s="2952">
        <v>522656</v>
      </c>
      <c r="P1300" s="2953">
        <v>522656</v>
      </c>
      <c r="Q1300" s="2951">
        <v>522656</v>
      </c>
      <c r="R1300" s="2954">
        <v>44495</v>
      </c>
      <c r="S1300" s="2954">
        <v>44496</v>
      </c>
      <c r="T1300" s="2954">
        <v>44527</v>
      </c>
      <c r="U1300" s="2954">
        <v>44527</v>
      </c>
      <c r="V1300" s="2948" t="s">
        <v>1800</v>
      </c>
      <c r="W1300" s="2944">
        <f t="shared" si="7"/>
        <v>15823.6754465637</v>
      </c>
    </row>
    <row r="1301" spans="1:23" s="2944" customFormat="1" ht="46.8">
      <c r="A1301" s="2948">
        <v>1300</v>
      </c>
      <c r="B1301" s="2948" t="s">
        <v>635</v>
      </c>
      <c r="C1301" s="2948" t="s">
        <v>636</v>
      </c>
      <c r="D1301" s="2948" t="s">
        <v>1862</v>
      </c>
      <c r="E1301" s="2948" t="s">
        <v>729</v>
      </c>
      <c r="F1301" s="2948" t="s">
        <v>908</v>
      </c>
      <c r="G1301" s="2948" t="s">
        <v>640</v>
      </c>
      <c r="H1301" s="2948" t="s">
        <v>1863</v>
      </c>
      <c r="I1301" s="2948" t="s">
        <v>1027</v>
      </c>
      <c r="J1301" s="2948" t="s">
        <v>643</v>
      </c>
      <c r="K1301" s="2950">
        <v>33.03</v>
      </c>
      <c r="L1301" s="2950">
        <v>13.25</v>
      </c>
      <c r="M1301" s="2951">
        <v>550164</v>
      </c>
      <c r="N1301" s="2951">
        <v>550164</v>
      </c>
      <c r="O1301" s="2952">
        <v>550164</v>
      </c>
      <c r="P1301" s="2953">
        <v>550164</v>
      </c>
      <c r="Q1301" s="2951">
        <v>550164</v>
      </c>
      <c r="R1301" s="2954">
        <v>44750</v>
      </c>
      <c r="S1301" s="2954">
        <v>44750</v>
      </c>
      <c r="T1301" s="2954">
        <v>44750</v>
      </c>
      <c r="U1301" s="2954">
        <v>44750</v>
      </c>
      <c r="V1301" s="2948" t="s">
        <v>1775</v>
      </c>
      <c r="W1301" s="2944">
        <f t="shared" si="7"/>
        <v>16656.494096276099</v>
      </c>
    </row>
    <row r="1302" spans="1:23" s="2944" customFormat="1" ht="46.8">
      <c r="A1302" s="2948">
        <v>1301</v>
      </c>
      <c r="B1302" s="2948" t="s">
        <v>635</v>
      </c>
      <c r="C1302" s="2948" t="s">
        <v>636</v>
      </c>
      <c r="D1302" s="2948" t="s">
        <v>1862</v>
      </c>
      <c r="E1302" s="2948" t="s">
        <v>729</v>
      </c>
      <c r="F1302" s="2948" t="s">
        <v>906</v>
      </c>
      <c r="G1302" s="2948" t="s">
        <v>640</v>
      </c>
      <c r="H1302" s="2948" t="s">
        <v>1863</v>
      </c>
      <c r="I1302" s="2948" t="s">
        <v>1027</v>
      </c>
      <c r="J1302" s="2948" t="s">
        <v>643</v>
      </c>
      <c r="K1302" s="2950">
        <v>33.03</v>
      </c>
      <c r="L1302" s="2950">
        <v>13.25</v>
      </c>
      <c r="M1302" s="2951">
        <v>550164</v>
      </c>
      <c r="N1302" s="2951">
        <v>550164</v>
      </c>
      <c r="O1302" s="2952">
        <v>550164</v>
      </c>
      <c r="P1302" s="2953">
        <v>550164</v>
      </c>
      <c r="Q1302" s="2951">
        <v>550164</v>
      </c>
      <c r="R1302" s="2954">
        <v>44750</v>
      </c>
      <c r="S1302" s="2954">
        <v>44750</v>
      </c>
      <c r="T1302" s="2954">
        <v>44750</v>
      </c>
      <c r="U1302" s="2954">
        <v>44750</v>
      </c>
      <c r="V1302" s="2948" t="s">
        <v>1775</v>
      </c>
      <c r="W1302" s="2944">
        <f t="shared" si="7"/>
        <v>16656.494096276099</v>
      </c>
    </row>
    <row r="1303" spans="1:23" s="2944" customFormat="1" ht="46.8">
      <c r="A1303" s="2948">
        <v>1302</v>
      </c>
      <c r="B1303" s="2948" t="s">
        <v>635</v>
      </c>
      <c r="C1303" s="2948" t="s">
        <v>636</v>
      </c>
      <c r="D1303" s="2948" t="s">
        <v>1862</v>
      </c>
      <c r="E1303" s="2948" t="s">
        <v>729</v>
      </c>
      <c r="F1303" s="2948" t="s">
        <v>1885</v>
      </c>
      <c r="G1303" s="2948" t="s">
        <v>640</v>
      </c>
      <c r="H1303" s="2948" t="s">
        <v>1863</v>
      </c>
      <c r="I1303" s="2948" t="s">
        <v>1027</v>
      </c>
      <c r="J1303" s="2948" t="s">
        <v>643</v>
      </c>
      <c r="K1303" s="2950">
        <v>33.03</v>
      </c>
      <c r="L1303" s="2950">
        <v>13.25</v>
      </c>
      <c r="M1303" s="2951">
        <v>550164</v>
      </c>
      <c r="N1303" s="2951">
        <v>550164</v>
      </c>
      <c r="O1303" s="2952">
        <v>522656</v>
      </c>
      <c r="P1303" s="2953">
        <v>522656</v>
      </c>
      <c r="Q1303" s="2951">
        <v>550164</v>
      </c>
      <c r="R1303" s="2954">
        <v>44734</v>
      </c>
      <c r="S1303" s="2954">
        <v>44736</v>
      </c>
      <c r="T1303" s="2954">
        <v>44994</v>
      </c>
      <c r="U1303" s="2954">
        <v>44994</v>
      </c>
      <c r="V1303" s="2948" t="s">
        <v>1758</v>
      </c>
      <c r="W1303" s="2944">
        <f t="shared" si="7"/>
        <v>15823.6754465637</v>
      </c>
    </row>
    <row r="1304" spans="1:23" s="2944" customFormat="1" ht="46.8">
      <c r="A1304" s="2948">
        <v>1303</v>
      </c>
      <c r="B1304" s="2948" t="s">
        <v>635</v>
      </c>
      <c r="C1304" s="2948" t="s">
        <v>636</v>
      </c>
      <c r="D1304" s="2948" t="s">
        <v>1862</v>
      </c>
      <c r="E1304" s="2948" t="s">
        <v>729</v>
      </c>
      <c r="F1304" s="2948" t="s">
        <v>1886</v>
      </c>
      <c r="G1304" s="2948" t="s">
        <v>640</v>
      </c>
      <c r="H1304" s="2948" t="s">
        <v>1863</v>
      </c>
      <c r="I1304" s="2948" t="s">
        <v>1027</v>
      </c>
      <c r="J1304" s="2948" t="s">
        <v>643</v>
      </c>
      <c r="K1304" s="2950">
        <v>33.03</v>
      </c>
      <c r="L1304" s="2950">
        <v>13.25</v>
      </c>
      <c r="M1304" s="2951">
        <v>550164</v>
      </c>
      <c r="N1304" s="2951">
        <v>550164</v>
      </c>
      <c r="O1304" s="2952">
        <v>550164</v>
      </c>
      <c r="P1304" s="2953">
        <v>550164</v>
      </c>
      <c r="Q1304" s="2951">
        <v>550164</v>
      </c>
      <c r="R1304" s="2954">
        <v>44735</v>
      </c>
      <c r="S1304" s="2954">
        <v>44736</v>
      </c>
      <c r="T1304" s="2954">
        <v>44737</v>
      </c>
      <c r="U1304" s="2954">
        <v>44737</v>
      </c>
      <c r="V1304" s="2948" t="s">
        <v>1807</v>
      </c>
      <c r="W1304" s="2944">
        <f t="shared" si="7"/>
        <v>16656.494096276099</v>
      </c>
    </row>
    <row r="1305" spans="1:23" s="2944" customFormat="1" ht="46.8">
      <c r="A1305" s="2948">
        <v>1304</v>
      </c>
      <c r="B1305" s="2948" t="s">
        <v>635</v>
      </c>
      <c r="C1305" s="2948" t="s">
        <v>636</v>
      </c>
      <c r="D1305" s="2948" t="s">
        <v>1862</v>
      </c>
      <c r="E1305" s="2948" t="s">
        <v>729</v>
      </c>
      <c r="F1305" s="2948" t="s">
        <v>1887</v>
      </c>
      <c r="G1305" s="2948" t="s">
        <v>640</v>
      </c>
      <c r="H1305" s="2948" t="s">
        <v>1863</v>
      </c>
      <c r="I1305" s="2948" t="s">
        <v>1027</v>
      </c>
      <c r="J1305" s="2948" t="s">
        <v>643</v>
      </c>
      <c r="K1305" s="2950">
        <v>33.03</v>
      </c>
      <c r="L1305" s="2950">
        <v>13.25</v>
      </c>
      <c r="M1305" s="2951">
        <v>550164</v>
      </c>
      <c r="N1305" s="2951">
        <v>550164</v>
      </c>
      <c r="O1305" s="2952">
        <v>550164</v>
      </c>
      <c r="P1305" s="2953">
        <v>550164</v>
      </c>
      <c r="Q1305" s="2951">
        <v>550164</v>
      </c>
      <c r="R1305" s="2954">
        <v>44734</v>
      </c>
      <c r="S1305" s="2954">
        <v>44736</v>
      </c>
      <c r="T1305" s="2954">
        <v>44756</v>
      </c>
      <c r="U1305" s="2954">
        <v>44756</v>
      </c>
      <c r="V1305" s="2948" t="s">
        <v>1784</v>
      </c>
      <c r="W1305" s="2944">
        <f t="shared" si="7"/>
        <v>16656.494096276099</v>
      </c>
    </row>
    <row r="1306" spans="1:23" s="2944" customFormat="1" ht="46.8">
      <c r="A1306" s="2948">
        <v>1305</v>
      </c>
      <c r="B1306" s="2948" t="s">
        <v>635</v>
      </c>
      <c r="C1306" s="2948" t="s">
        <v>636</v>
      </c>
      <c r="D1306" s="2948" t="s">
        <v>1862</v>
      </c>
      <c r="E1306" s="2948" t="s">
        <v>729</v>
      </c>
      <c r="F1306" s="2948" t="s">
        <v>1888</v>
      </c>
      <c r="G1306" s="2948" t="s">
        <v>640</v>
      </c>
      <c r="H1306" s="2948" t="s">
        <v>1863</v>
      </c>
      <c r="I1306" s="2948" t="s">
        <v>1027</v>
      </c>
      <c r="J1306" s="2948" t="s">
        <v>643</v>
      </c>
      <c r="K1306" s="2950">
        <v>33.03</v>
      </c>
      <c r="L1306" s="2950">
        <v>13.25</v>
      </c>
      <c r="M1306" s="2951">
        <v>550164</v>
      </c>
      <c r="N1306" s="2951">
        <v>550164</v>
      </c>
      <c r="O1306" s="2952">
        <v>550164</v>
      </c>
      <c r="P1306" s="2953">
        <v>550164</v>
      </c>
      <c r="Q1306" s="2951">
        <v>550164</v>
      </c>
      <c r="R1306" s="2954">
        <v>44734</v>
      </c>
      <c r="S1306" s="2954">
        <v>44736</v>
      </c>
      <c r="T1306" s="2954">
        <v>44756</v>
      </c>
      <c r="U1306" s="2954">
        <v>44756</v>
      </c>
      <c r="V1306" s="2948" t="s">
        <v>1784</v>
      </c>
      <c r="W1306" s="2944">
        <f t="shared" si="7"/>
        <v>16656.494096276099</v>
      </c>
    </row>
    <row r="1307" spans="1:23" s="2944" customFormat="1" ht="46.8">
      <c r="A1307" s="2948">
        <v>1306</v>
      </c>
      <c r="B1307" s="2948" t="s">
        <v>635</v>
      </c>
      <c r="C1307" s="2948" t="s">
        <v>636</v>
      </c>
      <c r="D1307" s="2948" t="s">
        <v>1862</v>
      </c>
      <c r="E1307" s="2948" t="s">
        <v>729</v>
      </c>
      <c r="F1307" s="2948" t="s">
        <v>1889</v>
      </c>
      <c r="G1307" s="2948" t="s">
        <v>640</v>
      </c>
      <c r="H1307" s="2948" t="s">
        <v>1863</v>
      </c>
      <c r="I1307" s="2948" t="s">
        <v>1027</v>
      </c>
      <c r="J1307" s="2948" t="s">
        <v>643</v>
      </c>
      <c r="K1307" s="2950">
        <v>33.03</v>
      </c>
      <c r="L1307" s="2950">
        <v>13.25</v>
      </c>
      <c r="M1307" s="2951">
        <v>550164</v>
      </c>
      <c r="N1307" s="2951">
        <v>550164</v>
      </c>
      <c r="O1307" s="2952">
        <v>550164</v>
      </c>
      <c r="P1307" s="2953">
        <v>550164</v>
      </c>
      <c r="Q1307" s="2951">
        <v>550164</v>
      </c>
      <c r="R1307" s="2954">
        <v>44736</v>
      </c>
      <c r="S1307" s="2954">
        <v>44737</v>
      </c>
      <c r="T1307" s="2954">
        <v>44781</v>
      </c>
      <c r="U1307" s="2954">
        <v>44781</v>
      </c>
      <c r="V1307" s="2948" t="s">
        <v>1791</v>
      </c>
      <c r="W1307" s="2944">
        <f t="shared" si="7"/>
        <v>16656.494096276099</v>
      </c>
    </row>
    <row r="1308" spans="1:23" s="2944" customFormat="1" ht="46.8">
      <c r="A1308" s="2948">
        <v>1307</v>
      </c>
      <c r="B1308" s="2948" t="s">
        <v>635</v>
      </c>
      <c r="C1308" s="2948" t="s">
        <v>636</v>
      </c>
      <c r="D1308" s="2948" t="s">
        <v>1862</v>
      </c>
      <c r="E1308" s="2948" t="s">
        <v>729</v>
      </c>
      <c r="F1308" s="2948" t="s">
        <v>1890</v>
      </c>
      <c r="G1308" s="2948" t="s">
        <v>640</v>
      </c>
      <c r="H1308" s="2948" t="s">
        <v>1863</v>
      </c>
      <c r="I1308" s="2948" t="s">
        <v>1027</v>
      </c>
      <c r="J1308" s="2948" t="s">
        <v>643</v>
      </c>
      <c r="K1308" s="2950">
        <v>33.03</v>
      </c>
      <c r="L1308" s="2950">
        <v>13.25</v>
      </c>
      <c r="M1308" s="2951">
        <v>550164</v>
      </c>
      <c r="N1308" s="2951">
        <v>550164</v>
      </c>
      <c r="O1308" s="2952">
        <v>550164</v>
      </c>
      <c r="P1308" s="2953">
        <v>550164</v>
      </c>
      <c r="Q1308" s="2951">
        <v>550164</v>
      </c>
      <c r="R1308" s="2954">
        <v>44497</v>
      </c>
      <c r="S1308" s="2954">
        <v>44499</v>
      </c>
      <c r="T1308" s="2954">
        <v>44640</v>
      </c>
      <c r="U1308" s="2954">
        <v>44640</v>
      </c>
      <c r="V1308" s="2948" t="s">
        <v>1791</v>
      </c>
      <c r="W1308" s="2944">
        <f t="shared" si="7"/>
        <v>16656.494096276099</v>
      </c>
    </row>
    <row r="1309" spans="1:23" s="2944" customFormat="1" ht="46.8">
      <c r="A1309" s="2948">
        <v>1308</v>
      </c>
      <c r="B1309" s="2948" t="s">
        <v>635</v>
      </c>
      <c r="C1309" s="2948" t="s">
        <v>636</v>
      </c>
      <c r="D1309" s="2948" t="s">
        <v>1862</v>
      </c>
      <c r="E1309" s="2948" t="s">
        <v>729</v>
      </c>
      <c r="F1309" s="2948" t="s">
        <v>1891</v>
      </c>
      <c r="G1309" s="2948" t="s">
        <v>640</v>
      </c>
      <c r="H1309" s="2948" t="s">
        <v>1865</v>
      </c>
      <c r="I1309" s="2948" t="s">
        <v>1027</v>
      </c>
      <c r="J1309" s="2948" t="s">
        <v>643</v>
      </c>
      <c r="K1309" s="2950">
        <v>28.04</v>
      </c>
      <c r="L1309" s="2950">
        <v>11.25</v>
      </c>
      <c r="M1309" s="2951">
        <v>522656</v>
      </c>
      <c r="N1309" s="2951">
        <v>522656</v>
      </c>
      <c r="O1309" s="2952">
        <v>522656</v>
      </c>
      <c r="P1309" s="2953">
        <v>522656</v>
      </c>
      <c r="Q1309" s="2951">
        <v>522656</v>
      </c>
      <c r="R1309" s="2954">
        <v>44737</v>
      </c>
      <c r="S1309" s="2954">
        <v>44737</v>
      </c>
      <c r="T1309" s="2954">
        <v>44824</v>
      </c>
      <c r="U1309" s="2954">
        <v>44824</v>
      </c>
      <c r="V1309" s="2948" t="s">
        <v>1761</v>
      </c>
      <c r="W1309" s="2944">
        <f t="shared" si="7"/>
        <v>18639.6576319544</v>
      </c>
    </row>
    <row r="1310" spans="1:23" s="2944" customFormat="1" ht="46.8">
      <c r="A1310" s="2948">
        <v>1309</v>
      </c>
      <c r="B1310" s="2948" t="s">
        <v>635</v>
      </c>
      <c r="C1310" s="2948" t="s">
        <v>636</v>
      </c>
      <c r="D1310" s="2948" t="s">
        <v>1862</v>
      </c>
      <c r="E1310" s="2948" t="s">
        <v>729</v>
      </c>
      <c r="F1310" s="2948" t="s">
        <v>1892</v>
      </c>
      <c r="G1310" s="2948" t="s">
        <v>640</v>
      </c>
      <c r="H1310" s="2948" t="s">
        <v>1863</v>
      </c>
      <c r="I1310" s="2948" t="s">
        <v>1027</v>
      </c>
      <c r="J1310" s="2948" t="s">
        <v>643</v>
      </c>
      <c r="K1310" s="2950">
        <v>33.03</v>
      </c>
      <c r="L1310" s="2950">
        <v>13.25</v>
      </c>
      <c r="M1310" s="2951">
        <v>550164</v>
      </c>
      <c r="N1310" s="2951">
        <v>550164</v>
      </c>
      <c r="O1310" s="2952">
        <v>550164</v>
      </c>
      <c r="P1310" s="2953">
        <v>550164</v>
      </c>
      <c r="Q1310" s="2951">
        <v>550164</v>
      </c>
      <c r="R1310" s="2954">
        <v>44737</v>
      </c>
      <c r="S1310" s="2954">
        <v>44737</v>
      </c>
      <c r="T1310" s="2954">
        <v>44824</v>
      </c>
      <c r="U1310" s="2954">
        <v>44824</v>
      </c>
      <c r="V1310" s="2948" t="s">
        <v>1761</v>
      </c>
      <c r="W1310" s="2944">
        <f t="shared" si="7"/>
        <v>16656.494096276099</v>
      </c>
    </row>
    <row r="1311" spans="1:23" s="2944" customFormat="1" ht="46.8">
      <c r="A1311" s="2948">
        <v>1310</v>
      </c>
      <c r="B1311" s="2948" t="s">
        <v>635</v>
      </c>
      <c r="C1311" s="2948" t="s">
        <v>636</v>
      </c>
      <c r="D1311" s="2948" t="s">
        <v>1862</v>
      </c>
      <c r="E1311" s="2948" t="s">
        <v>729</v>
      </c>
      <c r="F1311" s="2948" t="s">
        <v>1893</v>
      </c>
      <c r="G1311" s="2948" t="s">
        <v>640</v>
      </c>
      <c r="H1311" s="2948" t="s">
        <v>1863</v>
      </c>
      <c r="I1311" s="2948" t="s">
        <v>1027</v>
      </c>
      <c r="J1311" s="2948" t="s">
        <v>643</v>
      </c>
      <c r="K1311" s="2950">
        <v>33.03</v>
      </c>
      <c r="L1311" s="2950">
        <v>13.25</v>
      </c>
      <c r="M1311" s="2951">
        <v>550164</v>
      </c>
      <c r="N1311" s="2951">
        <v>550164</v>
      </c>
      <c r="O1311" s="2952">
        <v>550164</v>
      </c>
      <c r="P1311" s="2953">
        <v>550164</v>
      </c>
      <c r="Q1311" s="2951">
        <v>550164</v>
      </c>
      <c r="R1311" s="2954">
        <v>44496</v>
      </c>
      <c r="S1311" s="2954">
        <v>44496</v>
      </c>
      <c r="T1311" s="2954">
        <v>44637</v>
      </c>
      <c r="U1311" s="2954">
        <v>44532</v>
      </c>
      <c r="V1311" s="2948" t="s">
        <v>815</v>
      </c>
      <c r="W1311" s="2944">
        <f t="shared" si="7"/>
        <v>16656.494096276099</v>
      </c>
    </row>
    <row r="1312" spans="1:23" s="2944" customFormat="1" ht="46.8">
      <c r="A1312" s="2948">
        <v>1311</v>
      </c>
      <c r="B1312" s="2948" t="s">
        <v>635</v>
      </c>
      <c r="C1312" s="2948" t="s">
        <v>636</v>
      </c>
      <c r="D1312" s="2948" t="s">
        <v>1862</v>
      </c>
      <c r="E1312" s="2948" t="s">
        <v>729</v>
      </c>
      <c r="F1312" s="2948" t="s">
        <v>1894</v>
      </c>
      <c r="G1312" s="2948" t="s">
        <v>640</v>
      </c>
      <c r="H1312" s="2948" t="s">
        <v>1863</v>
      </c>
      <c r="I1312" s="2948" t="s">
        <v>1027</v>
      </c>
      <c r="J1312" s="2948" t="s">
        <v>643</v>
      </c>
      <c r="K1312" s="2950">
        <v>33.03</v>
      </c>
      <c r="L1312" s="2950">
        <v>13.25</v>
      </c>
      <c r="M1312" s="2951">
        <v>550164</v>
      </c>
      <c r="N1312" s="2951">
        <v>550164</v>
      </c>
      <c r="O1312" s="2952">
        <v>550164</v>
      </c>
      <c r="P1312" s="2953">
        <v>550164</v>
      </c>
      <c r="Q1312" s="2951">
        <v>550164</v>
      </c>
      <c r="R1312" s="2954">
        <v>44736</v>
      </c>
      <c r="S1312" s="2954">
        <v>44737</v>
      </c>
      <c r="T1312" s="2954">
        <v>44777</v>
      </c>
      <c r="U1312" s="2954">
        <v>44777</v>
      </c>
      <c r="V1312" s="2948" t="s">
        <v>815</v>
      </c>
      <c r="W1312" s="2944">
        <f t="shared" si="7"/>
        <v>16656.494096276099</v>
      </c>
    </row>
    <row r="1313" spans="1:23" s="2944" customFormat="1" ht="46.8">
      <c r="A1313" s="2948">
        <v>1312</v>
      </c>
      <c r="B1313" s="2948" t="s">
        <v>635</v>
      </c>
      <c r="C1313" s="2948" t="s">
        <v>636</v>
      </c>
      <c r="D1313" s="2948" t="s">
        <v>1862</v>
      </c>
      <c r="E1313" s="2948" t="s">
        <v>729</v>
      </c>
      <c r="F1313" s="2948" t="s">
        <v>1895</v>
      </c>
      <c r="G1313" s="2948" t="s">
        <v>640</v>
      </c>
      <c r="H1313" s="2948" t="s">
        <v>1863</v>
      </c>
      <c r="I1313" s="2948" t="s">
        <v>1027</v>
      </c>
      <c r="J1313" s="2948" t="s">
        <v>643</v>
      </c>
      <c r="K1313" s="2950">
        <v>33.03</v>
      </c>
      <c r="L1313" s="2950">
        <v>13.25</v>
      </c>
      <c r="M1313" s="2951">
        <v>550164</v>
      </c>
      <c r="N1313" s="2951">
        <v>550164</v>
      </c>
      <c r="O1313" s="2952">
        <v>550164</v>
      </c>
      <c r="P1313" s="2953">
        <v>550164</v>
      </c>
      <c r="Q1313" s="2951">
        <v>175000</v>
      </c>
      <c r="R1313" s="2954">
        <v>45285</v>
      </c>
      <c r="S1313" s="2954">
        <v>45287</v>
      </c>
      <c r="T1313" s="2948"/>
      <c r="U1313" s="2948"/>
      <c r="V1313" s="2948" t="s">
        <v>1856</v>
      </c>
      <c r="W1313" s="2944">
        <f t="shared" si="7"/>
        <v>16656.494096276099</v>
      </c>
    </row>
    <row r="1314" spans="1:23" s="2944" customFormat="1" ht="46.8">
      <c r="A1314" s="2948">
        <v>1313</v>
      </c>
      <c r="B1314" s="2948" t="s">
        <v>635</v>
      </c>
      <c r="C1314" s="2948" t="s">
        <v>636</v>
      </c>
      <c r="D1314" s="2948" t="s">
        <v>1862</v>
      </c>
      <c r="E1314" s="2948" t="s">
        <v>729</v>
      </c>
      <c r="F1314" s="2948" t="s">
        <v>1896</v>
      </c>
      <c r="G1314" s="2948" t="s">
        <v>640</v>
      </c>
      <c r="H1314" s="2948" t="s">
        <v>1863</v>
      </c>
      <c r="I1314" s="2948" t="s">
        <v>1027</v>
      </c>
      <c r="J1314" s="2948" t="s">
        <v>643</v>
      </c>
      <c r="K1314" s="2950">
        <v>33.03</v>
      </c>
      <c r="L1314" s="2950">
        <v>13.25</v>
      </c>
      <c r="M1314" s="2951">
        <v>550164</v>
      </c>
      <c r="N1314" s="2951">
        <v>550164</v>
      </c>
      <c r="O1314" s="2952">
        <v>550164</v>
      </c>
      <c r="P1314" s="2953">
        <v>550164</v>
      </c>
      <c r="Q1314" s="2951">
        <v>550164</v>
      </c>
      <c r="R1314" s="2954">
        <v>44497</v>
      </c>
      <c r="S1314" s="2954">
        <v>44499</v>
      </c>
      <c r="T1314" s="2954">
        <v>44641</v>
      </c>
      <c r="U1314" s="2954">
        <v>44641</v>
      </c>
      <c r="V1314" s="2948" t="s">
        <v>1897</v>
      </c>
      <c r="W1314" s="2944">
        <f t="shared" si="7"/>
        <v>16656.494096276099</v>
      </c>
    </row>
    <row r="1315" spans="1:23" s="2944" customFormat="1" ht="46.8">
      <c r="A1315" s="2948">
        <v>1314</v>
      </c>
      <c r="B1315" s="2948" t="s">
        <v>635</v>
      </c>
      <c r="C1315" s="2948" t="s">
        <v>636</v>
      </c>
      <c r="D1315" s="2948" t="s">
        <v>1862</v>
      </c>
      <c r="E1315" s="2948" t="s">
        <v>729</v>
      </c>
      <c r="F1315" s="2948" t="s">
        <v>1898</v>
      </c>
      <c r="G1315" s="2948" t="s">
        <v>640</v>
      </c>
      <c r="H1315" s="2948" t="s">
        <v>1863</v>
      </c>
      <c r="I1315" s="2948" t="s">
        <v>1027</v>
      </c>
      <c r="J1315" s="2948" t="s">
        <v>643</v>
      </c>
      <c r="K1315" s="2950">
        <v>33.03</v>
      </c>
      <c r="L1315" s="2950">
        <v>13.25</v>
      </c>
      <c r="M1315" s="2951">
        <v>550164</v>
      </c>
      <c r="N1315" s="2951">
        <v>550164</v>
      </c>
      <c r="O1315" s="2952">
        <v>550164</v>
      </c>
      <c r="P1315" s="2953">
        <v>550164</v>
      </c>
      <c r="Q1315" s="2951">
        <v>550164</v>
      </c>
      <c r="R1315" s="2954">
        <v>44496</v>
      </c>
      <c r="S1315" s="2954">
        <v>44496</v>
      </c>
      <c r="T1315" s="2954">
        <v>44525</v>
      </c>
      <c r="U1315" s="2954">
        <v>44525</v>
      </c>
      <c r="V1315" s="2948" t="s">
        <v>1852</v>
      </c>
      <c r="W1315" s="2944">
        <f t="shared" si="7"/>
        <v>16656.494096276099</v>
      </c>
    </row>
    <row r="1316" spans="1:23" s="2944" customFormat="1" ht="46.8">
      <c r="A1316" s="2948">
        <v>1315</v>
      </c>
      <c r="B1316" s="2948" t="s">
        <v>635</v>
      </c>
      <c r="C1316" s="2948" t="s">
        <v>636</v>
      </c>
      <c r="D1316" s="2948" t="s">
        <v>1862</v>
      </c>
      <c r="E1316" s="2948" t="s">
        <v>729</v>
      </c>
      <c r="F1316" s="2948" t="s">
        <v>1899</v>
      </c>
      <c r="G1316" s="2948" t="s">
        <v>640</v>
      </c>
      <c r="H1316" s="2948" t="s">
        <v>1863</v>
      </c>
      <c r="I1316" s="2948" t="s">
        <v>1027</v>
      </c>
      <c r="J1316" s="2948" t="s">
        <v>643</v>
      </c>
      <c r="K1316" s="2950">
        <v>33.03</v>
      </c>
      <c r="L1316" s="2950">
        <v>13.25</v>
      </c>
      <c r="M1316" s="2951">
        <v>550164</v>
      </c>
      <c r="N1316" s="2951">
        <v>550164</v>
      </c>
      <c r="O1316" s="2952">
        <v>550164</v>
      </c>
      <c r="P1316" s="2953">
        <v>550164</v>
      </c>
      <c r="Q1316" s="2951">
        <v>550164</v>
      </c>
      <c r="R1316" s="2954">
        <v>44558</v>
      </c>
      <c r="S1316" s="2954">
        <v>44559</v>
      </c>
      <c r="T1316" s="2954">
        <v>44637</v>
      </c>
      <c r="U1316" s="2954">
        <v>44637</v>
      </c>
      <c r="V1316" s="2948" t="s">
        <v>1801</v>
      </c>
      <c r="W1316" s="2944">
        <f t="shared" si="7"/>
        <v>16656.494096276099</v>
      </c>
    </row>
    <row r="1317" spans="1:23" s="2944" customFormat="1" ht="46.8">
      <c r="A1317" s="2948">
        <v>1316</v>
      </c>
      <c r="B1317" s="2948" t="s">
        <v>635</v>
      </c>
      <c r="C1317" s="2948" t="s">
        <v>636</v>
      </c>
      <c r="D1317" s="2948" t="s">
        <v>1862</v>
      </c>
      <c r="E1317" s="2948" t="s">
        <v>729</v>
      </c>
      <c r="F1317" s="2948" t="s">
        <v>1900</v>
      </c>
      <c r="G1317" s="2948" t="s">
        <v>640</v>
      </c>
      <c r="H1317" s="2948" t="s">
        <v>1863</v>
      </c>
      <c r="I1317" s="2948" t="s">
        <v>1027</v>
      </c>
      <c r="J1317" s="2948" t="s">
        <v>643</v>
      </c>
      <c r="K1317" s="2950">
        <v>33.03</v>
      </c>
      <c r="L1317" s="2950">
        <v>13.25</v>
      </c>
      <c r="M1317" s="2951">
        <v>550164</v>
      </c>
      <c r="N1317" s="2951">
        <v>550164</v>
      </c>
      <c r="O1317" s="2952">
        <v>550164</v>
      </c>
      <c r="P1317" s="2953">
        <v>550164</v>
      </c>
      <c r="Q1317" s="2951">
        <v>550164</v>
      </c>
      <c r="R1317" s="2954">
        <v>44734</v>
      </c>
      <c r="S1317" s="2954">
        <v>44736</v>
      </c>
      <c r="T1317" s="2954">
        <v>44756</v>
      </c>
      <c r="U1317" s="2954">
        <v>44756</v>
      </c>
      <c r="V1317" s="2948" t="s">
        <v>1773</v>
      </c>
      <c r="W1317" s="2944">
        <f t="shared" si="7"/>
        <v>16656.494096276099</v>
      </c>
    </row>
    <row r="1318" spans="1:23" s="2944" customFormat="1" ht="46.8">
      <c r="A1318" s="2948">
        <v>1317</v>
      </c>
      <c r="B1318" s="2948" t="s">
        <v>635</v>
      </c>
      <c r="C1318" s="2948" t="s">
        <v>636</v>
      </c>
      <c r="D1318" s="2948" t="s">
        <v>1862</v>
      </c>
      <c r="E1318" s="2948" t="s">
        <v>729</v>
      </c>
      <c r="F1318" s="2948" t="s">
        <v>1901</v>
      </c>
      <c r="G1318" s="2948" t="s">
        <v>640</v>
      </c>
      <c r="H1318" s="2948" t="s">
        <v>1863</v>
      </c>
      <c r="I1318" s="2948" t="s">
        <v>1027</v>
      </c>
      <c r="J1318" s="2948" t="s">
        <v>643</v>
      </c>
      <c r="K1318" s="2950">
        <v>33.03</v>
      </c>
      <c r="L1318" s="2950">
        <v>13.25</v>
      </c>
      <c r="M1318" s="2951">
        <v>550164</v>
      </c>
      <c r="N1318" s="2951">
        <v>550164</v>
      </c>
      <c r="O1318" s="2952">
        <v>550164</v>
      </c>
      <c r="P1318" s="2953">
        <v>550164</v>
      </c>
      <c r="Q1318" s="2951">
        <v>550164</v>
      </c>
      <c r="R1318" s="2954">
        <v>44554</v>
      </c>
      <c r="S1318" s="2954">
        <v>44561</v>
      </c>
      <c r="T1318" s="2954">
        <v>44984</v>
      </c>
      <c r="U1318" s="2954">
        <v>45001</v>
      </c>
      <c r="V1318" s="2948" t="s">
        <v>1820</v>
      </c>
      <c r="W1318" s="2944">
        <f t="shared" si="7"/>
        <v>16656.494096276099</v>
      </c>
    </row>
    <row r="1319" spans="1:23" s="2944" customFormat="1" ht="46.8">
      <c r="A1319" s="2948">
        <v>1318</v>
      </c>
      <c r="B1319" s="2948" t="s">
        <v>635</v>
      </c>
      <c r="C1319" s="2948" t="s">
        <v>636</v>
      </c>
      <c r="D1319" s="2948" t="s">
        <v>1862</v>
      </c>
      <c r="E1319" s="2948" t="s">
        <v>729</v>
      </c>
      <c r="F1319" s="2948" t="s">
        <v>1902</v>
      </c>
      <c r="G1319" s="2948" t="s">
        <v>640</v>
      </c>
      <c r="H1319" s="2948" t="s">
        <v>1863</v>
      </c>
      <c r="I1319" s="2948" t="s">
        <v>1027</v>
      </c>
      <c r="J1319" s="2948" t="s">
        <v>643</v>
      </c>
      <c r="K1319" s="2950">
        <v>33.03</v>
      </c>
      <c r="L1319" s="2950">
        <v>13.25</v>
      </c>
      <c r="M1319" s="2951">
        <v>550164</v>
      </c>
      <c r="N1319" s="2951">
        <v>550164</v>
      </c>
      <c r="O1319" s="2952">
        <v>550164</v>
      </c>
      <c r="P1319" s="2953">
        <v>550164</v>
      </c>
      <c r="Q1319" s="2951">
        <v>550164</v>
      </c>
      <c r="R1319" s="2954">
        <v>44734</v>
      </c>
      <c r="S1319" s="2954">
        <v>44742</v>
      </c>
      <c r="T1319" s="2954">
        <v>44880</v>
      </c>
      <c r="U1319" s="2954">
        <v>44880</v>
      </c>
      <c r="V1319" s="2948" t="s">
        <v>1833</v>
      </c>
      <c r="W1319" s="2944">
        <f t="shared" si="7"/>
        <v>16656.494096276099</v>
      </c>
    </row>
    <row r="1320" spans="1:23" s="2944" customFormat="1" ht="46.8">
      <c r="A1320" s="2948">
        <v>1319</v>
      </c>
      <c r="B1320" s="2948" t="s">
        <v>635</v>
      </c>
      <c r="C1320" s="2948" t="s">
        <v>636</v>
      </c>
      <c r="D1320" s="2948" t="s">
        <v>1862</v>
      </c>
      <c r="E1320" s="2948" t="s">
        <v>729</v>
      </c>
      <c r="F1320" s="2948" t="s">
        <v>1903</v>
      </c>
      <c r="G1320" s="2948" t="s">
        <v>640</v>
      </c>
      <c r="H1320" s="2948" t="s">
        <v>1863</v>
      </c>
      <c r="I1320" s="2948" t="s">
        <v>1027</v>
      </c>
      <c r="J1320" s="2948" t="s">
        <v>643</v>
      </c>
      <c r="K1320" s="2950">
        <v>33.03</v>
      </c>
      <c r="L1320" s="2950">
        <v>13.25</v>
      </c>
      <c r="M1320" s="2951">
        <v>550164</v>
      </c>
      <c r="N1320" s="2951">
        <v>550164</v>
      </c>
      <c r="O1320" s="2952">
        <v>550164</v>
      </c>
      <c r="P1320" s="2953">
        <v>550164</v>
      </c>
      <c r="Q1320" s="2951">
        <v>550164</v>
      </c>
      <c r="R1320" s="2954">
        <v>44559</v>
      </c>
      <c r="S1320" s="2954">
        <v>44561</v>
      </c>
      <c r="T1320" s="2954">
        <v>44743</v>
      </c>
      <c r="U1320" s="2954">
        <v>44743</v>
      </c>
      <c r="V1320" s="2948" t="s">
        <v>1806</v>
      </c>
      <c r="W1320" s="2944">
        <f t="shared" si="7"/>
        <v>16656.494096276099</v>
      </c>
    </row>
    <row r="1321" spans="1:23" s="2944" customFormat="1" ht="46.8">
      <c r="A1321" s="2948">
        <v>1320</v>
      </c>
      <c r="B1321" s="2948" t="s">
        <v>635</v>
      </c>
      <c r="C1321" s="2948" t="s">
        <v>636</v>
      </c>
      <c r="D1321" s="2948" t="s">
        <v>1862</v>
      </c>
      <c r="E1321" s="2948" t="s">
        <v>729</v>
      </c>
      <c r="F1321" s="2948" t="s">
        <v>1904</v>
      </c>
      <c r="G1321" s="2948" t="s">
        <v>640</v>
      </c>
      <c r="H1321" s="2948" t="s">
        <v>1863</v>
      </c>
      <c r="I1321" s="2948" t="s">
        <v>1027</v>
      </c>
      <c r="J1321" s="2948" t="s">
        <v>643</v>
      </c>
      <c r="K1321" s="2950">
        <v>33.03</v>
      </c>
      <c r="L1321" s="2950">
        <v>13.25</v>
      </c>
      <c r="M1321" s="2951">
        <v>550164</v>
      </c>
      <c r="N1321" s="2951">
        <v>550164</v>
      </c>
      <c r="O1321" s="2952">
        <v>550164</v>
      </c>
      <c r="P1321" s="2953">
        <v>550164</v>
      </c>
      <c r="Q1321" s="2951">
        <v>550164</v>
      </c>
      <c r="R1321" s="2948"/>
      <c r="S1321" s="2954">
        <v>44738.6335300926</v>
      </c>
      <c r="T1321" s="2954">
        <v>44743</v>
      </c>
      <c r="U1321" s="2954">
        <v>44743</v>
      </c>
      <c r="V1321" s="2948" t="s">
        <v>1785</v>
      </c>
      <c r="W1321" s="2944">
        <f t="shared" si="7"/>
        <v>16656.494096276099</v>
      </c>
    </row>
    <row r="1322" spans="1:23" s="2944" customFormat="1" ht="46.8">
      <c r="A1322" s="2948">
        <v>1321</v>
      </c>
      <c r="B1322" s="2948" t="s">
        <v>635</v>
      </c>
      <c r="C1322" s="2948" t="s">
        <v>636</v>
      </c>
      <c r="D1322" s="2948" t="s">
        <v>1862</v>
      </c>
      <c r="E1322" s="2948" t="s">
        <v>729</v>
      </c>
      <c r="F1322" s="2948" t="s">
        <v>1905</v>
      </c>
      <c r="G1322" s="2948" t="s">
        <v>640</v>
      </c>
      <c r="H1322" s="2948" t="s">
        <v>1863</v>
      </c>
      <c r="I1322" s="2948" t="s">
        <v>1027</v>
      </c>
      <c r="J1322" s="2948" t="s">
        <v>643</v>
      </c>
      <c r="K1322" s="2950">
        <v>33.03</v>
      </c>
      <c r="L1322" s="2950">
        <v>13.25</v>
      </c>
      <c r="M1322" s="2951">
        <v>550164</v>
      </c>
      <c r="N1322" s="2951">
        <v>550164</v>
      </c>
      <c r="O1322" s="2952">
        <v>550164</v>
      </c>
      <c r="P1322" s="2953">
        <v>550164</v>
      </c>
      <c r="Q1322" s="2951">
        <v>550164</v>
      </c>
      <c r="R1322" s="2954">
        <v>44762</v>
      </c>
      <c r="S1322" s="2954">
        <v>44796</v>
      </c>
      <c r="T1322" s="2954">
        <v>44830</v>
      </c>
      <c r="U1322" s="2954">
        <v>44830</v>
      </c>
      <c r="V1322" s="2948" t="s">
        <v>1821</v>
      </c>
      <c r="W1322" s="2944">
        <f t="shared" si="7"/>
        <v>16656.494096276099</v>
      </c>
    </row>
    <row r="1323" spans="1:23" s="2944" customFormat="1" ht="46.8">
      <c r="A1323" s="2948">
        <v>1322</v>
      </c>
      <c r="B1323" s="2948" t="s">
        <v>635</v>
      </c>
      <c r="C1323" s="2948" t="s">
        <v>636</v>
      </c>
      <c r="D1323" s="2948" t="s">
        <v>1862</v>
      </c>
      <c r="E1323" s="2948" t="s">
        <v>729</v>
      </c>
      <c r="F1323" s="2948" t="s">
        <v>1906</v>
      </c>
      <c r="G1323" s="2948" t="s">
        <v>640</v>
      </c>
      <c r="H1323" s="2948" t="s">
        <v>1863</v>
      </c>
      <c r="I1323" s="2948" t="s">
        <v>1027</v>
      </c>
      <c r="J1323" s="2948" t="s">
        <v>643</v>
      </c>
      <c r="K1323" s="2950">
        <v>33.03</v>
      </c>
      <c r="L1323" s="2950">
        <v>13.25</v>
      </c>
      <c r="M1323" s="2951">
        <v>550164</v>
      </c>
      <c r="N1323" s="2951">
        <v>550164</v>
      </c>
      <c r="O1323" s="2952">
        <v>550164</v>
      </c>
      <c r="P1323" s="2953">
        <v>550164</v>
      </c>
      <c r="Q1323" s="2951">
        <v>550164</v>
      </c>
      <c r="R1323" s="2954">
        <v>44738.629155092603</v>
      </c>
      <c r="S1323" s="2954">
        <v>44738</v>
      </c>
      <c r="T1323" s="2954">
        <v>44762</v>
      </c>
      <c r="U1323" s="2954">
        <v>44762</v>
      </c>
      <c r="V1323" s="2948" t="s">
        <v>1861</v>
      </c>
      <c r="W1323" s="2944">
        <f t="shared" si="7"/>
        <v>16656.494096276099</v>
      </c>
    </row>
    <row r="1324" spans="1:23" s="2944" customFormat="1" ht="46.8">
      <c r="A1324" s="2948">
        <v>1323</v>
      </c>
      <c r="B1324" s="2948" t="s">
        <v>635</v>
      </c>
      <c r="C1324" s="2948" t="s">
        <v>636</v>
      </c>
      <c r="D1324" s="2948" t="s">
        <v>1862</v>
      </c>
      <c r="E1324" s="2948" t="s">
        <v>729</v>
      </c>
      <c r="F1324" s="2948" t="s">
        <v>1907</v>
      </c>
      <c r="G1324" s="2948" t="s">
        <v>640</v>
      </c>
      <c r="H1324" s="2948" t="s">
        <v>1863</v>
      </c>
      <c r="I1324" s="2948" t="s">
        <v>1027</v>
      </c>
      <c r="J1324" s="2948" t="s">
        <v>643</v>
      </c>
      <c r="K1324" s="2950">
        <v>33.03</v>
      </c>
      <c r="L1324" s="2950">
        <v>13.25</v>
      </c>
      <c r="M1324" s="2951">
        <v>550164</v>
      </c>
      <c r="N1324" s="2951">
        <v>550164</v>
      </c>
      <c r="O1324" s="2952">
        <v>550164</v>
      </c>
      <c r="P1324" s="2953">
        <v>550164</v>
      </c>
      <c r="Q1324" s="2951">
        <v>550164</v>
      </c>
      <c r="R1324" s="2954">
        <v>44734</v>
      </c>
      <c r="S1324" s="2954">
        <v>44737</v>
      </c>
      <c r="T1324" s="2954">
        <v>44781</v>
      </c>
      <c r="U1324" s="2954">
        <v>44781</v>
      </c>
      <c r="V1324" s="2948" t="s">
        <v>1841</v>
      </c>
      <c r="W1324" s="2944">
        <f t="shared" si="7"/>
        <v>16656.494096276099</v>
      </c>
    </row>
    <row r="1325" spans="1:23" s="2944" customFormat="1" ht="46.8">
      <c r="A1325" s="2948">
        <v>1324</v>
      </c>
      <c r="B1325" s="2948" t="s">
        <v>635</v>
      </c>
      <c r="C1325" s="2948" t="s">
        <v>636</v>
      </c>
      <c r="D1325" s="2948" t="s">
        <v>1862</v>
      </c>
      <c r="E1325" s="2948" t="s">
        <v>729</v>
      </c>
      <c r="F1325" s="2948" t="s">
        <v>1908</v>
      </c>
      <c r="G1325" s="2948" t="s">
        <v>640</v>
      </c>
      <c r="H1325" s="2948" t="s">
        <v>1863</v>
      </c>
      <c r="I1325" s="2948" t="s">
        <v>1027</v>
      </c>
      <c r="J1325" s="2948" t="s">
        <v>643</v>
      </c>
      <c r="K1325" s="2950">
        <v>33.03</v>
      </c>
      <c r="L1325" s="2950">
        <v>13.25</v>
      </c>
      <c r="M1325" s="2951">
        <v>550164</v>
      </c>
      <c r="N1325" s="2951">
        <v>550164</v>
      </c>
      <c r="O1325" s="2952">
        <v>550164</v>
      </c>
      <c r="P1325" s="2953">
        <v>550164</v>
      </c>
      <c r="Q1325" s="2951">
        <v>550164</v>
      </c>
      <c r="R1325" s="2954">
        <v>44735</v>
      </c>
      <c r="S1325" s="2954">
        <v>44736</v>
      </c>
      <c r="T1325" s="2954">
        <v>44756</v>
      </c>
      <c r="U1325" s="2954">
        <v>44756</v>
      </c>
      <c r="V1325" s="2948" t="s">
        <v>1851</v>
      </c>
      <c r="W1325" s="2944">
        <f t="shared" si="7"/>
        <v>16656.494096276099</v>
      </c>
    </row>
    <row r="1326" spans="1:23" s="2944" customFormat="1" ht="46.8">
      <c r="A1326" s="2948">
        <v>1325</v>
      </c>
      <c r="B1326" s="2948" t="s">
        <v>635</v>
      </c>
      <c r="C1326" s="2948" t="s">
        <v>636</v>
      </c>
      <c r="D1326" s="2948" t="s">
        <v>1862</v>
      </c>
      <c r="E1326" s="2948" t="s">
        <v>729</v>
      </c>
      <c r="F1326" s="2948" t="s">
        <v>1909</v>
      </c>
      <c r="G1326" s="2948" t="s">
        <v>640</v>
      </c>
      <c r="H1326" s="2948" t="s">
        <v>1863</v>
      </c>
      <c r="I1326" s="2948" t="s">
        <v>1027</v>
      </c>
      <c r="J1326" s="2948" t="s">
        <v>643</v>
      </c>
      <c r="K1326" s="2950">
        <v>33.03</v>
      </c>
      <c r="L1326" s="2950">
        <v>13.25</v>
      </c>
      <c r="M1326" s="2951">
        <v>550164</v>
      </c>
      <c r="N1326" s="2951">
        <v>550164</v>
      </c>
      <c r="O1326" s="2952">
        <v>550164</v>
      </c>
      <c r="P1326" s="2953">
        <v>550164</v>
      </c>
      <c r="Q1326" s="2951">
        <v>550164</v>
      </c>
      <c r="R1326" s="2954">
        <v>44734</v>
      </c>
      <c r="S1326" s="2954">
        <v>44737</v>
      </c>
      <c r="T1326" s="2954">
        <v>44757</v>
      </c>
      <c r="U1326" s="2954">
        <v>44757</v>
      </c>
      <c r="V1326" s="2948" t="s">
        <v>1824</v>
      </c>
      <c r="W1326" s="2944">
        <f t="shared" si="7"/>
        <v>16656.494096276099</v>
      </c>
    </row>
    <row r="1327" spans="1:23" s="2944" customFormat="1" ht="46.8">
      <c r="A1327" s="2948">
        <v>1326</v>
      </c>
      <c r="B1327" s="2948" t="s">
        <v>635</v>
      </c>
      <c r="C1327" s="2948" t="s">
        <v>636</v>
      </c>
      <c r="D1327" s="2948" t="s">
        <v>1862</v>
      </c>
      <c r="E1327" s="2948" t="s">
        <v>729</v>
      </c>
      <c r="F1327" s="2948" t="s">
        <v>1910</v>
      </c>
      <c r="G1327" s="2948" t="s">
        <v>640</v>
      </c>
      <c r="H1327" s="2948" t="s">
        <v>1863</v>
      </c>
      <c r="I1327" s="2948" t="s">
        <v>1027</v>
      </c>
      <c r="J1327" s="2948" t="s">
        <v>643</v>
      </c>
      <c r="K1327" s="2950">
        <v>33.03</v>
      </c>
      <c r="L1327" s="2950">
        <v>13.25</v>
      </c>
      <c r="M1327" s="2951">
        <v>550164</v>
      </c>
      <c r="N1327" s="2951">
        <v>550164</v>
      </c>
      <c r="O1327" s="2952">
        <v>550164</v>
      </c>
      <c r="P1327" s="2953">
        <v>550164</v>
      </c>
      <c r="Q1327" s="2951">
        <v>550164</v>
      </c>
      <c r="R1327" s="2954">
        <v>44734</v>
      </c>
      <c r="S1327" s="2954">
        <v>44736</v>
      </c>
      <c r="T1327" s="2954">
        <v>44756</v>
      </c>
      <c r="U1327" s="2954">
        <v>44756</v>
      </c>
      <c r="V1327" s="2948" t="s">
        <v>1822</v>
      </c>
      <c r="W1327" s="2944">
        <f t="shared" si="7"/>
        <v>16656.494096276099</v>
      </c>
    </row>
    <row r="1328" spans="1:23" s="2944" customFormat="1" ht="46.8">
      <c r="A1328" s="2948">
        <v>1327</v>
      </c>
      <c r="B1328" s="2948" t="s">
        <v>635</v>
      </c>
      <c r="C1328" s="2948" t="s">
        <v>636</v>
      </c>
      <c r="D1328" s="2948" t="s">
        <v>1862</v>
      </c>
      <c r="E1328" s="2948" t="s">
        <v>729</v>
      </c>
      <c r="F1328" s="2948" t="s">
        <v>1911</v>
      </c>
      <c r="G1328" s="2948" t="s">
        <v>640</v>
      </c>
      <c r="H1328" s="2948" t="s">
        <v>1863</v>
      </c>
      <c r="I1328" s="2948" t="s">
        <v>1027</v>
      </c>
      <c r="J1328" s="2948" t="s">
        <v>643</v>
      </c>
      <c r="K1328" s="2950">
        <v>33.03</v>
      </c>
      <c r="L1328" s="2950">
        <v>13.25</v>
      </c>
      <c r="M1328" s="2951">
        <v>550164</v>
      </c>
      <c r="N1328" s="2951">
        <v>550164</v>
      </c>
      <c r="O1328" s="2952">
        <v>550164</v>
      </c>
      <c r="P1328" s="2953">
        <v>550164</v>
      </c>
      <c r="Q1328" s="2951">
        <v>550164</v>
      </c>
      <c r="R1328" s="2954">
        <v>44734</v>
      </c>
      <c r="S1328" s="2954">
        <v>44737</v>
      </c>
      <c r="T1328" s="2954">
        <v>44756</v>
      </c>
      <c r="U1328" s="2954">
        <v>44756</v>
      </c>
      <c r="V1328" s="2948" t="s">
        <v>1720</v>
      </c>
      <c r="W1328" s="2944">
        <f t="shared" si="7"/>
        <v>16656.494096276099</v>
      </c>
    </row>
    <row r="1329" spans="1:23" s="2944" customFormat="1" ht="46.8">
      <c r="A1329" s="2948">
        <v>1328</v>
      </c>
      <c r="B1329" s="2948" t="s">
        <v>635</v>
      </c>
      <c r="C1329" s="2948" t="s">
        <v>636</v>
      </c>
      <c r="D1329" s="2948" t="s">
        <v>1862</v>
      </c>
      <c r="E1329" s="2948" t="s">
        <v>729</v>
      </c>
      <c r="F1329" s="2948" t="s">
        <v>1912</v>
      </c>
      <c r="G1329" s="2948" t="s">
        <v>640</v>
      </c>
      <c r="H1329" s="2948" t="s">
        <v>1863</v>
      </c>
      <c r="I1329" s="2948" t="s">
        <v>1027</v>
      </c>
      <c r="J1329" s="2948" t="s">
        <v>643</v>
      </c>
      <c r="K1329" s="2950">
        <v>33.03</v>
      </c>
      <c r="L1329" s="2950">
        <v>13.25</v>
      </c>
      <c r="M1329" s="2951">
        <v>550164</v>
      </c>
      <c r="N1329" s="2951">
        <v>550164</v>
      </c>
      <c r="O1329" s="2952">
        <v>550164</v>
      </c>
      <c r="P1329" s="2953">
        <v>550164</v>
      </c>
      <c r="Q1329" s="2951">
        <v>550164</v>
      </c>
      <c r="R1329" s="2954">
        <v>44737</v>
      </c>
      <c r="S1329" s="2954">
        <v>44737</v>
      </c>
      <c r="T1329" s="2954">
        <v>44739</v>
      </c>
      <c r="U1329" s="2954">
        <v>44739</v>
      </c>
      <c r="V1329" s="2948" t="s">
        <v>1754</v>
      </c>
      <c r="W1329" s="2944">
        <f t="shared" si="7"/>
        <v>16656.494096276099</v>
      </c>
    </row>
    <row r="1330" spans="1:23" s="2944" customFormat="1" ht="46.8">
      <c r="A1330" s="2948">
        <v>1329</v>
      </c>
      <c r="B1330" s="2948" t="s">
        <v>635</v>
      </c>
      <c r="C1330" s="2948" t="s">
        <v>636</v>
      </c>
      <c r="D1330" s="2948" t="s">
        <v>1862</v>
      </c>
      <c r="E1330" s="2948" t="s">
        <v>729</v>
      </c>
      <c r="F1330" s="2948" t="s">
        <v>1913</v>
      </c>
      <c r="G1330" s="2948" t="s">
        <v>640</v>
      </c>
      <c r="H1330" s="2948" t="s">
        <v>1863</v>
      </c>
      <c r="I1330" s="2948" t="s">
        <v>1027</v>
      </c>
      <c r="J1330" s="2948" t="s">
        <v>643</v>
      </c>
      <c r="K1330" s="2950">
        <v>33.03</v>
      </c>
      <c r="L1330" s="2950">
        <v>13.25</v>
      </c>
      <c r="M1330" s="2951">
        <v>550164</v>
      </c>
      <c r="N1330" s="2951">
        <v>550164</v>
      </c>
      <c r="O1330" s="2952">
        <v>550164</v>
      </c>
      <c r="P1330" s="2953">
        <v>550164</v>
      </c>
      <c r="Q1330" s="2951">
        <v>550164</v>
      </c>
      <c r="R1330" s="2954">
        <v>44734</v>
      </c>
      <c r="S1330" s="2954">
        <v>44737</v>
      </c>
      <c r="T1330" s="2954">
        <v>44739</v>
      </c>
      <c r="U1330" s="2954">
        <v>44739</v>
      </c>
      <c r="V1330" s="2948" t="s">
        <v>1829</v>
      </c>
      <c r="W1330" s="2944">
        <f t="shared" si="7"/>
        <v>16656.494096276099</v>
      </c>
    </row>
    <row r="1331" spans="1:23" s="2944" customFormat="1" ht="46.8">
      <c r="A1331" s="2948">
        <v>1330</v>
      </c>
      <c r="B1331" s="2948" t="s">
        <v>635</v>
      </c>
      <c r="C1331" s="2948" t="s">
        <v>636</v>
      </c>
      <c r="D1331" s="2948" t="s">
        <v>1862</v>
      </c>
      <c r="E1331" s="2948" t="s">
        <v>729</v>
      </c>
      <c r="F1331" s="2948" t="s">
        <v>1914</v>
      </c>
      <c r="G1331" s="2948" t="s">
        <v>640</v>
      </c>
      <c r="H1331" s="2948" t="s">
        <v>1863</v>
      </c>
      <c r="I1331" s="2948" t="s">
        <v>1027</v>
      </c>
      <c r="J1331" s="2948" t="s">
        <v>643</v>
      </c>
      <c r="K1331" s="2950">
        <v>33.03</v>
      </c>
      <c r="L1331" s="2950">
        <v>13.25</v>
      </c>
      <c r="M1331" s="2951">
        <v>550164</v>
      </c>
      <c r="N1331" s="2951">
        <v>550164</v>
      </c>
      <c r="O1331" s="2952">
        <v>550164</v>
      </c>
      <c r="P1331" s="2953">
        <v>550164</v>
      </c>
      <c r="Q1331" s="2951">
        <v>550164</v>
      </c>
      <c r="R1331" s="2954">
        <v>44734</v>
      </c>
      <c r="S1331" s="2954">
        <v>44737</v>
      </c>
      <c r="T1331" s="2954">
        <v>44753</v>
      </c>
      <c r="U1331" s="2954">
        <v>44753</v>
      </c>
      <c r="V1331" s="2948" t="s">
        <v>1723</v>
      </c>
      <c r="W1331" s="2944">
        <f t="shared" si="7"/>
        <v>16656.494096276099</v>
      </c>
    </row>
    <row r="1332" spans="1:23" s="2944" customFormat="1" ht="46.8">
      <c r="A1332" s="2948">
        <v>1331</v>
      </c>
      <c r="B1332" s="2948" t="s">
        <v>635</v>
      </c>
      <c r="C1332" s="2948" t="s">
        <v>636</v>
      </c>
      <c r="D1332" s="2948" t="s">
        <v>1862</v>
      </c>
      <c r="E1332" s="2948" t="s">
        <v>729</v>
      </c>
      <c r="F1332" s="2948" t="s">
        <v>1915</v>
      </c>
      <c r="G1332" s="2948" t="s">
        <v>640</v>
      </c>
      <c r="H1332" s="2948" t="s">
        <v>1863</v>
      </c>
      <c r="I1332" s="2948" t="s">
        <v>1027</v>
      </c>
      <c r="J1332" s="2948" t="s">
        <v>643</v>
      </c>
      <c r="K1332" s="2950">
        <v>33.03</v>
      </c>
      <c r="L1332" s="2950">
        <v>13.25</v>
      </c>
      <c r="M1332" s="2951">
        <v>550164</v>
      </c>
      <c r="N1332" s="2951">
        <v>550164</v>
      </c>
      <c r="O1332" s="2952">
        <v>550164</v>
      </c>
      <c r="P1332" s="2953">
        <v>550164</v>
      </c>
      <c r="Q1332" s="2951">
        <v>550164</v>
      </c>
      <c r="R1332" s="2954">
        <v>44734</v>
      </c>
      <c r="S1332" s="2954">
        <v>44737</v>
      </c>
      <c r="T1332" s="2954">
        <v>44753</v>
      </c>
      <c r="U1332" s="2954">
        <v>44753</v>
      </c>
      <c r="V1332" s="2948" t="s">
        <v>1723</v>
      </c>
      <c r="W1332" s="2944">
        <f t="shared" si="7"/>
        <v>16656.494096276099</v>
      </c>
    </row>
    <row r="1333" spans="1:23" s="2944" customFormat="1" ht="46.8">
      <c r="A1333" s="2948">
        <v>1332</v>
      </c>
      <c r="B1333" s="2948" t="s">
        <v>635</v>
      </c>
      <c r="C1333" s="2948" t="s">
        <v>636</v>
      </c>
      <c r="D1333" s="2948" t="s">
        <v>1862</v>
      </c>
      <c r="E1333" s="2948" t="s">
        <v>729</v>
      </c>
      <c r="F1333" s="2948" t="s">
        <v>1916</v>
      </c>
      <c r="G1333" s="2948" t="s">
        <v>640</v>
      </c>
      <c r="H1333" s="2948" t="s">
        <v>1863</v>
      </c>
      <c r="I1333" s="2948" t="s">
        <v>1027</v>
      </c>
      <c r="J1333" s="2948" t="s">
        <v>643</v>
      </c>
      <c r="K1333" s="2950">
        <v>33.03</v>
      </c>
      <c r="L1333" s="2950">
        <v>13.25</v>
      </c>
      <c r="M1333" s="2951">
        <v>550164</v>
      </c>
      <c r="N1333" s="2951">
        <v>550164</v>
      </c>
      <c r="O1333" s="2952">
        <v>550164</v>
      </c>
      <c r="P1333" s="2953">
        <v>550164</v>
      </c>
      <c r="Q1333" s="2951">
        <v>550164</v>
      </c>
      <c r="R1333" s="2954">
        <v>44734</v>
      </c>
      <c r="S1333" s="2954">
        <v>44741</v>
      </c>
      <c r="T1333" s="2954">
        <v>44866</v>
      </c>
      <c r="U1333" s="2954">
        <v>44866</v>
      </c>
      <c r="V1333" s="2948" t="s">
        <v>1725</v>
      </c>
      <c r="W1333" s="2944">
        <f t="shared" si="7"/>
        <v>16656.494096276099</v>
      </c>
    </row>
    <row r="1334" spans="1:23" s="2944" customFormat="1" ht="46.8">
      <c r="A1334" s="2948">
        <v>1333</v>
      </c>
      <c r="B1334" s="2948" t="s">
        <v>635</v>
      </c>
      <c r="C1334" s="2948" t="s">
        <v>636</v>
      </c>
      <c r="D1334" s="2948" t="s">
        <v>1862</v>
      </c>
      <c r="E1334" s="2948" t="s">
        <v>729</v>
      </c>
      <c r="F1334" s="2948" t="s">
        <v>1917</v>
      </c>
      <c r="G1334" s="2948" t="s">
        <v>640</v>
      </c>
      <c r="H1334" s="2948" t="s">
        <v>1863</v>
      </c>
      <c r="I1334" s="2948" t="s">
        <v>1027</v>
      </c>
      <c r="J1334" s="2948" t="s">
        <v>643</v>
      </c>
      <c r="K1334" s="2950">
        <v>33.03</v>
      </c>
      <c r="L1334" s="2950">
        <v>13.25</v>
      </c>
      <c r="M1334" s="2951">
        <v>550164</v>
      </c>
      <c r="N1334" s="2951">
        <v>550164</v>
      </c>
      <c r="O1334" s="2952">
        <v>550164</v>
      </c>
      <c r="P1334" s="2953">
        <v>550164</v>
      </c>
      <c r="Q1334" s="2951">
        <v>550164</v>
      </c>
      <c r="R1334" s="2954">
        <v>44557</v>
      </c>
      <c r="S1334" s="2954">
        <v>44559</v>
      </c>
      <c r="T1334" s="2954">
        <v>44641</v>
      </c>
      <c r="U1334" s="2954">
        <v>44641</v>
      </c>
      <c r="V1334" s="2948" t="s">
        <v>1746</v>
      </c>
      <c r="W1334" s="2944">
        <f t="shared" si="7"/>
        <v>16656.494096276099</v>
      </c>
    </row>
    <row r="1335" spans="1:23" s="2944" customFormat="1" ht="46.8">
      <c r="A1335" s="2948">
        <v>1334</v>
      </c>
      <c r="B1335" s="2948" t="s">
        <v>635</v>
      </c>
      <c r="C1335" s="2948" t="s">
        <v>636</v>
      </c>
      <c r="D1335" s="2948" t="s">
        <v>1862</v>
      </c>
      <c r="E1335" s="2948" t="s">
        <v>729</v>
      </c>
      <c r="F1335" s="2948" t="s">
        <v>1918</v>
      </c>
      <c r="G1335" s="2948" t="s">
        <v>640</v>
      </c>
      <c r="H1335" s="2948" t="s">
        <v>1863</v>
      </c>
      <c r="I1335" s="2948" t="s">
        <v>1027</v>
      </c>
      <c r="J1335" s="2948" t="s">
        <v>643</v>
      </c>
      <c r="K1335" s="2950">
        <v>33.03</v>
      </c>
      <c r="L1335" s="2950">
        <v>13.25</v>
      </c>
      <c r="M1335" s="2951">
        <v>550164</v>
      </c>
      <c r="N1335" s="2951">
        <v>550164</v>
      </c>
      <c r="O1335" s="2952">
        <v>550164</v>
      </c>
      <c r="P1335" s="2953">
        <v>550164</v>
      </c>
      <c r="Q1335" s="2951">
        <v>550164</v>
      </c>
      <c r="R1335" s="2954">
        <v>44735</v>
      </c>
      <c r="S1335" s="2954">
        <v>44846</v>
      </c>
      <c r="T1335" s="2954">
        <v>44846</v>
      </c>
      <c r="U1335" s="2954">
        <v>44846</v>
      </c>
      <c r="V1335" s="2948" t="s">
        <v>1818</v>
      </c>
      <c r="W1335" s="2944">
        <f t="shared" si="7"/>
        <v>16656.494096276099</v>
      </c>
    </row>
    <row r="1336" spans="1:23" s="2944" customFormat="1" ht="46.8">
      <c r="A1336" s="2948">
        <v>1335</v>
      </c>
      <c r="B1336" s="2948" t="s">
        <v>635</v>
      </c>
      <c r="C1336" s="2948" t="s">
        <v>636</v>
      </c>
      <c r="D1336" s="2948" t="s">
        <v>1862</v>
      </c>
      <c r="E1336" s="2948" t="s">
        <v>729</v>
      </c>
      <c r="F1336" s="2948" t="s">
        <v>1919</v>
      </c>
      <c r="G1336" s="2948" t="s">
        <v>640</v>
      </c>
      <c r="H1336" s="2948" t="s">
        <v>1863</v>
      </c>
      <c r="I1336" s="2948" t="s">
        <v>1027</v>
      </c>
      <c r="J1336" s="2948" t="s">
        <v>643</v>
      </c>
      <c r="K1336" s="2950">
        <v>33.03</v>
      </c>
      <c r="L1336" s="2950">
        <v>13.25</v>
      </c>
      <c r="M1336" s="2951">
        <v>550164</v>
      </c>
      <c r="N1336" s="2951">
        <v>550164</v>
      </c>
      <c r="O1336" s="2952">
        <v>550164</v>
      </c>
      <c r="P1336" s="2953">
        <v>550164</v>
      </c>
      <c r="Q1336" s="2951">
        <v>550164</v>
      </c>
      <c r="R1336" s="2954">
        <v>44734</v>
      </c>
      <c r="S1336" s="2954">
        <v>44737</v>
      </c>
      <c r="T1336" s="2954">
        <v>44784</v>
      </c>
      <c r="U1336" s="2954">
        <v>44784</v>
      </c>
      <c r="V1336" s="2948" t="s">
        <v>1743</v>
      </c>
      <c r="W1336" s="2944">
        <f t="shared" si="7"/>
        <v>16656.494096276099</v>
      </c>
    </row>
    <row r="1337" spans="1:23" s="2944" customFormat="1" ht="46.8" hidden="1">
      <c r="A1337" s="2948">
        <v>1336</v>
      </c>
      <c r="B1337" s="2948" t="s">
        <v>635</v>
      </c>
      <c r="C1337" s="2948" t="s">
        <v>636</v>
      </c>
      <c r="D1337" s="2948" t="s">
        <v>1862</v>
      </c>
      <c r="E1337" s="2948" t="s">
        <v>729</v>
      </c>
      <c r="F1337" s="2948" t="s">
        <v>1920</v>
      </c>
      <c r="G1337" s="2948" t="s">
        <v>1035</v>
      </c>
      <c r="H1337" s="2948" t="s">
        <v>1863</v>
      </c>
      <c r="I1337" s="2948" t="s">
        <v>1027</v>
      </c>
      <c r="J1337" s="2948" t="s">
        <v>643</v>
      </c>
      <c r="K1337" s="2950">
        <v>33.03</v>
      </c>
      <c r="L1337" s="2950">
        <v>13.25</v>
      </c>
      <c r="M1337" s="2951">
        <v>550164</v>
      </c>
      <c r="N1337" s="2951">
        <v>550164</v>
      </c>
      <c r="O1337" s="2955"/>
      <c r="P1337" s="2948"/>
      <c r="Q1337" s="2951">
        <v>0</v>
      </c>
      <c r="R1337" s="2948"/>
      <c r="S1337" s="2948"/>
      <c r="T1337" s="2948"/>
      <c r="U1337" s="2948"/>
      <c r="V1337" s="2948"/>
      <c r="W1337" s="2944">
        <f t="shared" si="7"/>
        <v>0</v>
      </c>
    </row>
    <row r="1338" spans="1:23" s="2944" customFormat="1" ht="46.8">
      <c r="A1338" s="2948">
        <v>1337</v>
      </c>
      <c r="B1338" s="2948" t="s">
        <v>635</v>
      </c>
      <c r="C1338" s="2948" t="s">
        <v>636</v>
      </c>
      <c r="D1338" s="2948" t="s">
        <v>1862</v>
      </c>
      <c r="E1338" s="2948" t="s">
        <v>729</v>
      </c>
      <c r="F1338" s="2948" t="s">
        <v>1921</v>
      </c>
      <c r="G1338" s="2948" t="s">
        <v>640</v>
      </c>
      <c r="H1338" s="2948" t="s">
        <v>1863</v>
      </c>
      <c r="I1338" s="2948" t="s">
        <v>1027</v>
      </c>
      <c r="J1338" s="2948" t="s">
        <v>643</v>
      </c>
      <c r="K1338" s="2950">
        <v>33.03</v>
      </c>
      <c r="L1338" s="2950">
        <v>13.25</v>
      </c>
      <c r="M1338" s="2951">
        <v>550164</v>
      </c>
      <c r="N1338" s="2951">
        <v>550164</v>
      </c>
      <c r="O1338" s="2952">
        <v>550164</v>
      </c>
      <c r="P1338" s="2953">
        <v>550164</v>
      </c>
      <c r="Q1338" s="2951">
        <v>550164</v>
      </c>
      <c r="R1338" s="2954">
        <v>44495</v>
      </c>
      <c r="S1338" s="2954">
        <v>44496</v>
      </c>
      <c r="T1338" s="2954">
        <v>44516</v>
      </c>
      <c r="U1338" s="2954">
        <v>44516</v>
      </c>
      <c r="V1338" s="2948" t="s">
        <v>1750</v>
      </c>
      <c r="W1338" s="2944">
        <f t="shared" si="7"/>
        <v>16656.494096276099</v>
      </c>
    </row>
    <row r="1339" spans="1:23" s="2944" customFormat="1" ht="46.8">
      <c r="A1339" s="2948">
        <v>1338</v>
      </c>
      <c r="B1339" s="2948" t="s">
        <v>635</v>
      </c>
      <c r="C1339" s="2948" t="s">
        <v>636</v>
      </c>
      <c r="D1339" s="2948" t="s">
        <v>1862</v>
      </c>
      <c r="E1339" s="2948" t="s">
        <v>729</v>
      </c>
      <c r="F1339" s="2948" t="s">
        <v>1922</v>
      </c>
      <c r="G1339" s="2948" t="s">
        <v>640</v>
      </c>
      <c r="H1339" s="2948" t="s">
        <v>1863</v>
      </c>
      <c r="I1339" s="2948" t="s">
        <v>1027</v>
      </c>
      <c r="J1339" s="2948" t="s">
        <v>643</v>
      </c>
      <c r="K1339" s="2950">
        <v>33.03</v>
      </c>
      <c r="L1339" s="2950">
        <v>13.25</v>
      </c>
      <c r="M1339" s="2951">
        <v>550164</v>
      </c>
      <c r="N1339" s="2951">
        <v>550164</v>
      </c>
      <c r="O1339" s="2952">
        <v>550164</v>
      </c>
      <c r="P1339" s="2953">
        <v>550164</v>
      </c>
      <c r="Q1339" s="2951">
        <v>550164</v>
      </c>
      <c r="R1339" s="2954">
        <v>44494</v>
      </c>
      <c r="S1339" s="2954">
        <v>44497</v>
      </c>
      <c r="T1339" s="2954">
        <v>44524</v>
      </c>
      <c r="U1339" s="2954">
        <v>44524</v>
      </c>
      <c r="V1339" s="2948" t="s">
        <v>1722</v>
      </c>
      <c r="W1339" s="2944">
        <f t="shared" si="7"/>
        <v>16656.494096276099</v>
      </c>
    </row>
    <row r="1340" spans="1:23" s="2944" customFormat="1" ht="46.8">
      <c r="A1340" s="2948">
        <v>1339</v>
      </c>
      <c r="B1340" s="2948" t="s">
        <v>635</v>
      </c>
      <c r="C1340" s="2948" t="s">
        <v>636</v>
      </c>
      <c r="D1340" s="2948" t="s">
        <v>1862</v>
      </c>
      <c r="E1340" s="2948" t="s">
        <v>729</v>
      </c>
      <c r="F1340" s="2948" t="s">
        <v>1923</v>
      </c>
      <c r="G1340" s="2948" t="s">
        <v>640</v>
      </c>
      <c r="H1340" s="2948" t="s">
        <v>1863</v>
      </c>
      <c r="I1340" s="2948" t="s">
        <v>1027</v>
      </c>
      <c r="J1340" s="2948" t="s">
        <v>643</v>
      </c>
      <c r="K1340" s="2950">
        <v>33.03</v>
      </c>
      <c r="L1340" s="2950">
        <v>13.25</v>
      </c>
      <c r="M1340" s="2951">
        <v>550164</v>
      </c>
      <c r="N1340" s="2951">
        <v>550164</v>
      </c>
      <c r="O1340" s="2952">
        <v>550164</v>
      </c>
      <c r="P1340" s="2953">
        <v>550164</v>
      </c>
      <c r="Q1340" s="2951">
        <v>550164</v>
      </c>
      <c r="R1340" s="2954">
        <v>44497</v>
      </c>
      <c r="S1340" s="2954">
        <v>44497</v>
      </c>
      <c r="T1340" s="2954">
        <v>44753</v>
      </c>
      <c r="U1340" s="2954">
        <v>44753</v>
      </c>
      <c r="V1340" s="2948" t="s">
        <v>1753</v>
      </c>
      <c r="W1340" s="2944">
        <f t="shared" si="7"/>
        <v>16656.494096276099</v>
      </c>
    </row>
    <row r="1341" spans="1:23" s="2944" customFormat="1" ht="46.8">
      <c r="A1341" s="2948">
        <v>1340</v>
      </c>
      <c r="B1341" s="2948" t="s">
        <v>635</v>
      </c>
      <c r="C1341" s="2948" t="s">
        <v>636</v>
      </c>
      <c r="D1341" s="2948" t="s">
        <v>1862</v>
      </c>
      <c r="E1341" s="2948" t="s">
        <v>729</v>
      </c>
      <c r="F1341" s="2948" t="s">
        <v>1924</v>
      </c>
      <c r="G1341" s="2948" t="s">
        <v>640</v>
      </c>
      <c r="H1341" s="2948" t="s">
        <v>1863</v>
      </c>
      <c r="I1341" s="2948" t="s">
        <v>1027</v>
      </c>
      <c r="J1341" s="2948" t="s">
        <v>643</v>
      </c>
      <c r="K1341" s="2950">
        <v>33.03</v>
      </c>
      <c r="L1341" s="2950">
        <v>13.25</v>
      </c>
      <c r="M1341" s="2951">
        <v>550164</v>
      </c>
      <c r="N1341" s="2951">
        <v>550164</v>
      </c>
      <c r="O1341" s="2952">
        <v>550164</v>
      </c>
      <c r="P1341" s="2953">
        <v>550164</v>
      </c>
      <c r="Q1341" s="2951">
        <v>550164</v>
      </c>
      <c r="R1341" s="2954">
        <v>44524</v>
      </c>
      <c r="S1341" s="2954">
        <v>44528</v>
      </c>
      <c r="T1341" s="2954">
        <v>44528</v>
      </c>
      <c r="U1341" s="2954">
        <v>44528</v>
      </c>
      <c r="V1341" s="2948" t="s">
        <v>1710</v>
      </c>
      <c r="W1341" s="2944">
        <f t="shared" si="7"/>
        <v>16656.494096276099</v>
      </c>
    </row>
    <row r="1342" spans="1:23" s="2944" customFormat="1" ht="46.8">
      <c r="A1342" s="2948">
        <v>1341</v>
      </c>
      <c r="B1342" s="2948" t="s">
        <v>635</v>
      </c>
      <c r="C1342" s="2948" t="s">
        <v>636</v>
      </c>
      <c r="D1342" s="2948" t="s">
        <v>1862</v>
      </c>
      <c r="E1342" s="2948" t="s">
        <v>729</v>
      </c>
      <c r="F1342" s="2948" t="s">
        <v>1925</v>
      </c>
      <c r="G1342" s="2948" t="s">
        <v>640</v>
      </c>
      <c r="H1342" s="2948" t="s">
        <v>1863</v>
      </c>
      <c r="I1342" s="2948" t="s">
        <v>1027</v>
      </c>
      <c r="J1342" s="2948" t="s">
        <v>643</v>
      </c>
      <c r="K1342" s="2950">
        <v>33.03</v>
      </c>
      <c r="L1342" s="2950">
        <v>13.25</v>
      </c>
      <c r="M1342" s="2951">
        <v>550164</v>
      </c>
      <c r="N1342" s="2951">
        <v>550164</v>
      </c>
      <c r="O1342" s="2952">
        <v>550164</v>
      </c>
      <c r="P1342" s="2953">
        <v>550164</v>
      </c>
      <c r="Q1342" s="2951">
        <v>550164</v>
      </c>
      <c r="R1342" s="2954">
        <v>44495</v>
      </c>
      <c r="S1342" s="2954">
        <v>44496</v>
      </c>
      <c r="T1342" s="2954">
        <v>44757</v>
      </c>
      <c r="U1342" s="2954">
        <v>44757</v>
      </c>
      <c r="V1342" s="2948" t="s">
        <v>1734</v>
      </c>
      <c r="W1342" s="2944">
        <f t="shared" si="7"/>
        <v>16656.494096276099</v>
      </c>
    </row>
    <row r="1343" spans="1:23" s="2944" customFormat="1" ht="46.8">
      <c r="A1343" s="2948">
        <v>1342</v>
      </c>
      <c r="B1343" s="2948" t="s">
        <v>635</v>
      </c>
      <c r="C1343" s="2948" t="s">
        <v>636</v>
      </c>
      <c r="D1343" s="2948" t="s">
        <v>1862</v>
      </c>
      <c r="E1343" s="2948" t="s">
        <v>729</v>
      </c>
      <c r="F1343" s="2948" t="s">
        <v>1926</v>
      </c>
      <c r="G1343" s="2948" t="s">
        <v>640</v>
      </c>
      <c r="H1343" s="2948" t="s">
        <v>1863</v>
      </c>
      <c r="I1343" s="2948" t="s">
        <v>1027</v>
      </c>
      <c r="J1343" s="2948" t="s">
        <v>643</v>
      </c>
      <c r="K1343" s="2950">
        <v>33.03</v>
      </c>
      <c r="L1343" s="2950">
        <v>13.25</v>
      </c>
      <c r="M1343" s="2951">
        <v>550164</v>
      </c>
      <c r="N1343" s="2951">
        <v>550164</v>
      </c>
      <c r="O1343" s="2952">
        <v>550164</v>
      </c>
      <c r="P1343" s="2953">
        <v>550164</v>
      </c>
      <c r="Q1343" s="2951">
        <v>550164</v>
      </c>
      <c r="R1343" s="2954">
        <v>44497</v>
      </c>
      <c r="S1343" s="2954">
        <v>44497</v>
      </c>
      <c r="T1343" s="2954">
        <v>44745</v>
      </c>
      <c r="U1343" s="2954">
        <v>44745</v>
      </c>
      <c r="V1343" s="2948" t="s">
        <v>1724</v>
      </c>
      <c r="W1343" s="2944">
        <f t="shared" si="7"/>
        <v>16656.494096276099</v>
      </c>
    </row>
    <row r="1344" spans="1:23" s="2944" customFormat="1" ht="46.8">
      <c r="A1344" s="2948">
        <v>1343</v>
      </c>
      <c r="B1344" s="2948" t="s">
        <v>635</v>
      </c>
      <c r="C1344" s="2948" t="s">
        <v>636</v>
      </c>
      <c r="D1344" s="2948" t="s">
        <v>1862</v>
      </c>
      <c r="E1344" s="2948" t="s">
        <v>729</v>
      </c>
      <c r="F1344" s="2948" t="s">
        <v>1927</v>
      </c>
      <c r="G1344" s="2948" t="s">
        <v>640</v>
      </c>
      <c r="H1344" s="2948" t="s">
        <v>1863</v>
      </c>
      <c r="I1344" s="2948" t="s">
        <v>1027</v>
      </c>
      <c r="J1344" s="2948" t="s">
        <v>643</v>
      </c>
      <c r="K1344" s="2950">
        <v>33.03</v>
      </c>
      <c r="L1344" s="2950">
        <v>13.25</v>
      </c>
      <c r="M1344" s="2951">
        <v>550164</v>
      </c>
      <c r="N1344" s="2951">
        <v>550164</v>
      </c>
      <c r="O1344" s="2952">
        <v>550164</v>
      </c>
      <c r="P1344" s="2953">
        <v>550164</v>
      </c>
      <c r="Q1344" s="2951">
        <v>550164</v>
      </c>
      <c r="R1344" s="2954">
        <v>44492</v>
      </c>
      <c r="S1344" s="2954">
        <v>44496</v>
      </c>
      <c r="T1344" s="2954">
        <v>44525</v>
      </c>
      <c r="U1344" s="2954">
        <v>44525</v>
      </c>
      <c r="V1344" s="2948" t="s">
        <v>1716</v>
      </c>
      <c r="W1344" s="2944">
        <f t="shared" si="7"/>
        <v>16656.494096276099</v>
      </c>
    </row>
    <row r="1345" spans="1:23" s="2944" customFormat="1" ht="46.8">
      <c r="A1345" s="2948">
        <v>1344</v>
      </c>
      <c r="B1345" s="2948" t="s">
        <v>635</v>
      </c>
      <c r="C1345" s="2948" t="s">
        <v>636</v>
      </c>
      <c r="D1345" s="2948" t="s">
        <v>1862</v>
      </c>
      <c r="E1345" s="2948" t="s">
        <v>729</v>
      </c>
      <c r="F1345" s="2948" t="s">
        <v>1928</v>
      </c>
      <c r="G1345" s="2948" t="s">
        <v>640</v>
      </c>
      <c r="H1345" s="2948" t="s">
        <v>1863</v>
      </c>
      <c r="I1345" s="2948" t="s">
        <v>1027</v>
      </c>
      <c r="J1345" s="2948" t="s">
        <v>643</v>
      </c>
      <c r="K1345" s="2950">
        <v>33.03</v>
      </c>
      <c r="L1345" s="2950">
        <v>13.25</v>
      </c>
      <c r="M1345" s="2951">
        <v>550164</v>
      </c>
      <c r="N1345" s="2951">
        <v>550164</v>
      </c>
      <c r="O1345" s="2952">
        <v>550164</v>
      </c>
      <c r="P1345" s="2953">
        <v>550164</v>
      </c>
      <c r="Q1345" s="2951">
        <v>550164</v>
      </c>
      <c r="R1345" s="2954">
        <v>45287</v>
      </c>
      <c r="S1345" s="2954">
        <v>45287</v>
      </c>
      <c r="T1345" s="2948"/>
      <c r="U1345" s="2948"/>
      <c r="V1345" s="2948" t="s">
        <v>1870</v>
      </c>
      <c r="W1345" s="2944">
        <f t="shared" si="7"/>
        <v>16656.494096276099</v>
      </c>
    </row>
    <row r="1346" spans="1:23" s="2944" customFormat="1" ht="46.8">
      <c r="A1346" s="2948">
        <v>1345</v>
      </c>
      <c r="B1346" s="2948" t="s">
        <v>635</v>
      </c>
      <c r="C1346" s="2948" t="s">
        <v>636</v>
      </c>
      <c r="D1346" s="2948" t="s">
        <v>1862</v>
      </c>
      <c r="E1346" s="2948" t="s">
        <v>729</v>
      </c>
      <c r="F1346" s="2948" t="s">
        <v>1929</v>
      </c>
      <c r="G1346" s="2948" t="s">
        <v>640</v>
      </c>
      <c r="H1346" s="2948" t="s">
        <v>1863</v>
      </c>
      <c r="I1346" s="2948" t="s">
        <v>1027</v>
      </c>
      <c r="J1346" s="2948" t="s">
        <v>643</v>
      </c>
      <c r="K1346" s="2950">
        <v>33.03</v>
      </c>
      <c r="L1346" s="2950">
        <v>13.25</v>
      </c>
      <c r="M1346" s="2951">
        <v>550164</v>
      </c>
      <c r="N1346" s="2951">
        <v>550164</v>
      </c>
      <c r="O1346" s="2952">
        <v>550164</v>
      </c>
      <c r="P1346" s="2953">
        <v>550164</v>
      </c>
      <c r="Q1346" s="2951">
        <v>550164</v>
      </c>
      <c r="R1346" s="2954">
        <v>44497</v>
      </c>
      <c r="S1346" s="2954">
        <v>44499</v>
      </c>
      <c r="T1346" s="2954">
        <v>44644</v>
      </c>
      <c r="U1346" s="2954">
        <v>44644</v>
      </c>
      <c r="V1346" s="2948" t="s">
        <v>1744</v>
      </c>
      <c r="W1346" s="2944">
        <f t="shared" si="7"/>
        <v>16656.494096276099</v>
      </c>
    </row>
    <row r="1347" spans="1:23" s="2944" customFormat="1" ht="46.8">
      <c r="A1347" s="2948">
        <v>1346</v>
      </c>
      <c r="B1347" s="2948" t="s">
        <v>635</v>
      </c>
      <c r="C1347" s="2948" t="s">
        <v>636</v>
      </c>
      <c r="D1347" s="2948" t="s">
        <v>1862</v>
      </c>
      <c r="E1347" s="2948" t="s">
        <v>729</v>
      </c>
      <c r="F1347" s="2948" t="s">
        <v>1930</v>
      </c>
      <c r="G1347" s="2948" t="s">
        <v>640</v>
      </c>
      <c r="H1347" s="2948" t="s">
        <v>1863</v>
      </c>
      <c r="I1347" s="2948" t="s">
        <v>1027</v>
      </c>
      <c r="J1347" s="2948" t="s">
        <v>643</v>
      </c>
      <c r="K1347" s="2950">
        <v>33.03</v>
      </c>
      <c r="L1347" s="2950">
        <v>13.25</v>
      </c>
      <c r="M1347" s="2951">
        <v>550164</v>
      </c>
      <c r="N1347" s="2951">
        <v>550164</v>
      </c>
      <c r="O1347" s="2952">
        <v>550164</v>
      </c>
      <c r="P1347" s="2953">
        <v>550164</v>
      </c>
      <c r="Q1347" s="2951">
        <v>550164</v>
      </c>
      <c r="R1347" s="2948"/>
      <c r="S1347" s="2954">
        <v>44530.385682870401</v>
      </c>
      <c r="T1347" s="2954">
        <v>44745</v>
      </c>
      <c r="U1347" s="2954">
        <v>44745</v>
      </c>
      <c r="V1347" s="2948" t="s">
        <v>1832</v>
      </c>
      <c r="W1347" s="2944">
        <f t="shared" si="7"/>
        <v>16656.494096276099</v>
      </c>
    </row>
    <row r="1348" spans="1:23" s="2944" customFormat="1" ht="46.8">
      <c r="A1348" s="2948">
        <v>1347</v>
      </c>
      <c r="B1348" s="2948" t="s">
        <v>635</v>
      </c>
      <c r="C1348" s="2948" t="s">
        <v>636</v>
      </c>
      <c r="D1348" s="2948" t="s">
        <v>1862</v>
      </c>
      <c r="E1348" s="2948" t="s">
        <v>729</v>
      </c>
      <c r="F1348" s="2948" t="s">
        <v>1931</v>
      </c>
      <c r="G1348" s="2948" t="s">
        <v>640</v>
      </c>
      <c r="H1348" s="2948" t="s">
        <v>1863</v>
      </c>
      <c r="I1348" s="2948" t="s">
        <v>1027</v>
      </c>
      <c r="J1348" s="2948" t="s">
        <v>643</v>
      </c>
      <c r="K1348" s="2950">
        <v>33.03</v>
      </c>
      <c r="L1348" s="2950">
        <v>13.25</v>
      </c>
      <c r="M1348" s="2951">
        <v>550164</v>
      </c>
      <c r="N1348" s="2951">
        <v>550164</v>
      </c>
      <c r="O1348" s="2952">
        <v>550164</v>
      </c>
      <c r="P1348" s="2953">
        <v>550164</v>
      </c>
      <c r="Q1348" s="2951">
        <v>550164</v>
      </c>
      <c r="R1348" s="2954">
        <v>44497</v>
      </c>
      <c r="S1348" s="2954">
        <v>44499</v>
      </c>
      <c r="T1348" s="2954">
        <v>44643</v>
      </c>
      <c r="U1348" s="2954">
        <v>44643</v>
      </c>
      <c r="V1348" s="2948" t="s">
        <v>1732</v>
      </c>
      <c r="W1348" s="2944">
        <f t="shared" si="7"/>
        <v>16656.494096276099</v>
      </c>
    </row>
    <row r="1349" spans="1:23" s="2944" customFormat="1" ht="46.8">
      <c r="A1349" s="2948">
        <v>1348</v>
      </c>
      <c r="B1349" s="2948" t="s">
        <v>635</v>
      </c>
      <c r="C1349" s="2948" t="s">
        <v>636</v>
      </c>
      <c r="D1349" s="2948" t="s">
        <v>1862</v>
      </c>
      <c r="E1349" s="2948" t="s">
        <v>729</v>
      </c>
      <c r="F1349" s="2948" t="s">
        <v>1932</v>
      </c>
      <c r="G1349" s="2948" t="s">
        <v>640</v>
      </c>
      <c r="H1349" s="2948" t="s">
        <v>1863</v>
      </c>
      <c r="I1349" s="2948" t="s">
        <v>1027</v>
      </c>
      <c r="J1349" s="2948" t="s">
        <v>643</v>
      </c>
      <c r="K1349" s="2950">
        <v>33.03</v>
      </c>
      <c r="L1349" s="2950">
        <v>13.25</v>
      </c>
      <c r="M1349" s="2951">
        <v>550164</v>
      </c>
      <c r="N1349" s="2951">
        <v>550164</v>
      </c>
      <c r="O1349" s="2952">
        <v>550164</v>
      </c>
      <c r="P1349" s="2953">
        <v>550164</v>
      </c>
      <c r="Q1349" s="2951">
        <v>550164</v>
      </c>
      <c r="R1349" s="2954">
        <v>44496</v>
      </c>
      <c r="S1349" s="2954">
        <v>44497</v>
      </c>
      <c r="T1349" s="2954">
        <v>44497</v>
      </c>
      <c r="U1349" s="2954">
        <v>44497</v>
      </c>
      <c r="V1349" s="2948" t="s">
        <v>1748</v>
      </c>
      <c r="W1349" s="2944">
        <f t="shared" si="7"/>
        <v>16656.494096276099</v>
      </c>
    </row>
    <row r="1350" spans="1:23" s="2944" customFormat="1" ht="46.8">
      <c r="A1350" s="2948">
        <v>1349</v>
      </c>
      <c r="B1350" s="2948" t="s">
        <v>635</v>
      </c>
      <c r="C1350" s="2948" t="s">
        <v>636</v>
      </c>
      <c r="D1350" s="2948" t="s">
        <v>1862</v>
      </c>
      <c r="E1350" s="2948" t="s">
        <v>729</v>
      </c>
      <c r="F1350" s="2948" t="s">
        <v>1933</v>
      </c>
      <c r="G1350" s="2948" t="s">
        <v>640</v>
      </c>
      <c r="H1350" s="2948" t="s">
        <v>1863</v>
      </c>
      <c r="I1350" s="2948" t="s">
        <v>1027</v>
      </c>
      <c r="J1350" s="2948" t="s">
        <v>643</v>
      </c>
      <c r="K1350" s="2950">
        <v>33.03</v>
      </c>
      <c r="L1350" s="2950">
        <v>13.25</v>
      </c>
      <c r="M1350" s="2951">
        <v>550164</v>
      </c>
      <c r="N1350" s="2951">
        <v>550164</v>
      </c>
      <c r="O1350" s="2952">
        <v>550164</v>
      </c>
      <c r="P1350" s="2953">
        <v>550164</v>
      </c>
      <c r="Q1350" s="2951">
        <v>550164</v>
      </c>
      <c r="R1350" s="2954">
        <v>44497</v>
      </c>
      <c r="S1350" s="2954">
        <v>44499</v>
      </c>
      <c r="T1350" s="2954">
        <v>44640</v>
      </c>
      <c r="U1350" s="2954">
        <v>44640</v>
      </c>
      <c r="V1350" s="2948" t="s">
        <v>1736</v>
      </c>
      <c r="W1350" s="2944">
        <f t="shared" si="7"/>
        <v>16656.494096276099</v>
      </c>
    </row>
    <row r="1351" spans="1:23" s="2944" customFormat="1" ht="46.8">
      <c r="A1351" s="2948">
        <v>1350</v>
      </c>
      <c r="B1351" s="2948" t="s">
        <v>635</v>
      </c>
      <c r="C1351" s="2948" t="s">
        <v>636</v>
      </c>
      <c r="D1351" s="2948" t="s">
        <v>1862</v>
      </c>
      <c r="E1351" s="2948" t="s">
        <v>729</v>
      </c>
      <c r="F1351" s="2948" t="s">
        <v>1934</v>
      </c>
      <c r="G1351" s="2948" t="s">
        <v>640</v>
      </c>
      <c r="H1351" s="2948" t="s">
        <v>1863</v>
      </c>
      <c r="I1351" s="2948" t="s">
        <v>1027</v>
      </c>
      <c r="J1351" s="2948" t="s">
        <v>643</v>
      </c>
      <c r="K1351" s="2950">
        <v>33.03</v>
      </c>
      <c r="L1351" s="2950">
        <v>13.25</v>
      </c>
      <c r="M1351" s="2951">
        <v>550164</v>
      </c>
      <c r="N1351" s="2951">
        <v>550164</v>
      </c>
      <c r="O1351" s="2952">
        <v>550164</v>
      </c>
      <c r="P1351" s="2953">
        <v>550164</v>
      </c>
      <c r="Q1351" s="2951">
        <v>550164</v>
      </c>
      <c r="R1351" s="2954">
        <v>44494</v>
      </c>
      <c r="S1351" s="2954">
        <v>44497</v>
      </c>
      <c r="T1351" s="2954">
        <v>44653</v>
      </c>
      <c r="U1351" s="2954">
        <v>44653</v>
      </c>
      <c r="V1351" s="2948" t="s">
        <v>1738</v>
      </c>
      <c r="W1351" s="2944">
        <f t="shared" si="7"/>
        <v>16656.494096276099</v>
      </c>
    </row>
    <row r="1352" spans="1:23" s="2944" customFormat="1" ht="46.8">
      <c r="A1352" s="2948">
        <v>1351</v>
      </c>
      <c r="B1352" s="2948" t="s">
        <v>635</v>
      </c>
      <c r="C1352" s="2948" t="s">
        <v>636</v>
      </c>
      <c r="D1352" s="2948" t="s">
        <v>1862</v>
      </c>
      <c r="E1352" s="2948" t="s">
        <v>729</v>
      </c>
      <c r="F1352" s="2948" t="s">
        <v>1935</v>
      </c>
      <c r="G1352" s="2948" t="s">
        <v>640</v>
      </c>
      <c r="H1352" s="2948" t="s">
        <v>1863</v>
      </c>
      <c r="I1352" s="2948" t="s">
        <v>1027</v>
      </c>
      <c r="J1352" s="2948" t="s">
        <v>643</v>
      </c>
      <c r="K1352" s="2950">
        <v>33.03</v>
      </c>
      <c r="L1352" s="2950">
        <v>13.25</v>
      </c>
      <c r="M1352" s="2951">
        <v>550164</v>
      </c>
      <c r="N1352" s="2951">
        <v>550164</v>
      </c>
      <c r="O1352" s="2952">
        <v>550164</v>
      </c>
      <c r="P1352" s="2953">
        <v>550164</v>
      </c>
      <c r="Q1352" s="2951">
        <v>550164</v>
      </c>
      <c r="R1352" s="2954">
        <v>44496</v>
      </c>
      <c r="S1352" s="2954">
        <v>44497</v>
      </c>
      <c r="T1352" s="2954">
        <v>44497</v>
      </c>
      <c r="U1352" s="2954">
        <v>44497</v>
      </c>
      <c r="V1352" s="2948" t="s">
        <v>1748</v>
      </c>
      <c r="W1352" s="2944">
        <f t="shared" si="7"/>
        <v>16656.494096276099</v>
      </c>
    </row>
    <row r="1353" spans="1:23" s="2944" customFormat="1" ht="46.8">
      <c r="A1353" s="2948">
        <v>1352</v>
      </c>
      <c r="B1353" s="2948" t="s">
        <v>635</v>
      </c>
      <c r="C1353" s="2948" t="s">
        <v>636</v>
      </c>
      <c r="D1353" s="2948" t="s">
        <v>1862</v>
      </c>
      <c r="E1353" s="2948" t="s">
        <v>729</v>
      </c>
      <c r="F1353" s="2948" t="s">
        <v>1936</v>
      </c>
      <c r="G1353" s="2948" t="s">
        <v>640</v>
      </c>
      <c r="H1353" s="2948" t="s">
        <v>1863</v>
      </c>
      <c r="I1353" s="2948" t="s">
        <v>1027</v>
      </c>
      <c r="J1353" s="2948" t="s">
        <v>643</v>
      </c>
      <c r="K1353" s="2950">
        <v>33.03</v>
      </c>
      <c r="L1353" s="2950">
        <v>13.25</v>
      </c>
      <c r="M1353" s="2951">
        <v>550164</v>
      </c>
      <c r="N1353" s="2951">
        <v>550164</v>
      </c>
      <c r="O1353" s="2952">
        <v>550164</v>
      </c>
      <c r="P1353" s="2953">
        <v>550164</v>
      </c>
      <c r="Q1353" s="2951">
        <v>550164</v>
      </c>
      <c r="R1353" s="2954">
        <v>44498</v>
      </c>
      <c r="S1353" s="2954">
        <v>44498</v>
      </c>
      <c r="T1353" s="2954">
        <v>44526</v>
      </c>
      <c r="U1353" s="2954">
        <v>44526</v>
      </c>
      <c r="V1353" s="2948" t="s">
        <v>1728</v>
      </c>
      <c r="W1353" s="2944">
        <f t="shared" si="7"/>
        <v>16656.494096276099</v>
      </c>
    </row>
    <row r="1354" spans="1:23" s="2944" customFormat="1" ht="46.8">
      <c r="A1354" s="2948">
        <v>1353</v>
      </c>
      <c r="B1354" s="2948" t="s">
        <v>635</v>
      </c>
      <c r="C1354" s="2948" t="s">
        <v>636</v>
      </c>
      <c r="D1354" s="2948" t="s">
        <v>1862</v>
      </c>
      <c r="E1354" s="2948" t="s">
        <v>729</v>
      </c>
      <c r="F1354" s="2948" t="s">
        <v>1937</v>
      </c>
      <c r="G1354" s="2948" t="s">
        <v>640</v>
      </c>
      <c r="H1354" s="2948" t="s">
        <v>1863</v>
      </c>
      <c r="I1354" s="2948" t="s">
        <v>1027</v>
      </c>
      <c r="J1354" s="2948" t="s">
        <v>643</v>
      </c>
      <c r="K1354" s="2950">
        <v>33.03</v>
      </c>
      <c r="L1354" s="2950">
        <v>13.25</v>
      </c>
      <c r="M1354" s="2951">
        <v>550164</v>
      </c>
      <c r="N1354" s="2951">
        <v>550164</v>
      </c>
      <c r="O1354" s="2952">
        <v>550164</v>
      </c>
      <c r="P1354" s="2953">
        <v>550164</v>
      </c>
      <c r="Q1354" s="2951">
        <v>550164</v>
      </c>
      <c r="R1354" s="2954">
        <v>44734</v>
      </c>
      <c r="S1354" s="2954">
        <v>44783</v>
      </c>
      <c r="T1354" s="2954">
        <v>44854</v>
      </c>
      <c r="U1354" s="2954">
        <v>44854</v>
      </c>
      <c r="V1354" s="2948" t="s">
        <v>1721</v>
      </c>
      <c r="W1354" s="2944">
        <f t="shared" si="7"/>
        <v>16656.494096276099</v>
      </c>
    </row>
    <row r="1355" spans="1:23" s="2944" customFormat="1" ht="46.8" hidden="1">
      <c r="A1355" s="2948">
        <v>1354</v>
      </c>
      <c r="B1355" s="2948" t="s">
        <v>635</v>
      </c>
      <c r="C1355" s="2948" t="s">
        <v>636</v>
      </c>
      <c r="D1355" s="2948" t="s">
        <v>1862</v>
      </c>
      <c r="E1355" s="2948" t="s">
        <v>729</v>
      </c>
      <c r="F1355" s="2948" t="s">
        <v>1938</v>
      </c>
      <c r="G1355" s="2948" t="s">
        <v>1035</v>
      </c>
      <c r="H1355" s="2948" t="s">
        <v>1863</v>
      </c>
      <c r="I1355" s="2948" t="s">
        <v>1027</v>
      </c>
      <c r="J1355" s="2948" t="s">
        <v>643</v>
      </c>
      <c r="K1355" s="2950">
        <v>33.03</v>
      </c>
      <c r="L1355" s="2950">
        <v>13.25</v>
      </c>
      <c r="M1355" s="2951">
        <v>550164</v>
      </c>
      <c r="N1355" s="2951">
        <v>550164</v>
      </c>
      <c r="O1355" s="2955"/>
      <c r="P1355" s="2948"/>
      <c r="Q1355" s="2951">
        <v>0</v>
      </c>
      <c r="R1355" s="2948"/>
      <c r="S1355" s="2948"/>
      <c r="T1355" s="2948"/>
      <c r="U1355" s="2948"/>
      <c r="V1355" s="2948"/>
      <c r="W1355" s="2944">
        <f t="shared" si="7"/>
        <v>0</v>
      </c>
    </row>
    <row r="1356" spans="1:23" s="2944" customFormat="1" ht="46.8">
      <c r="A1356" s="2948">
        <v>1355</v>
      </c>
      <c r="B1356" s="2948" t="s">
        <v>635</v>
      </c>
      <c r="C1356" s="2948" t="s">
        <v>636</v>
      </c>
      <c r="D1356" s="2948" t="s">
        <v>1862</v>
      </c>
      <c r="E1356" s="2948" t="s">
        <v>729</v>
      </c>
      <c r="F1356" s="2948" t="s">
        <v>1939</v>
      </c>
      <c r="G1356" s="2948" t="s">
        <v>640</v>
      </c>
      <c r="H1356" s="2948" t="s">
        <v>1863</v>
      </c>
      <c r="I1356" s="2948" t="s">
        <v>1027</v>
      </c>
      <c r="J1356" s="2948" t="s">
        <v>643</v>
      </c>
      <c r="K1356" s="2950">
        <v>33.03</v>
      </c>
      <c r="L1356" s="2950">
        <v>13.25</v>
      </c>
      <c r="M1356" s="2951">
        <v>550164</v>
      </c>
      <c r="N1356" s="2951">
        <v>550164</v>
      </c>
      <c r="O1356" s="2952">
        <v>550164</v>
      </c>
      <c r="P1356" s="2953">
        <v>550164</v>
      </c>
      <c r="Q1356" s="2951">
        <v>550164</v>
      </c>
      <c r="R1356" s="2954">
        <v>44557</v>
      </c>
      <c r="S1356" s="2954">
        <v>44561</v>
      </c>
      <c r="T1356" s="2954">
        <v>44639</v>
      </c>
      <c r="U1356" s="2954">
        <v>44639</v>
      </c>
      <c r="V1356" s="2948" t="s">
        <v>1848</v>
      </c>
      <c r="W1356" s="2944">
        <f t="shared" si="7"/>
        <v>16656.494096276099</v>
      </c>
    </row>
    <row r="1357" spans="1:23" s="2944" customFormat="1" ht="46.8" hidden="1">
      <c r="A1357" s="2948">
        <v>1356</v>
      </c>
      <c r="B1357" s="2948" t="s">
        <v>635</v>
      </c>
      <c r="C1357" s="2948" t="s">
        <v>636</v>
      </c>
      <c r="D1357" s="2948" t="s">
        <v>1862</v>
      </c>
      <c r="E1357" s="2948" t="s">
        <v>729</v>
      </c>
      <c r="F1357" s="2948" t="s">
        <v>1940</v>
      </c>
      <c r="G1357" s="2948" t="s">
        <v>1035</v>
      </c>
      <c r="H1357" s="2948" t="s">
        <v>1865</v>
      </c>
      <c r="I1357" s="2948" t="s">
        <v>1027</v>
      </c>
      <c r="J1357" s="2948" t="s">
        <v>643</v>
      </c>
      <c r="K1357" s="2950">
        <v>28.04</v>
      </c>
      <c r="L1357" s="2950">
        <v>11.25</v>
      </c>
      <c r="M1357" s="2951">
        <v>522656</v>
      </c>
      <c r="N1357" s="2951">
        <v>522656</v>
      </c>
      <c r="O1357" s="2955"/>
      <c r="P1357" s="2948"/>
      <c r="Q1357" s="2951">
        <v>0</v>
      </c>
      <c r="R1357" s="2948"/>
      <c r="S1357" s="2948"/>
      <c r="T1357" s="2948"/>
      <c r="U1357" s="2948"/>
      <c r="V1357" s="2948"/>
      <c r="W1357" s="2944">
        <f t="shared" si="7"/>
        <v>0</v>
      </c>
    </row>
    <row r="1358" spans="1:23" s="2944" customFormat="1" ht="46.8" hidden="1">
      <c r="A1358" s="2948">
        <v>1357</v>
      </c>
      <c r="B1358" s="2948" t="s">
        <v>635</v>
      </c>
      <c r="C1358" s="2948" t="s">
        <v>636</v>
      </c>
      <c r="D1358" s="2948" t="s">
        <v>1862</v>
      </c>
      <c r="E1358" s="2948" t="s">
        <v>729</v>
      </c>
      <c r="F1358" s="2948" t="s">
        <v>1941</v>
      </c>
      <c r="G1358" s="2948" t="s">
        <v>1035</v>
      </c>
      <c r="H1358" s="2948" t="s">
        <v>1865</v>
      </c>
      <c r="I1358" s="2948" t="s">
        <v>1027</v>
      </c>
      <c r="J1358" s="2948" t="s">
        <v>643</v>
      </c>
      <c r="K1358" s="2950">
        <v>28.04</v>
      </c>
      <c r="L1358" s="2950">
        <v>11.25</v>
      </c>
      <c r="M1358" s="2951">
        <v>522656</v>
      </c>
      <c r="N1358" s="2951">
        <v>522656</v>
      </c>
      <c r="O1358" s="2955"/>
      <c r="P1358" s="2948"/>
      <c r="Q1358" s="2951">
        <v>0</v>
      </c>
      <c r="R1358" s="2948"/>
      <c r="S1358" s="2948"/>
      <c r="T1358" s="2948"/>
      <c r="U1358" s="2948"/>
      <c r="V1358" s="2948"/>
      <c r="W1358" s="2944">
        <f t="shared" si="7"/>
        <v>0</v>
      </c>
    </row>
    <row r="1359" spans="1:23" s="2944" customFormat="1" ht="46.8" hidden="1">
      <c r="A1359" s="2948">
        <v>1358</v>
      </c>
      <c r="B1359" s="2948" t="s">
        <v>635</v>
      </c>
      <c r="C1359" s="2948" t="s">
        <v>636</v>
      </c>
      <c r="D1359" s="2948" t="s">
        <v>1862</v>
      </c>
      <c r="E1359" s="2948" t="s">
        <v>729</v>
      </c>
      <c r="F1359" s="2948" t="s">
        <v>1942</v>
      </c>
      <c r="G1359" s="2948" t="s">
        <v>1035</v>
      </c>
      <c r="H1359" s="2948" t="s">
        <v>1865</v>
      </c>
      <c r="I1359" s="2948" t="s">
        <v>1027</v>
      </c>
      <c r="J1359" s="2948" t="s">
        <v>643</v>
      </c>
      <c r="K1359" s="2950">
        <v>28.04</v>
      </c>
      <c r="L1359" s="2950">
        <v>11.25</v>
      </c>
      <c r="M1359" s="2951">
        <v>522656</v>
      </c>
      <c r="N1359" s="2951">
        <v>522656</v>
      </c>
      <c r="O1359" s="2955"/>
      <c r="P1359" s="2948"/>
      <c r="Q1359" s="2951">
        <v>0</v>
      </c>
      <c r="R1359" s="2948"/>
      <c r="S1359" s="2948"/>
      <c r="T1359" s="2948"/>
      <c r="U1359" s="2948"/>
      <c r="V1359" s="2948"/>
      <c r="W1359" s="2944">
        <f t="shared" si="7"/>
        <v>0</v>
      </c>
    </row>
    <row r="1360" spans="1:23" s="2944" customFormat="1" ht="46.8" hidden="1">
      <c r="A1360" s="2948">
        <v>1359</v>
      </c>
      <c r="B1360" s="2948" t="s">
        <v>635</v>
      </c>
      <c r="C1360" s="2948" t="s">
        <v>636</v>
      </c>
      <c r="D1360" s="2948" t="s">
        <v>1862</v>
      </c>
      <c r="E1360" s="2948" t="s">
        <v>729</v>
      </c>
      <c r="F1360" s="2948" t="s">
        <v>1943</v>
      </c>
      <c r="G1360" s="2948" t="s">
        <v>1035</v>
      </c>
      <c r="H1360" s="2948" t="s">
        <v>1865</v>
      </c>
      <c r="I1360" s="2948" t="s">
        <v>1027</v>
      </c>
      <c r="J1360" s="2948" t="s">
        <v>643</v>
      </c>
      <c r="K1360" s="2950">
        <v>28.04</v>
      </c>
      <c r="L1360" s="2950">
        <v>11.25</v>
      </c>
      <c r="M1360" s="2951">
        <v>522656</v>
      </c>
      <c r="N1360" s="2951">
        <v>522656</v>
      </c>
      <c r="O1360" s="2955"/>
      <c r="P1360" s="2948"/>
      <c r="Q1360" s="2951">
        <v>0</v>
      </c>
      <c r="R1360" s="2948"/>
      <c r="S1360" s="2948"/>
      <c r="T1360" s="2948"/>
      <c r="U1360" s="2948"/>
      <c r="V1360" s="2948"/>
      <c r="W1360" s="2944">
        <f t="shared" ref="W1360:W1423" si="8">O1360/K1360</f>
        <v>0</v>
      </c>
    </row>
    <row r="1361" spans="1:23" s="2944" customFormat="1" ht="46.8" hidden="1">
      <c r="A1361" s="2948">
        <v>1360</v>
      </c>
      <c r="B1361" s="2948" t="s">
        <v>635</v>
      </c>
      <c r="C1361" s="2948" t="s">
        <v>636</v>
      </c>
      <c r="D1361" s="2948" t="s">
        <v>1862</v>
      </c>
      <c r="E1361" s="2948" t="s">
        <v>729</v>
      </c>
      <c r="F1361" s="2948" t="s">
        <v>1944</v>
      </c>
      <c r="G1361" s="2948" t="s">
        <v>1035</v>
      </c>
      <c r="H1361" s="2948" t="s">
        <v>1865</v>
      </c>
      <c r="I1361" s="2948" t="s">
        <v>1027</v>
      </c>
      <c r="J1361" s="2948" t="s">
        <v>643</v>
      </c>
      <c r="K1361" s="2950">
        <v>28.04</v>
      </c>
      <c r="L1361" s="2950">
        <v>11.25</v>
      </c>
      <c r="M1361" s="2951">
        <v>522656</v>
      </c>
      <c r="N1361" s="2951">
        <v>522656</v>
      </c>
      <c r="O1361" s="2955"/>
      <c r="P1361" s="2948"/>
      <c r="Q1361" s="2951">
        <v>0</v>
      </c>
      <c r="R1361" s="2948"/>
      <c r="S1361" s="2948"/>
      <c r="T1361" s="2948"/>
      <c r="U1361" s="2948"/>
      <c r="V1361" s="2948"/>
      <c r="W1361" s="2944">
        <f t="shared" si="8"/>
        <v>0</v>
      </c>
    </row>
    <row r="1362" spans="1:23" s="2944" customFormat="1" ht="46.8" hidden="1">
      <c r="A1362" s="2948">
        <v>1361</v>
      </c>
      <c r="B1362" s="2948" t="s">
        <v>635</v>
      </c>
      <c r="C1362" s="2948" t="s">
        <v>636</v>
      </c>
      <c r="D1362" s="2948" t="s">
        <v>1862</v>
      </c>
      <c r="E1362" s="2948" t="s">
        <v>729</v>
      </c>
      <c r="F1362" s="2948" t="s">
        <v>1945</v>
      </c>
      <c r="G1362" s="2948" t="s">
        <v>1035</v>
      </c>
      <c r="H1362" s="2948" t="s">
        <v>1865</v>
      </c>
      <c r="I1362" s="2948" t="s">
        <v>1027</v>
      </c>
      <c r="J1362" s="2948" t="s">
        <v>643</v>
      </c>
      <c r="K1362" s="2950">
        <v>28.04</v>
      </c>
      <c r="L1362" s="2950">
        <v>11.25</v>
      </c>
      <c r="M1362" s="2951">
        <v>522656</v>
      </c>
      <c r="N1362" s="2951">
        <v>522656</v>
      </c>
      <c r="O1362" s="2955"/>
      <c r="P1362" s="2948"/>
      <c r="Q1362" s="2951">
        <v>0</v>
      </c>
      <c r="R1362" s="2948"/>
      <c r="S1362" s="2948"/>
      <c r="T1362" s="2948"/>
      <c r="U1362" s="2948"/>
      <c r="V1362" s="2948"/>
      <c r="W1362" s="2944">
        <f t="shared" si="8"/>
        <v>0</v>
      </c>
    </row>
    <row r="1363" spans="1:23" s="2944" customFormat="1" ht="46.8" hidden="1">
      <c r="A1363" s="2948">
        <v>1362</v>
      </c>
      <c r="B1363" s="2948" t="s">
        <v>635</v>
      </c>
      <c r="C1363" s="2948" t="s">
        <v>636</v>
      </c>
      <c r="D1363" s="2948" t="s">
        <v>1862</v>
      </c>
      <c r="E1363" s="2948" t="s">
        <v>729</v>
      </c>
      <c r="F1363" s="2948" t="s">
        <v>1946</v>
      </c>
      <c r="G1363" s="2948" t="s">
        <v>1035</v>
      </c>
      <c r="H1363" s="2948" t="s">
        <v>1865</v>
      </c>
      <c r="I1363" s="2948" t="s">
        <v>1027</v>
      </c>
      <c r="J1363" s="2948" t="s">
        <v>643</v>
      </c>
      <c r="K1363" s="2950">
        <v>28.04</v>
      </c>
      <c r="L1363" s="2950">
        <v>11.25</v>
      </c>
      <c r="M1363" s="2951">
        <v>522656</v>
      </c>
      <c r="N1363" s="2951">
        <v>522656</v>
      </c>
      <c r="O1363" s="2955"/>
      <c r="P1363" s="2948"/>
      <c r="Q1363" s="2951">
        <v>0</v>
      </c>
      <c r="R1363" s="2948"/>
      <c r="S1363" s="2948"/>
      <c r="T1363" s="2948"/>
      <c r="U1363" s="2948"/>
      <c r="V1363" s="2948"/>
      <c r="W1363" s="2944">
        <f t="shared" si="8"/>
        <v>0</v>
      </c>
    </row>
    <row r="1364" spans="1:23" s="2944" customFormat="1" ht="46.8" hidden="1">
      <c r="A1364" s="2948">
        <v>1363</v>
      </c>
      <c r="B1364" s="2948" t="s">
        <v>635</v>
      </c>
      <c r="C1364" s="2948" t="s">
        <v>636</v>
      </c>
      <c r="D1364" s="2948" t="s">
        <v>1862</v>
      </c>
      <c r="E1364" s="2948" t="s">
        <v>729</v>
      </c>
      <c r="F1364" s="2948" t="s">
        <v>1947</v>
      </c>
      <c r="G1364" s="2948" t="s">
        <v>1035</v>
      </c>
      <c r="H1364" s="2948" t="s">
        <v>1865</v>
      </c>
      <c r="I1364" s="2948" t="s">
        <v>1027</v>
      </c>
      <c r="J1364" s="2948" t="s">
        <v>643</v>
      </c>
      <c r="K1364" s="2950">
        <v>28.04</v>
      </c>
      <c r="L1364" s="2950">
        <v>11.25</v>
      </c>
      <c r="M1364" s="2951">
        <v>522656</v>
      </c>
      <c r="N1364" s="2951">
        <v>522656</v>
      </c>
      <c r="O1364" s="2955"/>
      <c r="P1364" s="2948"/>
      <c r="Q1364" s="2951">
        <v>0</v>
      </c>
      <c r="R1364" s="2948"/>
      <c r="S1364" s="2948"/>
      <c r="T1364" s="2948"/>
      <c r="U1364" s="2948"/>
      <c r="V1364" s="2948"/>
      <c r="W1364" s="2944">
        <f t="shared" si="8"/>
        <v>0</v>
      </c>
    </row>
    <row r="1365" spans="1:23" s="2944" customFormat="1" ht="46.8">
      <c r="A1365" s="2948">
        <v>1364</v>
      </c>
      <c r="B1365" s="2948" t="s">
        <v>635</v>
      </c>
      <c r="C1365" s="2948" t="s">
        <v>636</v>
      </c>
      <c r="D1365" s="2948" t="s">
        <v>1862</v>
      </c>
      <c r="E1365" s="2948" t="s">
        <v>729</v>
      </c>
      <c r="F1365" s="2948" t="s">
        <v>1948</v>
      </c>
      <c r="G1365" s="2948" t="s">
        <v>640</v>
      </c>
      <c r="H1365" s="2948" t="s">
        <v>1863</v>
      </c>
      <c r="I1365" s="2948" t="s">
        <v>1027</v>
      </c>
      <c r="J1365" s="2948" t="s">
        <v>643</v>
      </c>
      <c r="K1365" s="2950">
        <v>33.03</v>
      </c>
      <c r="L1365" s="2950">
        <v>13.25</v>
      </c>
      <c r="M1365" s="2951">
        <v>550164</v>
      </c>
      <c r="N1365" s="2951">
        <v>550164</v>
      </c>
      <c r="O1365" s="2952">
        <v>550164</v>
      </c>
      <c r="P1365" s="2953">
        <v>550164</v>
      </c>
      <c r="Q1365" s="2951">
        <v>550164</v>
      </c>
      <c r="R1365" s="2954">
        <v>44553</v>
      </c>
      <c r="S1365" s="2954">
        <v>44561</v>
      </c>
      <c r="T1365" s="2954">
        <v>44756</v>
      </c>
      <c r="U1365" s="2954">
        <v>44756</v>
      </c>
      <c r="V1365" s="2948" t="s">
        <v>1519</v>
      </c>
      <c r="W1365" s="2944">
        <f t="shared" si="8"/>
        <v>16656.494096276099</v>
      </c>
    </row>
    <row r="1366" spans="1:23" s="2944" customFormat="1" ht="46.8">
      <c r="A1366" s="2948">
        <v>1365</v>
      </c>
      <c r="B1366" s="2948" t="s">
        <v>635</v>
      </c>
      <c r="C1366" s="2948" t="s">
        <v>636</v>
      </c>
      <c r="D1366" s="2948" t="s">
        <v>1862</v>
      </c>
      <c r="E1366" s="2948" t="s">
        <v>729</v>
      </c>
      <c r="F1366" s="2948" t="s">
        <v>1949</v>
      </c>
      <c r="G1366" s="2948" t="s">
        <v>640</v>
      </c>
      <c r="H1366" s="2948" t="s">
        <v>1863</v>
      </c>
      <c r="I1366" s="2948" t="s">
        <v>1027</v>
      </c>
      <c r="J1366" s="2948" t="s">
        <v>643</v>
      </c>
      <c r="K1366" s="2950">
        <v>33.03</v>
      </c>
      <c r="L1366" s="2950">
        <v>13.25</v>
      </c>
      <c r="M1366" s="2951">
        <v>550164</v>
      </c>
      <c r="N1366" s="2951">
        <v>550164</v>
      </c>
      <c r="O1366" s="2952">
        <v>550164</v>
      </c>
      <c r="P1366" s="2953">
        <v>550164</v>
      </c>
      <c r="Q1366" s="2951">
        <v>550164</v>
      </c>
      <c r="R1366" s="2954">
        <v>44497</v>
      </c>
      <c r="S1366" s="2954">
        <v>44497</v>
      </c>
      <c r="T1366" s="2954">
        <v>44528</v>
      </c>
      <c r="U1366" s="2954">
        <v>44528</v>
      </c>
      <c r="V1366" s="2948" t="s">
        <v>1530</v>
      </c>
      <c r="W1366" s="2944">
        <f t="shared" si="8"/>
        <v>16656.494096276099</v>
      </c>
    </row>
    <row r="1367" spans="1:23" s="2944" customFormat="1" ht="46.8">
      <c r="A1367" s="2948">
        <v>1366</v>
      </c>
      <c r="B1367" s="2948" t="s">
        <v>635</v>
      </c>
      <c r="C1367" s="2948" t="s">
        <v>636</v>
      </c>
      <c r="D1367" s="2948" t="s">
        <v>1862</v>
      </c>
      <c r="E1367" s="2948" t="s">
        <v>729</v>
      </c>
      <c r="F1367" s="2948" t="s">
        <v>1950</v>
      </c>
      <c r="G1367" s="2948" t="s">
        <v>640</v>
      </c>
      <c r="H1367" s="2948" t="s">
        <v>1863</v>
      </c>
      <c r="I1367" s="2948" t="s">
        <v>1027</v>
      </c>
      <c r="J1367" s="2948" t="s">
        <v>643</v>
      </c>
      <c r="K1367" s="2950">
        <v>33.03</v>
      </c>
      <c r="L1367" s="2950">
        <v>13.25</v>
      </c>
      <c r="M1367" s="2951">
        <v>550164</v>
      </c>
      <c r="N1367" s="2951">
        <v>550164</v>
      </c>
      <c r="O1367" s="2952">
        <v>550164</v>
      </c>
      <c r="P1367" s="2953">
        <v>550164</v>
      </c>
      <c r="Q1367" s="2951">
        <v>550164</v>
      </c>
      <c r="R1367" s="2954">
        <v>44530</v>
      </c>
      <c r="S1367" s="2954">
        <v>44561</v>
      </c>
      <c r="T1367" s="2954">
        <v>44756</v>
      </c>
      <c r="U1367" s="2954">
        <v>44756</v>
      </c>
      <c r="V1367" s="2948" t="s">
        <v>1467</v>
      </c>
      <c r="W1367" s="2944">
        <f t="shared" si="8"/>
        <v>16656.494096276099</v>
      </c>
    </row>
    <row r="1368" spans="1:23" s="2944" customFormat="1" ht="46.8">
      <c r="A1368" s="2948">
        <v>1367</v>
      </c>
      <c r="B1368" s="2948" t="s">
        <v>635</v>
      </c>
      <c r="C1368" s="2948" t="s">
        <v>636</v>
      </c>
      <c r="D1368" s="2948" t="s">
        <v>1862</v>
      </c>
      <c r="E1368" s="2948" t="s">
        <v>729</v>
      </c>
      <c r="F1368" s="2948" t="s">
        <v>1951</v>
      </c>
      <c r="G1368" s="2948" t="s">
        <v>640</v>
      </c>
      <c r="H1368" s="2948" t="s">
        <v>1863</v>
      </c>
      <c r="I1368" s="2948" t="s">
        <v>1027</v>
      </c>
      <c r="J1368" s="2948" t="s">
        <v>643</v>
      </c>
      <c r="K1368" s="2950">
        <v>33.03</v>
      </c>
      <c r="L1368" s="2950">
        <v>13.25</v>
      </c>
      <c r="M1368" s="2951">
        <v>550164</v>
      </c>
      <c r="N1368" s="2951">
        <v>550164</v>
      </c>
      <c r="O1368" s="2952">
        <v>550164</v>
      </c>
      <c r="P1368" s="2953">
        <v>550164</v>
      </c>
      <c r="Q1368" s="2951">
        <v>550164</v>
      </c>
      <c r="R1368" s="2954">
        <v>44651</v>
      </c>
      <c r="S1368" s="2954">
        <v>44680</v>
      </c>
      <c r="T1368" s="2954">
        <v>44739</v>
      </c>
      <c r="U1368" s="2954">
        <v>44739</v>
      </c>
      <c r="V1368" s="2948" t="s">
        <v>1495</v>
      </c>
      <c r="W1368" s="2944">
        <f t="shared" si="8"/>
        <v>16656.494096276099</v>
      </c>
    </row>
    <row r="1369" spans="1:23" s="2944" customFormat="1" ht="46.8" hidden="1">
      <c r="A1369" s="2948">
        <v>1368</v>
      </c>
      <c r="B1369" s="2948" t="s">
        <v>635</v>
      </c>
      <c r="C1369" s="2948" t="s">
        <v>636</v>
      </c>
      <c r="D1369" s="2948" t="s">
        <v>1862</v>
      </c>
      <c r="E1369" s="2948" t="s">
        <v>729</v>
      </c>
      <c r="F1369" s="2948" t="s">
        <v>1952</v>
      </c>
      <c r="G1369" s="2948" t="s">
        <v>1035</v>
      </c>
      <c r="H1369" s="2948" t="s">
        <v>1863</v>
      </c>
      <c r="I1369" s="2948" t="s">
        <v>1027</v>
      </c>
      <c r="J1369" s="2948" t="s">
        <v>643</v>
      </c>
      <c r="K1369" s="2950">
        <v>33.03</v>
      </c>
      <c r="L1369" s="2950">
        <v>13.25</v>
      </c>
      <c r="M1369" s="2951">
        <v>550164</v>
      </c>
      <c r="N1369" s="2951">
        <v>550164</v>
      </c>
      <c r="O1369" s="2955"/>
      <c r="P1369" s="2948"/>
      <c r="Q1369" s="2951">
        <v>0</v>
      </c>
      <c r="R1369" s="2948"/>
      <c r="S1369" s="2948"/>
      <c r="T1369" s="2948"/>
      <c r="U1369" s="2948"/>
      <c r="V1369" s="2948"/>
      <c r="W1369" s="2944">
        <f t="shared" si="8"/>
        <v>0</v>
      </c>
    </row>
    <row r="1370" spans="1:23" s="2944" customFormat="1" ht="46.8">
      <c r="A1370" s="2948">
        <v>1369</v>
      </c>
      <c r="B1370" s="2948" t="s">
        <v>635</v>
      </c>
      <c r="C1370" s="2948" t="s">
        <v>636</v>
      </c>
      <c r="D1370" s="2948" t="s">
        <v>1862</v>
      </c>
      <c r="E1370" s="2948" t="s">
        <v>729</v>
      </c>
      <c r="F1370" s="2948" t="s">
        <v>1953</v>
      </c>
      <c r="G1370" s="2948" t="s">
        <v>640</v>
      </c>
      <c r="H1370" s="2948" t="s">
        <v>1863</v>
      </c>
      <c r="I1370" s="2948" t="s">
        <v>1027</v>
      </c>
      <c r="J1370" s="2948" t="s">
        <v>643</v>
      </c>
      <c r="K1370" s="2950">
        <v>33.03</v>
      </c>
      <c r="L1370" s="2950">
        <v>13.25</v>
      </c>
      <c r="M1370" s="2951">
        <v>550164</v>
      </c>
      <c r="N1370" s="2951">
        <v>550164</v>
      </c>
      <c r="O1370" s="2952">
        <v>550164</v>
      </c>
      <c r="P1370" s="2953">
        <v>550164</v>
      </c>
      <c r="Q1370" s="2951">
        <v>550164</v>
      </c>
      <c r="R1370" s="2954">
        <v>44750</v>
      </c>
      <c r="S1370" s="2954">
        <v>44809</v>
      </c>
      <c r="T1370" s="2954">
        <v>44809</v>
      </c>
      <c r="U1370" s="2954">
        <v>44809</v>
      </c>
      <c r="V1370" s="2948" t="s">
        <v>1664</v>
      </c>
      <c r="W1370" s="2944">
        <f t="shared" si="8"/>
        <v>16656.494096276099</v>
      </c>
    </row>
    <row r="1371" spans="1:23" s="2944" customFormat="1" ht="46.8">
      <c r="A1371" s="2948">
        <v>1370</v>
      </c>
      <c r="B1371" s="2948" t="s">
        <v>635</v>
      </c>
      <c r="C1371" s="2948" t="s">
        <v>636</v>
      </c>
      <c r="D1371" s="2948" t="s">
        <v>1862</v>
      </c>
      <c r="E1371" s="2948" t="s">
        <v>729</v>
      </c>
      <c r="F1371" s="2948" t="s">
        <v>1954</v>
      </c>
      <c r="G1371" s="2948" t="s">
        <v>640</v>
      </c>
      <c r="H1371" s="2948" t="s">
        <v>1863</v>
      </c>
      <c r="I1371" s="2948" t="s">
        <v>1027</v>
      </c>
      <c r="J1371" s="2948" t="s">
        <v>643</v>
      </c>
      <c r="K1371" s="2950">
        <v>33.03</v>
      </c>
      <c r="L1371" s="2950">
        <v>13.25</v>
      </c>
      <c r="M1371" s="2951">
        <v>550164</v>
      </c>
      <c r="N1371" s="2951">
        <v>550164</v>
      </c>
      <c r="O1371" s="2952">
        <v>550164</v>
      </c>
      <c r="P1371" s="2953">
        <v>550164</v>
      </c>
      <c r="Q1371" s="2951">
        <v>550164</v>
      </c>
      <c r="R1371" s="2954">
        <v>44496</v>
      </c>
      <c r="S1371" s="2954">
        <v>44497</v>
      </c>
      <c r="T1371" s="2954">
        <v>44502</v>
      </c>
      <c r="U1371" s="2954">
        <v>44502</v>
      </c>
      <c r="V1371" s="2948" t="s">
        <v>1511</v>
      </c>
      <c r="W1371" s="2944">
        <f t="shared" si="8"/>
        <v>16656.494096276099</v>
      </c>
    </row>
    <row r="1372" spans="1:23" s="2944" customFormat="1" ht="46.8">
      <c r="A1372" s="2948">
        <v>1371</v>
      </c>
      <c r="B1372" s="2948" t="s">
        <v>635</v>
      </c>
      <c r="C1372" s="2948" t="s">
        <v>636</v>
      </c>
      <c r="D1372" s="2948" t="s">
        <v>1862</v>
      </c>
      <c r="E1372" s="2948" t="s">
        <v>729</v>
      </c>
      <c r="F1372" s="2948" t="s">
        <v>1955</v>
      </c>
      <c r="G1372" s="2948" t="s">
        <v>640</v>
      </c>
      <c r="H1372" s="2948" t="s">
        <v>1863</v>
      </c>
      <c r="I1372" s="2948" t="s">
        <v>1027</v>
      </c>
      <c r="J1372" s="2948" t="s">
        <v>643</v>
      </c>
      <c r="K1372" s="2950">
        <v>33.03</v>
      </c>
      <c r="L1372" s="2950">
        <v>13.25</v>
      </c>
      <c r="M1372" s="2951">
        <v>550164</v>
      </c>
      <c r="N1372" s="2951">
        <v>550164</v>
      </c>
      <c r="O1372" s="2952">
        <v>550164</v>
      </c>
      <c r="P1372" s="2953">
        <v>550164</v>
      </c>
      <c r="Q1372" s="2951">
        <v>550164</v>
      </c>
      <c r="R1372" s="2948"/>
      <c r="S1372" s="2954">
        <v>44571.403136574103</v>
      </c>
      <c r="T1372" s="2954">
        <v>44748</v>
      </c>
      <c r="U1372" s="2954">
        <v>44748</v>
      </c>
      <c r="V1372" s="2948" t="s">
        <v>1855</v>
      </c>
      <c r="W1372" s="2944">
        <f t="shared" si="8"/>
        <v>16656.494096276099</v>
      </c>
    </row>
    <row r="1373" spans="1:23" s="2944" customFormat="1" ht="46.8">
      <c r="A1373" s="2948">
        <v>1372</v>
      </c>
      <c r="B1373" s="2948" t="s">
        <v>635</v>
      </c>
      <c r="C1373" s="2948" t="s">
        <v>636</v>
      </c>
      <c r="D1373" s="2948" t="s">
        <v>1862</v>
      </c>
      <c r="E1373" s="2948" t="s">
        <v>729</v>
      </c>
      <c r="F1373" s="2948" t="s">
        <v>1956</v>
      </c>
      <c r="G1373" s="2948" t="s">
        <v>640</v>
      </c>
      <c r="H1373" s="2948" t="s">
        <v>1863</v>
      </c>
      <c r="I1373" s="2948" t="s">
        <v>1027</v>
      </c>
      <c r="J1373" s="2948" t="s">
        <v>643</v>
      </c>
      <c r="K1373" s="2950">
        <v>33.03</v>
      </c>
      <c r="L1373" s="2950">
        <v>13.25</v>
      </c>
      <c r="M1373" s="2951">
        <v>550164</v>
      </c>
      <c r="N1373" s="2951">
        <v>550164</v>
      </c>
      <c r="O1373" s="2952">
        <v>550164</v>
      </c>
      <c r="P1373" s="2953">
        <v>550164</v>
      </c>
      <c r="Q1373" s="2951">
        <v>550164</v>
      </c>
      <c r="R1373" s="2954">
        <v>45044</v>
      </c>
      <c r="S1373" s="2954">
        <v>45046</v>
      </c>
      <c r="T1373" s="2954">
        <v>45212</v>
      </c>
      <c r="U1373" s="2954">
        <v>45212</v>
      </c>
      <c r="V1373" s="2948" t="s">
        <v>1858</v>
      </c>
      <c r="W1373" s="2944">
        <f t="shared" si="8"/>
        <v>16656.494096276099</v>
      </c>
    </row>
    <row r="1374" spans="1:23" s="2944" customFormat="1" ht="46.8" hidden="1">
      <c r="A1374" s="2948">
        <v>1373</v>
      </c>
      <c r="B1374" s="2948" t="s">
        <v>635</v>
      </c>
      <c r="C1374" s="2948" t="s">
        <v>636</v>
      </c>
      <c r="D1374" s="2948" t="s">
        <v>1862</v>
      </c>
      <c r="E1374" s="2948" t="s">
        <v>729</v>
      </c>
      <c r="F1374" s="2948" t="s">
        <v>1957</v>
      </c>
      <c r="G1374" s="2948" t="s">
        <v>1035</v>
      </c>
      <c r="H1374" s="2948" t="s">
        <v>1863</v>
      </c>
      <c r="I1374" s="2948" t="s">
        <v>1027</v>
      </c>
      <c r="J1374" s="2948" t="s">
        <v>643</v>
      </c>
      <c r="K1374" s="2950">
        <v>33.03</v>
      </c>
      <c r="L1374" s="2950">
        <v>13.25</v>
      </c>
      <c r="M1374" s="2951">
        <v>550164</v>
      </c>
      <c r="N1374" s="2951">
        <v>550164</v>
      </c>
      <c r="O1374" s="2955"/>
      <c r="P1374" s="2948"/>
      <c r="Q1374" s="2951">
        <v>0</v>
      </c>
      <c r="R1374" s="2948"/>
      <c r="S1374" s="2948"/>
      <c r="T1374" s="2948"/>
      <c r="U1374" s="2948"/>
      <c r="V1374" s="2948"/>
      <c r="W1374" s="2944">
        <f t="shared" si="8"/>
        <v>0</v>
      </c>
    </row>
    <row r="1375" spans="1:23" s="2944" customFormat="1" ht="46.8">
      <c r="A1375" s="2948">
        <v>1374</v>
      </c>
      <c r="B1375" s="2948" t="s">
        <v>635</v>
      </c>
      <c r="C1375" s="2948" t="s">
        <v>636</v>
      </c>
      <c r="D1375" s="2948" t="s">
        <v>1862</v>
      </c>
      <c r="E1375" s="2948" t="s">
        <v>729</v>
      </c>
      <c r="F1375" s="2948" t="s">
        <v>1958</v>
      </c>
      <c r="G1375" s="2948" t="s">
        <v>640</v>
      </c>
      <c r="H1375" s="2948" t="s">
        <v>1863</v>
      </c>
      <c r="I1375" s="2948" t="s">
        <v>1027</v>
      </c>
      <c r="J1375" s="2948" t="s">
        <v>643</v>
      </c>
      <c r="K1375" s="2950">
        <v>33.03</v>
      </c>
      <c r="L1375" s="2950">
        <v>13.25</v>
      </c>
      <c r="M1375" s="2951">
        <v>550164</v>
      </c>
      <c r="N1375" s="2951">
        <v>550164</v>
      </c>
      <c r="O1375" s="2952">
        <v>550164</v>
      </c>
      <c r="P1375" s="2953">
        <v>550164</v>
      </c>
      <c r="Q1375" s="2951">
        <v>550164</v>
      </c>
      <c r="R1375" s="2954">
        <v>44979</v>
      </c>
      <c r="S1375" s="2954">
        <v>44979</v>
      </c>
      <c r="T1375" s="2954">
        <v>44979</v>
      </c>
      <c r="U1375" s="2954">
        <v>44979</v>
      </c>
      <c r="V1375" s="2948" t="s">
        <v>1819</v>
      </c>
      <c r="W1375" s="2944">
        <f t="shared" si="8"/>
        <v>16656.494096276099</v>
      </c>
    </row>
    <row r="1376" spans="1:23" s="2944" customFormat="1" ht="46.8" hidden="1">
      <c r="A1376" s="2948">
        <v>1375</v>
      </c>
      <c r="B1376" s="2948" t="s">
        <v>635</v>
      </c>
      <c r="C1376" s="2948" t="s">
        <v>636</v>
      </c>
      <c r="D1376" s="2948" t="s">
        <v>1862</v>
      </c>
      <c r="E1376" s="2948" t="s">
        <v>729</v>
      </c>
      <c r="F1376" s="2948" t="s">
        <v>1959</v>
      </c>
      <c r="G1376" s="2948" t="s">
        <v>1035</v>
      </c>
      <c r="H1376" s="2948" t="s">
        <v>1863</v>
      </c>
      <c r="I1376" s="2948" t="s">
        <v>1027</v>
      </c>
      <c r="J1376" s="2948" t="s">
        <v>643</v>
      </c>
      <c r="K1376" s="2950">
        <v>33.03</v>
      </c>
      <c r="L1376" s="2950">
        <v>13.25</v>
      </c>
      <c r="M1376" s="2951">
        <v>550164</v>
      </c>
      <c r="N1376" s="2951">
        <v>550164</v>
      </c>
      <c r="O1376" s="2955"/>
      <c r="P1376" s="2948"/>
      <c r="Q1376" s="2951">
        <v>0</v>
      </c>
      <c r="R1376" s="2948"/>
      <c r="S1376" s="2948"/>
      <c r="T1376" s="2948"/>
      <c r="U1376" s="2948"/>
      <c r="V1376" s="2948"/>
      <c r="W1376" s="2944">
        <f t="shared" si="8"/>
        <v>0</v>
      </c>
    </row>
    <row r="1377" spans="1:23" s="2944" customFormat="1" ht="46.8" hidden="1">
      <c r="A1377" s="2948">
        <v>1376</v>
      </c>
      <c r="B1377" s="2948" t="s">
        <v>635</v>
      </c>
      <c r="C1377" s="2948" t="s">
        <v>636</v>
      </c>
      <c r="D1377" s="2948" t="s">
        <v>1862</v>
      </c>
      <c r="E1377" s="2948" t="s">
        <v>729</v>
      </c>
      <c r="F1377" s="2948" t="s">
        <v>1960</v>
      </c>
      <c r="G1377" s="2948" t="s">
        <v>1035</v>
      </c>
      <c r="H1377" s="2948" t="s">
        <v>1863</v>
      </c>
      <c r="I1377" s="2948" t="s">
        <v>1027</v>
      </c>
      <c r="J1377" s="2948" t="s">
        <v>643</v>
      </c>
      <c r="K1377" s="2950">
        <v>33.03</v>
      </c>
      <c r="L1377" s="2950">
        <v>13.25</v>
      </c>
      <c r="M1377" s="2951">
        <v>550164</v>
      </c>
      <c r="N1377" s="2951">
        <v>550164</v>
      </c>
      <c r="O1377" s="2955"/>
      <c r="P1377" s="2948"/>
      <c r="Q1377" s="2951">
        <v>0</v>
      </c>
      <c r="R1377" s="2948"/>
      <c r="S1377" s="2948"/>
      <c r="T1377" s="2948"/>
      <c r="U1377" s="2948"/>
      <c r="V1377" s="2948"/>
      <c r="W1377" s="2944">
        <f t="shared" si="8"/>
        <v>0</v>
      </c>
    </row>
    <row r="1378" spans="1:23" s="2944" customFormat="1" ht="46.8" hidden="1">
      <c r="A1378" s="2948">
        <v>1377</v>
      </c>
      <c r="B1378" s="2948" t="s">
        <v>635</v>
      </c>
      <c r="C1378" s="2948" t="s">
        <v>636</v>
      </c>
      <c r="D1378" s="2948" t="s">
        <v>1862</v>
      </c>
      <c r="E1378" s="2948" t="s">
        <v>729</v>
      </c>
      <c r="F1378" s="2948" t="s">
        <v>1961</v>
      </c>
      <c r="G1378" s="2948" t="s">
        <v>1035</v>
      </c>
      <c r="H1378" s="2948" t="s">
        <v>1863</v>
      </c>
      <c r="I1378" s="2948" t="s">
        <v>1027</v>
      </c>
      <c r="J1378" s="2948" t="s">
        <v>643</v>
      </c>
      <c r="K1378" s="2950">
        <v>33.03</v>
      </c>
      <c r="L1378" s="2950">
        <v>13.25</v>
      </c>
      <c r="M1378" s="2951">
        <v>550164</v>
      </c>
      <c r="N1378" s="2951">
        <v>550164</v>
      </c>
      <c r="O1378" s="2955"/>
      <c r="P1378" s="2948"/>
      <c r="Q1378" s="2951">
        <v>0</v>
      </c>
      <c r="R1378" s="2948"/>
      <c r="S1378" s="2948"/>
      <c r="T1378" s="2948"/>
      <c r="U1378" s="2948"/>
      <c r="V1378" s="2948"/>
      <c r="W1378" s="2944">
        <f t="shared" si="8"/>
        <v>0</v>
      </c>
    </row>
    <row r="1379" spans="1:23" s="2944" customFormat="1" ht="46.8">
      <c r="A1379" s="2948">
        <v>1378</v>
      </c>
      <c r="B1379" s="2948" t="s">
        <v>635</v>
      </c>
      <c r="C1379" s="2948" t="s">
        <v>636</v>
      </c>
      <c r="D1379" s="2948" t="s">
        <v>1862</v>
      </c>
      <c r="E1379" s="2948" t="s">
        <v>729</v>
      </c>
      <c r="F1379" s="2948" t="s">
        <v>1962</v>
      </c>
      <c r="G1379" s="2948" t="s">
        <v>640</v>
      </c>
      <c r="H1379" s="2948" t="s">
        <v>1863</v>
      </c>
      <c r="I1379" s="2948" t="s">
        <v>1027</v>
      </c>
      <c r="J1379" s="2948" t="s">
        <v>643</v>
      </c>
      <c r="K1379" s="2950">
        <v>33.03</v>
      </c>
      <c r="L1379" s="2950">
        <v>13.25</v>
      </c>
      <c r="M1379" s="2951">
        <v>550164</v>
      </c>
      <c r="N1379" s="2951">
        <v>550164</v>
      </c>
      <c r="O1379" s="2952">
        <v>550164</v>
      </c>
      <c r="P1379" s="2953">
        <v>550164</v>
      </c>
      <c r="Q1379" s="2951">
        <v>550164</v>
      </c>
      <c r="R1379" s="2954">
        <v>44734</v>
      </c>
      <c r="S1379" s="2954">
        <v>44737</v>
      </c>
      <c r="T1379" s="2954">
        <v>44747</v>
      </c>
      <c r="U1379" s="2954">
        <v>44747</v>
      </c>
      <c r="V1379" s="2948" t="s">
        <v>1568</v>
      </c>
      <c r="W1379" s="2944">
        <f t="shared" si="8"/>
        <v>16656.494096276099</v>
      </c>
    </row>
    <row r="1380" spans="1:23" s="2944" customFormat="1" ht="46.8">
      <c r="A1380" s="2948">
        <v>1379</v>
      </c>
      <c r="B1380" s="2948" t="s">
        <v>635</v>
      </c>
      <c r="C1380" s="2948" t="s">
        <v>636</v>
      </c>
      <c r="D1380" s="2948" t="s">
        <v>1862</v>
      </c>
      <c r="E1380" s="2948" t="s">
        <v>729</v>
      </c>
      <c r="F1380" s="2948" t="s">
        <v>1963</v>
      </c>
      <c r="G1380" s="2948" t="s">
        <v>640</v>
      </c>
      <c r="H1380" s="2948" t="s">
        <v>1863</v>
      </c>
      <c r="I1380" s="2948" t="s">
        <v>1027</v>
      </c>
      <c r="J1380" s="2948" t="s">
        <v>643</v>
      </c>
      <c r="K1380" s="2950">
        <v>33.03</v>
      </c>
      <c r="L1380" s="2950">
        <v>13.25</v>
      </c>
      <c r="M1380" s="2951">
        <v>550164</v>
      </c>
      <c r="N1380" s="2951">
        <v>550164</v>
      </c>
      <c r="O1380" s="2952">
        <v>550164</v>
      </c>
      <c r="P1380" s="2953">
        <v>550164</v>
      </c>
      <c r="Q1380" s="2951">
        <v>550164</v>
      </c>
      <c r="R1380" s="2954">
        <v>45014</v>
      </c>
      <c r="S1380" s="2954">
        <v>45014</v>
      </c>
      <c r="T1380" s="2954">
        <v>45023</v>
      </c>
      <c r="U1380" s="2954">
        <v>45023</v>
      </c>
      <c r="V1380" s="2948" t="s">
        <v>1565</v>
      </c>
      <c r="W1380" s="2944">
        <f t="shared" si="8"/>
        <v>16656.494096276099</v>
      </c>
    </row>
    <row r="1381" spans="1:23" s="2944" customFormat="1" ht="46.8" hidden="1">
      <c r="A1381" s="2948">
        <v>1380</v>
      </c>
      <c r="B1381" s="2948" t="s">
        <v>635</v>
      </c>
      <c r="C1381" s="2948" t="s">
        <v>636</v>
      </c>
      <c r="D1381" s="2948" t="s">
        <v>1862</v>
      </c>
      <c r="E1381" s="2948" t="s">
        <v>729</v>
      </c>
      <c r="F1381" s="2948" t="s">
        <v>1964</v>
      </c>
      <c r="G1381" s="2948" t="s">
        <v>1035</v>
      </c>
      <c r="H1381" s="2948" t="s">
        <v>1863</v>
      </c>
      <c r="I1381" s="2948" t="s">
        <v>1027</v>
      </c>
      <c r="J1381" s="2948" t="s">
        <v>643</v>
      </c>
      <c r="K1381" s="2950">
        <v>33.03</v>
      </c>
      <c r="L1381" s="2950">
        <v>13.25</v>
      </c>
      <c r="M1381" s="2951">
        <v>550164</v>
      </c>
      <c r="N1381" s="2951">
        <v>550164</v>
      </c>
      <c r="O1381" s="2955"/>
      <c r="P1381" s="2948"/>
      <c r="Q1381" s="2951">
        <v>0</v>
      </c>
      <c r="R1381" s="2948"/>
      <c r="S1381" s="2948"/>
      <c r="T1381" s="2948"/>
      <c r="U1381" s="2948"/>
      <c r="V1381" s="2948"/>
      <c r="W1381" s="2944">
        <f t="shared" si="8"/>
        <v>0</v>
      </c>
    </row>
    <row r="1382" spans="1:23" s="2944" customFormat="1" ht="46.8" hidden="1">
      <c r="A1382" s="2948">
        <v>1381</v>
      </c>
      <c r="B1382" s="2948" t="s">
        <v>635</v>
      </c>
      <c r="C1382" s="2948" t="s">
        <v>636</v>
      </c>
      <c r="D1382" s="2948" t="s">
        <v>1862</v>
      </c>
      <c r="E1382" s="2948" t="s">
        <v>729</v>
      </c>
      <c r="F1382" s="2948" t="s">
        <v>1965</v>
      </c>
      <c r="G1382" s="2948" t="s">
        <v>1035</v>
      </c>
      <c r="H1382" s="2948" t="s">
        <v>1863</v>
      </c>
      <c r="I1382" s="2948" t="s">
        <v>1027</v>
      </c>
      <c r="J1382" s="2948" t="s">
        <v>643</v>
      </c>
      <c r="K1382" s="2950">
        <v>33.03</v>
      </c>
      <c r="L1382" s="2950">
        <v>13.25</v>
      </c>
      <c r="M1382" s="2951">
        <v>550164</v>
      </c>
      <c r="N1382" s="2951">
        <v>550164</v>
      </c>
      <c r="O1382" s="2955"/>
      <c r="P1382" s="2948"/>
      <c r="Q1382" s="2951">
        <v>0</v>
      </c>
      <c r="R1382" s="2948"/>
      <c r="S1382" s="2948"/>
      <c r="T1382" s="2948"/>
      <c r="U1382" s="2948"/>
      <c r="V1382" s="2948"/>
      <c r="W1382" s="2944">
        <f t="shared" si="8"/>
        <v>0</v>
      </c>
    </row>
    <row r="1383" spans="1:23" s="2944" customFormat="1" ht="46.8" hidden="1">
      <c r="A1383" s="2948">
        <v>1382</v>
      </c>
      <c r="B1383" s="2948" t="s">
        <v>635</v>
      </c>
      <c r="C1383" s="2948" t="s">
        <v>636</v>
      </c>
      <c r="D1383" s="2948" t="s">
        <v>1862</v>
      </c>
      <c r="E1383" s="2948" t="s">
        <v>729</v>
      </c>
      <c r="F1383" s="2948" t="s">
        <v>1966</v>
      </c>
      <c r="G1383" s="2948" t="s">
        <v>1035</v>
      </c>
      <c r="H1383" s="2948" t="s">
        <v>1863</v>
      </c>
      <c r="I1383" s="2948" t="s">
        <v>1027</v>
      </c>
      <c r="J1383" s="2948" t="s">
        <v>643</v>
      </c>
      <c r="K1383" s="2950">
        <v>33.03</v>
      </c>
      <c r="L1383" s="2950">
        <v>13.25</v>
      </c>
      <c r="M1383" s="2951">
        <v>550164</v>
      </c>
      <c r="N1383" s="2951">
        <v>550164</v>
      </c>
      <c r="O1383" s="2955"/>
      <c r="P1383" s="2948"/>
      <c r="Q1383" s="2951">
        <v>0</v>
      </c>
      <c r="R1383" s="2948"/>
      <c r="S1383" s="2948"/>
      <c r="T1383" s="2948"/>
      <c r="U1383" s="2948"/>
      <c r="V1383" s="2948"/>
      <c r="W1383" s="2944">
        <f t="shared" si="8"/>
        <v>0</v>
      </c>
    </row>
    <row r="1384" spans="1:23" s="2944" customFormat="1" ht="46.8">
      <c r="A1384" s="2948">
        <v>1383</v>
      </c>
      <c r="B1384" s="2948" t="s">
        <v>635</v>
      </c>
      <c r="C1384" s="2948" t="s">
        <v>636</v>
      </c>
      <c r="D1384" s="2948" t="s">
        <v>1862</v>
      </c>
      <c r="E1384" s="2948" t="s">
        <v>729</v>
      </c>
      <c r="F1384" s="2948" t="s">
        <v>1967</v>
      </c>
      <c r="G1384" s="2948" t="s">
        <v>640</v>
      </c>
      <c r="H1384" s="2948" t="s">
        <v>1863</v>
      </c>
      <c r="I1384" s="2948" t="s">
        <v>1027</v>
      </c>
      <c r="J1384" s="2948" t="s">
        <v>643</v>
      </c>
      <c r="K1384" s="2950">
        <v>33.03</v>
      </c>
      <c r="L1384" s="2950">
        <v>13.25</v>
      </c>
      <c r="M1384" s="2951">
        <v>550164</v>
      </c>
      <c r="N1384" s="2951">
        <v>550164</v>
      </c>
      <c r="O1384" s="2952">
        <v>522656</v>
      </c>
      <c r="P1384" s="2953">
        <v>522656</v>
      </c>
      <c r="Q1384" s="2951">
        <v>522656</v>
      </c>
      <c r="R1384" s="2954">
        <v>45169</v>
      </c>
      <c r="S1384" s="2954">
        <v>45169</v>
      </c>
      <c r="T1384" s="2948"/>
      <c r="U1384" s="2948"/>
      <c r="V1384" s="2948" t="s">
        <v>1591</v>
      </c>
      <c r="W1384" s="2944">
        <f t="shared" si="8"/>
        <v>15823.6754465637</v>
      </c>
    </row>
    <row r="1385" spans="1:23" s="2944" customFormat="1" ht="46.8" hidden="1">
      <c r="A1385" s="2948">
        <v>1384</v>
      </c>
      <c r="B1385" s="2948" t="s">
        <v>635</v>
      </c>
      <c r="C1385" s="2948" t="s">
        <v>636</v>
      </c>
      <c r="D1385" s="2948" t="s">
        <v>1862</v>
      </c>
      <c r="E1385" s="2948" t="s">
        <v>729</v>
      </c>
      <c r="F1385" s="2948" t="s">
        <v>1968</v>
      </c>
      <c r="G1385" s="2948" t="s">
        <v>1035</v>
      </c>
      <c r="H1385" s="2948" t="s">
        <v>1863</v>
      </c>
      <c r="I1385" s="2948" t="s">
        <v>1027</v>
      </c>
      <c r="J1385" s="2948" t="s">
        <v>643</v>
      </c>
      <c r="K1385" s="2950">
        <v>33.03</v>
      </c>
      <c r="L1385" s="2950">
        <v>13.25</v>
      </c>
      <c r="M1385" s="2951">
        <v>550164</v>
      </c>
      <c r="N1385" s="2951">
        <v>550164</v>
      </c>
      <c r="O1385" s="2955"/>
      <c r="P1385" s="2948"/>
      <c r="Q1385" s="2951">
        <v>0</v>
      </c>
      <c r="R1385" s="2948"/>
      <c r="S1385" s="2948"/>
      <c r="T1385" s="2948"/>
      <c r="U1385" s="2948"/>
      <c r="V1385" s="2948"/>
      <c r="W1385" s="2944">
        <f t="shared" si="8"/>
        <v>0</v>
      </c>
    </row>
    <row r="1386" spans="1:23" s="2944" customFormat="1" ht="46.8" hidden="1">
      <c r="A1386" s="2948">
        <v>1385</v>
      </c>
      <c r="B1386" s="2948" t="s">
        <v>635</v>
      </c>
      <c r="C1386" s="2948" t="s">
        <v>636</v>
      </c>
      <c r="D1386" s="2948" t="s">
        <v>1862</v>
      </c>
      <c r="E1386" s="2948" t="s">
        <v>729</v>
      </c>
      <c r="F1386" s="2948" t="s">
        <v>1969</v>
      </c>
      <c r="G1386" s="2948" t="s">
        <v>1035</v>
      </c>
      <c r="H1386" s="2948" t="s">
        <v>1863</v>
      </c>
      <c r="I1386" s="2948" t="s">
        <v>1027</v>
      </c>
      <c r="J1386" s="2948" t="s">
        <v>643</v>
      </c>
      <c r="K1386" s="2950">
        <v>33.03</v>
      </c>
      <c r="L1386" s="2950">
        <v>13.25</v>
      </c>
      <c r="M1386" s="2951">
        <v>550164</v>
      </c>
      <c r="N1386" s="2951">
        <v>550164</v>
      </c>
      <c r="O1386" s="2955"/>
      <c r="P1386" s="2948"/>
      <c r="Q1386" s="2951">
        <v>0</v>
      </c>
      <c r="R1386" s="2948"/>
      <c r="S1386" s="2948"/>
      <c r="T1386" s="2948"/>
      <c r="U1386" s="2948"/>
      <c r="V1386" s="2948"/>
      <c r="W1386" s="2944">
        <f t="shared" si="8"/>
        <v>0</v>
      </c>
    </row>
    <row r="1387" spans="1:23" s="2944" customFormat="1" ht="46.8" hidden="1">
      <c r="A1387" s="2948">
        <v>1386</v>
      </c>
      <c r="B1387" s="2948" t="s">
        <v>635</v>
      </c>
      <c r="C1387" s="2948" t="s">
        <v>636</v>
      </c>
      <c r="D1387" s="2948" t="s">
        <v>1862</v>
      </c>
      <c r="E1387" s="2948" t="s">
        <v>729</v>
      </c>
      <c r="F1387" s="2948" t="s">
        <v>1970</v>
      </c>
      <c r="G1387" s="2948" t="s">
        <v>1035</v>
      </c>
      <c r="H1387" s="2948" t="s">
        <v>1863</v>
      </c>
      <c r="I1387" s="2948" t="s">
        <v>1027</v>
      </c>
      <c r="J1387" s="2948" t="s">
        <v>643</v>
      </c>
      <c r="K1387" s="2950">
        <v>33.03</v>
      </c>
      <c r="L1387" s="2950">
        <v>13.25</v>
      </c>
      <c r="M1387" s="2951">
        <v>550164</v>
      </c>
      <c r="N1387" s="2951">
        <v>550164</v>
      </c>
      <c r="O1387" s="2955"/>
      <c r="P1387" s="2948"/>
      <c r="Q1387" s="2951">
        <v>0</v>
      </c>
      <c r="R1387" s="2948"/>
      <c r="S1387" s="2948"/>
      <c r="T1387" s="2948"/>
      <c r="U1387" s="2948"/>
      <c r="V1387" s="2948"/>
      <c r="W1387" s="2944">
        <f t="shared" si="8"/>
        <v>0</v>
      </c>
    </row>
    <row r="1388" spans="1:23" s="2944" customFormat="1" ht="46.8" hidden="1">
      <c r="A1388" s="2948">
        <v>1387</v>
      </c>
      <c r="B1388" s="2948" t="s">
        <v>635</v>
      </c>
      <c r="C1388" s="2948" t="s">
        <v>636</v>
      </c>
      <c r="D1388" s="2948" t="s">
        <v>1862</v>
      </c>
      <c r="E1388" s="2948" t="s">
        <v>729</v>
      </c>
      <c r="F1388" s="2948" t="s">
        <v>1971</v>
      </c>
      <c r="G1388" s="2948" t="s">
        <v>1035</v>
      </c>
      <c r="H1388" s="2948" t="s">
        <v>1863</v>
      </c>
      <c r="I1388" s="2948" t="s">
        <v>1027</v>
      </c>
      <c r="J1388" s="2948" t="s">
        <v>643</v>
      </c>
      <c r="K1388" s="2950">
        <v>33.03</v>
      </c>
      <c r="L1388" s="2950">
        <v>13.25</v>
      </c>
      <c r="M1388" s="2951">
        <v>550164</v>
      </c>
      <c r="N1388" s="2951">
        <v>550164</v>
      </c>
      <c r="O1388" s="2955"/>
      <c r="P1388" s="2948"/>
      <c r="Q1388" s="2951">
        <v>0</v>
      </c>
      <c r="R1388" s="2948"/>
      <c r="S1388" s="2948"/>
      <c r="T1388" s="2948"/>
      <c r="U1388" s="2948"/>
      <c r="V1388" s="2948"/>
      <c r="W1388" s="2944">
        <f t="shared" si="8"/>
        <v>0</v>
      </c>
    </row>
    <row r="1389" spans="1:23" s="2944" customFormat="1" ht="46.8">
      <c r="A1389" s="2948">
        <v>1388</v>
      </c>
      <c r="B1389" s="2948" t="s">
        <v>635</v>
      </c>
      <c r="C1389" s="2948" t="s">
        <v>636</v>
      </c>
      <c r="D1389" s="2948" t="s">
        <v>1862</v>
      </c>
      <c r="E1389" s="2948" t="s">
        <v>729</v>
      </c>
      <c r="F1389" s="2948" t="s">
        <v>1972</v>
      </c>
      <c r="G1389" s="2948" t="s">
        <v>640</v>
      </c>
      <c r="H1389" s="2948" t="s">
        <v>1863</v>
      </c>
      <c r="I1389" s="2948" t="s">
        <v>1027</v>
      </c>
      <c r="J1389" s="2948" t="s">
        <v>643</v>
      </c>
      <c r="K1389" s="2950">
        <v>33.03</v>
      </c>
      <c r="L1389" s="2950">
        <v>13.25</v>
      </c>
      <c r="M1389" s="2951">
        <v>550164</v>
      </c>
      <c r="N1389" s="2951">
        <v>550164</v>
      </c>
      <c r="O1389" s="2952">
        <v>550164</v>
      </c>
      <c r="P1389" s="2953">
        <v>550164</v>
      </c>
      <c r="Q1389" s="2951">
        <v>550164</v>
      </c>
      <c r="R1389" s="2954">
        <v>44496</v>
      </c>
      <c r="S1389" s="2954">
        <v>44496</v>
      </c>
      <c r="T1389" s="2954">
        <v>44750</v>
      </c>
      <c r="U1389" s="2954">
        <v>44750</v>
      </c>
      <c r="V1389" s="2948" t="s">
        <v>1593</v>
      </c>
      <c r="W1389" s="2944">
        <f t="shared" si="8"/>
        <v>16656.494096276099</v>
      </c>
    </row>
    <row r="1390" spans="1:23" s="2944" customFormat="1" ht="46.8">
      <c r="A1390" s="2948">
        <v>1389</v>
      </c>
      <c r="B1390" s="2948" t="s">
        <v>635</v>
      </c>
      <c r="C1390" s="2948" t="s">
        <v>636</v>
      </c>
      <c r="D1390" s="2948" t="s">
        <v>1862</v>
      </c>
      <c r="E1390" s="2948" t="s">
        <v>729</v>
      </c>
      <c r="F1390" s="2948" t="s">
        <v>1973</v>
      </c>
      <c r="G1390" s="2948" t="s">
        <v>640</v>
      </c>
      <c r="H1390" s="2948" t="s">
        <v>1863</v>
      </c>
      <c r="I1390" s="2948" t="s">
        <v>1027</v>
      </c>
      <c r="J1390" s="2948" t="s">
        <v>643</v>
      </c>
      <c r="K1390" s="2950">
        <v>33.03</v>
      </c>
      <c r="L1390" s="2950">
        <v>13.25</v>
      </c>
      <c r="M1390" s="2951">
        <v>550164</v>
      </c>
      <c r="N1390" s="2951">
        <v>550164</v>
      </c>
      <c r="O1390" s="2952">
        <v>550164</v>
      </c>
      <c r="P1390" s="2953">
        <v>550164</v>
      </c>
      <c r="Q1390" s="2951">
        <v>550164</v>
      </c>
      <c r="R1390" s="2954">
        <v>44492</v>
      </c>
      <c r="S1390" s="2954">
        <v>44497</v>
      </c>
      <c r="T1390" s="2954">
        <v>44745</v>
      </c>
      <c r="U1390" s="2954">
        <v>44745</v>
      </c>
      <c r="V1390" s="2948" t="s">
        <v>1625</v>
      </c>
      <c r="W1390" s="2944">
        <f t="shared" si="8"/>
        <v>16656.494096276099</v>
      </c>
    </row>
    <row r="1391" spans="1:23" s="2944" customFormat="1" ht="46.8">
      <c r="A1391" s="2948">
        <v>1390</v>
      </c>
      <c r="B1391" s="2948" t="s">
        <v>635</v>
      </c>
      <c r="C1391" s="2948" t="s">
        <v>636</v>
      </c>
      <c r="D1391" s="2948" t="s">
        <v>1862</v>
      </c>
      <c r="E1391" s="2948" t="s">
        <v>729</v>
      </c>
      <c r="F1391" s="2948" t="s">
        <v>1974</v>
      </c>
      <c r="G1391" s="2948" t="s">
        <v>640</v>
      </c>
      <c r="H1391" s="2948" t="s">
        <v>1863</v>
      </c>
      <c r="I1391" s="2948" t="s">
        <v>1027</v>
      </c>
      <c r="J1391" s="2948" t="s">
        <v>643</v>
      </c>
      <c r="K1391" s="2950">
        <v>33.03</v>
      </c>
      <c r="L1391" s="2950">
        <v>13.25</v>
      </c>
      <c r="M1391" s="2951">
        <v>550164</v>
      </c>
      <c r="N1391" s="2951">
        <v>550164</v>
      </c>
      <c r="O1391" s="2952">
        <v>550164</v>
      </c>
      <c r="P1391" s="2953">
        <v>550164</v>
      </c>
      <c r="Q1391" s="2951">
        <v>550164</v>
      </c>
      <c r="R1391" s="2954">
        <v>44492</v>
      </c>
      <c r="S1391" s="2954">
        <v>44497</v>
      </c>
      <c r="T1391" s="2954">
        <v>44745</v>
      </c>
      <c r="U1391" s="2954">
        <v>44745</v>
      </c>
      <c r="V1391" s="2948" t="s">
        <v>1625</v>
      </c>
      <c r="W1391" s="2944">
        <f t="shared" si="8"/>
        <v>16656.494096276099</v>
      </c>
    </row>
    <row r="1392" spans="1:23" s="2944" customFormat="1" ht="46.8">
      <c r="A1392" s="2948">
        <v>1391</v>
      </c>
      <c r="B1392" s="2948" t="s">
        <v>635</v>
      </c>
      <c r="C1392" s="2948" t="s">
        <v>636</v>
      </c>
      <c r="D1392" s="2948" t="s">
        <v>1862</v>
      </c>
      <c r="E1392" s="2948" t="s">
        <v>729</v>
      </c>
      <c r="F1392" s="2948" t="s">
        <v>1975</v>
      </c>
      <c r="G1392" s="2948" t="s">
        <v>640</v>
      </c>
      <c r="H1392" s="2948" t="s">
        <v>1863</v>
      </c>
      <c r="I1392" s="2948" t="s">
        <v>1027</v>
      </c>
      <c r="J1392" s="2948" t="s">
        <v>643</v>
      </c>
      <c r="K1392" s="2950">
        <v>33.03</v>
      </c>
      <c r="L1392" s="2950">
        <v>13.25</v>
      </c>
      <c r="M1392" s="2951">
        <v>550164</v>
      </c>
      <c r="N1392" s="2951">
        <v>550164</v>
      </c>
      <c r="O1392" s="2952">
        <v>550164</v>
      </c>
      <c r="P1392" s="2953">
        <v>550164</v>
      </c>
      <c r="Q1392" s="2951">
        <v>550164</v>
      </c>
      <c r="R1392" s="2954">
        <v>44736</v>
      </c>
      <c r="S1392" s="2954">
        <v>44737</v>
      </c>
      <c r="T1392" s="2954">
        <v>44739</v>
      </c>
      <c r="U1392" s="2954">
        <v>44739</v>
      </c>
      <c r="V1392" s="2948" t="s">
        <v>1592</v>
      </c>
      <c r="W1392" s="2944">
        <f t="shared" si="8"/>
        <v>16656.494096276099</v>
      </c>
    </row>
    <row r="1393" spans="1:23" s="2944" customFormat="1" ht="46.8">
      <c r="A1393" s="2948">
        <v>1392</v>
      </c>
      <c r="B1393" s="2948" t="s">
        <v>635</v>
      </c>
      <c r="C1393" s="2948" t="s">
        <v>636</v>
      </c>
      <c r="D1393" s="2948" t="s">
        <v>1862</v>
      </c>
      <c r="E1393" s="2948" t="s">
        <v>729</v>
      </c>
      <c r="F1393" s="2948" t="s">
        <v>1976</v>
      </c>
      <c r="G1393" s="2948" t="s">
        <v>640</v>
      </c>
      <c r="H1393" s="2948" t="s">
        <v>1863</v>
      </c>
      <c r="I1393" s="2948" t="s">
        <v>1027</v>
      </c>
      <c r="J1393" s="2948" t="s">
        <v>643</v>
      </c>
      <c r="K1393" s="2950">
        <v>33.03</v>
      </c>
      <c r="L1393" s="2950">
        <v>13.25</v>
      </c>
      <c r="M1393" s="2951">
        <v>550164</v>
      </c>
      <c r="N1393" s="2951">
        <v>550164</v>
      </c>
      <c r="O1393" s="2952">
        <v>544662</v>
      </c>
      <c r="P1393" s="2953">
        <v>544662</v>
      </c>
      <c r="Q1393" s="2951">
        <v>544662</v>
      </c>
      <c r="R1393" s="2954">
        <v>44496</v>
      </c>
      <c r="S1393" s="2954">
        <v>44497</v>
      </c>
      <c r="T1393" s="2954">
        <v>44642</v>
      </c>
      <c r="U1393" s="2954">
        <v>44642</v>
      </c>
      <c r="V1393" s="2948" t="s">
        <v>1670</v>
      </c>
      <c r="W1393" s="2944">
        <f t="shared" si="8"/>
        <v>16489.918256130801</v>
      </c>
    </row>
    <row r="1394" spans="1:23" s="2944" customFormat="1" ht="46.8" hidden="1">
      <c r="A1394" s="2948">
        <v>1393</v>
      </c>
      <c r="B1394" s="2948" t="s">
        <v>635</v>
      </c>
      <c r="C1394" s="2948" t="s">
        <v>636</v>
      </c>
      <c r="D1394" s="2948" t="s">
        <v>1862</v>
      </c>
      <c r="E1394" s="2948" t="s">
        <v>729</v>
      </c>
      <c r="F1394" s="2948" t="s">
        <v>1977</v>
      </c>
      <c r="G1394" s="2948" t="s">
        <v>1035</v>
      </c>
      <c r="H1394" s="2948" t="s">
        <v>1863</v>
      </c>
      <c r="I1394" s="2948" t="s">
        <v>1027</v>
      </c>
      <c r="J1394" s="2948" t="s">
        <v>643</v>
      </c>
      <c r="K1394" s="2950">
        <v>33.03</v>
      </c>
      <c r="L1394" s="2950">
        <v>13.25</v>
      </c>
      <c r="M1394" s="2951">
        <v>550164</v>
      </c>
      <c r="N1394" s="2951">
        <v>550164</v>
      </c>
      <c r="O1394" s="2955"/>
      <c r="P1394" s="2948"/>
      <c r="Q1394" s="2951">
        <v>0</v>
      </c>
      <c r="R1394" s="2948"/>
      <c r="S1394" s="2948"/>
      <c r="T1394" s="2948"/>
      <c r="U1394" s="2948"/>
      <c r="V1394" s="2948"/>
      <c r="W1394" s="2944">
        <f t="shared" si="8"/>
        <v>0</v>
      </c>
    </row>
    <row r="1395" spans="1:23" s="2944" customFormat="1" ht="46.8">
      <c r="A1395" s="2948">
        <v>1394</v>
      </c>
      <c r="B1395" s="2948" t="s">
        <v>635</v>
      </c>
      <c r="C1395" s="2948" t="s">
        <v>636</v>
      </c>
      <c r="D1395" s="2948" t="s">
        <v>1862</v>
      </c>
      <c r="E1395" s="2948" t="s">
        <v>729</v>
      </c>
      <c r="F1395" s="2948" t="s">
        <v>1978</v>
      </c>
      <c r="G1395" s="2948" t="s">
        <v>640</v>
      </c>
      <c r="H1395" s="2948" t="s">
        <v>1863</v>
      </c>
      <c r="I1395" s="2948" t="s">
        <v>1027</v>
      </c>
      <c r="J1395" s="2948" t="s">
        <v>643</v>
      </c>
      <c r="K1395" s="2950">
        <v>33.03</v>
      </c>
      <c r="L1395" s="2950">
        <v>13.25</v>
      </c>
      <c r="M1395" s="2951">
        <v>550164</v>
      </c>
      <c r="N1395" s="2951">
        <v>550164</v>
      </c>
      <c r="O1395" s="2952">
        <v>550164</v>
      </c>
      <c r="P1395" s="2953">
        <v>550164</v>
      </c>
      <c r="Q1395" s="2951">
        <v>550164</v>
      </c>
      <c r="R1395" s="2954">
        <v>44496</v>
      </c>
      <c r="S1395" s="2954">
        <v>44497</v>
      </c>
      <c r="T1395" s="2954">
        <v>44745</v>
      </c>
      <c r="U1395" s="2954">
        <v>44745</v>
      </c>
      <c r="V1395" s="2948" t="s">
        <v>1649</v>
      </c>
      <c r="W1395" s="2944">
        <f t="shared" si="8"/>
        <v>16656.494096276099</v>
      </c>
    </row>
    <row r="1396" spans="1:23" s="2944" customFormat="1" ht="46.8">
      <c r="A1396" s="2948">
        <v>1395</v>
      </c>
      <c r="B1396" s="2948" t="s">
        <v>635</v>
      </c>
      <c r="C1396" s="2948" t="s">
        <v>636</v>
      </c>
      <c r="D1396" s="2948" t="s">
        <v>1862</v>
      </c>
      <c r="E1396" s="2948" t="s">
        <v>729</v>
      </c>
      <c r="F1396" s="2948" t="s">
        <v>1979</v>
      </c>
      <c r="G1396" s="2948" t="s">
        <v>640</v>
      </c>
      <c r="H1396" s="2948" t="s">
        <v>1863</v>
      </c>
      <c r="I1396" s="2948" t="s">
        <v>1027</v>
      </c>
      <c r="J1396" s="2948" t="s">
        <v>643</v>
      </c>
      <c r="K1396" s="2950">
        <v>33.03</v>
      </c>
      <c r="L1396" s="2950">
        <v>13.25</v>
      </c>
      <c r="M1396" s="2951">
        <v>550164</v>
      </c>
      <c r="N1396" s="2951">
        <v>550164</v>
      </c>
      <c r="O1396" s="2952">
        <v>550164</v>
      </c>
      <c r="P1396" s="2953">
        <v>550164</v>
      </c>
      <c r="Q1396" s="2951">
        <v>550164</v>
      </c>
      <c r="R1396" s="2948"/>
      <c r="S1396" s="2954">
        <v>44886.461527777799</v>
      </c>
      <c r="T1396" s="2954">
        <v>44886</v>
      </c>
      <c r="U1396" s="2954">
        <v>44818</v>
      </c>
      <c r="V1396" s="2948" t="s">
        <v>1651</v>
      </c>
      <c r="W1396" s="2944">
        <f t="shared" si="8"/>
        <v>16656.494096276099</v>
      </c>
    </row>
    <row r="1397" spans="1:23" s="2944" customFormat="1" ht="46.8">
      <c r="A1397" s="2948">
        <v>1396</v>
      </c>
      <c r="B1397" s="2948" t="s">
        <v>635</v>
      </c>
      <c r="C1397" s="2948" t="s">
        <v>636</v>
      </c>
      <c r="D1397" s="2948" t="s">
        <v>1862</v>
      </c>
      <c r="E1397" s="2948" t="s">
        <v>729</v>
      </c>
      <c r="F1397" s="2948" t="s">
        <v>1980</v>
      </c>
      <c r="G1397" s="2948" t="s">
        <v>640</v>
      </c>
      <c r="H1397" s="2948" t="s">
        <v>1863</v>
      </c>
      <c r="I1397" s="2948" t="s">
        <v>1027</v>
      </c>
      <c r="J1397" s="2948" t="s">
        <v>643</v>
      </c>
      <c r="K1397" s="2950">
        <v>33.03</v>
      </c>
      <c r="L1397" s="2950">
        <v>13.25</v>
      </c>
      <c r="M1397" s="2951">
        <v>550164</v>
      </c>
      <c r="N1397" s="2951">
        <v>550164</v>
      </c>
      <c r="O1397" s="2952">
        <v>550164</v>
      </c>
      <c r="P1397" s="2953">
        <v>550164</v>
      </c>
      <c r="Q1397" s="2951">
        <v>550164</v>
      </c>
      <c r="R1397" s="2954">
        <v>44498</v>
      </c>
      <c r="S1397" s="2954">
        <v>44498</v>
      </c>
      <c r="T1397" s="2954">
        <v>44526</v>
      </c>
      <c r="U1397" s="2954">
        <v>44526</v>
      </c>
      <c r="V1397" s="2948" t="s">
        <v>1662</v>
      </c>
      <c r="W1397" s="2944">
        <f t="shared" si="8"/>
        <v>16656.494096276099</v>
      </c>
    </row>
    <row r="1398" spans="1:23" s="2944" customFormat="1" ht="46.8">
      <c r="A1398" s="2948">
        <v>1397</v>
      </c>
      <c r="B1398" s="2948" t="s">
        <v>635</v>
      </c>
      <c r="C1398" s="2948" t="s">
        <v>636</v>
      </c>
      <c r="D1398" s="2948" t="s">
        <v>1862</v>
      </c>
      <c r="E1398" s="2948" t="s">
        <v>729</v>
      </c>
      <c r="F1398" s="2948" t="s">
        <v>1981</v>
      </c>
      <c r="G1398" s="2948" t="s">
        <v>640</v>
      </c>
      <c r="H1398" s="2948" t="s">
        <v>1863</v>
      </c>
      <c r="I1398" s="2948" t="s">
        <v>1027</v>
      </c>
      <c r="J1398" s="2948" t="s">
        <v>643</v>
      </c>
      <c r="K1398" s="2950">
        <v>33.03</v>
      </c>
      <c r="L1398" s="2950">
        <v>13.25</v>
      </c>
      <c r="M1398" s="2951">
        <v>550164</v>
      </c>
      <c r="N1398" s="2951">
        <v>550164</v>
      </c>
      <c r="O1398" s="2952">
        <v>550164</v>
      </c>
      <c r="P1398" s="2953">
        <v>550164</v>
      </c>
      <c r="Q1398" s="2951">
        <v>550164</v>
      </c>
      <c r="R1398" s="2954">
        <v>44496</v>
      </c>
      <c r="S1398" s="2954">
        <v>44497</v>
      </c>
      <c r="T1398" s="2954">
        <v>44743</v>
      </c>
      <c r="U1398" s="2954">
        <v>44743</v>
      </c>
      <c r="V1398" s="2948" t="s">
        <v>1607</v>
      </c>
      <c r="W1398" s="2944">
        <f t="shared" si="8"/>
        <v>16656.494096276099</v>
      </c>
    </row>
    <row r="1399" spans="1:23" s="2944" customFormat="1" ht="46.8">
      <c r="A1399" s="2948">
        <v>1398</v>
      </c>
      <c r="B1399" s="2948" t="s">
        <v>635</v>
      </c>
      <c r="C1399" s="2948" t="s">
        <v>636</v>
      </c>
      <c r="D1399" s="2948" t="s">
        <v>1862</v>
      </c>
      <c r="E1399" s="2948" t="s">
        <v>729</v>
      </c>
      <c r="F1399" s="2948" t="s">
        <v>1982</v>
      </c>
      <c r="G1399" s="2948" t="s">
        <v>640</v>
      </c>
      <c r="H1399" s="2948" t="s">
        <v>1863</v>
      </c>
      <c r="I1399" s="2948" t="s">
        <v>1027</v>
      </c>
      <c r="J1399" s="2948" t="s">
        <v>643</v>
      </c>
      <c r="K1399" s="2950">
        <v>33.03</v>
      </c>
      <c r="L1399" s="2950">
        <v>13.25</v>
      </c>
      <c r="M1399" s="2951">
        <v>550164</v>
      </c>
      <c r="N1399" s="2951">
        <v>550164</v>
      </c>
      <c r="O1399" s="2952">
        <v>550164</v>
      </c>
      <c r="P1399" s="2953">
        <v>550164</v>
      </c>
      <c r="Q1399" s="2951">
        <v>550164</v>
      </c>
      <c r="R1399" s="2954">
        <v>44555</v>
      </c>
      <c r="S1399" s="2954">
        <v>44561</v>
      </c>
      <c r="T1399" s="2954">
        <v>44644</v>
      </c>
      <c r="U1399" s="2954">
        <v>44644</v>
      </c>
      <c r="V1399" s="2948" t="s">
        <v>1647</v>
      </c>
      <c r="W1399" s="2944">
        <f t="shared" si="8"/>
        <v>16656.494096276099</v>
      </c>
    </row>
    <row r="1400" spans="1:23" s="2944" customFormat="1" ht="46.8">
      <c r="A1400" s="2948">
        <v>1399</v>
      </c>
      <c r="B1400" s="2948" t="s">
        <v>635</v>
      </c>
      <c r="C1400" s="2948" t="s">
        <v>636</v>
      </c>
      <c r="D1400" s="2948" t="s">
        <v>1862</v>
      </c>
      <c r="E1400" s="2948" t="s">
        <v>729</v>
      </c>
      <c r="F1400" s="2948" t="s">
        <v>1983</v>
      </c>
      <c r="G1400" s="2948" t="s">
        <v>640</v>
      </c>
      <c r="H1400" s="2948" t="s">
        <v>1863</v>
      </c>
      <c r="I1400" s="2948" t="s">
        <v>1027</v>
      </c>
      <c r="J1400" s="2948" t="s">
        <v>643</v>
      </c>
      <c r="K1400" s="2950">
        <v>33.03</v>
      </c>
      <c r="L1400" s="2950">
        <v>13.25</v>
      </c>
      <c r="M1400" s="2951">
        <v>550164</v>
      </c>
      <c r="N1400" s="2951">
        <v>550164</v>
      </c>
      <c r="O1400" s="2952">
        <v>550164</v>
      </c>
      <c r="P1400" s="2953">
        <v>550164</v>
      </c>
      <c r="Q1400" s="2951">
        <v>550164</v>
      </c>
      <c r="R1400" s="2954">
        <v>44495</v>
      </c>
      <c r="S1400" s="2954">
        <v>44497</v>
      </c>
      <c r="T1400" s="2954">
        <v>44525</v>
      </c>
      <c r="U1400" s="2954">
        <v>44525</v>
      </c>
      <c r="V1400" s="2948" t="s">
        <v>1621</v>
      </c>
      <c r="W1400" s="2944">
        <f t="shared" si="8"/>
        <v>16656.494096276099</v>
      </c>
    </row>
    <row r="1401" spans="1:23" s="2944" customFormat="1" ht="46.8">
      <c r="A1401" s="2948">
        <v>1400</v>
      </c>
      <c r="B1401" s="2948" t="s">
        <v>635</v>
      </c>
      <c r="C1401" s="2948" t="s">
        <v>636</v>
      </c>
      <c r="D1401" s="2948" t="s">
        <v>1862</v>
      </c>
      <c r="E1401" s="2948" t="s">
        <v>729</v>
      </c>
      <c r="F1401" s="2948" t="s">
        <v>1984</v>
      </c>
      <c r="G1401" s="2948" t="s">
        <v>640</v>
      </c>
      <c r="H1401" s="2948" t="s">
        <v>1863</v>
      </c>
      <c r="I1401" s="2948" t="s">
        <v>1027</v>
      </c>
      <c r="J1401" s="2948" t="s">
        <v>643</v>
      </c>
      <c r="K1401" s="2950">
        <v>33.03</v>
      </c>
      <c r="L1401" s="2950">
        <v>13.25</v>
      </c>
      <c r="M1401" s="2951">
        <v>550164</v>
      </c>
      <c r="N1401" s="2951">
        <v>550164</v>
      </c>
      <c r="O1401" s="2952">
        <v>550164</v>
      </c>
      <c r="P1401" s="2953">
        <v>550164</v>
      </c>
      <c r="Q1401" s="2951">
        <v>550164</v>
      </c>
      <c r="R1401" s="2954">
        <v>44495</v>
      </c>
      <c r="S1401" s="2954">
        <v>44497</v>
      </c>
      <c r="T1401" s="2954">
        <v>44523</v>
      </c>
      <c r="U1401" s="2954">
        <v>44523</v>
      </c>
      <c r="V1401" s="2948" t="s">
        <v>1592</v>
      </c>
      <c r="W1401" s="2944">
        <f t="shared" si="8"/>
        <v>16656.494096276099</v>
      </c>
    </row>
    <row r="1402" spans="1:23" s="2944" customFormat="1" ht="46.8">
      <c r="A1402" s="2948">
        <v>1401</v>
      </c>
      <c r="B1402" s="2948" t="s">
        <v>635</v>
      </c>
      <c r="C1402" s="2948" t="s">
        <v>636</v>
      </c>
      <c r="D1402" s="2948" t="s">
        <v>1862</v>
      </c>
      <c r="E1402" s="2948" t="s">
        <v>729</v>
      </c>
      <c r="F1402" s="2948" t="s">
        <v>1985</v>
      </c>
      <c r="G1402" s="2948" t="s">
        <v>640</v>
      </c>
      <c r="H1402" s="2948" t="s">
        <v>1863</v>
      </c>
      <c r="I1402" s="2948" t="s">
        <v>1027</v>
      </c>
      <c r="J1402" s="2948" t="s">
        <v>643</v>
      </c>
      <c r="K1402" s="2950">
        <v>33.03</v>
      </c>
      <c r="L1402" s="2950">
        <v>13.25</v>
      </c>
      <c r="M1402" s="2951">
        <v>550164</v>
      </c>
      <c r="N1402" s="2951">
        <v>550164</v>
      </c>
      <c r="O1402" s="2952">
        <v>550164</v>
      </c>
      <c r="P1402" s="2953">
        <v>550164</v>
      </c>
      <c r="Q1402" s="2951">
        <v>550164</v>
      </c>
      <c r="R1402" s="2954">
        <v>45131</v>
      </c>
      <c r="S1402" s="2954">
        <v>45137</v>
      </c>
      <c r="T1402" s="2954">
        <v>45138</v>
      </c>
      <c r="U1402" s="2954">
        <v>45138</v>
      </c>
      <c r="V1402" s="2948" t="s">
        <v>1805</v>
      </c>
      <c r="W1402" s="2944">
        <f t="shared" si="8"/>
        <v>16656.494096276099</v>
      </c>
    </row>
    <row r="1403" spans="1:23" s="2944" customFormat="1" ht="46.8">
      <c r="A1403" s="2948">
        <v>1402</v>
      </c>
      <c r="B1403" s="2948" t="s">
        <v>635</v>
      </c>
      <c r="C1403" s="2948" t="s">
        <v>636</v>
      </c>
      <c r="D1403" s="2948" t="s">
        <v>1862</v>
      </c>
      <c r="E1403" s="2948" t="s">
        <v>729</v>
      </c>
      <c r="F1403" s="2948" t="s">
        <v>1986</v>
      </c>
      <c r="G1403" s="2948" t="s">
        <v>640</v>
      </c>
      <c r="H1403" s="2948" t="s">
        <v>1863</v>
      </c>
      <c r="I1403" s="2948" t="s">
        <v>1027</v>
      </c>
      <c r="J1403" s="2948" t="s">
        <v>643</v>
      </c>
      <c r="K1403" s="2950">
        <v>33.03</v>
      </c>
      <c r="L1403" s="2950">
        <v>13.25</v>
      </c>
      <c r="M1403" s="2951">
        <v>550164</v>
      </c>
      <c r="N1403" s="2951">
        <v>550164</v>
      </c>
      <c r="O1403" s="2952">
        <v>550164</v>
      </c>
      <c r="P1403" s="2953">
        <v>550164</v>
      </c>
      <c r="Q1403" s="2951">
        <v>550164</v>
      </c>
      <c r="R1403" s="2954">
        <v>44497</v>
      </c>
      <c r="S1403" s="2954">
        <v>44497</v>
      </c>
      <c r="T1403" s="2954">
        <v>44781</v>
      </c>
      <c r="U1403" s="2954">
        <v>44781</v>
      </c>
      <c r="V1403" s="2948" t="s">
        <v>1620</v>
      </c>
      <c r="W1403" s="2944">
        <f t="shared" si="8"/>
        <v>16656.494096276099</v>
      </c>
    </row>
    <row r="1404" spans="1:23" s="2944" customFormat="1" ht="46.8">
      <c r="A1404" s="2948">
        <v>1403</v>
      </c>
      <c r="B1404" s="2948" t="s">
        <v>635</v>
      </c>
      <c r="C1404" s="2948" t="s">
        <v>636</v>
      </c>
      <c r="D1404" s="2948" t="s">
        <v>1862</v>
      </c>
      <c r="E1404" s="2948" t="s">
        <v>729</v>
      </c>
      <c r="F1404" s="2948" t="s">
        <v>1987</v>
      </c>
      <c r="G1404" s="2948" t="s">
        <v>640</v>
      </c>
      <c r="H1404" s="2948" t="s">
        <v>1863</v>
      </c>
      <c r="I1404" s="2948" t="s">
        <v>1027</v>
      </c>
      <c r="J1404" s="2948" t="s">
        <v>643</v>
      </c>
      <c r="K1404" s="2950">
        <v>33.03</v>
      </c>
      <c r="L1404" s="2950">
        <v>13.25</v>
      </c>
      <c r="M1404" s="2951">
        <v>550164</v>
      </c>
      <c r="N1404" s="2951">
        <v>550164</v>
      </c>
      <c r="O1404" s="2952">
        <v>550164</v>
      </c>
      <c r="P1404" s="2953">
        <v>550164</v>
      </c>
      <c r="Q1404" s="2951">
        <v>550164</v>
      </c>
      <c r="R1404" s="2954">
        <v>44496</v>
      </c>
      <c r="S1404" s="2954">
        <v>44496</v>
      </c>
      <c r="T1404" s="2954">
        <v>44527</v>
      </c>
      <c r="U1404" s="2954">
        <v>44527</v>
      </c>
      <c r="V1404" s="2948" t="s">
        <v>1634</v>
      </c>
      <c r="W1404" s="2944">
        <f t="shared" si="8"/>
        <v>16656.494096276099</v>
      </c>
    </row>
    <row r="1405" spans="1:23" s="2944" customFormat="1" ht="46.8">
      <c r="A1405" s="2948">
        <v>1404</v>
      </c>
      <c r="B1405" s="2948" t="s">
        <v>635</v>
      </c>
      <c r="C1405" s="2948" t="s">
        <v>636</v>
      </c>
      <c r="D1405" s="2948" t="s">
        <v>1862</v>
      </c>
      <c r="E1405" s="2948" t="s">
        <v>729</v>
      </c>
      <c r="F1405" s="2948" t="s">
        <v>1988</v>
      </c>
      <c r="G1405" s="2948" t="s">
        <v>640</v>
      </c>
      <c r="H1405" s="2948" t="s">
        <v>1863</v>
      </c>
      <c r="I1405" s="2948" t="s">
        <v>1027</v>
      </c>
      <c r="J1405" s="2948" t="s">
        <v>643</v>
      </c>
      <c r="K1405" s="2950">
        <v>33.03</v>
      </c>
      <c r="L1405" s="2950">
        <v>13.25</v>
      </c>
      <c r="M1405" s="2951">
        <v>550164</v>
      </c>
      <c r="N1405" s="2951">
        <v>550164</v>
      </c>
      <c r="O1405" s="2952">
        <v>550164</v>
      </c>
      <c r="P1405" s="2953">
        <v>550164</v>
      </c>
      <c r="Q1405" s="2951">
        <v>550164</v>
      </c>
      <c r="R1405" s="2954">
        <v>44497</v>
      </c>
      <c r="S1405" s="2954">
        <v>44499</v>
      </c>
      <c r="T1405" s="2954">
        <v>44777</v>
      </c>
      <c r="U1405" s="2954">
        <v>44777</v>
      </c>
      <c r="V1405" s="2948" t="s">
        <v>1600</v>
      </c>
      <c r="W1405" s="2944">
        <f t="shared" si="8"/>
        <v>16656.494096276099</v>
      </c>
    </row>
    <row r="1406" spans="1:23" s="2944" customFormat="1" ht="46.8">
      <c r="A1406" s="2948">
        <v>1405</v>
      </c>
      <c r="B1406" s="2948" t="s">
        <v>635</v>
      </c>
      <c r="C1406" s="2948" t="s">
        <v>636</v>
      </c>
      <c r="D1406" s="2948" t="s">
        <v>1862</v>
      </c>
      <c r="E1406" s="2948" t="s">
        <v>729</v>
      </c>
      <c r="F1406" s="2948" t="s">
        <v>1989</v>
      </c>
      <c r="G1406" s="2948" t="s">
        <v>640</v>
      </c>
      <c r="H1406" s="2948" t="s">
        <v>1863</v>
      </c>
      <c r="I1406" s="2948" t="s">
        <v>1027</v>
      </c>
      <c r="J1406" s="2948" t="s">
        <v>643</v>
      </c>
      <c r="K1406" s="2950">
        <v>33.03</v>
      </c>
      <c r="L1406" s="2950">
        <v>13.25</v>
      </c>
      <c r="M1406" s="2951">
        <v>550164</v>
      </c>
      <c r="N1406" s="2951">
        <v>550164</v>
      </c>
      <c r="O1406" s="2952">
        <v>550164</v>
      </c>
      <c r="P1406" s="2953">
        <v>550164</v>
      </c>
      <c r="Q1406" s="2951">
        <v>550164</v>
      </c>
      <c r="R1406" s="2954">
        <v>44736</v>
      </c>
      <c r="S1406" s="2954">
        <v>44737</v>
      </c>
      <c r="T1406" s="2954">
        <v>44753</v>
      </c>
      <c r="U1406" s="2954">
        <v>44753</v>
      </c>
      <c r="V1406" s="2948" t="s">
        <v>1844</v>
      </c>
      <c r="W1406" s="2944">
        <f t="shared" si="8"/>
        <v>16656.494096276099</v>
      </c>
    </row>
    <row r="1407" spans="1:23" s="2944" customFormat="1" ht="46.8">
      <c r="A1407" s="2948">
        <v>1406</v>
      </c>
      <c r="B1407" s="2948" t="s">
        <v>635</v>
      </c>
      <c r="C1407" s="2948" t="s">
        <v>636</v>
      </c>
      <c r="D1407" s="2948" t="s">
        <v>1862</v>
      </c>
      <c r="E1407" s="2948" t="s">
        <v>729</v>
      </c>
      <c r="F1407" s="2948" t="s">
        <v>1990</v>
      </c>
      <c r="G1407" s="2948" t="s">
        <v>640</v>
      </c>
      <c r="H1407" s="2948" t="s">
        <v>1863</v>
      </c>
      <c r="I1407" s="2948" t="s">
        <v>1027</v>
      </c>
      <c r="J1407" s="2948" t="s">
        <v>643</v>
      </c>
      <c r="K1407" s="2950">
        <v>33.03</v>
      </c>
      <c r="L1407" s="2950">
        <v>13.25</v>
      </c>
      <c r="M1407" s="2951">
        <v>550164</v>
      </c>
      <c r="N1407" s="2951">
        <v>550164</v>
      </c>
      <c r="O1407" s="2952">
        <v>550164</v>
      </c>
      <c r="P1407" s="2953">
        <v>550164</v>
      </c>
      <c r="Q1407" s="2951">
        <v>550164</v>
      </c>
      <c r="R1407" s="2954">
        <v>44558</v>
      </c>
      <c r="S1407" s="2954">
        <v>44561</v>
      </c>
      <c r="T1407" s="2954">
        <v>44641</v>
      </c>
      <c r="U1407" s="2954">
        <v>44641</v>
      </c>
      <c r="V1407" s="2948" t="s">
        <v>1665</v>
      </c>
      <c r="W1407" s="2944">
        <f t="shared" si="8"/>
        <v>16656.494096276099</v>
      </c>
    </row>
    <row r="1408" spans="1:23" s="2944" customFormat="1" ht="46.8">
      <c r="A1408" s="2948">
        <v>1407</v>
      </c>
      <c r="B1408" s="2948" t="s">
        <v>635</v>
      </c>
      <c r="C1408" s="2948" t="s">
        <v>636</v>
      </c>
      <c r="D1408" s="2948" t="s">
        <v>1862</v>
      </c>
      <c r="E1408" s="2948" t="s">
        <v>729</v>
      </c>
      <c r="F1408" s="2948" t="s">
        <v>1991</v>
      </c>
      <c r="G1408" s="2948" t="s">
        <v>640</v>
      </c>
      <c r="H1408" s="2948" t="s">
        <v>1863</v>
      </c>
      <c r="I1408" s="2948" t="s">
        <v>1027</v>
      </c>
      <c r="J1408" s="2948" t="s">
        <v>643</v>
      </c>
      <c r="K1408" s="2950">
        <v>33.03</v>
      </c>
      <c r="L1408" s="2950">
        <v>13.25</v>
      </c>
      <c r="M1408" s="2951">
        <v>550164</v>
      </c>
      <c r="N1408" s="2951">
        <v>550164</v>
      </c>
      <c r="O1408" s="2952">
        <v>522656</v>
      </c>
      <c r="P1408" s="2953">
        <v>522656</v>
      </c>
      <c r="Q1408" s="2951">
        <v>522656</v>
      </c>
      <c r="R1408" s="2954">
        <v>44879</v>
      </c>
      <c r="S1408" s="2954">
        <v>44894</v>
      </c>
      <c r="T1408" s="2954">
        <v>44894</v>
      </c>
      <c r="U1408" s="2954">
        <v>44894</v>
      </c>
      <c r="V1408" s="2948" t="s">
        <v>1669</v>
      </c>
      <c r="W1408" s="2944">
        <f t="shared" si="8"/>
        <v>15823.6754465637</v>
      </c>
    </row>
    <row r="1409" spans="1:23" s="2944" customFormat="1" ht="46.8">
      <c r="A1409" s="2948">
        <v>1408</v>
      </c>
      <c r="B1409" s="2948" t="s">
        <v>635</v>
      </c>
      <c r="C1409" s="2948" t="s">
        <v>636</v>
      </c>
      <c r="D1409" s="2948" t="s">
        <v>1862</v>
      </c>
      <c r="E1409" s="2948" t="s">
        <v>729</v>
      </c>
      <c r="F1409" s="2948" t="s">
        <v>1992</v>
      </c>
      <c r="G1409" s="2948" t="s">
        <v>640</v>
      </c>
      <c r="H1409" s="2948" t="s">
        <v>1863</v>
      </c>
      <c r="I1409" s="2948" t="s">
        <v>1027</v>
      </c>
      <c r="J1409" s="2948" t="s">
        <v>643</v>
      </c>
      <c r="K1409" s="2950">
        <v>33.03</v>
      </c>
      <c r="L1409" s="2950">
        <v>13.25</v>
      </c>
      <c r="M1409" s="2951">
        <v>550164</v>
      </c>
      <c r="N1409" s="2951">
        <v>550164</v>
      </c>
      <c r="O1409" s="2952">
        <v>550164</v>
      </c>
      <c r="P1409" s="2953">
        <v>550164</v>
      </c>
      <c r="Q1409" s="2951">
        <v>550164</v>
      </c>
      <c r="R1409" s="2954">
        <v>45046</v>
      </c>
      <c r="S1409" s="2954">
        <v>45046</v>
      </c>
      <c r="T1409" s="2954">
        <v>45070</v>
      </c>
      <c r="U1409" s="2954">
        <v>45070</v>
      </c>
      <c r="V1409" s="2948" t="s">
        <v>1609</v>
      </c>
      <c r="W1409" s="2944">
        <f t="shared" si="8"/>
        <v>16656.494096276099</v>
      </c>
    </row>
    <row r="1410" spans="1:23" s="2944" customFormat="1" ht="46.8">
      <c r="A1410" s="2948">
        <v>1409</v>
      </c>
      <c r="B1410" s="2948" t="s">
        <v>635</v>
      </c>
      <c r="C1410" s="2948" t="s">
        <v>636</v>
      </c>
      <c r="D1410" s="2948" t="s">
        <v>1862</v>
      </c>
      <c r="E1410" s="2948" t="s">
        <v>729</v>
      </c>
      <c r="F1410" s="2948" t="s">
        <v>1993</v>
      </c>
      <c r="G1410" s="2948" t="s">
        <v>640</v>
      </c>
      <c r="H1410" s="2948" t="s">
        <v>1863</v>
      </c>
      <c r="I1410" s="2948" t="s">
        <v>1027</v>
      </c>
      <c r="J1410" s="2948" t="s">
        <v>643</v>
      </c>
      <c r="K1410" s="2950">
        <v>33.03</v>
      </c>
      <c r="L1410" s="2950">
        <v>13.25</v>
      </c>
      <c r="M1410" s="2951">
        <v>550164</v>
      </c>
      <c r="N1410" s="2951">
        <v>550164</v>
      </c>
      <c r="O1410" s="2952">
        <v>550164</v>
      </c>
      <c r="P1410" s="2953">
        <v>550164</v>
      </c>
      <c r="Q1410" s="2951">
        <v>550164</v>
      </c>
      <c r="R1410" s="2954">
        <v>44554</v>
      </c>
      <c r="S1410" s="2954">
        <v>44561</v>
      </c>
      <c r="T1410" s="2954">
        <v>44640</v>
      </c>
      <c r="U1410" s="2954">
        <v>44640</v>
      </c>
      <c r="V1410" s="2948" t="s">
        <v>1668</v>
      </c>
      <c r="W1410" s="2944">
        <f t="shared" si="8"/>
        <v>16656.494096276099</v>
      </c>
    </row>
    <row r="1411" spans="1:23" s="2944" customFormat="1" ht="46.8">
      <c r="A1411" s="2948">
        <v>1410</v>
      </c>
      <c r="B1411" s="2948" t="s">
        <v>635</v>
      </c>
      <c r="C1411" s="2948" t="s">
        <v>636</v>
      </c>
      <c r="D1411" s="2948" t="s">
        <v>1862</v>
      </c>
      <c r="E1411" s="2948" t="s">
        <v>729</v>
      </c>
      <c r="F1411" s="2948" t="s">
        <v>1994</v>
      </c>
      <c r="G1411" s="2948" t="s">
        <v>640</v>
      </c>
      <c r="H1411" s="2948" t="s">
        <v>1863</v>
      </c>
      <c r="I1411" s="2948" t="s">
        <v>1027</v>
      </c>
      <c r="J1411" s="2948" t="s">
        <v>643</v>
      </c>
      <c r="K1411" s="2950">
        <v>33.03</v>
      </c>
      <c r="L1411" s="2950">
        <v>13.25</v>
      </c>
      <c r="M1411" s="2951">
        <v>550164</v>
      </c>
      <c r="N1411" s="2951">
        <v>550164</v>
      </c>
      <c r="O1411" s="2952">
        <v>550164</v>
      </c>
      <c r="P1411" s="2953">
        <v>550164</v>
      </c>
      <c r="Q1411" s="2951">
        <v>550164</v>
      </c>
      <c r="R1411" s="2954">
        <v>44555</v>
      </c>
      <c r="S1411" s="2954">
        <v>44561</v>
      </c>
      <c r="T1411" s="2948"/>
      <c r="U1411" s="2948"/>
      <c r="V1411" s="2948" t="s">
        <v>1626</v>
      </c>
      <c r="W1411" s="2944">
        <f t="shared" si="8"/>
        <v>16656.494096276099</v>
      </c>
    </row>
    <row r="1412" spans="1:23" s="2944" customFormat="1" ht="46.8">
      <c r="A1412" s="2948">
        <v>1411</v>
      </c>
      <c r="B1412" s="2948" t="s">
        <v>635</v>
      </c>
      <c r="C1412" s="2948" t="s">
        <v>636</v>
      </c>
      <c r="D1412" s="2948" t="s">
        <v>1862</v>
      </c>
      <c r="E1412" s="2948" t="s">
        <v>729</v>
      </c>
      <c r="F1412" s="2948" t="s">
        <v>1995</v>
      </c>
      <c r="G1412" s="2948" t="s">
        <v>640</v>
      </c>
      <c r="H1412" s="2948" t="s">
        <v>1863</v>
      </c>
      <c r="I1412" s="2948" t="s">
        <v>1027</v>
      </c>
      <c r="J1412" s="2948" t="s">
        <v>643</v>
      </c>
      <c r="K1412" s="2950">
        <v>33.03</v>
      </c>
      <c r="L1412" s="2950">
        <v>13.25</v>
      </c>
      <c r="M1412" s="2951">
        <v>550164</v>
      </c>
      <c r="N1412" s="2951">
        <v>550164</v>
      </c>
      <c r="O1412" s="2952">
        <v>550164</v>
      </c>
      <c r="P1412" s="2953">
        <v>550164</v>
      </c>
      <c r="Q1412" s="2951">
        <v>550164</v>
      </c>
      <c r="R1412" s="2954">
        <v>45044</v>
      </c>
      <c r="S1412" s="2954">
        <v>45044</v>
      </c>
      <c r="T1412" s="2954">
        <v>45060</v>
      </c>
      <c r="U1412" s="2954">
        <v>45060</v>
      </c>
      <c r="V1412" s="2948" t="s">
        <v>1580</v>
      </c>
      <c r="W1412" s="2944">
        <f t="shared" si="8"/>
        <v>16656.494096276099</v>
      </c>
    </row>
    <row r="1413" spans="1:23" s="2944" customFormat="1" ht="46.8">
      <c r="A1413" s="2948">
        <v>1412</v>
      </c>
      <c r="B1413" s="2948" t="s">
        <v>635</v>
      </c>
      <c r="C1413" s="2948" t="s">
        <v>636</v>
      </c>
      <c r="D1413" s="2948" t="s">
        <v>1862</v>
      </c>
      <c r="E1413" s="2948" t="s">
        <v>729</v>
      </c>
      <c r="F1413" s="2948" t="s">
        <v>1996</v>
      </c>
      <c r="G1413" s="2948" t="s">
        <v>640</v>
      </c>
      <c r="H1413" s="2948" t="s">
        <v>1863</v>
      </c>
      <c r="I1413" s="2948" t="s">
        <v>1027</v>
      </c>
      <c r="J1413" s="2948" t="s">
        <v>643</v>
      </c>
      <c r="K1413" s="2950">
        <v>33.03</v>
      </c>
      <c r="L1413" s="2950">
        <v>13.25</v>
      </c>
      <c r="M1413" s="2951">
        <v>550164</v>
      </c>
      <c r="N1413" s="2951">
        <v>550164</v>
      </c>
      <c r="O1413" s="2952">
        <v>550164</v>
      </c>
      <c r="P1413" s="2953">
        <v>550164</v>
      </c>
      <c r="Q1413" s="2951">
        <v>550164</v>
      </c>
      <c r="R1413" s="2954">
        <v>45044</v>
      </c>
      <c r="S1413" s="2954">
        <v>45044</v>
      </c>
      <c r="T1413" s="2954">
        <v>45218</v>
      </c>
      <c r="U1413" s="2954">
        <v>45218</v>
      </c>
      <c r="V1413" s="2948" t="s">
        <v>1611</v>
      </c>
      <c r="W1413" s="2944">
        <f t="shared" si="8"/>
        <v>16656.494096276099</v>
      </c>
    </row>
    <row r="1414" spans="1:23" s="2944" customFormat="1" ht="46.8">
      <c r="A1414" s="2948">
        <v>1413</v>
      </c>
      <c r="B1414" s="2948" t="s">
        <v>635</v>
      </c>
      <c r="C1414" s="2948" t="s">
        <v>636</v>
      </c>
      <c r="D1414" s="2948" t="s">
        <v>1862</v>
      </c>
      <c r="E1414" s="2948" t="s">
        <v>729</v>
      </c>
      <c r="F1414" s="2948" t="s">
        <v>1997</v>
      </c>
      <c r="G1414" s="2948" t="s">
        <v>640</v>
      </c>
      <c r="H1414" s="2948" t="s">
        <v>1863</v>
      </c>
      <c r="I1414" s="2948" t="s">
        <v>1027</v>
      </c>
      <c r="J1414" s="2948" t="s">
        <v>643</v>
      </c>
      <c r="K1414" s="2950">
        <v>33.03</v>
      </c>
      <c r="L1414" s="2950">
        <v>13.25</v>
      </c>
      <c r="M1414" s="2951">
        <v>550164</v>
      </c>
      <c r="N1414" s="2951">
        <v>550164</v>
      </c>
      <c r="O1414" s="2952">
        <v>550164</v>
      </c>
      <c r="P1414" s="2953">
        <v>550164</v>
      </c>
      <c r="Q1414" s="2951">
        <v>550164</v>
      </c>
      <c r="R1414" s="2954">
        <v>45043</v>
      </c>
      <c r="S1414" s="2954">
        <v>45044</v>
      </c>
      <c r="T1414" s="2954">
        <v>45138</v>
      </c>
      <c r="U1414" s="2954">
        <v>45138</v>
      </c>
      <c r="V1414" s="2948" t="s">
        <v>1806</v>
      </c>
      <c r="W1414" s="2944">
        <f t="shared" si="8"/>
        <v>16656.494096276099</v>
      </c>
    </row>
    <row r="1415" spans="1:23" s="2944" customFormat="1" ht="46.8">
      <c r="A1415" s="2948">
        <v>1414</v>
      </c>
      <c r="B1415" s="2948" t="s">
        <v>635</v>
      </c>
      <c r="C1415" s="2948" t="s">
        <v>636</v>
      </c>
      <c r="D1415" s="2948" t="s">
        <v>1862</v>
      </c>
      <c r="E1415" s="2948" t="s">
        <v>729</v>
      </c>
      <c r="F1415" s="2948" t="s">
        <v>1998</v>
      </c>
      <c r="G1415" s="2948" t="s">
        <v>640</v>
      </c>
      <c r="H1415" s="2948" t="s">
        <v>1863</v>
      </c>
      <c r="I1415" s="2948" t="s">
        <v>1027</v>
      </c>
      <c r="J1415" s="2948" t="s">
        <v>643</v>
      </c>
      <c r="K1415" s="2950">
        <v>33.03</v>
      </c>
      <c r="L1415" s="2950">
        <v>13.25</v>
      </c>
      <c r="M1415" s="2951">
        <v>550164</v>
      </c>
      <c r="N1415" s="2951">
        <v>550164</v>
      </c>
      <c r="O1415" s="2952">
        <v>550164</v>
      </c>
      <c r="P1415" s="2953">
        <v>550164</v>
      </c>
      <c r="Q1415" s="2951">
        <v>550164</v>
      </c>
      <c r="R1415" s="2954">
        <v>45043</v>
      </c>
      <c r="S1415" s="2954">
        <v>45044</v>
      </c>
      <c r="T1415" s="2954">
        <v>45138</v>
      </c>
      <c r="U1415" s="2954">
        <v>45138</v>
      </c>
      <c r="V1415" s="2948" t="s">
        <v>1806</v>
      </c>
      <c r="W1415" s="2944">
        <f t="shared" si="8"/>
        <v>16656.494096276099</v>
      </c>
    </row>
    <row r="1416" spans="1:23" s="2944" customFormat="1" ht="46.8">
      <c r="A1416" s="2948">
        <v>1415</v>
      </c>
      <c r="B1416" s="2948" t="s">
        <v>635</v>
      </c>
      <c r="C1416" s="2948" t="s">
        <v>636</v>
      </c>
      <c r="D1416" s="2948" t="s">
        <v>1862</v>
      </c>
      <c r="E1416" s="2948" t="s">
        <v>729</v>
      </c>
      <c r="F1416" s="2948" t="s">
        <v>1999</v>
      </c>
      <c r="G1416" s="2948" t="s">
        <v>640</v>
      </c>
      <c r="H1416" s="2948" t="s">
        <v>1863</v>
      </c>
      <c r="I1416" s="2948" t="s">
        <v>1027</v>
      </c>
      <c r="J1416" s="2948" t="s">
        <v>643</v>
      </c>
      <c r="K1416" s="2950">
        <v>33.03</v>
      </c>
      <c r="L1416" s="2950">
        <v>13.25</v>
      </c>
      <c r="M1416" s="2951">
        <v>550164</v>
      </c>
      <c r="N1416" s="2951">
        <v>550164</v>
      </c>
      <c r="O1416" s="2952">
        <v>550164</v>
      </c>
      <c r="P1416" s="2953">
        <v>550164</v>
      </c>
      <c r="Q1416" s="2951">
        <v>550164</v>
      </c>
      <c r="R1416" s="2954">
        <v>44736</v>
      </c>
      <c r="S1416" s="2954">
        <v>44737</v>
      </c>
      <c r="T1416" s="2954">
        <v>44753</v>
      </c>
      <c r="U1416" s="2954">
        <v>44753</v>
      </c>
      <c r="V1416" s="2948" t="s">
        <v>1806</v>
      </c>
      <c r="W1416" s="2944">
        <f t="shared" si="8"/>
        <v>16656.494096276099</v>
      </c>
    </row>
    <row r="1417" spans="1:23" s="2944" customFormat="1" ht="46.8">
      <c r="A1417" s="2948">
        <v>1416</v>
      </c>
      <c r="B1417" s="2948" t="s">
        <v>635</v>
      </c>
      <c r="C1417" s="2948" t="s">
        <v>636</v>
      </c>
      <c r="D1417" s="2948" t="s">
        <v>1862</v>
      </c>
      <c r="E1417" s="2948" t="s">
        <v>729</v>
      </c>
      <c r="F1417" s="2948" t="s">
        <v>2000</v>
      </c>
      <c r="G1417" s="2948" t="s">
        <v>640</v>
      </c>
      <c r="H1417" s="2948" t="s">
        <v>1863</v>
      </c>
      <c r="I1417" s="2948" t="s">
        <v>1027</v>
      </c>
      <c r="J1417" s="2948" t="s">
        <v>643</v>
      </c>
      <c r="K1417" s="2950">
        <v>33.03</v>
      </c>
      <c r="L1417" s="2950">
        <v>13.25</v>
      </c>
      <c r="M1417" s="2951">
        <v>550164</v>
      </c>
      <c r="N1417" s="2951">
        <v>550164</v>
      </c>
      <c r="O1417" s="2952">
        <v>550164</v>
      </c>
      <c r="P1417" s="2953">
        <v>550164</v>
      </c>
      <c r="Q1417" s="2951">
        <v>550164</v>
      </c>
      <c r="R1417" s="2954">
        <v>44739</v>
      </c>
      <c r="S1417" s="2954">
        <v>44740</v>
      </c>
      <c r="T1417" s="2954">
        <v>44740</v>
      </c>
      <c r="U1417" s="2954">
        <v>44740</v>
      </c>
      <c r="V1417" s="2948" t="s">
        <v>1583</v>
      </c>
      <c r="W1417" s="2944">
        <f t="shared" si="8"/>
        <v>16656.494096276099</v>
      </c>
    </row>
    <row r="1418" spans="1:23" s="2944" customFormat="1" ht="46.8">
      <c r="A1418" s="2948">
        <v>1417</v>
      </c>
      <c r="B1418" s="2948" t="s">
        <v>635</v>
      </c>
      <c r="C1418" s="2948" t="s">
        <v>636</v>
      </c>
      <c r="D1418" s="2948" t="s">
        <v>1862</v>
      </c>
      <c r="E1418" s="2948" t="s">
        <v>729</v>
      </c>
      <c r="F1418" s="2948" t="s">
        <v>2001</v>
      </c>
      <c r="G1418" s="2948" t="s">
        <v>640</v>
      </c>
      <c r="H1418" s="2948" t="s">
        <v>1863</v>
      </c>
      <c r="I1418" s="2948" t="s">
        <v>1027</v>
      </c>
      <c r="J1418" s="2948" t="s">
        <v>643</v>
      </c>
      <c r="K1418" s="2950">
        <v>33.03</v>
      </c>
      <c r="L1418" s="2950">
        <v>13.25</v>
      </c>
      <c r="M1418" s="2951">
        <v>550164</v>
      </c>
      <c r="N1418" s="2951">
        <v>550164</v>
      </c>
      <c r="O1418" s="2952">
        <v>550164</v>
      </c>
      <c r="P1418" s="2953">
        <v>550164</v>
      </c>
      <c r="Q1418" s="2951">
        <v>550164</v>
      </c>
      <c r="R1418" s="2954">
        <v>45063</v>
      </c>
      <c r="S1418" s="2954">
        <v>45073</v>
      </c>
      <c r="T1418" s="2954">
        <v>45090</v>
      </c>
      <c r="U1418" s="2954">
        <v>45090</v>
      </c>
      <c r="V1418" s="2948" t="s">
        <v>1523</v>
      </c>
      <c r="W1418" s="2944">
        <f t="shared" si="8"/>
        <v>16656.494096276099</v>
      </c>
    </row>
    <row r="1419" spans="1:23" s="2944" customFormat="1" ht="46.8">
      <c r="A1419" s="2948">
        <v>1418</v>
      </c>
      <c r="B1419" s="2948" t="s">
        <v>635</v>
      </c>
      <c r="C1419" s="2948" t="s">
        <v>636</v>
      </c>
      <c r="D1419" s="2948" t="s">
        <v>1862</v>
      </c>
      <c r="E1419" s="2948" t="s">
        <v>729</v>
      </c>
      <c r="F1419" s="2948" t="s">
        <v>2002</v>
      </c>
      <c r="G1419" s="2948" t="s">
        <v>640</v>
      </c>
      <c r="H1419" s="2948" t="s">
        <v>1863</v>
      </c>
      <c r="I1419" s="2948" t="s">
        <v>1027</v>
      </c>
      <c r="J1419" s="2948" t="s">
        <v>643</v>
      </c>
      <c r="K1419" s="2950">
        <v>33.03</v>
      </c>
      <c r="L1419" s="2950">
        <v>13.25</v>
      </c>
      <c r="M1419" s="2951">
        <v>550164</v>
      </c>
      <c r="N1419" s="2951">
        <v>550164</v>
      </c>
      <c r="O1419" s="2952">
        <v>550164</v>
      </c>
      <c r="P1419" s="2953">
        <v>550164</v>
      </c>
      <c r="Q1419" s="2951">
        <v>550164</v>
      </c>
      <c r="R1419" s="2954">
        <v>44554</v>
      </c>
      <c r="S1419" s="2954">
        <v>44559</v>
      </c>
      <c r="T1419" s="2954">
        <v>44636</v>
      </c>
      <c r="U1419" s="2954">
        <v>44636</v>
      </c>
      <c r="V1419" s="2948" t="s">
        <v>1514</v>
      </c>
      <c r="W1419" s="2944">
        <f t="shared" si="8"/>
        <v>16656.494096276099</v>
      </c>
    </row>
    <row r="1420" spans="1:23" s="2944" customFormat="1" ht="46.8">
      <c r="A1420" s="2948">
        <v>1419</v>
      </c>
      <c r="B1420" s="2948" t="s">
        <v>635</v>
      </c>
      <c r="C1420" s="2948" t="s">
        <v>636</v>
      </c>
      <c r="D1420" s="2948" t="s">
        <v>1862</v>
      </c>
      <c r="E1420" s="2948" t="s">
        <v>729</v>
      </c>
      <c r="F1420" s="2948" t="s">
        <v>2003</v>
      </c>
      <c r="G1420" s="2948" t="s">
        <v>640</v>
      </c>
      <c r="H1420" s="2948" t="s">
        <v>1863</v>
      </c>
      <c r="I1420" s="2948" t="s">
        <v>1027</v>
      </c>
      <c r="J1420" s="2948" t="s">
        <v>643</v>
      </c>
      <c r="K1420" s="2950">
        <v>33.03</v>
      </c>
      <c r="L1420" s="2950">
        <v>13.25</v>
      </c>
      <c r="M1420" s="2951">
        <v>550164</v>
      </c>
      <c r="N1420" s="2951">
        <v>550164</v>
      </c>
      <c r="O1420" s="2952">
        <v>550164</v>
      </c>
      <c r="P1420" s="2953">
        <v>550164</v>
      </c>
      <c r="Q1420" s="2951">
        <v>550164</v>
      </c>
      <c r="R1420" s="2954">
        <v>44500</v>
      </c>
      <c r="S1420" s="2954">
        <v>44526</v>
      </c>
      <c r="T1420" s="2954">
        <v>44743</v>
      </c>
      <c r="U1420" s="2954">
        <v>44743</v>
      </c>
      <c r="V1420" s="2948" t="s">
        <v>1497</v>
      </c>
      <c r="W1420" s="2944">
        <f t="shared" si="8"/>
        <v>16656.494096276099</v>
      </c>
    </row>
    <row r="1421" spans="1:23" s="2944" customFormat="1" ht="46.8">
      <c r="A1421" s="2948">
        <v>1420</v>
      </c>
      <c r="B1421" s="2948" t="s">
        <v>635</v>
      </c>
      <c r="C1421" s="2948" t="s">
        <v>636</v>
      </c>
      <c r="D1421" s="2948" t="s">
        <v>1862</v>
      </c>
      <c r="E1421" s="2948" t="s">
        <v>729</v>
      </c>
      <c r="F1421" s="2948" t="s">
        <v>2004</v>
      </c>
      <c r="G1421" s="2948" t="s">
        <v>640</v>
      </c>
      <c r="H1421" s="2948" t="s">
        <v>1863</v>
      </c>
      <c r="I1421" s="2948" t="s">
        <v>1027</v>
      </c>
      <c r="J1421" s="2948" t="s">
        <v>643</v>
      </c>
      <c r="K1421" s="2950">
        <v>33.03</v>
      </c>
      <c r="L1421" s="2950">
        <v>13.25</v>
      </c>
      <c r="M1421" s="2951">
        <v>550164</v>
      </c>
      <c r="N1421" s="2951">
        <v>550164</v>
      </c>
      <c r="O1421" s="2952">
        <v>550164</v>
      </c>
      <c r="P1421" s="2953">
        <v>550164</v>
      </c>
      <c r="Q1421" s="2951">
        <v>550164</v>
      </c>
      <c r="R1421" s="2954">
        <v>44557</v>
      </c>
      <c r="S1421" s="2954">
        <v>44638</v>
      </c>
      <c r="T1421" s="2954">
        <v>44638</v>
      </c>
      <c r="U1421" s="2954">
        <v>44638</v>
      </c>
      <c r="V1421" s="2948" t="s">
        <v>1548</v>
      </c>
      <c r="W1421" s="2944">
        <f t="shared" si="8"/>
        <v>16656.494096276099</v>
      </c>
    </row>
    <row r="1422" spans="1:23" s="2944" customFormat="1" ht="46.8">
      <c r="A1422" s="2948">
        <v>1421</v>
      </c>
      <c r="B1422" s="2948" t="s">
        <v>635</v>
      </c>
      <c r="C1422" s="2948" t="s">
        <v>636</v>
      </c>
      <c r="D1422" s="2948" t="s">
        <v>1862</v>
      </c>
      <c r="E1422" s="2948" t="s">
        <v>729</v>
      </c>
      <c r="F1422" s="2948" t="s">
        <v>2005</v>
      </c>
      <c r="G1422" s="2948" t="s">
        <v>640</v>
      </c>
      <c r="H1422" s="2948" t="s">
        <v>1863</v>
      </c>
      <c r="I1422" s="2948" t="s">
        <v>1027</v>
      </c>
      <c r="J1422" s="2948" t="s">
        <v>643</v>
      </c>
      <c r="K1422" s="2950">
        <v>33.03</v>
      </c>
      <c r="L1422" s="2950">
        <v>13.25</v>
      </c>
      <c r="M1422" s="2951">
        <v>550164</v>
      </c>
      <c r="N1422" s="2951">
        <v>550164</v>
      </c>
      <c r="O1422" s="2952">
        <v>550164</v>
      </c>
      <c r="P1422" s="2953">
        <v>550164</v>
      </c>
      <c r="Q1422" s="2951">
        <v>550164</v>
      </c>
      <c r="R1422" s="2954">
        <v>44493</v>
      </c>
      <c r="S1422" s="2954">
        <v>44497</v>
      </c>
      <c r="T1422" s="2954">
        <v>44661</v>
      </c>
      <c r="U1422" s="2954">
        <v>44661</v>
      </c>
      <c r="V1422" s="2948" t="s">
        <v>1509</v>
      </c>
      <c r="W1422" s="2944">
        <f t="shared" si="8"/>
        <v>16656.494096276099</v>
      </c>
    </row>
    <row r="1423" spans="1:23" s="2944" customFormat="1" ht="46.8">
      <c r="A1423" s="2948">
        <v>1422</v>
      </c>
      <c r="B1423" s="2948" t="s">
        <v>635</v>
      </c>
      <c r="C1423" s="2948" t="s">
        <v>636</v>
      </c>
      <c r="D1423" s="2948" t="s">
        <v>1862</v>
      </c>
      <c r="E1423" s="2948" t="s">
        <v>729</v>
      </c>
      <c r="F1423" s="2948" t="s">
        <v>2006</v>
      </c>
      <c r="G1423" s="2948" t="s">
        <v>640</v>
      </c>
      <c r="H1423" s="2948" t="s">
        <v>1863</v>
      </c>
      <c r="I1423" s="2948" t="s">
        <v>1027</v>
      </c>
      <c r="J1423" s="2948" t="s">
        <v>643</v>
      </c>
      <c r="K1423" s="2950">
        <v>33.03</v>
      </c>
      <c r="L1423" s="2950">
        <v>13.25</v>
      </c>
      <c r="M1423" s="2951">
        <v>550164</v>
      </c>
      <c r="N1423" s="2951">
        <v>550164</v>
      </c>
      <c r="O1423" s="2952">
        <v>550164</v>
      </c>
      <c r="P1423" s="2953">
        <v>550164</v>
      </c>
      <c r="Q1423" s="2951">
        <v>550164</v>
      </c>
      <c r="R1423" s="2954">
        <v>44734</v>
      </c>
      <c r="S1423" s="2954">
        <v>44737</v>
      </c>
      <c r="T1423" s="2954">
        <v>44756</v>
      </c>
      <c r="U1423" s="2954">
        <v>44756</v>
      </c>
      <c r="V1423" s="2948" t="s">
        <v>1502</v>
      </c>
      <c r="W1423" s="2944">
        <f t="shared" si="8"/>
        <v>16656.494096276099</v>
      </c>
    </row>
    <row r="1424" spans="1:23" s="2944" customFormat="1" ht="46.8">
      <c r="A1424" s="2948">
        <v>1423</v>
      </c>
      <c r="B1424" s="2948" t="s">
        <v>635</v>
      </c>
      <c r="C1424" s="2948" t="s">
        <v>636</v>
      </c>
      <c r="D1424" s="2948" t="s">
        <v>1862</v>
      </c>
      <c r="E1424" s="2948" t="s">
        <v>729</v>
      </c>
      <c r="F1424" s="2948" t="s">
        <v>2007</v>
      </c>
      <c r="G1424" s="2948" t="s">
        <v>640</v>
      </c>
      <c r="H1424" s="2948" t="s">
        <v>1863</v>
      </c>
      <c r="I1424" s="2948" t="s">
        <v>1027</v>
      </c>
      <c r="J1424" s="2948" t="s">
        <v>643</v>
      </c>
      <c r="K1424" s="2950">
        <v>33.03</v>
      </c>
      <c r="L1424" s="2950">
        <v>13.25</v>
      </c>
      <c r="M1424" s="2951">
        <v>550164</v>
      </c>
      <c r="N1424" s="2951">
        <v>550164</v>
      </c>
      <c r="O1424" s="2952">
        <v>550164</v>
      </c>
      <c r="P1424" s="2953">
        <v>550164</v>
      </c>
      <c r="Q1424" s="2951">
        <v>550164</v>
      </c>
      <c r="R1424" s="2954">
        <v>45044</v>
      </c>
      <c r="S1424" s="2954">
        <v>45044</v>
      </c>
      <c r="T1424" s="2954">
        <v>45090</v>
      </c>
      <c r="U1424" s="2954">
        <v>45090</v>
      </c>
      <c r="V1424" s="2948" t="s">
        <v>1523</v>
      </c>
      <c r="W1424" s="2944">
        <f t="shared" ref="W1424:W1430" si="9">O1424/K1424</f>
        <v>16656.494096276099</v>
      </c>
    </row>
    <row r="1425" spans="1:23" s="2944" customFormat="1" ht="46.8">
      <c r="A1425" s="2948">
        <v>1424</v>
      </c>
      <c r="B1425" s="2948" t="s">
        <v>635</v>
      </c>
      <c r="C1425" s="2948" t="s">
        <v>636</v>
      </c>
      <c r="D1425" s="2948" t="s">
        <v>1862</v>
      </c>
      <c r="E1425" s="2948" t="s">
        <v>729</v>
      </c>
      <c r="F1425" s="2948" t="s">
        <v>2008</v>
      </c>
      <c r="G1425" s="2948" t="s">
        <v>640</v>
      </c>
      <c r="H1425" s="2948" t="s">
        <v>1863</v>
      </c>
      <c r="I1425" s="2948" t="s">
        <v>1027</v>
      </c>
      <c r="J1425" s="2948" t="s">
        <v>643</v>
      </c>
      <c r="K1425" s="2950">
        <v>33.03</v>
      </c>
      <c r="L1425" s="2950">
        <v>13.25</v>
      </c>
      <c r="M1425" s="2951">
        <v>550164</v>
      </c>
      <c r="N1425" s="2951">
        <v>550164</v>
      </c>
      <c r="O1425" s="2952">
        <v>550164</v>
      </c>
      <c r="P1425" s="2953">
        <v>550164</v>
      </c>
      <c r="Q1425" s="2951">
        <v>550164</v>
      </c>
      <c r="R1425" s="2954">
        <v>44554</v>
      </c>
      <c r="S1425" s="2954">
        <v>44561</v>
      </c>
      <c r="T1425" s="2948"/>
      <c r="U1425" s="2948"/>
      <c r="V1425" s="2948" t="s">
        <v>1695</v>
      </c>
      <c r="W1425" s="2944">
        <f t="shared" si="9"/>
        <v>16656.494096276099</v>
      </c>
    </row>
    <row r="1426" spans="1:23" s="2944" customFormat="1" ht="46.8">
      <c r="A1426" s="2948">
        <v>1425</v>
      </c>
      <c r="B1426" s="2948" t="s">
        <v>635</v>
      </c>
      <c r="C1426" s="2948" t="s">
        <v>636</v>
      </c>
      <c r="D1426" s="2948" t="s">
        <v>1862</v>
      </c>
      <c r="E1426" s="2948" t="s">
        <v>729</v>
      </c>
      <c r="F1426" s="2948" t="s">
        <v>2009</v>
      </c>
      <c r="G1426" s="2948" t="s">
        <v>640</v>
      </c>
      <c r="H1426" s="2948" t="s">
        <v>1863</v>
      </c>
      <c r="I1426" s="2948" t="s">
        <v>1027</v>
      </c>
      <c r="J1426" s="2948" t="s">
        <v>643</v>
      </c>
      <c r="K1426" s="2950">
        <v>33.03</v>
      </c>
      <c r="L1426" s="2950">
        <v>13.25</v>
      </c>
      <c r="M1426" s="2951">
        <v>550164</v>
      </c>
      <c r="N1426" s="2951">
        <v>550164</v>
      </c>
      <c r="O1426" s="2952">
        <v>550164</v>
      </c>
      <c r="P1426" s="2953">
        <v>550164</v>
      </c>
      <c r="Q1426" s="2951">
        <v>550164</v>
      </c>
      <c r="R1426" s="2954">
        <v>44734</v>
      </c>
      <c r="S1426" s="2954">
        <v>44736</v>
      </c>
      <c r="T1426" s="2954">
        <v>44756</v>
      </c>
      <c r="U1426" s="2954">
        <v>44756</v>
      </c>
      <c r="V1426" s="2948" t="s">
        <v>1508</v>
      </c>
      <c r="W1426" s="2944">
        <f t="shared" si="9"/>
        <v>16656.494096276099</v>
      </c>
    </row>
    <row r="1427" spans="1:23" s="2944" customFormat="1" ht="46.8">
      <c r="A1427" s="2948">
        <v>1426</v>
      </c>
      <c r="B1427" s="2948" t="s">
        <v>635</v>
      </c>
      <c r="C1427" s="2948" t="s">
        <v>636</v>
      </c>
      <c r="D1427" s="2948" t="s">
        <v>1862</v>
      </c>
      <c r="E1427" s="2948" t="s">
        <v>729</v>
      </c>
      <c r="F1427" s="2948" t="s">
        <v>2010</v>
      </c>
      <c r="G1427" s="2948" t="s">
        <v>640</v>
      </c>
      <c r="H1427" s="2948" t="s">
        <v>1863</v>
      </c>
      <c r="I1427" s="2948" t="s">
        <v>1027</v>
      </c>
      <c r="J1427" s="2948" t="s">
        <v>643</v>
      </c>
      <c r="K1427" s="2950">
        <v>33.03</v>
      </c>
      <c r="L1427" s="2950">
        <v>13.25</v>
      </c>
      <c r="M1427" s="2951">
        <v>550164</v>
      </c>
      <c r="N1427" s="2951">
        <v>550164</v>
      </c>
      <c r="O1427" s="2952">
        <v>550164</v>
      </c>
      <c r="P1427" s="2953">
        <v>550164</v>
      </c>
      <c r="Q1427" s="2951">
        <v>550164</v>
      </c>
      <c r="R1427" s="2954">
        <v>44736</v>
      </c>
      <c r="S1427" s="2954">
        <v>44737</v>
      </c>
      <c r="T1427" s="2954">
        <v>44750</v>
      </c>
      <c r="U1427" s="2954">
        <v>44750</v>
      </c>
      <c r="V1427" s="2948" t="s">
        <v>1475</v>
      </c>
      <c r="W1427" s="2944">
        <f t="shared" si="9"/>
        <v>16656.494096276099</v>
      </c>
    </row>
    <row r="1428" spans="1:23" s="2944" customFormat="1" ht="46.8">
      <c r="A1428" s="2948">
        <v>1427</v>
      </c>
      <c r="B1428" s="2948" t="s">
        <v>635</v>
      </c>
      <c r="C1428" s="2948" t="s">
        <v>636</v>
      </c>
      <c r="D1428" s="2948" t="s">
        <v>1862</v>
      </c>
      <c r="E1428" s="2948" t="s">
        <v>729</v>
      </c>
      <c r="F1428" s="2948" t="s">
        <v>2011</v>
      </c>
      <c r="G1428" s="2948" t="s">
        <v>640</v>
      </c>
      <c r="H1428" s="2948" t="s">
        <v>1863</v>
      </c>
      <c r="I1428" s="2948" t="s">
        <v>1027</v>
      </c>
      <c r="J1428" s="2948" t="s">
        <v>643</v>
      </c>
      <c r="K1428" s="2950">
        <v>33.03</v>
      </c>
      <c r="L1428" s="2950">
        <v>13.25</v>
      </c>
      <c r="M1428" s="2951">
        <v>550164</v>
      </c>
      <c r="N1428" s="2951">
        <v>550164</v>
      </c>
      <c r="O1428" s="2952">
        <v>550164</v>
      </c>
      <c r="P1428" s="2953">
        <v>550164</v>
      </c>
      <c r="Q1428" s="2951">
        <v>550164</v>
      </c>
      <c r="R1428" s="2954">
        <v>44737</v>
      </c>
      <c r="S1428" s="2954">
        <v>44737</v>
      </c>
      <c r="T1428" s="2954">
        <v>44739</v>
      </c>
      <c r="U1428" s="2954">
        <v>44739</v>
      </c>
      <c r="V1428" s="2948" t="s">
        <v>1754</v>
      </c>
      <c r="W1428" s="2944">
        <f t="shared" si="9"/>
        <v>16656.494096276099</v>
      </c>
    </row>
    <row r="1429" spans="1:23" s="2944" customFormat="1" ht="46.8">
      <c r="A1429" s="2948">
        <v>1428</v>
      </c>
      <c r="B1429" s="2948" t="s">
        <v>635</v>
      </c>
      <c r="C1429" s="2948" t="s">
        <v>636</v>
      </c>
      <c r="D1429" s="2948" t="s">
        <v>1862</v>
      </c>
      <c r="E1429" s="2948" t="s">
        <v>729</v>
      </c>
      <c r="F1429" s="2948" t="s">
        <v>2012</v>
      </c>
      <c r="G1429" s="2948" t="s">
        <v>640</v>
      </c>
      <c r="H1429" s="2948" t="s">
        <v>1863</v>
      </c>
      <c r="I1429" s="2948" t="s">
        <v>1027</v>
      </c>
      <c r="J1429" s="2948" t="s">
        <v>643</v>
      </c>
      <c r="K1429" s="2950">
        <v>33.03</v>
      </c>
      <c r="L1429" s="2950">
        <v>13.25</v>
      </c>
      <c r="M1429" s="2951">
        <v>550164</v>
      </c>
      <c r="N1429" s="2951">
        <v>550164</v>
      </c>
      <c r="O1429" s="2952">
        <v>550164</v>
      </c>
      <c r="P1429" s="2953">
        <v>550164</v>
      </c>
      <c r="Q1429" s="2951">
        <v>550164</v>
      </c>
      <c r="R1429" s="2954">
        <v>44557</v>
      </c>
      <c r="S1429" s="2954">
        <v>44559</v>
      </c>
      <c r="T1429" s="2954">
        <v>44636</v>
      </c>
      <c r="U1429" s="2954">
        <v>44636</v>
      </c>
      <c r="V1429" s="2948" t="s">
        <v>1804</v>
      </c>
      <c r="W1429" s="2944">
        <f t="shared" si="9"/>
        <v>16656.494096276099</v>
      </c>
    </row>
    <row r="1430" spans="1:23" s="2944" customFormat="1" ht="46.8" hidden="1">
      <c r="A1430" s="2948">
        <v>1429</v>
      </c>
      <c r="B1430" s="2948" t="s">
        <v>635</v>
      </c>
      <c r="C1430" s="2948" t="s">
        <v>636</v>
      </c>
      <c r="D1430" s="2948" t="s">
        <v>1862</v>
      </c>
      <c r="E1430" s="2948" t="s">
        <v>729</v>
      </c>
      <c r="F1430" s="2948" t="s">
        <v>2013</v>
      </c>
      <c r="G1430" s="2948" t="s">
        <v>1035</v>
      </c>
      <c r="H1430" s="2948" t="s">
        <v>1863</v>
      </c>
      <c r="I1430" s="2948" t="s">
        <v>1027</v>
      </c>
      <c r="J1430" s="2948" t="s">
        <v>643</v>
      </c>
      <c r="K1430" s="2950">
        <v>33.03</v>
      </c>
      <c r="L1430" s="2950">
        <v>13.25</v>
      </c>
      <c r="M1430" s="2951">
        <v>550164</v>
      </c>
      <c r="N1430" s="2951">
        <v>550164</v>
      </c>
      <c r="O1430" s="2955"/>
      <c r="P1430" s="2948"/>
      <c r="Q1430" s="2951">
        <v>0</v>
      </c>
      <c r="R1430" s="2948"/>
      <c r="S1430" s="2948"/>
      <c r="T1430" s="2948"/>
      <c r="U1430" s="2948"/>
      <c r="V1430" s="2948"/>
      <c r="W1430" s="2944">
        <f t="shared" si="9"/>
        <v>0</v>
      </c>
    </row>
    <row r="1431" spans="1:23" s="2944" customFormat="1" ht="46.8" hidden="1">
      <c r="A1431" s="2948">
        <v>1430</v>
      </c>
      <c r="B1431" s="2948" t="s">
        <v>635</v>
      </c>
      <c r="C1431" s="2948" t="s">
        <v>636</v>
      </c>
      <c r="D1431" s="2948" t="s">
        <v>2014</v>
      </c>
      <c r="E1431" s="2948" t="s">
        <v>729</v>
      </c>
      <c r="F1431" s="2948" t="s">
        <v>2015</v>
      </c>
      <c r="G1431" s="2948" t="s">
        <v>1035</v>
      </c>
      <c r="H1431" s="2948" t="s">
        <v>2016</v>
      </c>
      <c r="I1431" s="2948" t="s">
        <v>1279</v>
      </c>
      <c r="J1431" s="2948" t="s">
        <v>643</v>
      </c>
      <c r="K1431" s="2950">
        <v>33.03</v>
      </c>
      <c r="L1431" s="2950">
        <v>13.25</v>
      </c>
      <c r="M1431" s="2951">
        <v>500000</v>
      </c>
      <c r="N1431" s="2951">
        <v>500000</v>
      </c>
      <c r="O1431" s="2955"/>
      <c r="P1431" s="2948"/>
      <c r="Q1431" s="2951">
        <v>0</v>
      </c>
      <c r="R1431" s="2948"/>
      <c r="S1431" s="2948"/>
      <c r="T1431" s="2948"/>
      <c r="U1431" s="2948"/>
      <c r="V1431" s="2948"/>
    </row>
    <row r="1432" spans="1:23" s="2944" customFormat="1" ht="46.8" hidden="1">
      <c r="A1432" s="2948">
        <v>1431</v>
      </c>
      <c r="B1432" s="2948" t="s">
        <v>635</v>
      </c>
      <c r="C1432" s="2948" t="s">
        <v>636</v>
      </c>
      <c r="D1432" s="2948" t="s">
        <v>2014</v>
      </c>
      <c r="E1432" s="2948" t="s">
        <v>729</v>
      </c>
      <c r="F1432" s="2948" t="s">
        <v>2017</v>
      </c>
      <c r="G1432" s="2948" t="s">
        <v>1035</v>
      </c>
      <c r="H1432" s="2948" t="s">
        <v>2016</v>
      </c>
      <c r="I1432" s="2948" t="s">
        <v>1279</v>
      </c>
      <c r="J1432" s="2948" t="s">
        <v>643</v>
      </c>
      <c r="K1432" s="2950">
        <v>33.03</v>
      </c>
      <c r="L1432" s="2950">
        <v>13.25</v>
      </c>
      <c r="M1432" s="2951">
        <v>500000</v>
      </c>
      <c r="N1432" s="2951">
        <v>500000</v>
      </c>
      <c r="O1432" s="2955"/>
      <c r="P1432" s="2948"/>
      <c r="Q1432" s="2951">
        <v>0</v>
      </c>
      <c r="R1432" s="2948"/>
      <c r="S1432" s="2948"/>
      <c r="T1432" s="2948"/>
      <c r="U1432" s="2948"/>
      <c r="V1432" s="2948"/>
    </row>
    <row r="1433" spans="1:23" s="2944" customFormat="1" ht="46.8" hidden="1">
      <c r="A1433" s="2948">
        <v>1432</v>
      </c>
      <c r="B1433" s="2948" t="s">
        <v>635</v>
      </c>
      <c r="C1433" s="2948" t="s">
        <v>636</v>
      </c>
      <c r="D1433" s="2948" t="s">
        <v>2014</v>
      </c>
      <c r="E1433" s="2948" t="s">
        <v>729</v>
      </c>
      <c r="F1433" s="2948" t="s">
        <v>2018</v>
      </c>
      <c r="G1433" s="2948" t="s">
        <v>1035</v>
      </c>
      <c r="H1433" s="2948" t="s">
        <v>2016</v>
      </c>
      <c r="I1433" s="2948" t="s">
        <v>1279</v>
      </c>
      <c r="J1433" s="2948" t="s">
        <v>643</v>
      </c>
      <c r="K1433" s="2950">
        <v>33.03</v>
      </c>
      <c r="L1433" s="2950">
        <v>13.25</v>
      </c>
      <c r="M1433" s="2951">
        <v>500000</v>
      </c>
      <c r="N1433" s="2951">
        <v>500000</v>
      </c>
      <c r="O1433" s="2955"/>
      <c r="P1433" s="2948"/>
      <c r="Q1433" s="2951">
        <v>0</v>
      </c>
      <c r="R1433" s="2948"/>
      <c r="S1433" s="2948"/>
      <c r="T1433" s="2948"/>
      <c r="U1433" s="2948"/>
      <c r="V1433" s="2948"/>
    </row>
    <row r="1434" spans="1:23" s="2944" customFormat="1" ht="46.8" hidden="1">
      <c r="A1434" s="2948">
        <v>1433</v>
      </c>
      <c r="B1434" s="2948" t="s">
        <v>635</v>
      </c>
      <c r="C1434" s="2948" t="s">
        <v>636</v>
      </c>
      <c r="D1434" s="2948" t="s">
        <v>2014</v>
      </c>
      <c r="E1434" s="2948" t="s">
        <v>729</v>
      </c>
      <c r="F1434" s="2948" t="s">
        <v>2019</v>
      </c>
      <c r="G1434" s="2948" t="s">
        <v>1035</v>
      </c>
      <c r="H1434" s="2948" t="s">
        <v>2016</v>
      </c>
      <c r="I1434" s="2948" t="s">
        <v>1279</v>
      </c>
      <c r="J1434" s="2948" t="s">
        <v>643</v>
      </c>
      <c r="K1434" s="2950">
        <v>33.03</v>
      </c>
      <c r="L1434" s="2950">
        <v>13.25</v>
      </c>
      <c r="M1434" s="2951">
        <v>500000</v>
      </c>
      <c r="N1434" s="2951">
        <v>500000</v>
      </c>
      <c r="O1434" s="2955"/>
      <c r="P1434" s="2948"/>
      <c r="Q1434" s="2951">
        <v>0</v>
      </c>
      <c r="R1434" s="2948"/>
      <c r="S1434" s="2948"/>
      <c r="T1434" s="2948"/>
      <c r="U1434" s="2948"/>
      <c r="V1434" s="2948"/>
    </row>
    <row r="1435" spans="1:23" s="2944" customFormat="1" ht="46.8" hidden="1">
      <c r="A1435" s="2948">
        <v>1434</v>
      </c>
      <c r="B1435" s="2948" t="s">
        <v>635</v>
      </c>
      <c r="C1435" s="2948" t="s">
        <v>636</v>
      </c>
      <c r="D1435" s="2948" t="s">
        <v>2014</v>
      </c>
      <c r="E1435" s="2948" t="s">
        <v>729</v>
      </c>
      <c r="F1435" s="2948" t="s">
        <v>2020</v>
      </c>
      <c r="G1435" s="2948" t="s">
        <v>1035</v>
      </c>
      <c r="H1435" s="2948" t="s">
        <v>2021</v>
      </c>
      <c r="I1435" s="2948" t="s">
        <v>1279</v>
      </c>
      <c r="J1435" s="2948" t="s">
        <v>643</v>
      </c>
      <c r="K1435" s="2950">
        <v>26</v>
      </c>
      <c r="L1435" s="2950">
        <v>10.8</v>
      </c>
      <c r="M1435" s="2951">
        <v>500000</v>
      </c>
      <c r="N1435" s="2951">
        <v>500000</v>
      </c>
      <c r="O1435" s="2955"/>
      <c r="P1435" s="2948"/>
      <c r="Q1435" s="2951">
        <v>0</v>
      </c>
      <c r="R1435" s="2948"/>
      <c r="S1435" s="2948"/>
      <c r="T1435" s="2948"/>
      <c r="U1435" s="2948"/>
      <c r="V1435" s="2948"/>
    </row>
    <row r="1436" spans="1:23" s="2944" customFormat="1" ht="46.8">
      <c r="A1436" s="2948">
        <v>1435</v>
      </c>
      <c r="B1436" s="2948" t="s">
        <v>635</v>
      </c>
      <c r="C1436" s="2948" t="s">
        <v>636</v>
      </c>
      <c r="D1436" s="2948" t="s">
        <v>2014</v>
      </c>
      <c r="E1436" s="2948" t="s">
        <v>729</v>
      </c>
      <c r="F1436" s="2948" t="s">
        <v>2022</v>
      </c>
      <c r="G1436" s="2948" t="s">
        <v>640</v>
      </c>
      <c r="H1436" s="2948" t="s">
        <v>2016</v>
      </c>
      <c r="I1436" s="2948" t="s">
        <v>1279</v>
      </c>
      <c r="J1436" s="2948" t="s">
        <v>643</v>
      </c>
      <c r="K1436" s="2950">
        <v>33.03</v>
      </c>
      <c r="L1436" s="2950">
        <v>13.25</v>
      </c>
      <c r="M1436" s="2951">
        <v>550164</v>
      </c>
      <c r="N1436" s="2951">
        <v>550164</v>
      </c>
      <c r="O1436" s="2952">
        <v>500000</v>
      </c>
      <c r="P1436" s="2953">
        <v>500000</v>
      </c>
      <c r="Q1436" s="2951">
        <v>500000</v>
      </c>
      <c r="R1436" s="2954">
        <v>45044</v>
      </c>
      <c r="S1436" s="2954">
        <v>45044</v>
      </c>
      <c r="T1436" s="2948"/>
      <c r="U1436" s="2948"/>
      <c r="V1436" s="2948" t="s">
        <v>1609</v>
      </c>
    </row>
    <row r="1437" spans="1:23" s="2944" customFormat="1" ht="46.8">
      <c r="A1437" s="2948">
        <v>1436</v>
      </c>
      <c r="B1437" s="2948" t="s">
        <v>635</v>
      </c>
      <c r="C1437" s="2948" t="s">
        <v>636</v>
      </c>
      <c r="D1437" s="2948" t="s">
        <v>2014</v>
      </c>
      <c r="E1437" s="2948" t="s">
        <v>729</v>
      </c>
      <c r="F1437" s="2948" t="s">
        <v>2023</v>
      </c>
      <c r="G1437" s="2948" t="s">
        <v>640</v>
      </c>
      <c r="H1437" s="2948" t="s">
        <v>2016</v>
      </c>
      <c r="I1437" s="2948" t="s">
        <v>1279</v>
      </c>
      <c r="J1437" s="2948" t="s">
        <v>643</v>
      </c>
      <c r="K1437" s="2950">
        <v>33.03</v>
      </c>
      <c r="L1437" s="2950">
        <v>13.25</v>
      </c>
      <c r="M1437" s="2951">
        <v>500000</v>
      </c>
      <c r="N1437" s="2951">
        <v>500000</v>
      </c>
      <c r="O1437" s="2952">
        <v>500000</v>
      </c>
      <c r="P1437" s="2953">
        <v>500000</v>
      </c>
      <c r="Q1437" s="2951">
        <v>500000</v>
      </c>
      <c r="R1437" s="2954">
        <v>45197</v>
      </c>
      <c r="S1437" s="2954">
        <v>45197</v>
      </c>
      <c r="T1437" s="2948"/>
      <c r="U1437" s="2948"/>
      <c r="V1437" s="2948" t="s">
        <v>1289</v>
      </c>
    </row>
    <row r="1438" spans="1:23" s="2944" customFormat="1" ht="46.8">
      <c r="A1438" s="2948">
        <v>1437</v>
      </c>
      <c r="B1438" s="2948" t="s">
        <v>635</v>
      </c>
      <c r="C1438" s="2948" t="s">
        <v>636</v>
      </c>
      <c r="D1438" s="2948" t="s">
        <v>2014</v>
      </c>
      <c r="E1438" s="2948" t="s">
        <v>729</v>
      </c>
      <c r="F1438" s="2948" t="s">
        <v>2024</v>
      </c>
      <c r="G1438" s="2948" t="s">
        <v>640</v>
      </c>
      <c r="H1438" s="2948" t="s">
        <v>2016</v>
      </c>
      <c r="I1438" s="2948" t="s">
        <v>1279</v>
      </c>
      <c r="J1438" s="2948" t="s">
        <v>643</v>
      </c>
      <c r="K1438" s="2950">
        <v>33.03</v>
      </c>
      <c r="L1438" s="2950">
        <v>13.25</v>
      </c>
      <c r="M1438" s="2951">
        <v>550164</v>
      </c>
      <c r="N1438" s="2951">
        <v>550164</v>
      </c>
      <c r="O1438" s="2952">
        <v>500000</v>
      </c>
      <c r="P1438" s="2953">
        <v>500000</v>
      </c>
      <c r="Q1438" s="2951">
        <v>500000</v>
      </c>
      <c r="R1438" s="2954">
        <v>45044</v>
      </c>
      <c r="S1438" s="2954">
        <v>45044</v>
      </c>
      <c r="T1438" s="2948"/>
      <c r="U1438" s="2948"/>
      <c r="V1438" s="2948" t="s">
        <v>1580</v>
      </c>
    </row>
    <row r="1439" spans="1:23" s="2944" customFormat="1" ht="46.8" hidden="1">
      <c r="A1439" s="2948">
        <v>1438</v>
      </c>
      <c r="B1439" s="2948" t="s">
        <v>635</v>
      </c>
      <c r="C1439" s="2948" t="s">
        <v>636</v>
      </c>
      <c r="D1439" s="2948" t="s">
        <v>2014</v>
      </c>
      <c r="E1439" s="2948" t="s">
        <v>729</v>
      </c>
      <c r="F1439" s="2948" t="s">
        <v>2025</v>
      </c>
      <c r="G1439" s="2948" t="s">
        <v>1035</v>
      </c>
      <c r="H1439" s="2948" t="s">
        <v>2016</v>
      </c>
      <c r="I1439" s="2948" t="s">
        <v>1279</v>
      </c>
      <c r="J1439" s="2948" t="s">
        <v>643</v>
      </c>
      <c r="K1439" s="2950">
        <v>33.03</v>
      </c>
      <c r="L1439" s="2950">
        <v>13.25</v>
      </c>
      <c r="M1439" s="2951">
        <v>500000</v>
      </c>
      <c r="N1439" s="2951">
        <v>500000</v>
      </c>
      <c r="O1439" s="2955"/>
      <c r="P1439" s="2948"/>
      <c r="Q1439" s="2951">
        <v>0</v>
      </c>
      <c r="R1439" s="2948"/>
      <c r="S1439" s="2948"/>
      <c r="T1439" s="2948"/>
      <c r="U1439" s="2948"/>
      <c r="V1439" s="2948"/>
    </row>
    <row r="1440" spans="1:23" s="2944" customFormat="1" ht="46.8" hidden="1">
      <c r="A1440" s="2948">
        <v>1439</v>
      </c>
      <c r="B1440" s="2948" t="s">
        <v>635</v>
      </c>
      <c r="C1440" s="2948" t="s">
        <v>636</v>
      </c>
      <c r="D1440" s="2948" t="s">
        <v>2014</v>
      </c>
      <c r="E1440" s="2948" t="s">
        <v>729</v>
      </c>
      <c r="F1440" s="2948" t="s">
        <v>2026</v>
      </c>
      <c r="G1440" s="2948" t="s">
        <v>1035</v>
      </c>
      <c r="H1440" s="2948" t="s">
        <v>2016</v>
      </c>
      <c r="I1440" s="2948" t="s">
        <v>1279</v>
      </c>
      <c r="J1440" s="2948" t="s">
        <v>643</v>
      </c>
      <c r="K1440" s="2950">
        <v>33.03</v>
      </c>
      <c r="L1440" s="2950">
        <v>13.25</v>
      </c>
      <c r="M1440" s="2951">
        <v>500000</v>
      </c>
      <c r="N1440" s="2951">
        <v>500000</v>
      </c>
      <c r="O1440" s="2955"/>
      <c r="P1440" s="2948"/>
      <c r="Q1440" s="2951">
        <v>0</v>
      </c>
      <c r="R1440" s="2948"/>
      <c r="S1440" s="2948"/>
      <c r="T1440" s="2948"/>
      <c r="U1440" s="2948"/>
      <c r="V1440" s="2948"/>
    </row>
    <row r="1441" spans="1:22" s="2944" customFormat="1" ht="46.8" hidden="1">
      <c r="A1441" s="2948">
        <v>1440</v>
      </c>
      <c r="B1441" s="2948" t="s">
        <v>635</v>
      </c>
      <c r="C1441" s="2948" t="s">
        <v>636</v>
      </c>
      <c r="D1441" s="2948" t="s">
        <v>2014</v>
      </c>
      <c r="E1441" s="2948" t="s">
        <v>729</v>
      </c>
      <c r="F1441" s="2948" t="s">
        <v>2027</v>
      </c>
      <c r="G1441" s="2948" t="s">
        <v>1035</v>
      </c>
      <c r="H1441" s="2948" t="s">
        <v>2016</v>
      </c>
      <c r="I1441" s="2948" t="s">
        <v>1279</v>
      </c>
      <c r="J1441" s="2948" t="s">
        <v>643</v>
      </c>
      <c r="K1441" s="2950">
        <v>33.03</v>
      </c>
      <c r="L1441" s="2950">
        <v>13.25</v>
      </c>
      <c r="M1441" s="2951">
        <v>500000</v>
      </c>
      <c r="N1441" s="2951">
        <v>500000</v>
      </c>
      <c r="O1441" s="2955"/>
      <c r="P1441" s="2948"/>
      <c r="Q1441" s="2951">
        <v>0</v>
      </c>
      <c r="R1441" s="2948"/>
      <c r="S1441" s="2948"/>
      <c r="T1441" s="2948"/>
      <c r="U1441" s="2948"/>
      <c r="V1441" s="2948"/>
    </row>
    <row r="1442" spans="1:22" s="2944" customFormat="1" ht="46.8">
      <c r="A1442" s="2948">
        <v>1441</v>
      </c>
      <c r="B1442" s="2948" t="s">
        <v>635</v>
      </c>
      <c r="C1442" s="2948" t="s">
        <v>636</v>
      </c>
      <c r="D1442" s="2948" t="s">
        <v>2014</v>
      </c>
      <c r="E1442" s="2948" t="s">
        <v>729</v>
      </c>
      <c r="F1442" s="2948" t="s">
        <v>2028</v>
      </c>
      <c r="G1442" s="2948" t="s">
        <v>640</v>
      </c>
      <c r="H1442" s="2948" t="s">
        <v>2016</v>
      </c>
      <c r="I1442" s="2948" t="s">
        <v>1279</v>
      </c>
      <c r="J1442" s="2948" t="s">
        <v>643</v>
      </c>
      <c r="K1442" s="2950">
        <v>33.03</v>
      </c>
      <c r="L1442" s="2950">
        <v>13.25</v>
      </c>
      <c r="M1442" s="2951">
        <v>550164</v>
      </c>
      <c r="N1442" s="2951">
        <v>550164</v>
      </c>
      <c r="O1442" s="2952">
        <v>500000</v>
      </c>
      <c r="P1442" s="2953">
        <v>500000</v>
      </c>
      <c r="Q1442" s="2951">
        <v>500000</v>
      </c>
      <c r="R1442" s="2954">
        <v>45044</v>
      </c>
      <c r="S1442" s="2954">
        <v>45044</v>
      </c>
      <c r="T1442" s="2948"/>
      <c r="U1442" s="2948"/>
      <c r="V1442" s="2948" t="s">
        <v>1574</v>
      </c>
    </row>
    <row r="1443" spans="1:22" s="2944" customFormat="1" ht="46.8" hidden="1">
      <c r="A1443" s="2948">
        <v>1442</v>
      </c>
      <c r="B1443" s="2948" t="s">
        <v>635</v>
      </c>
      <c r="C1443" s="2948" t="s">
        <v>636</v>
      </c>
      <c r="D1443" s="2948" t="s">
        <v>2014</v>
      </c>
      <c r="E1443" s="2948" t="s">
        <v>729</v>
      </c>
      <c r="F1443" s="2948" t="s">
        <v>2029</v>
      </c>
      <c r="G1443" s="2948" t="s">
        <v>1035</v>
      </c>
      <c r="H1443" s="2948" t="s">
        <v>2016</v>
      </c>
      <c r="I1443" s="2948" t="s">
        <v>1279</v>
      </c>
      <c r="J1443" s="2948" t="s">
        <v>643</v>
      </c>
      <c r="K1443" s="2950">
        <v>33.03</v>
      </c>
      <c r="L1443" s="2950">
        <v>13.25</v>
      </c>
      <c r="M1443" s="2951">
        <v>500000</v>
      </c>
      <c r="N1443" s="2951">
        <v>500000</v>
      </c>
      <c r="O1443" s="2955"/>
      <c r="P1443" s="2948"/>
      <c r="Q1443" s="2951">
        <v>0</v>
      </c>
      <c r="R1443" s="2948"/>
      <c r="S1443" s="2948"/>
      <c r="T1443" s="2948"/>
      <c r="U1443" s="2948"/>
      <c r="V1443" s="2948"/>
    </row>
    <row r="1444" spans="1:22" s="2944" customFormat="1" ht="46.8" hidden="1">
      <c r="A1444" s="2948">
        <v>1443</v>
      </c>
      <c r="B1444" s="2948" t="s">
        <v>635</v>
      </c>
      <c r="C1444" s="2948" t="s">
        <v>636</v>
      </c>
      <c r="D1444" s="2948" t="s">
        <v>2014</v>
      </c>
      <c r="E1444" s="2948" t="s">
        <v>729</v>
      </c>
      <c r="F1444" s="2948" t="s">
        <v>2030</v>
      </c>
      <c r="G1444" s="2948" t="s">
        <v>1035</v>
      </c>
      <c r="H1444" s="2948" t="s">
        <v>2016</v>
      </c>
      <c r="I1444" s="2948" t="s">
        <v>1279</v>
      </c>
      <c r="J1444" s="2948" t="s">
        <v>643</v>
      </c>
      <c r="K1444" s="2950">
        <v>33.03</v>
      </c>
      <c r="L1444" s="2950">
        <v>13.25</v>
      </c>
      <c r="M1444" s="2951">
        <v>500000</v>
      </c>
      <c r="N1444" s="2951">
        <v>500000</v>
      </c>
      <c r="O1444" s="2955"/>
      <c r="P1444" s="2948"/>
      <c r="Q1444" s="2951">
        <v>0</v>
      </c>
      <c r="R1444" s="2948"/>
      <c r="S1444" s="2948"/>
      <c r="T1444" s="2948"/>
      <c r="U1444" s="2948"/>
      <c r="V1444" s="2948"/>
    </row>
    <row r="1445" spans="1:22" s="2944" customFormat="1" ht="46.8" hidden="1">
      <c r="A1445" s="2948">
        <v>1444</v>
      </c>
      <c r="B1445" s="2948" t="s">
        <v>635</v>
      </c>
      <c r="C1445" s="2948" t="s">
        <v>636</v>
      </c>
      <c r="D1445" s="2948" t="s">
        <v>2014</v>
      </c>
      <c r="E1445" s="2948" t="s">
        <v>729</v>
      </c>
      <c r="F1445" s="2948" t="s">
        <v>2031</v>
      </c>
      <c r="G1445" s="2948" t="s">
        <v>1035</v>
      </c>
      <c r="H1445" s="2948" t="s">
        <v>2021</v>
      </c>
      <c r="I1445" s="2948" t="s">
        <v>1279</v>
      </c>
      <c r="J1445" s="2948" t="s">
        <v>643</v>
      </c>
      <c r="K1445" s="2950">
        <v>26</v>
      </c>
      <c r="L1445" s="2950">
        <v>10.8</v>
      </c>
      <c r="M1445" s="2951">
        <v>500000</v>
      </c>
      <c r="N1445" s="2951">
        <v>500000</v>
      </c>
      <c r="O1445" s="2955"/>
      <c r="P1445" s="2948"/>
      <c r="Q1445" s="2951">
        <v>0</v>
      </c>
      <c r="R1445" s="2948"/>
      <c r="S1445" s="2948"/>
      <c r="T1445" s="2948"/>
      <c r="U1445" s="2948"/>
      <c r="V1445" s="2948"/>
    </row>
    <row r="1446" spans="1:22" s="2944" customFormat="1" ht="46.8" hidden="1">
      <c r="A1446" s="2948">
        <v>1445</v>
      </c>
      <c r="B1446" s="2948" t="s">
        <v>635</v>
      </c>
      <c r="C1446" s="2948" t="s">
        <v>636</v>
      </c>
      <c r="D1446" s="2948" t="s">
        <v>2014</v>
      </c>
      <c r="E1446" s="2948" t="s">
        <v>729</v>
      </c>
      <c r="F1446" s="2948" t="s">
        <v>2032</v>
      </c>
      <c r="G1446" s="2948" t="s">
        <v>1035</v>
      </c>
      <c r="H1446" s="2948" t="s">
        <v>2021</v>
      </c>
      <c r="I1446" s="2948" t="s">
        <v>1279</v>
      </c>
      <c r="J1446" s="2948" t="s">
        <v>643</v>
      </c>
      <c r="K1446" s="2950">
        <v>26</v>
      </c>
      <c r="L1446" s="2950">
        <v>10.8</v>
      </c>
      <c r="M1446" s="2951">
        <v>500000</v>
      </c>
      <c r="N1446" s="2951">
        <v>500000</v>
      </c>
      <c r="O1446" s="2955"/>
      <c r="P1446" s="2948"/>
      <c r="Q1446" s="2951">
        <v>0</v>
      </c>
      <c r="R1446" s="2948"/>
      <c r="S1446" s="2948"/>
      <c r="T1446" s="2948"/>
      <c r="U1446" s="2948"/>
      <c r="V1446" s="2948"/>
    </row>
    <row r="1447" spans="1:22" s="2944" customFormat="1" ht="46.8" hidden="1">
      <c r="A1447" s="2948">
        <v>1446</v>
      </c>
      <c r="B1447" s="2948" t="s">
        <v>635</v>
      </c>
      <c r="C1447" s="2948" t="s">
        <v>636</v>
      </c>
      <c r="D1447" s="2948" t="s">
        <v>2014</v>
      </c>
      <c r="E1447" s="2948" t="s">
        <v>729</v>
      </c>
      <c r="F1447" s="2948" t="s">
        <v>2033</v>
      </c>
      <c r="G1447" s="2948" t="s">
        <v>1035</v>
      </c>
      <c r="H1447" s="2948" t="s">
        <v>2016</v>
      </c>
      <c r="I1447" s="2948" t="s">
        <v>1279</v>
      </c>
      <c r="J1447" s="2948" t="s">
        <v>643</v>
      </c>
      <c r="K1447" s="2950">
        <v>33.03</v>
      </c>
      <c r="L1447" s="2950">
        <v>13.25</v>
      </c>
      <c r="M1447" s="2951">
        <v>500000</v>
      </c>
      <c r="N1447" s="2951">
        <v>500000</v>
      </c>
      <c r="O1447" s="2955"/>
      <c r="P1447" s="2948"/>
      <c r="Q1447" s="2951">
        <v>0</v>
      </c>
      <c r="R1447" s="2948"/>
      <c r="S1447" s="2948"/>
      <c r="T1447" s="2948"/>
      <c r="U1447" s="2948"/>
      <c r="V1447" s="2948"/>
    </row>
    <row r="1448" spans="1:22" s="2944" customFormat="1" ht="46.8" hidden="1">
      <c r="A1448" s="2948">
        <v>1447</v>
      </c>
      <c r="B1448" s="2948" t="s">
        <v>635</v>
      </c>
      <c r="C1448" s="2948" t="s">
        <v>636</v>
      </c>
      <c r="D1448" s="2948" t="s">
        <v>2014</v>
      </c>
      <c r="E1448" s="2948" t="s">
        <v>729</v>
      </c>
      <c r="F1448" s="2948" t="s">
        <v>2034</v>
      </c>
      <c r="G1448" s="2948" t="s">
        <v>1035</v>
      </c>
      <c r="H1448" s="2948" t="s">
        <v>2021</v>
      </c>
      <c r="I1448" s="2948" t="s">
        <v>1279</v>
      </c>
      <c r="J1448" s="2948" t="s">
        <v>643</v>
      </c>
      <c r="K1448" s="2950">
        <v>26</v>
      </c>
      <c r="L1448" s="2950">
        <v>10.8</v>
      </c>
      <c r="M1448" s="2951">
        <v>500000</v>
      </c>
      <c r="N1448" s="2951">
        <v>500000</v>
      </c>
      <c r="O1448" s="2955"/>
      <c r="P1448" s="2948"/>
      <c r="Q1448" s="2951">
        <v>0</v>
      </c>
      <c r="R1448" s="2948"/>
      <c r="S1448" s="2948"/>
      <c r="T1448" s="2948"/>
      <c r="U1448" s="2948"/>
      <c r="V1448" s="2948"/>
    </row>
    <row r="1449" spans="1:22" s="2944" customFormat="1" ht="46.8" hidden="1">
      <c r="A1449" s="2948">
        <v>1448</v>
      </c>
      <c r="B1449" s="2948" t="s">
        <v>635</v>
      </c>
      <c r="C1449" s="2948" t="s">
        <v>636</v>
      </c>
      <c r="D1449" s="2948" t="s">
        <v>2014</v>
      </c>
      <c r="E1449" s="2948" t="s">
        <v>729</v>
      </c>
      <c r="F1449" s="2948" t="s">
        <v>2035</v>
      </c>
      <c r="G1449" s="2948" t="s">
        <v>1035</v>
      </c>
      <c r="H1449" s="2948" t="s">
        <v>2016</v>
      </c>
      <c r="I1449" s="2948" t="s">
        <v>1279</v>
      </c>
      <c r="J1449" s="2948" t="s">
        <v>643</v>
      </c>
      <c r="K1449" s="2950">
        <v>33.03</v>
      </c>
      <c r="L1449" s="2950">
        <v>13.25</v>
      </c>
      <c r="M1449" s="2951">
        <v>500000</v>
      </c>
      <c r="N1449" s="2951">
        <v>500000</v>
      </c>
      <c r="O1449" s="2955"/>
      <c r="P1449" s="2948"/>
      <c r="Q1449" s="2951">
        <v>0</v>
      </c>
      <c r="R1449" s="2948"/>
      <c r="S1449" s="2948"/>
      <c r="T1449" s="2948"/>
      <c r="U1449" s="2948"/>
      <c r="V1449" s="2948"/>
    </row>
    <row r="1450" spans="1:22" s="2944" customFormat="1" ht="46.8" hidden="1">
      <c r="A1450" s="2948">
        <v>1449</v>
      </c>
      <c r="B1450" s="2948" t="s">
        <v>635</v>
      </c>
      <c r="C1450" s="2948" t="s">
        <v>636</v>
      </c>
      <c r="D1450" s="2948" t="s">
        <v>2014</v>
      </c>
      <c r="E1450" s="2948" t="s">
        <v>729</v>
      </c>
      <c r="F1450" s="2948" t="s">
        <v>2036</v>
      </c>
      <c r="G1450" s="2948" t="s">
        <v>1035</v>
      </c>
      <c r="H1450" s="2948" t="s">
        <v>2016</v>
      </c>
      <c r="I1450" s="2948" t="s">
        <v>1279</v>
      </c>
      <c r="J1450" s="2948" t="s">
        <v>643</v>
      </c>
      <c r="K1450" s="2950">
        <v>33.03</v>
      </c>
      <c r="L1450" s="2950">
        <v>13.25</v>
      </c>
      <c r="M1450" s="2951">
        <v>500000</v>
      </c>
      <c r="N1450" s="2951">
        <v>500000</v>
      </c>
      <c r="O1450" s="2955"/>
      <c r="P1450" s="2948"/>
      <c r="Q1450" s="2951">
        <v>0</v>
      </c>
      <c r="R1450" s="2948"/>
      <c r="S1450" s="2948"/>
      <c r="T1450" s="2948"/>
      <c r="U1450" s="2948"/>
      <c r="V1450" s="2948"/>
    </row>
    <row r="1451" spans="1:22" s="2944" customFormat="1" ht="46.8">
      <c r="A1451" s="2948">
        <v>1450</v>
      </c>
      <c r="B1451" s="2948" t="s">
        <v>635</v>
      </c>
      <c r="C1451" s="2948" t="s">
        <v>636</v>
      </c>
      <c r="D1451" s="2948" t="s">
        <v>2014</v>
      </c>
      <c r="E1451" s="2948" t="s">
        <v>729</v>
      </c>
      <c r="F1451" s="2948" t="s">
        <v>2037</v>
      </c>
      <c r="G1451" s="2948" t="s">
        <v>640</v>
      </c>
      <c r="H1451" s="2948" t="s">
        <v>2016</v>
      </c>
      <c r="I1451" s="2948" t="s">
        <v>1279</v>
      </c>
      <c r="J1451" s="2948" t="s">
        <v>643</v>
      </c>
      <c r="K1451" s="2950">
        <v>33.03</v>
      </c>
      <c r="L1451" s="2950">
        <v>13.25</v>
      </c>
      <c r="M1451" s="2951">
        <v>550164</v>
      </c>
      <c r="N1451" s="2951">
        <v>550164</v>
      </c>
      <c r="O1451" s="2952">
        <v>550164</v>
      </c>
      <c r="P1451" s="2953">
        <v>550164</v>
      </c>
      <c r="Q1451" s="2951">
        <v>550164</v>
      </c>
      <c r="R1451" s="2954">
        <v>44675</v>
      </c>
      <c r="S1451" s="2954">
        <v>44675</v>
      </c>
      <c r="T1451" s="2948"/>
      <c r="U1451" s="2948"/>
      <c r="V1451" s="2948" t="s">
        <v>1466</v>
      </c>
    </row>
    <row r="1452" spans="1:22" s="2944" customFormat="1" ht="46.8">
      <c r="A1452" s="2948">
        <v>1451</v>
      </c>
      <c r="B1452" s="2948" t="s">
        <v>635</v>
      </c>
      <c r="C1452" s="2948" t="s">
        <v>636</v>
      </c>
      <c r="D1452" s="2948" t="s">
        <v>2014</v>
      </c>
      <c r="E1452" s="2948" t="s">
        <v>729</v>
      </c>
      <c r="F1452" s="2948" t="s">
        <v>2038</v>
      </c>
      <c r="G1452" s="2948" t="s">
        <v>640</v>
      </c>
      <c r="H1452" s="2948" t="s">
        <v>2016</v>
      </c>
      <c r="I1452" s="2948" t="s">
        <v>1279</v>
      </c>
      <c r="J1452" s="2948" t="s">
        <v>643</v>
      </c>
      <c r="K1452" s="2950">
        <v>33.03</v>
      </c>
      <c r="L1452" s="2950">
        <v>13.25</v>
      </c>
      <c r="M1452" s="2951">
        <v>550164</v>
      </c>
      <c r="N1452" s="2951">
        <v>550164</v>
      </c>
      <c r="O1452" s="2952">
        <v>500000</v>
      </c>
      <c r="P1452" s="2953">
        <v>500000</v>
      </c>
      <c r="Q1452" s="2951">
        <v>500000</v>
      </c>
      <c r="R1452" s="2954">
        <v>45044</v>
      </c>
      <c r="S1452" s="2954">
        <v>45044</v>
      </c>
      <c r="T1452" s="2948"/>
      <c r="U1452" s="2948"/>
      <c r="V1452" s="2948" t="s">
        <v>1466</v>
      </c>
    </row>
    <row r="1453" spans="1:22" s="2944" customFormat="1" ht="46.8" hidden="1">
      <c r="A1453" s="2948">
        <v>1452</v>
      </c>
      <c r="B1453" s="2948" t="s">
        <v>635</v>
      </c>
      <c r="C1453" s="2948" t="s">
        <v>636</v>
      </c>
      <c r="D1453" s="2948" t="s">
        <v>2014</v>
      </c>
      <c r="E1453" s="2948" t="s">
        <v>729</v>
      </c>
      <c r="F1453" s="2948" t="s">
        <v>2039</v>
      </c>
      <c r="G1453" s="2948" t="s">
        <v>1035</v>
      </c>
      <c r="H1453" s="2948" t="s">
        <v>2021</v>
      </c>
      <c r="I1453" s="2948" t="s">
        <v>1279</v>
      </c>
      <c r="J1453" s="2948" t="s">
        <v>643</v>
      </c>
      <c r="K1453" s="2950">
        <v>26</v>
      </c>
      <c r="L1453" s="2950">
        <v>10.8</v>
      </c>
      <c r="M1453" s="2951">
        <v>500000</v>
      </c>
      <c r="N1453" s="2951">
        <v>500000</v>
      </c>
      <c r="O1453" s="2955"/>
      <c r="P1453" s="2948"/>
      <c r="Q1453" s="2951">
        <v>0</v>
      </c>
      <c r="R1453" s="2948"/>
      <c r="S1453" s="2948"/>
      <c r="T1453" s="2948"/>
      <c r="U1453" s="2948"/>
      <c r="V1453" s="2948"/>
    </row>
    <row r="1454" spans="1:22" s="2944" customFormat="1" ht="46.8">
      <c r="A1454" s="2948">
        <v>1453</v>
      </c>
      <c r="B1454" s="2948" t="s">
        <v>635</v>
      </c>
      <c r="C1454" s="2948" t="s">
        <v>636</v>
      </c>
      <c r="D1454" s="2948" t="s">
        <v>2014</v>
      </c>
      <c r="E1454" s="2948" t="s">
        <v>729</v>
      </c>
      <c r="F1454" s="2948" t="s">
        <v>2040</v>
      </c>
      <c r="G1454" s="2948" t="s">
        <v>640</v>
      </c>
      <c r="H1454" s="2948" t="s">
        <v>2016</v>
      </c>
      <c r="I1454" s="2948" t="s">
        <v>1279</v>
      </c>
      <c r="J1454" s="2948" t="s">
        <v>643</v>
      </c>
      <c r="K1454" s="2950">
        <v>33.03</v>
      </c>
      <c r="L1454" s="2950">
        <v>13.25</v>
      </c>
      <c r="M1454" s="2951">
        <v>500000</v>
      </c>
      <c r="N1454" s="2951">
        <v>500000</v>
      </c>
      <c r="O1454" s="2952">
        <v>500000</v>
      </c>
      <c r="P1454" s="2953">
        <v>500000</v>
      </c>
      <c r="Q1454" s="2951">
        <v>500000</v>
      </c>
      <c r="R1454" s="2954">
        <v>45197</v>
      </c>
      <c r="S1454" s="2954">
        <v>45199</v>
      </c>
      <c r="T1454" s="2948"/>
      <c r="U1454" s="2948"/>
      <c r="V1454" s="2948" t="s">
        <v>2041</v>
      </c>
    </row>
    <row r="1455" spans="1:22" s="2944" customFormat="1" ht="46.8">
      <c r="A1455" s="2948">
        <v>1454</v>
      </c>
      <c r="B1455" s="2948" t="s">
        <v>635</v>
      </c>
      <c r="C1455" s="2948" t="s">
        <v>636</v>
      </c>
      <c r="D1455" s="2948" t="s">
        <v>2014</v>
      </c>
      <c r="E1455" s="2948" t="s">
        <v>729</v>
      </c>
      <c r="F1455" s="2948" t="s">
        <v>2042</v>
      </c>
      <c r="G1455" s="2948" t="s">
        <v>640</v>
      </c>
      <c r="H1455" s="2948" t="s">
        <v>2016</v>
      </c>
      <c r="I1455" s="2948" t="s">
        <v>1279</v>
      </c>
      <c r="J1455" s="2948" t="s">
        <v>643</v>
      </c>
      <c r="K1455" s="2950">
        <v>33.03</v>
      </c>
      <c r="L1455" s="2950">
        <v>13.25</v>
      </c>
      <c r="M1455" s="2951">
        <v>550164</v>
      </c>
      <c r="N1455" s="2951">
        <v>550164</v>
      </c>
      <c r="O1455" s="2952">
        <v>550164</v>
      </c>
      <c r="P1455" s="2953">
        <v>550164</v>
      </c>
      <c r="Q1455" s="2951">
        <v>550164</v>
      </c>
      <c r="R1455" s="2954">
        <v>44497</v>
      </c>
      <c r="S1455" s="2954">
        <v>44497</v>
      </c>
      <c r="T1455" s="2948"/>
      <c r="U1455" s="2948"/>
      <c r="V1455" s="2948" t="s">
        <v>1477</v>
      </c>
    </row>
    <row r="1456" spans="1:22" s="2944" customFormat="1" ht="46.8" hidden="1">
      <c r="A1456" s="2948">
        <v>1455</v>
      </c>
      <c r="B1456" s="2948" t="s">
        <v>635</v>
      </c>
      <c r="C1456" s="2948" t="s">
        <v>636</v>
      </c>
      <c r="D1456" s="2948" t="s">
        <v>2014</v>
      </c>
      <c r="E1456" s="2948" t="s">
        <v>729</v>
      </c>
      <c r="F1456" s="2948" t="s">
        <v>2043</v>
      </c>
      <c r="G1456" s="2948" t="s">
        <v>1035</v>
      </c>
      <c r="H1456" s="2948" t="s">
        <v>2016</v>
      </c>
      <c r="I1456" s="2948" t="s">
        <v>1279</v>
      </c>
      <c r="J1456" s="2948" t="s">
        <v>643</v>
      </c>
      <c r="K1456" s="2950">
        <v>33.03</v>
      </c>
      <c r="L1456" s="2950">
        <v>13.25</v>
      </c>
      <c r="M1456" s="2951">
        <v>500000</v>
      </c>
      <c r="N1456" s="2951">
        <v>500000</v>
      </c>
      <c r="O1456" s="2955"/>
      <c r="P1456" s="2948"/>
      <c r="Q1456" s="2951">
        <v>0</v>
      </c>
      <c r="R1456" s="2948"/>
      <c r="S1456" s="2948"/>
      <c r="T1456" s="2948"/>
      <c r="U1456" s="2948"/>
      <c r="V1456" s="2948"/>
    </row>
    <row r="1457" spans="1:22" s="2944" customFormat="1" ht="46.8" hidden="1">
      <c r="A1457" s="2948">
        <v>1456</v>
      </c>
      <c r="B1457" s="2948" t="s">
        <v>635</v>
      </c>
      <c r="C1457" s="2948" t="s">
        <v>636</v>
      </c>
      <c r="D1457" s="2948" t="s">
        <v>2014</v>
      </c>
      <c r="E1457" s="2948" t="s">
        <v>729</v>
      </c>
      <c r="F1457" s="2948" t="s">
        <v>2044</v>
      </c>
      <c r="G1457" s="2948" t="s">
        <v>1035</v>
      </c>
      <c r="H1457" s="2948" t="s">
        <v>2016</v>
      </c>
      <c r="I1457" s="2948" t="s">
        <v>1279</v>
      </c>
      <c r="J1457" s="2948" t="s">
        <v>643</v>
      </c>
      <c r="K1457" s="2950">
        <v>33.03</v>
      </c>
      <c r="L1457" s="2950">
        <v>13.25</v>
      </c>
      <c r="M1457" s="2951">
        <v>500000</v>
      </c>
      <c r="N1457" s="2951">
        <v>500000</v>
      </c>
      <c r="O1457" s="2955"/>
      <c r="P1457" s="2948"/>
      <c r="Q1457" s="2951">
        <v>0</v>
      </c>
      <c r="R1457" s="2948"/>
      <c r="S1457" s="2948"/>
      <c r="T1457" s="2948"/>
      <c r="U1457" s="2948"/>
      <c r="V1457" s="2948"/>
    </row>
    <row r="1458" spans="1:22" s="2944" customFormat="1" ht="46.8" hidden="1">
      <c r="A1458" s="2948">
        <v>1457</v>
      </c>
      <c r="B1458" s="2948" t="s">
        <v>635</v>
      </c>
      <c r="C1458" s="2948" t="s">
        <v>636</v>
      </c>
      <c r="D1458" s="2948" t="s">
        <v>2014</v>
      </c>
      <c r="E1458" s="2948" t="s">
        <v>729</v>
      </c>
      <c r="F1458" s="2948" t="s">
        <v>2045</v>
      </c>
      <c r="G1458" s="2948" t="s">
        <v>1035</v>
      </c>
      <c r="H1458" s="2948" t="s">
        <v>2016</v>
      </c>
      <c r="I1458" s="2948" t="s">
        <v>1279</v>
      </c>
      <c r="J1458" s="2948" t="s">
        <v>643</v>
      </c>
      <c r="K1458" s="2950">
        <v>33.03</v>
      </c>
      <c r="L1458" s="2950">
        <v>13.25</v>
      </c>
      <c r="M1458" s="2951">
        <v>500000</v>
      </c>
      <c r="N1458" s="2951">
        <v>500000</v>
      </c>
      <c r="O1458" s="2955"/>
      <c r="P1458" s="2948"/>
      <c r="Q1458" s="2951">
        <v>0</v>
      </c>
      <c r="R1458" s="2948"/>
      <c r="S1458" s="2948"/>
      <c r="T1458" s="2948"/>
      <c r="U1458" s="2948"/>
      <c r="V1458" s="2948"/>
    </row>
    <row r="1459" spans="1:22" s="2944" customFormat="1" ht="46.8" hidden="1">
      <c r="A1459" s="2948">
        <v>1458</v>
      </c>
      <c r="B1459" s="2948" t="s">
        <v>635</v>
      </c>
      <c r="C1459" s="2948" t="s">
        <v>636</v>
      </c>
      <c r="D1459" s="2948" t="s">
        <v>2014</v>
      </c>
      <c r="E1459" s="2948" t="s">
        <v>729</v>
      </c>
      <c r="F1459" s="2948" t="s">
        <v>2046</v>
      </c>
      <c r="G1459" s="2948" t="s">
        <v>1035</v>
      </c>
      <c r="H1459" s="2948" t="s">
        <v>2016</v>
      </c>
      <c r="I1459" s="2948" t="s">
        <v>1279</v>
      </c>
      <c r="J1459" s="2948" t="s">
        <v>643</v>
      </c>
      <c r="K1459" s="2950">
        <v>33.03</v>
      </c>
      <c r="L1459" s="2950">
        <v>13.25</v>
      </c>
      <c r="M1459" s="2951">
        <v>500000</v>
      </c>
      <c r="N1459" s="2951">
        <v>500000</v>
      </c>
      <c r="O1459" s="2955"/>
      <c r="P1459" s="2948"/>
      <c r="Q1459" s="2951">
        <v>0</v>
      </c>
      <c r="R1459" s="2948"/>
      <c r="S1459" s="2948"/>
      <c r="T1459" s="2948"/>
      <c r="U1459" s="2948"/>
      <c r="V1459" s="2948"/>
    </row>
    <row r="1460" spans="1:22" s="2944" customFormat="1" ht="46.8" hidden="1">
      <c r="A1460" s="2948">
        <v>1459</v>
      </c>
      <c r="B1460" s="2948" t="s">
        <v>635</v>
      </c>
      <c r="C1460" s="2948" t="s">
        <v>636</v>
      </c>
      <c r="D1460" s="2948" t="s">
        <v>2014</v>
      </c>
      <c r="E1460" s="2948" t="s">
        <v>729</v>
      </c>
      <c r="F1460" s="2948" t="s">
        <v>2047</v>
      </c>
      <c r="G1460" s="2948" t="s">
        <v>1035</v>
      </c>
      <c r="H1460" s="2948" t="s">
        <v>2016</v>
      </c>
      <c r="I1460" s="2948" t="s">
        <v>1279</v>
      </c>
      <c r="J1460" s="2948" t="s">
        <v>643</v>
      </c>
      <c r="K1460" s="2950">
        <v>33.03</v>
      </c>
      <c r="L1460" s="2950">
        <v>13.25</v>
      </c>
      <c r="M1460" s="2951">
        <v>500000</v>
      </c>
      <c r="N1460" s="2951">
        <v>500000</v>
      </c>
      <c r="O1460" s="2955"/>
      <c r="P1460" s="2948"/>
      <c r="Q1460" s="2951">
        <v>0</v>
      </c>
      <c r="R1460" s="2948"/>
      <c r="S1460" s="2948"/>
      <c r="T1460" s="2948"/>
      <c r="U1460" s="2948"/>
      <c r="V1460" s="2948"/>
    </row>
    <row r="1461" spans="1:22" s="2944" customFormat="1" ht="46.8" hidden="1">
      <c r="A1461" s="2948">
        <v>1460</v>
      </c>
      <c r="B1461" s="2948" t="s">
        <v>635</v>
      </c>
      <c r="C1461" s="2948" t="s">
        <v>636</v>
      </c>
      <c r="D1461" s="2948" t="s">
        <v>2014</v>
      </c>
      <c r="E1461" s="2948" t="s">
        <v>729</v>
      </c>
      <c r="F1461" s="2948" t="s">
        <v>2048</v>
      </c>
      <c r="G1461" s="2948" t="s">
        <v>1035</v>
      </c>
      <c r="H1461" s="2948" t="s">
        <v>2016</v>
      </c>
      <c r="I1461" s="2948" t="s">
        <v>1279</v>
      </c>
      <c r="J1461" s="2948" t="s">
        <v>643</v>
      </c>
      <c r="K1461" s="2950">
        <v>33.03</v>
      </c>
      <c r="L1461" s="2950">
        <v>13.25</v>
      </c>
      <c r="M1461" s="2951">
        <v>500000</v>
      </c>
      <c r="N1461" s="2951">
        <v>500000</v>
      </c>
      <c r="O1461" s="2955"/>
      <c r="P1461" s="2948"/>
      <c r="Q1461" s="2951">
        <v>0</v>
      </c>
      <c r="R1461" s="2948"/>
      <c r="S1461" s="2948"/>
      <c r="T1461" s="2948"/>
      <c r="U1461" s="2948"/>
      <c r="V1461" s="2948"/>
    </row>
    <row r="1462" spans="1:22" s="2944" customFormat="1" ht="46.8">
      <c r="A1462" s="2948">
        <v>1461</v>
      </c>
      <c r="B1462" s="2948" t="s">
        <v>635</v>
      </c>
      <c r="C1462" s="2948" t="s">
        <v>636</v>
      </c>
      <c r="D1462" s="2948" t="s">
        <v>2014</v>
      </c>
      <c r="E1462" s="2948" t="s">
        <v>729</v>
      </c>
      <c r="F1462" s="2948" t="s">
        <v>2049</v>
      </c>
      <c r="G1462" s="2948" t="s">
        <v>640</v>
      </c>
      <c r="H1462" s="2948" t="s">
        <v>2016</v>
      </c>
      <c r="I1462" s="2948" t="s">
        <v>1279</v>
      </c>
      <c r="J1462" s="2948" t="s">
        <v>643</v>
      </c>
      <c r="K1462" s="2950">
        <v>33.03</v>
      </c>
      <c r="L1462" s="2950">
        <v>13.25</v>
      </c>
      <c r="M1462" s="2951">
        <v>550164</v>
      </c>
      <c r="N1462" s="2951">
        <v>550164</v>
      </c>
      <c r="O1462" s="2952">
        <v>500000</v>
      </c>
      <c r="P1462" s="2953">
        <v>500000</v>
      </c>
      <c r="Q1462" s="2951">
        <v>500000</v>
      </c>
      <c r="R1462" s="2954">
        <v>45044</v>
      </c>
      <c r="S1462" s="2954">
        <v>45044</v>
      </c>
      <c r="T1462" s="2948"/>
      <c r="U1462" s="2948"/>
      <c r="V1462" s="2948" t="s">
        <v>1647</v>
      </c>
    </row>
    <row r="1463" spans="1:22" s="2944" customFormat="1" ht="46.8">
      <c r="A1463" s="2948">
        <v>1462</v>
      </c>
      <c r="B1463" s="2948" t="s">
        <v>635</v>
      </c>
      <c r="C1463" s="2948" t="s">
        <v>636</v>
      </c>
      <c r="D1463" s="2948" t="s">
        <v>2014</v>
      </c>
      <c r="E1463" s="2948" t="s">
        <v>729</v>
      </c>
      <c r="F1463" s="2948" t="s">
        <v>2050</v>
      </c>
      <c r="G1463" s="2948" t="s">
        <v>640</v>
      </c>
      <c r="H1463" s="2948" t="s">
        <v>2016</v>
      </c>
      <c r="I1463" s="2948" t="s">
        <v>1279</v>
      </c>
      <c r="J1463" s="2948" t="s">
        <v>643</v>
      </c>
      <c r="K1463" s="2950">
        <v>33.03</v>
      </c>
      <c r="L1463" s="2950">
        <v>13.25</v>
      </c>
      <c r="M1463" s="2951">
        <v>550164</v>
      </c>
      <c r="N1463" s="2951">
        <v>550164</v>
      </c>
      <c r="O1463" s="2952">
        <v>500000</v>
      </c>
      <c r="P1463" s="2953">
        <v>500000</v>
      </c>
      <c r="Q1463" s="2951">
        <v>500000</v>
      </c>
      <c r="R1463" s="2954">
        <v>45042</v>
      </c>
      <c r="S1463" s="2954">
        <v>45044</v>
      </c>
      <c r="T1463" s="2948"/>
      <c r="U1463" s="2948"/>
      <c r="V1463" s="2948" t="s">
        <v>1525</v>
      </c>
    </row>
    <row r="1464" spans="1:22" s="2944" customFormat="1" ht="46.8" hidden="1">
      <c r="A1464" s="2948">
        <v>1463</v>
      </c>
      <c r="B1464" s="2948" t="s">
        <v>635</v>
      </c>
      <c r="C1464" s="2948" t="s">
        <v>636</v>
      </c>
      <c r="D1464" s="2948" t="s">
        <v>2014</v>
      </c>
      <c r="E1464" s="2948" t="s">
        <v>729</v>
      </c>
      <c r="F1464" s="2948" t="s">
        <v>2051</v>
      </c>
      <c r="G1464" s="2948" t="s">
        <v>1035</v>
      </c>
      <c r="H1464" s="2948" t="s">
        <v>2016</v>
      </c>
      <c r="I1464" s="2948" t="s">
        <v>1279</v>
      </c>
      <c r="J1464" s="2948" t="s">
        <v>643</v>
      </c>
      <c r="K1464" s="2950">
        <v>33.03</v>
      </c>
      <c r="L1464" s="2950">
        <v>13.25</v>
      </c>
      <c r="M1464" s="2951">
        <v>500000</v>
      </c>
      <c r="N1464" s="2951">
        <v>500000</v>
      </c>
      <c r="O1464" s="2955"/>
      <c r="P1464" s="2948"/>
      <c r="Q1464" s="2951">
        <v>0</v>
      </c>
      <c r="R1464" s="2948"/>
      <c r="S1464" s="2948"/>
      <c r="T1464" s="2948"/>
      <c r="U1464" s="2948"/>
      <c r="V1464" s="2948"/>
    </row>
    <row r="1465" spans="1:22" s="2944" customFormat="1" ht="46.8" hidden="1">
      <c r="A1465" s="2948">
        <v>1464</v>
      </c>
      <c r="B1465" s="2948" t="s">
        <v>635</v>
      </c>
      <c r="C1465" s="2948" t="s">
        <v>636</v>
      </c>
      <c r="D1465" s="2948" t="s">
        <v>2014</v>
      </c>
      <c r="E1465" s="2948" t="s">
        <v>729</v>
      </c>
      <c r="F1465" s="2948" t="s">
        <v>2052</v>
      </c>
      <c r="G1465" s="2948" t="s">
        <v>1035</v>
      </c>
      <c r="H1465" s="2948" t="s">
        <v>2016</v>
      </c>
      <c r="I1465" s="2948" t="s">
        <v>1279</v>
      </c>
      <c r="J1465" s="2948" t="s">
        <v>643</v>
      </c>
      <c r="K1465" s="2950">
        <v>33.03</v>
      </c>
      <c r="L1465" s="2950">
        <v>13.25</v>
      </c>
      <c r="M1465" s="2951">
        <v>500000</v>
      </c>
      <c r="N1465" s="2951">
        <v>500000</v>
      </c>
      <c r="O1465" s="2955"/>
      <c r="P1465" s="2948"/>
      <c r="Q1465" s="2951">
        <v>0</v>
      </c>
      <c r="R1465" s="2948"/>
      <c r="S1465" s="2948"/>
      <c r="T1465" s="2948"/>
      <c r="U1465" s="2948"/>
      <c r="V1465" s="2948"/>
    </row>
    <row r="1466" spans="1:22" s="2944" customFormat="1" ht="46.8" hidden="1">
      <c r="A1466" s="2948">
        <v>1465</v>
      </c>
      <c r="B1466" s="2948" t="s">
        <v>635</v>
      </c>
      <c r="C1466" s="2948" t="s">
        <v>636</v>
      </c>
      <c r="D1466" s="2948" t="s">
        <v>2014</v>
      </c>
      <c r="E1466" s="2948" t="s">
        <v>729</v>
      </c>
      <c r="F1466" s="2948" t="s">
        <v>2053</v>
      </c>
      <c r="G1466" s="2948" t="s">
        <v>1035</v>
      </c>
      <c r="H1466" s="2948" t="s">
        <v>2016</v>
      </c>
      <c r="I1466" s="2948" t="s">
        <v>1279</v>
      </c>
      <c r="J1466" s="2948" t="s">
        <v>643</v>
      </c>
      <c r="K1466" s="2950">
        <v>33.03</v>
      </c>
      <c r="L1466" s="2950">
        <v>13.25</v>
      </c>
      <c r="M1466" s="2951">
        <v>500000</v>
      </c>
      <c r="N1466" s="2951">
        <v>500000</v>
      </c>
      <c r="O1466" s="2955"/>
      <c r="P1466" s="2948"/>
      <c r="Q1466" s="2951">
        <v>0</v>
      </c>
      <c r="R1466" s="2948"/>
      <c r="S1466" s="2948"/>
      <c r="T1466" s="2948"/>
      <c r="U1466" s="2948"/>
      <c r="V1466" s="2948"/>
    </row>
    <row r="1467" spans="1:22" s="2944" customFormat="1" ht="46.8">
      <c r="A1467" s="2948">
        <v>1466</v>
      </c>
      <c r="B1467" s="2948" t="s">
        <v>635</v>
      </c>
      <c r="C1467" s="2948" t="s">
        <v>636</v>
      </c>
      <c r="D1467" s="2948" t="s">
        <v>2014</v>
      </c>
      <c r="E1467" s="2948" t="s">
        <v>729</v>
      </c>
      <c r="F1467" s="2948" t="s">
        <v>2054</v>
      </c>
      <c r="G1467" s="2948" t="s">
        <v>640</v>
      </c>
      <c r="H1467" s="2948" t="s">
        <v>2016</v>
      </c>
      <c r="I1467" s="2948" t="s">
        <v>1279</v>
      </c>
      <c r="J1467" s="2948" t="s">
        <v>643</v>
      </c>
      <c r="K1467" s="2950">
        <v>33.03</v>
      </c>
      <c r="L1467" s="2950">
        <v>13.25</v>
      </c>
      <c r="M1467" s="2951">
        <v>500000</v>
      </c>
      <c r="N1467" s="2951">
        <v>500000</v>
      </c>
      <c r="O1467" s="2952">
        <v>500000</v>
      </c>
      <c r="P1467" s="2953">
        <v>500000</v>
      </c>
      <c r="Q1467" s="2951">
        <v>500000</v>
      </c>
      <c r="R1467" s="2954">
        <v>45168</v>
      </c>
      <c r="S1467" s="2954">
        <v>45169</v>
      </c>
      <c r="T1467" s="2948"/>
      <c r="U1467" s="2948"/>
      <c r="V1467" s="2948" t="s">
        <v>1649</v>
      </c>
    </row>
    <row r="1468" spans="1:22" s="2944" customFormat="1" ht="46.8" hidden="1">
      <c r="A1468" s="2948">
        <v>1467</v>
      </c>
      <c r="B1468" s="2948" t="s">
        <v>635</v>
      </c>
      <c r="C1468" s="2948" t="s">
        <v>636</v>
      </c>
      <c r="D1468" s="2948" t="s">
        <v>2014</v>
      </c>
      <c r="E1468" s="2948" t="s">
        <v>729</v>
      </c>
      <c r="F1468" s="2948" t="s">
        <v>2055</v>
      </c>
      <c r="G1468" s="2948" t="s">
        <v>1035</v>
      </c>
      <c r="H1468" s="2948" t="s">
        <v>2016</v>
      </c>
      <c r="I1468" s="2948" t="s">
        <v>1279</v>
      </c>
      <c r="J1468" s="2948" t="s">
        <v>643</v>
      </c>
      <c r="K1468" s="2950">
        <v>33.03</v>
      </c>
      <c r="L1468" s="2950">
        <v>13.25</v>
      </c>
      <c r="M1468" s="2951">
        <v>500000</v>
      </c>
      <c r="N1468" s="2951">
        <v>500000</v>
      </c>
      <c r="O1468" s="2955"/>
      <c r="P1468" s="2948"/>
      <c r="Q1468" s="2951">
        <v>0</v>
      </c>
      <c r="R1468" s="2948"/>
      <c r="S1468" s="2948"/>
      <c r="T1468" s="2948"/>
      <c r="U1468" s="2948"/>
      <c r="V1468" s="2948"/>
    </row>
    <row r="1469" spans="1:22" s="2944" customFormat="1" ht="46.8" hidden="1">
      <c r="A1469" s="2948">
        <v>1468</v>
      </c>
      <c r="B1469" s="2948" t="s">
        <v>635</v>
      </c>
      <c r="C1469" s="2948" t="s">
        <v>636</v>
      </c>
      <c r="D1469" s="2948" t="s">
        <v>2014</v>
      </c>
      <c r="E1469" s="2948" t="s">
        <v>729</v>
      </c>
      <c r="F1469" s="2948" t="s">
        <v>2056</v>
      </c>
      <c r="G1469" s="2948" t="s">
        <v>1035</v>
      </c>
      <c r="H1469" s="2948" t="s">
        <v>2016</v>
      </c>
      <c r="I1469" s="2948" t="s">
        <v>1279</v>
      </c>
      <c r="J1469" s="2948" t="s">
        <v>643</v>
      </c>
      <c r="K1469" s="2950">
        <v>33.03</v>
      </c>
      <c r="L1469" s="2950">
        <v>13.25</v>
      </c>
      <c r="M1469" s="2951">
        <v>500000</v>
      </c>
      <c r="N1469" s="2951">
        <v>500000</v>
      </c>
      <c r="O1469" s="2955"/>
      <c r="P1469" s="2948"/>
      <c r="Q1469" s="2951">
        <v>0</v>
      </c>
      <c r="R1469" s="2948"/>
      <c r="S1469" s="2948"/>
      <c r="T1469" s="2948"/>
      <c r="U1469" s="2948"/>
      <c r="V1469" s="2948"/>
    </row>
    <row r="1470" spans="1:22" s="2944" customFormat="1" ht="46.8" hidden="1">
      <c r="A1470" s="2948">
        <v>1469</v>
      </c>
      <c r="B1470" s="2948" t="s">
        <v>635</v>
      </c>
      <c r="C1470" s="2948" t="s">
        <v>636</v>
      </c>
      <c r="D1470" s="2948" t="s">
        <v>2014</v>
      </c>
      <c r="E1470" s="2948" t="s">
        <v>729</v>
      </c>
      <c r="F1470" s="2948" t="s">
        <v>2057</v>
      </c>
      <c r="G1470" s="2948" t="s">
        <v>1035</v>
      </c>
      <c r="H1470" s="2948" t="s">
        <v>2016</v>
      </c>
      <c r="I1470" s="2948" t="s">
        <v>1279</v>
      </c>
      <c r="J1470" s="2948" t="s">
        <v>643</v>
      </c>
      <c r="K1470" s="2950">
        <v>33.03</v>
      </c>
      <c r="L1470" s="2950">
        <v>13.25</v>
      </c>
      <c r="M1470" s="2951">
        <v>500000</v>
      </c>
      <c r="N1470" s="2951">
        <v>500000</v>
      </c>
      <c r="O1470" s="2955"/>
      <c r="P1470" s="2948"/>
      <c r="Q1470" s="2951">
        <v>0</v>
      </c>
      <c r="R1470" s="2948"/>
      <c r="S1470" s="2948"/>
      <c r="T1470" s="2948"/>
      <c r="U1470" s="2948"/>
      <c r="V1470" s="2948"/>
    </row>
    <row r="1471" spans="1:22" s="2944" customFormat="1" ht="46.8">
      <c r="A1471" s="2948">
        <v>1470</v>
      </c>
      <c r="B1471" s="2948" t="s">
        <v>635</v>
      </c>
      <c r="C1471" s="2948" t="s">
        <v>636</v>
      </c>
      <c r="D1471" s="2948" t="s">
        <v>2014</v>
      </c>
      <c r="E1471" s="2948" t="s">
        <v>729</v>
      </c>
      <c r="F1471" s="2948" t="s">
        <v>2058</v>
      </c>
      <c r="G1471" s="2948" t="s">
        <v>640</v>
      </c>
      <c r="H1471" s="2948" t="s">
        <v>2016</v>
      </c>
      <c r="I1471" s="2948" t="s">
        <v>1279</v>
      </c>
      <c r="J1471" s="2948" t="s">
        <v>643</v>
      </c>
      <c r="K1471" s="2950">
        <v>33.03</v>
      </c>
      <c r="L1471" s="2950">
        <v>13.25</v>
      </c>
      <c r="M1471" s="2951">
        <v>550164</v>
      </c>
      <c r="N1471" s="2951">
        <v>550164</v>
      </c>
      <c r="O1471" s="2952">
        <v>550164</v>
      </c>
      <c r="P1471" s="2953">
        <v>550164</v>
      </c>
      <c r="Q1471" s="2951">
        <v>550164</v>
      </c>
      <c r="R1471" s="2954">
        <v>44495</v>
      </c>
      <c r="S1471" s="2954">
        <v>44496</v>
      </c>
      <c r="T1471" s="2948"/>
      <c r="U1471" s="2948"/>
      <c r="V1471" s="2948" t="s">
        <v>1652</v>
      </c>
    </row>
    <row r="1472" spans="1:22" s="2944" customFormat="1" ht="46.8">
      <c r="A1472" s="2948">
        <v>1471</v>
      </c>
      <c r="B1472" s="2948" t="s">
        <v>635</v>
      </c>
      <c r="C1472" s="2948" t="s">
        <v>636</v>
      </c>
      <c r="D1472" s="2948" t="s">
        <v>2014</v>
      </c>
      <c r="E1472" s="2948" t="s">
        <v>729</v>
      </c>
      <c r="F1472" s="2948" t="s">
        <v>2059</v>
      </c>
      <c r="G1472" s="2948" t="s">
        <v>640</v>
      </c>
      <c r="H1472" s="2948" t="s">
        <v>2016</v>
      </c>
      <c r="I1472" s="2948" t="s">
        <v>1279</v>
      </c>
      <c r="J1472" s="2948" t="s">
        <v>643</v>
      </c>
      <c r="K1472" s="2950">
        <v>33.03</v>
      </c>
      <c r="L1472" s="2950">
        <v>13.25</v>
      </c>
      <c r="M1472" s="2951">
        <v>550164</v>
      </c>
      <c r="N1472" s="2951">
        <v>550164</v>
      </c>
      <c r="O1472" s="2952">
        <v>550164</v>
      </c>
      <c r="P1472" s="2953">
        <v>550164</v>
      </c>
      <c r="Q1472" s="2951">
        <v>550164</v>
      </c>
      <c r="R1472" s="2954">
        <v>44558</v>
      </c>
      <c r="S1472" s="2954">
        <v>44561</v>
      </c>
      <c r="T1472" s="2948"/>
      <c r="U1472" s="2948"/>
      <c r="V1472" s="2948" t="s">
        <v>1676</v>
      </c>
    </row>
    <row r="1473" spans="1:22" s="2944" customFormat="1" ht="46.8" hidden="1">
      <c r="A1473" s="2948">
        <v>1472</v>
      </c>
      <c r="B1473" s="2948" t="s">
        <v>635</v>
      </c>
      <c r="C1473" s="2948" t="s">
        <v>636</v>
      </c>
      <c r="D1473" s="2948" t="s">
        <v>2014</v>
      </c>
      <c r="E1473" s="2948" t="s">
        <v>729</v>
      </c>
      <c r="F1473" s="2948" t="s">
        <v>2060</v>
      </c>
      <c r="G1473" s="2948" t="s">
        <v>1035</v>
      </c>
      <c r="H1473" s="2948" t="s">
        <v>2016</v>
      </c>
      <c r="I1473" s="2948" t="s">
        <v>1279</v>
      </c>
      <c r="J1473" s="2948" t="s">
        <v>643</v>
      </c>
      <c r="K1473" s="2950">
        <v>33.03</v>
      </c>
      <c r="L1473" s="2950">
        <v>13.25</v>
      </c>
      <c r="M1473" s="2951">
        <v>500000</v>
      </c>
      <c r="N1473" s="2951">
        <v>500000</v>
      </c>
      <c r="O1473" s="2955"/>
      <c r="P1473" s="2948"/>
      <c r="Q1473" s="2951">
        <v>0</v>
      </c>
      <c r="R1473" s="2948"/>
      <c r="S1473" s="2948"/>
      <c r="T1473" s="2948"/>
      <c r="U1473" s="2948"/>
      <c r="V1473" s="2948"/>
    </row>
    <row r="1474" spans="1:22" s="2944" customFormat="1" ht="46.8">
      <c r="A1474" s="2948">
        <v>1473</v>
      </c>
      <c r="B1474" s="2948" t="s">
        <v>635</v>
      </c>
      <c r="C1474" s="2948" t="s">
        <v>636</v>
      </c>
      <c r="D1474" s="2948" t="s">
        <v>2014</v>
      </c>
      <c r="E1474" s="2948" t="s">
        <v>729</v>
      </c>
      <c r="F1474" s="2948" t="s">
        <v>2061</v>
      </c>
      <c r="G1474" s="2948" t="s">
        <v>640</v>
      </c>
      <c r="H1474" s="2948" t="s">
        <v>2016</v>
      </c>
      <c r="I1474" s="2948" t="s">
        <v>1279</v>
      </c>
      <c r="J1474" s="2948" t="s">
        <v>643</v>
      </c>
      <c r="K1474" s="2950">
        <v>33.03</v>
      </c>
      <c r="L1474" s="2950">
        <v>13.25</v>
      </c>
      <c r="M1474" s="2951">
        <v>550164</v>
      </c>
      <c r="N1474" s="2951">
        <v>550164</v>
      </c>
      <c r="O1474" s="2952">
        <v>500000</v>
      </c>
      <c r="P1474" s="2953">
        <v>500000</v>
      </c>
      <c r="Q1474" s="2951">
        <v>500000</v>
      </c>
      <c r="R1474" s="2954">
        <v>45044</v>
      </c>
      <c r="S1474" s="2954">
        <v>45044</v>
      </c>
      <c r="T1474" s="2948"/>
      <c r="U1474" s="2948"/>
      <c r="V1474" s="2948" t="s">
        <v>1698</v>
      </c>
    </row>
    <row r="1475" spans="1:22" s="2944" customFormat="1" ht="46.8">
      <c r="A1475" s="2948">
        <v>1474</v>
      </c>
      <c r="B1475" s="2948" t="s">
        <v>635</v>
      </c>
      <c r="C1475" s="2948" t="s">
        <v>636</v>
      </c>
      <c r="D1475" s="2948" t="s">
        <v>2014</v>
      </c>
      <c r="E1475" s="2948" t="s">
        <v>729</v>
      </c>
      <c r="F1475" s="2948" t="s">
        <v>2062</v>
      </c>
      <c r="G1475" s="2948" t="s">
        <v>640</v>
      </c>
      <c r="H1475" s="2948" t="s">
        <v>2016</v>
      </c>
      <c r="I1475" s="2948" t="s">
        <v>1279</v>
      </c>
      <c r="J1475" s="2948" t="s">
        <v>643</v>
      </c>
      <c r="K1475" s="2950">
        <v>33.03</v>
      </c>
      <c r="L1475" s="2950">
        <v>13.25</v>
      </c>
      <c r="M1475" s="2951">
        <v>550164</v>
      </c>
      <c r="N1475" s="2951">
        <v>550164</v>
      </c>
      <c r="O1475" s="2952">
        <v>500000</v>
      </c>
      <c r="P1475" s="2953">
        <v>500000</v>
      </c>
      <c r="Q1475" s="2951">
        <v>500000</v>
      </c>
      <c r="R1475" s="2954">
        <v>45042</v>
      </c>
      <c r="S1475" s="2954">
        <v>45044</v>
      </c>
      <c r="T1475" s="2948"/>
      <c r="U1475" s="2948"/>
      <c r="V1475" s="2948" t="s">
        <v>1694</v>
      </c>
    </row>
    <row r="1476" spans="1:22" s="2944" customFormat="1" ht="46.8">
      <c r="A1476" s="2948">
        <v>1475</v>
      </c>
      <c r="B1476" s="2948" t="s">
        <v>635</v>
      </c>
      <c r="C1476" s="2948" t="s">
        <v>636</v>
      </c>
      <c r="D1476" s="2948" t="s">
        <v>2014</v>
      </c>
      <c r="E1476" s="2948" t="s">
        <v>729</v>
      </c>
      <c r="F1476" s="2948" t="s">
        <v>2063</v>
      </c>
      <c r="G1476" s="2948" t="s">
        <v>640</v>
      </c>
      <c r="H1476" s="2948" t="s">
        <v>2016</v>
      </c>
      <c r="I1476" s="2948" t="s">
        <v>1279</v>
      </c>
      <c r="J1476" s="2948" t="s">
        <v>643</v>
      </c>
      <c r="K1476" s="2950">
        <v>33.03</v>
      </c>
      <c r="L1476" s="2950">
        <v>13.25</v>
      </c>
      <c r="M1476" s="2951">
        <v>550164</v>
      </c>
      <c r="N1476" s="2951">
        <v>550164</v>
      </c>
      <c r="O1476" s="2952">
        <v>500000</v>
      </c>
      <c r="P1476" s="2953">
        <v>500000</v>
      </c>
      <c r="Q1476" s="2951">
        <v>500000</v>
      </c>
      <c r="R1476" s="2954">
        <v>45042</v>
      </c>
      <c r="S1476" s="2954">
        <v>45044</v>
      </c>
      <c r="T1476" s="2948"/>
      <c r="U1476" s="2948"/>
      <c r="V1476" s="2948" t="s">
        <v>1667</v>
      </c>
    </row>
    <row r="1477" spans="1:22" s="2944" customFormat="1" ht="46.8" hidden="1">
      <c r="A1477" s="2948">
        <v>1476</v>
      </c>
      <c r="B1477" s="2948" t="s">
        <v>635</v>
      </c>
      <c r="C1477" s="2948" t="s">
        <v>636</v>
      </c>
      <c r="D1477" s="2948" t="s">
        <v>2014</v>
      </c>
      <c r="E1477" s="2948" t="s">
        <v>729</v>
      </c>
      <c r="F1477" s="2948" t="s">
        <v>2064</v>
      </c>
      <c r="G1477" s="2948" t="s">
        <v>1035</v>
      </c>
      <c r="H1477" s="2948" t="s">
        <v>2016</v>
      </c>
      <c r="I1477" s="2948" t="s">
        <v>1279</v>
      </c>
      <c r="J1477" s="2948" t="s">
        <v>643</v>
      </c>
      <c r="K1477" s="2950">
        <v>33.03</v>
      </c>
      <c r="L1477" s="2950">
        <v>13.25</v>
      </c>
      <c r="M1477" s="2951">
        <v>500000</v>
      </c>
      <c r="N1477" s="2951">
        <v>500000</v>
      </c>
      <c r="O1477" s="2955"/>
      <c r="P1477" s="2948"/>
      <c r="Q1477" s="2951">
        <v>0</v>
      </c>
      <c r="R1477" s="2948"/>
      <c r="S1477" s="2948"/>
      <c r="T1477" s="2948"/>
      <c r="U1477" s="2948"/>
      <c r="V1477" s="2948"/>
    </row>
    <row r="1478" spans="1:22" s="2944" customFormat="1" ht="46.8" hidden="1">
      <c r="A1478" s="2948">
        <v>1477</v>
      </c>
      <c r="B1478" s="2948" t="s">
        <v>635</v>
      </c>
      <c r="C1478" s="2948" t="s">
        <v>636</v>
      </c>
      <c r="D1478" s="2948" t="s">
        <v>2014</v>
      </c>
      <c r="E1478" s="2948" t="s">
        <v>729</v>
      </c>
      <c r="F1478" s="2948" t="s">
        <v>2065</v>
      </c>
      <c r="G1478" s="2948" t="s">
        <v>1035</v>
      </c>
      <c r="H1478" s="2948" t="s">
        <v>2016</v>
      </c>
      <c r="I1478" s="2948" t="s">
        <v>1279</v>
      </c>
      <c r="J1478" s="2948" t="s">
        <v>643</v>
      </c>
      <c r="K1478" s="2950">
        <v>33.03</v>
      </c>
      <c r="L1478" s="2950">
        <v>13.25</v>
      </c>
      <c r="M1478" s="2951">
        <v>500000</v>
      </c>
      <c r="N1478" s="2951">
        <v>500000</v>
      </c>
      <c r="O1478" s="2955"/>
      <c r="P1478" s="2948"/>
      <c r="Q1478" s="2951">
        <v>0</v>
      </c>
      <c r="R1478" s="2948"/>
      <c r="S1478" s="2948"/>
      <c r="T1478" s="2948"/>
      <c r="U1478" s="2948"/>
      <c r="V1478" s="2948"/>
    </row>
    <row r="1479" spans="1:22" s="2944" customFormat="1" ht="46.8" hidden="1">
      <c r="A1479" s="2948">
        <v>1478</v>
      </c>
      <c r="B1479" s="2948" t="s">
        <v>635</v>
      </c>
      <c r="C1479" s="2948" t="s">
        <v>636</v>
      </c>
      <c r="D1479" s="2948" t="s">
        <v>2014</v>
      </c>
      <c r="E1479" s="2948" t="s">
        <v>729</v>
      </c>
      <c r="F1479" s="2948" t="s">
        <v>2066</v>
      </c>
      <c r="G1479" s="2948" t="s">
        <v>1035</v>
      </c>
      <c r="H1479" s="2948" t="s">
        <v>2016</v>
      </c>
      <c r="I1479" s="2948" t="s">
        <v>1279</v>
      </c>
      <c r="J1479" s="2948" t="s">
        <v>643</v>
      </c>
      <c r="K1479" s="2950">
        <v>33.03</v>
      </c>
      <c r="L1479" s="2950">
        <v>13.25</v>
      </c>
      <c r="M1479" s="2951">
        <v>500000</v>
      </c>
      <c r="N1479" s="2951">
        <v>500000</v>
      </c>
      <c r="O1479" s="2955"/>
      <c r="P1479" s="2948"/>
      <c r="Q1479" s="2951">
        <v>0</v>
      </c>
      <c r="R1479" s="2948"/>
      <c r="S1479" s="2948"/>
      <c r="T1479" s="2948"/>
      <c r="U1479" s="2948"/>
      <c r="V1479" s="2948"/>
    </row>
    <row r="1480" spans="1:22" s="2944" customFormat="1" ht="46.8">
      <c r="A1480" s="2948">
        <v>1479</v>
      </c>
      <c r="B1480" s="2948" t="s">
        <v>635</v>
      </c>
      <c r="C1480" s="2948" t="s">
        <v>636</v>
      </c>
      <c r="D1480" s="2948" t="s">
        <v>2014</v>
      </c>
      <c r="E1480" s="2948" t="s">
        <v>729</v>
      </c>
      <c r="F1480" s="2948" t="s">
        <v>2067</v>
      </c>
      <c r="G1480" s="2948" t="s">
        <v>640</v>
      </c>
      <c r="H1480" s="2948" t="s">
        <v>2016</v>
      </c>
      <c r="I1480" s="2948" t="s">
        <v>1279</v>
      </c>
      <c r="J1480" s="2948" t="s">
        <v>643</v>
      </c>
      <c r="K1480" s="2950">
        <v>33.03</v>
      </c>
      <c r="L1480" s="2950">
        <v>13.25</v>
      </c>
      <c r="M1480" s="2951">
        <v>550164</v>
      </c>
      <c r="N1480" s="2951">
        <v>550164</v>
      </c>
      <c r="O1480" s="2952">
        <v>475000</v>
      </c>
      <c r="P1480" s="2953">
        <v>475000</v>
      </c>
      <c r="Q1480" s="2951">
        <v>475000</v>
      </c>
      <c r="R1480" s="2954">
        <v>45046</v>
      </c>
      <c r="S1480" s="2954">
        <v>45070</v>
      </c>
      <c r="T1480" s="2948"/>
      <c r="U1480" s="2948"/>
      <c r="V1480" s="2948" t="s">
        <v>1815</v>
      </c>
    </row>
    <row r="1481" spans="1:22" s="2944" customFormat="1" ht="46.8" hidden="1">
      <c r="A1481" s="2948">
        <v>1480</v>
      </c>
      <c r="B1481" s="2948" t="s">
        <v>635</v>
      </c>
      <c r="C1481" s="2948" t="s">
        <v>636</v>
      </c>
      <c r="D1481" s="2948" t="s">
        <v>2014</v>
      </c>
      <c r="E1481" s="2948" t="s">
        <v>729</v>
      </c>
      <c r="F1481" s="2948" t="s">
        <v>2068</v>
      </c>
      <c r="G1481" s="2948" t="s">
        <v>1035</v>
      </c>
      <c r="H1481" s="2948" t="s">
        <v>2016</v>
      </c>
      <c r="I1481" s="2948" t="s">
        <v>1279</v>
      </c>
      <c r="J1481" s="2948" t="s">
        <v>643</v>
      </c>
      <c r="K1481" s="2950">
        <v>33.03</v>
      </c>
      <c r="L1481" s="2950">
        <v>13.25</v>
      </c>
      <c r="M1481" s="2951">
        <v>500000</v>
      </c>
      <c r="N1481" s="2951">
        <v>500000</v>
      </c>
      <c r="O1481" s="2955"/>
      <c r="P1481" s="2948"/>
      <c r="Q1481" s="2951">
        <v>0</v>
      </c>
      <c r="R1481" s="2948"/>
      <c r="S1481" s="2948"/>
      <c r="T1481" s="2948"/>
      <c r="U1481" s="2948"/>
      <c r="V1481" s="2948"/>
    </row>
    <row r="1482" spans="1:22" s="2944" customFormat="1" ht="46.8">
      <c r="A1482" s="2948">
        <v>1481</v>
      </c>
      <c r="B1482" s="2948" t="s">
        <v>635</v>
      </c>
      <c r="C1482" s="2948" t="s">
        <v>636</v>
      </c>
      <c r="D1482" s="2948" t="s">
        <v>2014</v>
      </c>
      <c r="E1482" s="2948" t="s">
        <v>729</v>
      </c>
      <c r="F1482" s="2948" t="s">
        <v>2069</v>
      </c>
      <c r="G1482" s="2948" t="s">
        <v>640</v>
      </c>
      <c r="H1482" s="2948" t="s">
        <v>2016</v>
      </c>
      <c r="I1482" s="2948" t="s">
        <v>1279</v>
      </c>
      <c r="J1482" s="2948" t="s">
        <v>643</v>
      </c>
      <c r="K1482" s="2950">
        <v>33.03</v>
      </c>
      <c r="L1482" s="2950">
        <v>13.25</v>
      </c>
      <c r="M1482" s="2951">
        <v>550164</v>
      </c>
      <c r="N1482" s="2951">
        <v>550164</v>
      </c>
      <c r="O1482" s="2952">
        <v>550164</v>
      </c>
      <c r="P1482" s="2953">
        <v>550164</v>
      </c>
      <c r="Q1482" s="2951">
        <v>550164</v>
      </c>
      <c r="R1482" s="2954">
        <v>44736</v>
      </c>
      <c r="S1482" s="2954">
        <v>44737</v>
      </c>
      <c r="T1482" s="2948"/>
      <c r="U1482" s="2948"/>
      <c r="V1482" s="2948" t="s">
        <v>1769</v>
      </c>
    </row>
    <row r="1483" spans="1:22" s="2944" customFormat="1" ht="46.8">
      <c r="A1483" s="2948">
        <v>1482</v>
      </c>
      <c r="B1483" s="2948" t="s">
        <v>635</v>
      </c>
      <c r="C1483" s="2948" t="s">
        <v>636</v>
      </c>
      <c r="D1483" s="2948" t="s">
        <v>2014</v>
      </c>
      <c r="E1483" s="2948" t="s">
        <v>729</v>
      </c>
      <c r="F1483" s="2948" t="s">
        <v>2070</v>
      </c>
      <c r="G1483" s="2948" t="s">
        <v>640</v>
      </c>
      <c r="H1483" s="2948" t="s">
        <v>2016</v>
      </c>
      <c r="I1483" s="2948" t="s">
        <v>1279</v>
      </c>
      <c r="J1483" s="2948" t="s">
        <v>643</v>
      </c>
      <c r="K1483" s="2950">
        <v>33.03</v>
      </c>
      <c r="L1483" s="2950">
        <v>13.25</v>
      </c>
      <c r="M1483" s="2951">
        <v>500000</v>
      </c>
      <c r="N1483" s="2951">
        <v>500000</v>
      </c>
      <c r="O1483" s="2952">
        <v>500000</v>
      </c>
      <c r="P1483" s="2953">
        <v>500000</v>
      </c>
      <c r="Q1483" s="2951">
        <v>500000</v>
      </c>
      <c r="R1483" s="2954">
        <v>45197</v>
      </c>
      <c r="S1483" s="2954">
        <v>45197</v>
      </c>
      <c r="T1483" s="2948"/>
      <c r="U1483" s="2948"/>
      <c r="V1483" s="2948" t="s">
        <v>1289</v>
      </c>
    </row>
    <row r="1484" spans="1:22" s="2944" customFormat="1" ht="46.8">
      <c r="A1484" s="2948">
        <v>1483</v>
      </c>
      <c r="B1484" s="2948" t="s">
        <v>635</v>
      </c>
      <c r="C1484" s="2948" t="s">
        <v>636</v>
      </c>
      <c r="D1484" s="2948" t="s">
        <v>2014</v>
      </c>
      <c r="E1484" s="2948" t="s">
        <v>729</v>
      </c>
      <c r="F1484" s="2948" t="s">
        <v>2071</v>
      </c>
      <c r="G1484" s="2948" t="s">
        <v>640</v>
      </c>
      <c r="H1484" s="2948" t="s">
        <v>2016</v>
      </c>
      <c r="I1484" s="2948" t="s">
        <v>1279</v>
      </c>
      <c r="J1484" s="2948" t="s">
        <v>643</v>
      </c>
      <c r="K1484" s="2950">
        <v>33.03</v>
      </c>
      <c r="L1484" s="2950">
        <v>13.25</v>
      </c>
      <c r="M1484" s="2951">
        <v>500000</v>
      </c>
      <c r="N1484" s="2951">
        <v>500000</v>
      </c>
      <c r="O1484" s="2952">
        <v>500000</v>
      </c>
      <c r="P1484" s="2953">
        <v>500000</v>
      </c>
      <c r="Q1484" s="2951">
        <v>200000</v>
      </c>
      <c r="R1484" s="2954">
        <v>45281</v>
      </c>
      <c r="S1484" s="2954">
        <v>45281</v>
      </c>
      <c r="T1484" s="2948"/>
      <c r="U1484" s="2948"/>
      <c r="V1484" s="2948" t="s">
        <v>1859</v>
      </c>
    </row>
    <row r="1485" spans="1:22" s="2944" customFormat="1" ht="46.8">
      <c r="A1485" s="2948">
        <v>1484</v>
      </c>
      <c r="B1485" s="2948" t="s">
        <v>635</v>
      </c>
      <c r="C1485" s="2948" t="s">
        <v>636</v>
      </c>
      <c r="D1485" s="2948" t="s">
        <v>2014</v>
      </c>
      <c r="E1485" s="2948" t="s">
        <v>729</v>
      </c>
      <c r="F1485" s="2948" t="s">
        <v>2072</v>
      </c>
      <c r="G1485" s="2948" t="s">
        <v>640</v>
      </c>
      <c r="H1485" s="2948" t="s">
        <v>2016</v>
      </c>
      <c r="I1485" s="2948" t="s">
        <v>1279</v>
      </c>
      <c r="J1485" s="2948" t="s">
        <v>643</v>
      </c>
      <c r="K1485" s="2950">
        <v>33.03</v>
      </c>
      <c r="L1485" s="2950">
        <v>13.25</v>
      </c>
      <c r="M1485" s="2951">
        <v>550164</v>
      </c>
      <c r="N1485" s="2951">
        <v>550164</v>
      </c>
      <c r="O1485" s="2952">
        <v>500000</v>
      </c>
      <c r="P1485" s="2953">
        <v>500000</v>
      </c>
      <c r="Q1485" s="2951">
        <v>500000</v>
      </c>
      <c r="R1485" s="2954">
        <v>45044</v>
      </c>
      <c r="S1485" s="2954">
        <v>45044</v>
      </c>
      <c r="T1485" s="2948"/>
      <c r="U1485" s="2948"/>
      <c r="V1485" s="2948" t="s">
        <v>1838</v>
      </c>
    </row>
    <row r="1486" spans="1:22" s="2944" customFormat="1" ht="46.8">
      <c r="A1486" s="2948">
        <v>1485</v>
      </c>
      <c r="B1486" s="2948" t="s">
        <v>635</v>
      </c>
      <c r="C1486" s="2948" t="s">
        <v>636</v>
      </c>
      <c r="D1486" s="2948" t="s">
        <v>2014</v>
      </c>
      <c r="E1486" s="2948" t="s">
        <v>729</v>
      </c>
      <c r="F1486" s="2948" t="s">
        <v>2073</v>
      </c>
      <c r="G1486" s="2948" t="s">
        <v>640</v>
      </c>
      <c r="H1486" s="2948" t="s">
        <v>2016</v>
      </c>
      <c r="I1486" s="2948" t="s">
        <v>1279</v>
      </c>
      <c r="J1486" s="2948" t="s">
        <v>643</v>
      </c>
      <c r="K1486" s="2950">
        <v>33.03</v>
      </c>
      <c r="L1486" s="2950">
        <v>13.25</v>
      </c>
      <c r="M1486" s="2951">
        <v>550164</v>
      </c>
      <c r="N1486" s="2951">
        <v>550164</v>
      </c>
      <c r="O1486" s="2952">
        <v>550164</v>
      </c>
      <c r="P1486" s="2953">
        <v>550164</v>
      </c>
      <c r="Q1486" s="2951">
        <v>550164</v>
      </c>
      <c r="R1486" s="2954">
        <v>44736</v>
      </c>
      <c r="S1486" s="2954">
        <v>44737</v>
      </c>
      <c r="T1486" s="2948"/>
      <c r="U1486" s="2948"/>
      <c r="V1486" s="2948" t="s">
        <v>1763</v>
      </c>
    </row>
    <row r="1487" spans="1:22" s="2944" customFormat="1" ht="46.8">
      <c r="A1487" s="2948">
        <v>1486</v>
      </c>
      <c r="B1487" s="2948" t="s">
        <v>635</v>
      </c>
      <c r="C1487" s="2948" t="s">
        <v>636</v>
      </c>
      <c r="D1487" s="2948" t="s">
        <v>2014</v>
      </c>
      <c r="E1487" s="2948" t="s">
        <v>729</v>
      </c>
      <c r="F1487" s="2948" t="s">
        <v>2074</v>
      </c>
      <c r="G1487" s="2948" t="s">
        <v>640</v>
      </c>
      <c r="H1487" s="2948" t="s">
        <v>2016</v>
      </c>
      <c r="I1487" s="2948" t="s">
        <v>1279</v>
      </c>
      <c r="J1487" s="2948" t="s">
        <v>643</v>
      </c>
      <c r="K1487" s="2950">
        <v>33.03</v>
      </c>
      <c r="L1487" s="2950">
        <v>13.25</v>
      </c>
      <c r="M1487" s="2951">
        <v>550164</v>
      </c>
      <c r="N1487" s="2951">
        <v>550164</v>
      </c>
      <c r="O1487" s="2952">
        <v>500000</v>
      </c>
      <c r="P1487" s="2953">
        <v>500000</v>
      </c>
      <c r="Q1487" s="2951">
        <v>500000</v>
      </c>
      <c r="R1487" s="2954">
        <v>45107</v>
      </c>
      <c r="S1487" s="2954">
        <v>45107</v>
      </c>
      <c r="T1487" s="2948"/>
      <c r="U1487" s="2948"/>
      <c r="V1487" s="2948" t="s">
        <v>2075</v>
      </c>
    </row>
    <row r="1488" spans="1:22" s="2944" customFormat="1" ht="46.8">
      <c r="A1488" s="2948">
        <v>1487</v>
      </c>
      <c r="B1488" s="2948" t="s">
        <v>635</v>
      </c>
      <c r="C1488" s="2948" t="s">
        <v>636</v>
      </c>
      <c r="D1488" s="2948" t="s">
        <v>2014</v>
      </c>
      <c r="E1488" s="2948" t="s">
        <v>729</v>
      </c>
      <c r="F1488" s="2948" t="s">
        <v>2076</v>
      </c>
      <c r="G1488" s="2948" t="s">
        <v>640</v>
      </c>
      <c r="H1488" s="2948" t="s">
        <v>2016</v>
      </c>
      <c r="I1488" s="2948" t="s">
        <v>1279</v>
      </c>
      <c r="J1488" s="2948" t="s">
        <v>643</v>
      </c>
      <c r="K1488" s="2950">
        <v>33.03</v>
      </c>
      <c r="L1488" s="2950">
        <v>13.25</v>
      </c>
      <c r="M1488" s="2951">
        <v>550164</v>
      </c>
      <c r="N1488" s="2951">
        <v>550164</v>
      </c>
      <c r="O1488" s="2952">
        <v>550164</v>
      </c>
      <c r="P1488" s="2953">
        <v>550164</v>
      </c>
      <c r="Q1488" s="2951">
        <v>550164</v>
      </c>
      <c r="R1488" s="2954">
        <v>44736</v>
      </c>
      <c r="S1488" s="2954">
        <v>44737</v>
      </c>
      <c r="T1488" s="2948"/>
      <c r="U1488" s="2948"/>
      <c r="V1488" s="2948" t="s">
        <v>1770</v>
      </c>
    </row>
    <row r="1489" spans="1:22" s="2944" customFormat="1" ht="46.8">
      <c r="A1489" s="2948">
        <v>1488</v>
      </c>
      <c r="B1489" s="2948" t="s">
        <v>635</v>
      </c>
      <c r="C1489" s="2948" t="s">
        <v>636</v>
      </c>
      <c r="D1489" s="2948" t="s">
        <v>2014</v>
      </c>
      <c r="E1489" s="2948" t="s">
        <v>729</v>
      </c>
      <c r="F1489" s="2948" t="s">
        <v>2077</v>
      </c>
      <c r="G1489" s="2948" t="s">
        <v>640</v>
      </c>
      <c r="H1489" s="2948" t="s">
        <v>2016</v>
      </c>
      <c r="I1489" s="2948" t="s">
        <v>1279</v>
      </c>
      <c r="J1489" s="2948" t="s">
        <v>643</v>
      </c>
      <c r="K1489" s="2950">
        <v>33.03</v>
      </c>
      <c r="L1489" s="2950">
        <v>13.25</v>
      </c>
      <c r="M1489" s="2951">
        <v>550164</v>
      </c>
      <c r="N1489" s="2951">
        <v>550164</v>
      </c>
      <c r="O1489" s="2952">
        <v>550164</v>
      </c>
      <c r="P1489" s="2953">
        <v>550164</v>
      </c>
      <c r="Q1489" s="2951">
        <v>550164</v>
      </c>
      <c r="R1489" s="2954">
        <v>44734</v>
      </c>
      <c r="S1489" s="2954">
        <v>44736</v>
      </c>
      <c r="T1489" s="2948"/>
      <c r="U1489" s="2948"/>
      <c r="V1489" s="2948" t="s">
        <v>1776</v>
      </c>
    </row>
    <row r="1490" spans="1:22" s="2944" customFormat="1" ht="46.8" hidden="1">
      <c r="A1490" s="2948">
        <v>1489</v>
      </c>
      <c r="B1490" s="2948" t="s">
        <v>635</v>
      </c>
      <c r="C1490" s="2948" t="s">
        <v>636</v>
      </c>
      <c r="D1490" s="2948" t="s">
        <v>2014</v>
      </c>
      <c r="E1490" s="2948" t="s">
        <v>729</v>
      </c>
      <c r="F1490" s="2948" t="s">
        <v>2078</v>
      </c>
      <c r="G1490" s="2948" t="s">
        <v>1035</v>
      </c>
      <c r="H1490" s="2948" t="s">
        <v>2016</v>
      </c>
      <c r="I1490" s="2948" t="s">
        <v>1279</v>
      </c>
      <c r="J1490" s="2948" t="s">
        <v>643</v>
      </c>
      <c r="K1490" s="2950">
        <v>33.03</v>
      </c>
      <c r="L1490" s="2950">
        <v>13.25</v>
      </c>
      <c r="M1490" s="2951">
        <v>500000</v>
      </c>
      <c r="N1490" s="2951">
        <v>500000</v>
      </c>
      <c r="O1490" s="2955"/>
      <c r="P1490" s="2948"/>
      <c r="Q1490" s="2951">
        <v>0</v>
      </c>
      <c r="R1490" s="2948"/>
      <c r="S1490" s="2948"/>
      <c r="T1490" s="2948"/>
      <c r="U1490" s="2948"/>
      <c r="V1490" s="2948"/>
    </row>
    <row r="1491" spans="1:22" s="2944" customFormat="1" ht="46.8">
      <c r="A1491" s="2948">
        <v>1490</v>
      </c>
      <c r="B1491" s="2948" t="s">
        <v>635</v>
      </c>
      <c r="C1491" s="2948" t="s">
        <v>636</v>
      </c>
      <c r="D1491" s="2948" t="s">
        <v>2014</v>
      </c>
      <c r="E1491" s="2948" t="s">
        <v>729</v>
      </c>
      <c r="F1491" s="2948" t="s">
        <v>2079</v>
      </c>
      <c r="G1491" s="2948" t="s">
        <v>640</v>
      </c>
      <c r="H1491" s="2948" t="s">
        <v>2016</v>
      </c>
      <c r="I1491" s="2948" t="s">
        <v>1279</v>
      </c>
      <c r="J1491" s="2948" t="s">
        <v>643</v>
      </c>
      <c r="K1491" s="2950">
        <v>33.03</v>
      </c>
      <c r="L1491" s="2950">
        <v>13.25</v>
      </c>
      <c r="M1491" s="2951">
        <v>550164</v>
      </c>
      <c r="N1491" s="2951">
        <v>550164</v>
      </c>
      <c r="O1491" s="2952">
        <v>500000</v>
      </c>
      <c r="P1491" s="2953">
        <v>500000</v>
      </c>
      <c r="Q1491" s="2951">
        <v>500000</v>
      </c>
      <c r="R1491" s="2954">
        <v>45044</v>
      </c>
      <c r="S1491" s="2954">
        <v>45044</v>
      </c>
      <c r="T1491" s="2948"/>
      <c r="U1491" s="2948"/>
      <c r="V1491" s="2948" t="s">
        <v>2080</v>
      </c>
    </row>
    <row r="1492" spans="1:22" s="2944" customFormat="1" ht="46.8">
      <c r="A1492" s="2948">
        <v>1491</v>
      </c>
      <c r="B1492" s="2948" t="s">
        <v>635</v>
      </c>
      <c r="C1492" s="2948" t="s">
        <v>636</v>
      </c>
      <c r="D1492" s="2948" t="s">
        <v>2014</v>
      </c>
      <c r="E1492" s="2948" t="s">
        <v>729</v>
      </c>
      <c r="F1492" s="2948" t="s">
        <v>2081</v>
      </c>
      <c r="G1492" s="2948" t="s">
        <v>640</v>
      </c>
      <c r="H1492" s="2948" t="s">
        <v>2016</v>
      </c>
      <c r="I1492" s="2948" t="s">
        <v>1279</v>
      </c>
      <c r="J1492" s="2948" t="s">
        <v>643</v>
      </c>
      <c r="K1492" s="2950">
        <v>33.03</v>
      </c>
      <c r="L1492" s="2950">
        <v>13.25</v>
      </c>
      <c r="M1492" s="2951">
        <v>550164</v>
      </c>
      <c r="N1492" s="2951">
        <v>550164</v>
      </c>
      <c r="O1492" s="2952">
        <v>550164</v>
      </c>
      <c r="P1492" s="2953">
        <v>550164</v>
      </c>
      <c r="Q1492" s="2951">
        <v>550164</v>
      </c>
      <c r="R1492" s="2954">
        <v>44735</v>
      </c>
      <c r="S1492" s="2954">
        <v>44737</v>
      </c>
      <c r="T1492" s="2948"/>
      <c r="U1492" s="2948"/>
      <c r="V1492" s="2948" t="s">
        <v>1704</v>
      </c>
    </row>
    <row r="1493" spans="1:22" s="2944" customFormat="1" ht="46.8">
      <c r="A1493" s="2948">
        <v>1492</v>
      </c>
      <c r="B1493" s="2948" t="s">
        <v>635</v>
      </c>
      <c r="C1493" s="2948" t="s">
        <v>636</v>
      </c>
      <c r="D1493" s="2948" t="s">
        <v>2014</v>
      </c>
      <c r="E1493" s="2948" t="s">
        <v>729</v>
      </c>
      <c r="F1493" s="2948" t="s">
        <v>2082</v>
      </c>
      <c r="G1493" s="2948" t="s">
        <v>640</v>
      </c>
      <c r="H1493" s="2948" t="s">
        <v>2016</v>
      </c>
      <c r="I1493" s="2948" t="s">
        <v>1279</v>
      </c>
      <c r="J1493" s="2948" t="s">
        <v>643</v>
      </c>
      <c r="K1493" s="2950">
        <v>33.03</v>
      </c>
      <c r="L1493" s="2950">
        <v>13.25</v>
      </c>
      <c r="M1493" s="2951">
        <v>500000</v>
      </c>
      <c r="N1493" s="2951">
        <v>500000</v>
      </c>
      <c r="O1493" s="2952">
        <v>500000</v>
      </c>
      <c r="P1493" s="2953">
        <v>500000</v>
      </c>
      <c r="Q1493" s="2951">
        <v>500000</v>
      </c>
      <c r="R1493" s="2954">
        <v>45197</v>
      </c>
      <c r="S1493" s="2954">
        <v>45197</v>
      </c>
      <c r="T1493" s="2948"/>
      <c r="U1493" s="2948"/>
      <c r="V1493" s="2948" t="s">
        <v>1350</v>
      </c>
    </row>
    <row r="1494" spans="1:22" s="2944" customFormat="1" ht="46.8">
      <c r="A1494" s="2948">
        <v>1493</v>
      </c>
      <c r="B1494" s="2948" t="s">
        <v>635</v>
      </c>
      <c r="C1494" s="2948" t="s">
        <v>636</v>
      </c>
      <c r="D1494" s="2948" t="s">
        <v>2014</v>
      </c>
      <c r="E1494" s="2948" t="s">
        <v>729</v>
      </c>
      <c r="F1494" s="2948" t="s">
        <v>2083</v>
      </c>
      <c r="G1494" s="2948" t="s">
        <v>640</v>
      </c>
      <c r="H1494" s="2948" t="s">
        <v>2016</v>
      </c>
      <c r="I1494" s="2948" t="s">
        <v>1279</v>
      </c>
      <c r="J1494" s="2948" t="s">
        <v>643</v>
      </c>
      <c r="K1494" s="2950">
        <v>33.03</v>
      </c>
      <c r="L1494" s="2950">
        <v>13.25</v>
      </c>
      <c r="M1494" s="2951">
        <v>550164</v>
      </c>
      <c r="N1494" s="2951">
        <v>550164</v>
      </c>
      <c r="O1494" s="2952">
        <v>500000</v>
      </c>
      <c r="P1494" s="2953">
        <v>500000</v>
      </c>
      <c r="Q1494" s="2951">
        <v>500000</v>
      </c>
      <c r="R1494" s="2954">
        <v>45044</v>
      </c>
      <c r="S1494" s="2954">
        <v>45044</v>
      </c>
      <c r="T1494" s="2948"/>
      <c r="U1494" s="2948"/>
      <c r="V1494" s="2948" t="s">
        <v>1852</v>
      </c>
    </row>
    <row r="1495" spans="1:22" s="2944" customFormat="1" ht="46.8">
      <c r="A1495" s="2948">
        <v>1494</v>
      </c>
      <c r="B1495" s="2948" t="s">
        <v>635</v>
      </c>
      <c r="C1495" s="2948" t="s">
        <v>636</v>
      </c>
      <c r="D1495" s="2948" t="s">
        <v>2014</v>
      </c>
      <c r="E1495" s="2948" t="s">
        <v>729</v>
      </c>
      <c r="F1495" s="2948" t="s">
        <v>2084</v>
      </c>
      <c r="G1495" s="2948" t="s">
        <v>640</v>
      </c>
      <c r="H1495" s="2948" t="s">
        <v>2016</v>
      </c>
      <c r="I1495" s="2948" t="s">
        <v>1279</v>
      </c>
      <c r="J1495" s="2948" t="s">
        <v>643</v>
      </c>
      <c r="K1495" s="2950">
        <v>33.03</v>
      </c>
      <c r="L1495" s="2950">
        <v>13.25</v>
      </c>
      <c r="M1495" s="2951">
        <v>550164</v>
      </c>
      <c r="N1495" s="2951">
        <v>550164</v>
      </c>
      <c r="O1495" s="2952">
        <v>500000</v>
      </c>
      <c r="P1495" s="2953">
        <v>500000</v>
      </c>
      <c r="Q1495" s="2951">
        <v>500000</v>
      </c>
      <c r="R1495" s="2954">
        <v>45042</v>
      </c>
      <c r="S1495" s="2954">
        <v>45042</v>
      </c>
      <c r="T1495" s="2948"/>
      <c r="U1495" s="2948"/>
      <c r="V1495" s="2948" t="s">
        <v>1812</v>
      </c>
    </row>
    <row r="1496" spans="1:22" s="2944" customFormat="1" ht="46.8" hidden="1">
      <c r="A1496" s="2948">
        <v>1495</v>
      </c>
      <c r="B1496" s="2948" t="s">
        <v>635</v>
      </c>
      <c r="C1496" s="2948" t="s">
        <v>636</v>
      </c>
      <c r="D1496" s="2948" t="s">
        <v>2014</v>
      </c>
      <c r="E1496" s="2948" t="s">
        <v>729</v>
      </c>
      <c r="F1496" s="2948" t="s">
        <v>2085</v>
      </c>
      <c r="G1496" s="2948" t="s">
        <v>1035</v>
      </c>
      <c r="H1496" s="2948" t="s">
        <v>2016</v>
      </c>
      <c r="I1496" s="2948" t="s">
        <v>1279</v>
      </c>
      <c r="J1496" s="2948" t="s">
        <v>643</v>
      </c>
      <c r="K1496" s="2950">
        <v>33.03</v>
      </c>
      <c r="L1496" s="2950">
        <v>13.25</v>
      </c>
      <c r="M1496" s="2951">
        <v>500000</v>
      </c>
      <c r="N1496" s="2951">
        <v>500000</v>
      </c>
      <c r="O1496" s="2955"/>
      <c r="P1496" s="2948"/>
      <c r="Q1496" s="2951">
        <v>0</v>
      </c>
      <c r="R1496" s="2948"/>
      <c r="S1496" s="2948"/>
      <c r="T1496" s="2948"/>
      <c r="U1496" s="2948"/>
      <c r="V1496" s="2948"/>
    </row>
    <row r="1497" spans="1:22" s="2944" customFormat="1" ht="46.8" hidden="1">
      <c r="A1497" s="2948">
        <v>1496</v>
      </c>
      <c r="B1497" s="2948" t="s">
        <v>635</v>
      </c>
      <c r="C1497" s="2948" t="s">
        <v>636</v>
      </c>
      <c r="D1497" s="2948" t="s">
        <v>2014</v>
      </c>
      <c r="E1497" s="2948" t="s">
        <v>729</v>
      </c>
      <c r="F1497" s="2948" t="s">
        <v>2086</v>
      </c>
      <c r="G1497" s="2948" t="s">
        <v>1035</v>
      </c>
      <c r="H1497" s="2948" t="s">
        <v>2016</v>
      </c>
      <c r="I1497" s="2948" t="s">
        <v>1279</v>
      </c>
      <c r="J1497" s="2948" t="s">
        <v>643</v>
      </c>
      <c r="K1497" s="2950">
        <v>33.03</v>
      </c>
      <c r="L1497" s="2950">
        <v>13.25</v>
      </c>
      <c r="M1497" s="2951">
        <v>500000</v>
      </c>
      <c r="N1497" s="2951">
        <v>500000</v>
      </c>
      <c r="O1497" s="2955"/>
      <c r="P1497" s="2948"/>
      <c r="Q1497" s="2951">
        <v>0</v>
      </c>
      <c r="R1497" s="2948"/>
      <c r="S1497" s="2948"/>
      <c r="T1497" s="2948"/>
      <c r="U1497" s="2948"/>
      <c r="V1497" s="2948"/>
    </row>
    <row r="1498" spans="1:22" s="2944" customFormat="1" ht="46.8">
      <c r="A1498" s="2948">
        <v>1497</v>
      </c>
      <c r="B1498" s="2948" t="s">
        <v>635</v>
      </c>
      <c r="C1498" s="2948" t="s">
        <v>636</v>
      </c>
      <c r="D1498" s="2948" t="s">
        <v>2014</v>
      </c>
      <c r="E1498" s="2948" t="s">
        <v>729</v>
      </c>
      <c r="F1498" s="2948" t="s">
        <v>2087</v>
      </c>
      <c r="G1498" s="2948" t="s">
        <v>640</v>
      </c>
      <c r="H1498" s="2948" t="s">
        <v>2016</v>
      </c>
      <c r="I1498" s="2948" t="s">
        <v>1279</v>
      </c>
      <c r="J1498" s="2948" t="s">
        <v>643</v>
      </c>
      <c r="K1498" s="2950">
        <v>33.03</v>
      </c>
      <c r="L1498" s="2950">
        <v>13.25</v>
      </c>
      <c r="M1498" s="2951">
        <v>550164</v>
      </c>
      <c r="N1498" s="2951">
        <v>550164</v>
      </c>
      <c r="O1498" s="2952">
        <v>550164</v>
      </c>
      <c r="P1498" s="2953">
        <v>550164</v>
      </c>
      <c r="Q1498" s="2951">
        <v>550164</v>
      </c>
      <c r="R1498" s="2954">
        <v>44936</v>
      </c>
      <c r="S1498" s="2954">
        <v>44936</v>
      </c>
      <c r="T1498" s="2948"/>
      <c r="U1498" s="2948"/>
      <c r="V1498" s="2948" t="s">
        <v>1686</v>
      </c>
    </row>
    <row r="1499" spans="1:22" s="2944" customFormat="1" ht="46.8">
      <c r="A1499" s="2948">
        <v>1498</v>
      </c>
      <c r="B1499" s="2948" t="s">
        <v>635</v>
      </c>
      <c r="C1499" s="2948" t="s">
        <v>636</v>
      </c>
      <c r="D1499" s="2948" t="s">
        <v>2014</v>
      </c>
      <c r="E1499" s="2948" t="s">
        <v>729</v>
      </c>
      <c r="F1499" s="2948" t="s">
        <v>2088</v>
      </c>
      <c r="G1499" s="2948" t="s">
        <v>640</v>
      </c>
      <c r="H1499" s="2948" t="s">
        <v>2016</v>
      </c>
      <c r="I1499" s="2948" t="s">
        <v>1279</v>
      </c>
      <c r="J1499" s="2948" t="s">
        <v>643</v>
      </c>
      <c r="K1499" s="2950">
        <v>33.03</v>
      </c>
      <c r="L1499" s="2950">
        <v>13.25</v>
      </c>
      <c r="M1499" s="2951">
        <v>500000</v>
      </c>
      <c r="N1499" s="2951">
        <v>500000</v>
      </c>
      <c r="O1499" s="2952">
        <v>500000</v>
      </c>
      <c r="P1499" s="2953">
        <v>500000</v>
      </c>
      <c r="Q1499" s="2951">
        <v>500000</v>
      </c>
      <c r="R1499" s="2954">
        <v>45197</v>
      </c>
      <c r="S1499" s="2954">
        <v>45197</v>
      </c>
      <c r="T1499" s="2948"/>
      <c r="U1499" s="2948"/>
      <c r="V1499" s="2948" t="s">
        <v>1350</v>
      </c>
    </row>
    <row r="1500" spans="1:22" s="2944" customFormat="1" ht="46.8">
      <c r="A1500" s="2948">
        <v>1499</v>
      </c>
      <c r="B1500" s="2948" t="s">
        <v>635</v>
      </c>
      <c r="C1500" s="2948" t="s">
        <v>636</v>
      </c>
      <c r="D1500" s="2948" t="s">
        <v>2014</v>
      </c>
      <c r="E1500" s="2948" t="s">
        <v>729</v>
      </c>
      <c r="F1500" s="2948" t="s">
        <v>2089</v>
      </c>
      <c r="G1500" s="2948" t="s">
        <v>640</v>
      </c>
      <c r="H1500" s="2948" t="s">
        <v>2016</v>
      </c>
      <c r="I1500" s="2948" t="s">
        <v>1279</v>
      </c>
      <c r="J1500" s="2948" t="s">
        <v>643</v>
      </c>
      <c r="K1500" s="2950">
        <v>33.03</v>
      </c>
      <c r="L1500" s="2950">
        <v>13.25</v>
      </c>
      <c r="M1500" s="2951">
        <v>500000</v>
      </c>
      <c r="N1500" s="2951">
        <v>500000</v>
      </c>
      <c r="O1500" s="2952">
        <v>500000</v>
      </c>
      <c r="P1500" s="2953">
        <v>500000</v>
      </c>
      <c r="Q1500" s="2951">
        <v>500000</v>
      </c>
      <c r="R1500" s="2954">
        <v>45197</v>
      </c>
      <c r="S1500" s="2954">
        <v>45197</v>
      </c>
      <c r="T1500" s="2948"/>
      <c r="U1500" s="2948"/>
      <c r="V1500" s="2948" t="s">
        <v>1289</v>
      </c>
    </row>
    <row r="1501" spans="1:22" s="2944" customFormat="1" ht="46.8">
      <c r="A1501" s="2948">
        <v>1500</v>
      </c>
      <c r="B1501" s="2948" t="s">
        <v>635</v>
      </c>
      <c r="C1501" s="2948" t="s">
        <v>636</v>
      </c>
      <c r="D1501" s="2948" t="s">
        <v>2014</v>
      </c>
      <c r="E1501" s="2948" t="s">
        <v>729</v>
      </c>
      <c r="F1501" s="2948" t="s">
        <v>2090</v>
      </c>
      <c r="G1501" s="2948" t="s">
        <v>640</v>
      </c>
      <c r="H1501" s="2948" t="s">
        <v>2016</v>
      </c>
      <c r="I1501" s="2948" t="s">
        <v>1279</v>
      </c>
      <c r="J1501" s="2948" t="s">
        <v>643</v>
      </c>
      <c r="K1501" s="2950">
        <v>33.03</v>
      </c>
      <c r="L1501" s="2950">
        <v>13.25</v>
      </c>
      <c r="M1501" s="2951">
        <v>550164</v>
      </c>
      <c r="N1501" s="2951">
        <v>550164</v>
      </c>
      <c r="O1501" s="2952">
        <v>500000</v>
      </c>
      <c r="P1501" s="2953">
        <v>500000</v>
      </c>
      <c r="Q1501" s="2951">
        <v>500000</v>
      </c>
      <c r="R1501" s="2954">
        <v>45042</v>
      </c>
      <c r="S1501" s="2954">
        <v>45043</v>
      </c>
      <c r="T1501" s="2948"/>
      <c r="U1501" s="2948"/>
      <c r="V1501" s="2948" t="s">
        <v>1685</v>
      </c>
    </row>
    <row r="1502" spans="1:22" s="2944" customFormat="1" ht="46.8" hidden="1">
      <c r="A1502" s="2948">
        <v>1501</v>
      </c>
      <c r="B1502" s="2948" t="s">
        <v>635</v>
      </c>
      <c r="C1502" s="2948" t="s">
        <v>636</v>
      </c>
      <c r="D1502" s="2948" t="s">
        <v>2014</v>
      </c>
      <c r="E1502" s="2948" t="s">
        <v>729</v>
      </c>
      <c r="F1502" s="2948" t="s">
        <v>2091</v>
      </c>
      <c r="G1502" s="2948" t="s">
        <v>1035</v>
      </c>
      <c r="H1502" s="2948" t="s">
        <v>2016</v>
      </c>
      <c r="I1502" s="2948" t="s">
        <v>1279</v>
      </c>
      <c r="J1502" s="2948" t="s">
        <v>643</v>
      </c>
      <c r="K1502" s="2950">
        <v>33.03</v>
      </c>
      <c r="L1502" s="2950">
        <v>13.25</v>
      </c>
      <c r="M1502" s="2951">
        <v>500000</v>
      </c>
      <c r="N1502" s="2951">
        <v>500000</v>
      </c>
      <c r="O1502" s="2955"/>
      <c r="P1502" s="2948"/>
      <c r="Q1502" s="2951">
        <v>0</v>
      </c>
      <c r="R1502" s="2948"/>
      <c r="S1502" s="2948"/>
      <c r="T1502" s="2948"/>
      <c r="U1502" s="2948"/>
      <c r="V1502" s="2948"/>
    </row>
    <row r="1503" spans="1:22" s="2944" customFormat="1" ht="46.8" hidden="1">
      <c r="A1503" s="2948">
        <v>1502</v>
      </c>
      <c r="B1503" s="2948" t="s">
        <v>635</v>
      </c>
      <c r="C1503" s="2948" t="s">
        <v>636</v>
      </c>
      <c r="D1503" s="2948" t="s">
        <v>2014</v>
      </c>
      <c r="E1503" s="2948" t="s">
        <v>729</v>
      </c>
      <c r="F1503" s="2948" t="s">
        <v>2092</v>
      </c>
      <c r="G1503" s="2948" t="s">
        <v>1035</v>
      </c>
      <c r="H1503" s="2948" t="s">
        <v>2016</v>
      </c>
      <c r="I1503" s="2948" t="s">
        <v>1279</v>
      </c>
      <c r="J1503" s="2948" t="s">
        <v>643</v>
      </c>
      <c r="K1503" s="2950">
        <v>33.03</v>
      </c>
      <c r="L1503" s="2950">
        <v>13.25</v>
      </c>
      <c r="M1503" s="2951">
        <v>500000</v>
      </c>
      <c r="N1503" s="2951">
        <v>500000</v>
      </c>
      <c r="O1503" s="2955"/>
      <c r="P1503" s="2948"/>
      <c r="Q1503" s="2951">
        <v>0</v>
      </c>
      <c r="R1503" s="2948"/>
      <c r="S1503" s="2948"/>
      <c r="T1503" s="2948"/>
      <c r="U1503" s="2948"/>
      <c r="V1503" s="2948"/>
    </row>
    <row r="1504" spans="1:22" s="2944" customFormat="1" ht="46.8" hidden="1">
      <c r="A1504" s="2948">
        <v>1503</v>
      </c>
      <c r="B1504" s="2948" t="s">
        <v>635</v>
      </c>
      <c r="C1504" s="2948" t="s">
        <v>636</v>
      </c>
      <c r="D1504" s="2948" t="s">
        <v>2014</v>
      </c>
      <c r="E1504" s="2948" t="s">
        <v>729</v>
      </c>
      <c r="F1504" s="2948" t="s">
        <v>2093</v>
      </c>
      <c r="G1504" s="2948" t="s">
        <v>1035</v>
      </c>
      <c r="H1504" s="2948" t="s">
        <v>2016</v>
      </c>
      <c r="I1504" s="2948" t="s">
        <v>1279</v>
      </c>
      <c r="J1504" s="2948" t="s">
        <v>643</v>
      </c>
      <c r="K1504" s="2950">
        <v>33.03</v>
      </c>
      <c r="L1504" s="2950">
        <v>13.25</v>
      </c>
      <c r="M1504" s="2951">
        <v>500000</v>
      </c>
      <c r="N1504" s="2951">
        <v>500000</v>
      </c>
      <c r="O1504" s="2955"/>
      <c r="P1504" s="2948"/>
      <c r="Q1504" s="2951">
        <v>0</v>
      </c>
      <c r="R1504" s="2948"/>
      <c r="S1504" s="2948"/>
      <c r="T1504" s="2948"/>
      <c r="U1504" s="2948"/>
      <c r="V1504" s="2948"/>
    </row>
    <row r="1505" spans="1:22" s="2944" customFormat="1" ht="46.8">
      <c r="A1505" s="2948">
        <v>1504</v>
      </c>
      <c r="B1505" s="2948" t="s">
        <v>635</v>
      </c>
      <c r="C1505" s="2948" t="s">
        <v>636</v>
      </c>
      <c r="D1505" s="2948" t="s">
        <v>2014</v>
      </c>
      <c r="E1505" s="2948" t="s">
        <v>729</v>
      </c>
      <c r="F1505" s="2948" t="s">
        <v>2094</v>
      </c>
      <c r="G1505" s="2948" t="s">
        <v>640</v>
      </c>
      <c r="H1505" s="2948" t="s">
        <v>2016</v>
      </c>
      <c r="I1505" s="2948" t="s">
        <v>1279</v>
      </c>
      <c r="J1505" s="2948" t="s">
        <v>643</v>
      </c>
      <c r="K1505" s="2950">
        <v>33.03</v>
      </c>
      <c r="L1505" s="2950">
        <v>13.25</v>
      </c>
      <c r="M1505" s="2951">
        <v>550164</v>
      </c>
      <c r="N1505" s="2951">
        <v>550164</v>
      </c>
      <c r="O1505" s="2952">
        <v>550164</v>
      </c>
      <c r="P1505" s="2953">
        <v>550164</v>
      </c>
      <c r="Q1505" s="2951">
        <v>550164</v>
      </c>
      <c r="R1505" s="2954">
        <v>44554</v>
      </c>
      <c r="S1505" s="2954">
        <v>44561</v>
      </c>
      <c r="T1505" s="2948"/>
      <c r="U1505" s="2948"/>
      <c r="V1505" s="2948" t="s">
        <v>1671</v>
      </c>
    </row>
    <row r="1506" spans="1:22" s="2944" customFormat="1" ht="46.8" hidden="1">
      <c r="A1506" s="2948">
        <v>1505</v>
      </c>
      <c r="B1506" s="2948" t="s">
        <v>635</v>
      </c>
      <c r="C1506" s="2948" t="s">
        <v>636</v>
      </c>
      <c r="D1506" s="2948" t="s">
        <v>2014</v>
      </c>
      <c r="E1506" s="2948" t="s">
        <v>729</v>
      </c>
      <c r="F1506" s="2948" t="s">
        <v>2095</v>
      </c>
      <c r="G1506" s="2948" t="s">
        <v>1035</v>
      </c>
      <c r="H1506" s="2948" t="s">
        <v>2021</v>
      </c>
      <c r="I1506" s="2948" t="s">
        <v>1279</v>
      </c>
      <c r="J1506" s="2948" t="s">
        <v>643</v>
      </c>
      <c r="K1506" s="2950">
        <v>26</v>
      </c>
      <c r="L1506" s="2950">
        <v>10.8</v>
      </c>
      <c r="M1506" s="2951">
        <v>500000</v>
      </c>
      <c r="N1506" s="2951">
        <v>500000</v>
      </c>
      <c r="O1506" s="2955"/>
      <c r="P1506" s="2948"/>
      <c r="Q1506" s="2951">
        <v>0</v>
      </c>
      <c r="R1506" s="2948"/>
      <c r="S1506" s="2948"/>
      <c r="T1506" s="2948"/>
      <c r="U1506" s="2948"/>
      <c r="V1506" s="2948"/>
    </row>
    <row r="1507" spans="1:22" s="2944" customFormat="1" ht="46.8" hidden="1">
      <c r="A1507" s="2948">
        <v>1506</v>
      </c>
      <c r="B1507" s="2948" t="s">
        <v>635</v>
      </c>
      <c r="C1507" s="2948" t="s">
        <v>636</v>
      </c>
      <c r="D1507" s="2948" t="s">
        <v>2014</v>
      </c>
      <c r="E1507" s="2948" t="s">
        <v>729</v>
      </c>
      <c r="F1507" s="2948" t="s">
        <v>2096</v>
      </c>
      <c r="G1507" s="2948" t="s">
        <v>1035</v>
      </c>
      <c r="H1507" s="2948" t="s">
        <v>2016</v>
      </c>
      <c r="I1507" s="2948" t="s">
        <v>1279</v>
      </c>
      <c r="J1507" s="2948" t="s">
        <v>643</v>
      </c>
      <c r="K1507" s="2950">
        <v>33.03</v>
      </c>
      <c r="L1507" s="2950">
        <v>13.25</v>
      </c>
      <c r="M1507" s="2951">
        <v>500000</v>
      </c>
      <c r="N1507" s="2951">
        <v>500000</v>
      </c>
      <c r="O1507" s="2955"/>
      <c r="P1507" s="2948"/>
      <c r="Q1507" s="2951">
        <v>0</v>
      </c>
      <c r="R1507" s="2948"/>
      <c r="S1507" s="2948"/>
      <c r="T1507" s="2948"/>
      <c r="U1507" s="2948"/>
      <c r="V1507" s="2948"/>
    </row>
    <row r="1508" spans="1:22" s="2944" customFormat="1" ht="46.8" hidden="1">
      <c r="A1508" s="2948">
        <v>1507</v>
      </c>
      <c r="B1508" s="2948" t="s">
        <v>635</v>
      </c>
      <c r="C1508" s="2948" t="s">
        <v>636</v>
      </c>
      <c r="D1508" s="2948" t="s">
        <v>2014</v>
      </c>
      <c r="E1508" s="2948" t="s">
        <v>729</v>
      </c>
      <c r="F1508" s="2948" t="s">
        <v>2097</v>
      </c>
      <c r="G1508" s="2948" t="s">
        <v>1035</v>
      </c>
      <c r="H1508" s="2948" t="s">
        <v>2016</v>
      </c>
      <c r="I1508" s="2948" t="s">
        <v>1279</v>
      </c>
      <c r="J1508" s="2948" t="s">
        <v>643</v>
      </c>
      <c r="K1508" s="2950">
        <v>33.03</v>
      </c>
      <c r="L1508" s="2950">
        <v>13.25</v>
      </c>
      <c r="M1508" s="2951">
        <v>500000</v>
      </c>
      <c r="N1508" s="2951">
        <v>500000</v>
      </c>
      <c r="O1508" s="2955"/>
      <c r="P1508" s="2948"/>
      <c r="Q1508" s="2951">
        <v>0</v>
      </c>
      <c r="R1508" s="2948"/>
      <c r="S1508" s="2948"/>
      <c r="T1508" s="2948"/>
      <c r="U1508" s="2948"/>
      <c r="V1508" s="2948"/>
    </row>
    <row r="1509" spans="1:22" s="2944" customFormat="1" ht="46.8" hidden="1">
      <c r="A1509" s="2948">
        <v>1508</v>
      </c>
      <c r="B1509" s="2948" t="s">
        <v>635</v>
      </c>
      <c r="C1509" s="2948" t="s">
        <v>636</v>
      </c>
      <c r="D1509" s="2948" t="s">
        <v>2014</v>
      </c>
      <c r="E1509" s="2948" t="s">
        <v>729</v>
      </c>
      <c r="F1509" s="2948" t="s">
        <v>2098</v>
      </c>
      <c r="G1509" s="2948" t="s">
        <v>1035</v>
      </c>
      <c r="H1509" s="2948" t="s">
        <v>2016</v>
      </c>
      <c r="I1509" s="2948" t="s">
        <v>1279</v>
      </c>
      <c r="J1509" s="2948" t="s">
        <v>643</v>
      </c>
      <c r="K1509" s="2950">
        <v>33.03</v>
      </c>
      <c r="L1509" s="2950">
        <v>13.25</v>
      </c>
      <c r="M1509" s="2951">
        <v>500000</v>
      </c>
      <c r="N1509" s="2951">
        <v>500000</v>
      </c>
      <c r="O1509" s="2955"/>
      <c r="P1509" s="2948"/>
      <c r="Q1509" s="2951">
        <v>0</v>
      </c>
      <c r="R1509" s="2948"/>
      <c r="S1509" s="2948"/>
      <c r="T1509" s="2948"/>
      <c r="U1509" s="2948"/>
      <c r="V1509" s="2948"/>
    </row>
    <row r="1510" spans="1:22" s="2944" customFormat="1" ht="46.8">
      <c r="A1510" s="2948">
        <v>1509</v>
      </c>
      <c r="B1510" s="2948" t="s">
        <v>635</v>
      </c>
      <c r="C1510" s="2948" t="s">
        <v>636</v>
      </c>
      <c r="D1510" s="2948" t="s">
        <v>2014</v>
      </c>
      <c r="E1510" s="2948" t="s">
        <v>729</v>
      </c>
      <c r="F1510" s="2948" t="s">
        <v>2099</v>
      </c>
      <c r="G1510" s="2948" t="s">
        <v>640</v>
      </c>
      <c r="H1510" s="2948" t="s">
        <v>2016</v>
      </c>
      <c r="I1510" s="2948" t="s">
        <v>1279</v>
      </c>
      <c r="J1510" s="2948" t="s">
        <v>643</v>
      </c>
      <c r="K1510" s="2950">
        <v>33.03</v>
      </c>
      <c r="L1510" s="2950">
        <v>13.25</v>
      </c>
      <c r="M1510" s="2951">
        <v>500000</v>
      </c>
      <c r="N1510" s="2951">
        <v>500000</v>
      </c>
      <c r="O1510" s="2952">
        <v>500000</v>
      </c>
      <c r="P1510" s="2953">
        <v>500000</v>
      </c>
      <c r="Q1510" s="2951">
        <v>500000</v>
      </c>
      <c r="R1510" s="2954">
        <v>45287</v>
      </c>
      <c r="S1510" s="2954">
        <v>45287</v>
      </c>
      <c r="T1510" s="2948"/>
      <c r="U1510" s="2948"/>
      <c r="V1510" s="2948" t="s">
        <v>2100</v>
      </c>
    </row>
    <row r="1511" spans="1:22" s="2944" customFormat="1" ht="46.8" hidden="1">
      <c r="A1511" s="2948">
        <v>1510</v>
      </c>
      <c r="B1511" s="2948" t="s">
        <v>635</v>
      </c>
      <c r="C1511" s="2948" t="s">
        <v>636</v>
      </c>
      <c r="D1511" s="2948" t="s">
        <v>2014</v>
      </c>
      <c r="E1511" s="2948" t="s">
        <v>729</v>
      </c>
      <c r="F1511" s="2948" t="s">
        <v>2101</v>
      </c>
      <c r="G1511" s="2948" t="s">
        <v>1035</v>
      </c>
      <c r="H1511" s="2948" t="s">
        <v>2016</v>
      </c>
      <c r="I1511" s="2948" t="s">
        <v>1279</v>
      </c>
      <c r="J1511" s="2948" t="s">
        <v>643</v>
      </c>
      <c r="K1511" s="2950">
        <v>33.03</v>
      </c>
      <c r="L1511" s="2950">
        <v>13.25</v>
      </c>
      <c r="M1511" s="2951">
        <v>500000</v>
      </c>
      <c r="N1511" s="2951">
        <v>500000</v>
      </c>
      <c r="O1511" s="2955"/>
      <c r="P1511" s="2948"/>
      <c r="Q1511" s="2951">
        <v>0</v>
      </c>
      <c r="R1511" s="2948"/>
      <c r="S1511" s="2948"/>
      <c r="T1511" s="2948"/>
      <c r="U1511" s="2948"/>
      <c r="V1511" s="2948"/>
    </row>
    <row r="1512" spans="1:22" s="2944" customFormat="1" ht="46.8" hidden="1">
      <c r="A1512" s="2948">
        <v>1511</v>
      </c>
      <c r="B1512" s="2948" t="s">
        <v>635</v>
      </c>
      <c r="C1512" s="2948" t="s">
        <v>636</v>
      </c>
      <c r="D1512" s="2948" t="s">
        <v>2014</v>
      </c>
      <c r="E1512" s="2948" t="s">
        <v>729</v>
      </c>
      <c r="F1512" s="2948" t="s">
        <v>2102</v>
      </c>
      <c r="G1512" s="2948" t="s">
        <v>1035</v>
      </c>
      <c r="H1512" s="2948" t="s">
        <v>2016</v>
      </c>
      <c r="I1512" s="2948" t="s">
        <v>1279</v>
      </c>
      <c r="J1512" s="2948" t="s">
        <v>643</v>
      </c>
      <c r="K1512" s="2950">
        <v>33.03</v>
      </c>
      <c r="L1512" s="2950">
        <v>13.25</v>
      </c>
      <c r="M1512" s="2951">
        <v>500000</v>
      </c>
      <c r="N1512" s="2951">
        <v>500000</v>
      </c>
      <c r="O1512" s="2955"/>
      <c r="P1512" s="2948"/>
      <c r="Q1512" s="2951">
        <v>0</v>
      </c>
      <c r="R1512" s="2948"/>
      <c r="S1512" s="2948"/>
      <c r="T1512" s="2948"/>
      <c r="U1512" s="2948"/>
      <c r="V1512" s="2948"/>
    </row>
    <row r="1513" spans="1:22" s="2944" customFormat="1" ht="46.8" hidden="1">
      <c r="A1513" s="2948">
        <v>1512</v>
      </c>
      <c r="B1513" s="2948" t="s">
        <v>635</v>
      </c>
      <c r="C1513" s="2948" t="s">
        <v>636</v>
      </c>
      <c r="D1513" s="2948" t="s">
        <v>2014</v>
      </c>
      <c r="E1513" s="2948" t="s">
        <v>729</v>
      </c>
      <c r="F1513" s="2948" t="s">
        <v>2103</v>
      </c>
      <c r="G1513" s="2948" t="s">
        <v>1035</v>
      </c>
      <c r="H1513" s="2948" t="s">
        <v>2016</v>
      </c>
      <c r="I1513" s="2948" t="s">
        <v>1279</v>
      </c>
      <c r="J1513" s="2948" t="s">
        <v>643</v>
      </c>
      <c r="K1513" s="2950">
        <v>33.03</v>
      </c>
      <c r="L1513" s="2950">
        <v>13.25</v>
      </c>
      <c r="M1513" s="2951">
        <v>500000</v>
      </c>
      <c r="N1513" s="2951">
        <v>500000</v>
      </c>
      <c r="O1513" s="2955"/>
      <c r="P1513" s="2948"/>
      <c r="Q1513" s="2951">
        <v>0</v>
      </c>
      <c r="R1513" s="2948"/>
      <c r="S1513" s="2948"/>
      <c r="T1513" s="2948"/>
      <c r="U1513" s="2948"/>
      <c r="V1513" s="2948"/>
    </row>
    <row r="1514" spans="1:22" s="2944" customFormat="1" ht="46.8" hidden="1">
      <c r="A1514" s="2948">
        <v>1513</v>
      </c>
      <c r="B1514" s="2948" t="s">
        <v>635</v>
      </c>
      <c r="C1514" s="2948" t="s">
        <v>636</v>
      </c>
      <c r="D1514" s="2948" t="s">
        <v>2014</v>
      </c>
      <c r="E1514" s="2948" t="s">
        <v>729</v>
      </c>
      <c r="F1514" s="2948" t="s">
        <v>2104</v>
      </c>
      <c r="G1514" s="2948" t="s">
        <v>1035</v>
      </c>
      <c r="H1514" s="2948" t="s">
        <v>2016</v>
      </c>
      <c r="I1514" s="2948" t="s">
        <v>1279</v>
      </c>
      <c r="J1514" s="2948" t="s">
        <v>643</v>
      </c>
      <c r="K1514" s="2950">
        <v>33.03</v>
      </c>
      <c r="L1514" s="2950">
        <v>13.25</v>
      </c>
      <c r="M1514" s="2951">
        <v>500000</v>
      </c>
      <c r="N1514" s="2951">
        <v>500000</v>
      </c>
      <c r="O1514" s="2955"/>
      <c r="P1514" s="2948"/>
      <c r="Q1514" s="2951">
        <v>0</v>
      </c>
      <c r="R1514" s="2948"/>
      <c r="S1514" s="2948"/>
      <c r="T1514" s="2948"/>
      <c r="U1514" s="2948"/>
      <c r="V1514" s="2948"/>
    </row>
    <row r="1515" spans="1:22" s="2944" customFormat="1" ht="46.8">
      <c r="A1515" s="2948">
        <v>1514</v>
      </c>
      <c r="B1515" s="2948" t="s">
        <v>635</v>
      </c>
      <c r="C1515" s="2948" t="s">
        <v>636</v>
      </c>
      <c r="D1515" s="2948" t="s">
        <v>2014</v>
      </c>
      <c r="E1515" s="2948" t="s">
        <v>729</v>
      </c>
      <c r="F1515" s="2948" t="s">
        <v>2105</v>
      </c>
      <c r="G1515" s="2948" t="s">
        <v>640</v>
      </c>
      <c r="H1515" s="2948" t="s">
        <v>2016</v>
      </c>
      <c r="I1515" s="2948" t="s">
        <v>1279</v>
      </c>
      <c r="J1515" s="2948" t="s">
        <v>643</v>
      </c>
      <c r="K1515" s="2950">
        <v>33.03</v>
      </c>
      <c r="L1515" s="2950">
        <v>13.25</v>
      </c>
      <c r="M1515" s="2951">
        <v>550164</v>
      </c>
      <c r="N1515" s="2951">
        <v>550164</v>
      </c>
      <c r="O1515" s="2952">
        <v>500000</v>
      </c>
      <c r="P1515" s="2953">
        <v>500000</v>
      </c>
      <c r="Q1515" s="2951">
        <v>500000</v>
      </c>
      <c r="R1515" s="2954">
        <v>45044</v>
      </c>
      <c r="S1515" s="2954">
        <v>45044</v>
      </c>
      <c r="T1515" s="2948"/>
      <c r="U1515" s="2948"/>
      <c r="V1515" s="2948" t="s">
        <v>1464</v>
      </c>
    </row>
    <row r="1516" spans="1:22" s="2944" customFormat="1" ht="46.8" hidden="1">
      <c r="A1516" s="2948">
        <v>1515</v>
      </c>
      <c r="B1516" s="2948" t="s">
        <v>635</v>
      </c>
      <c r="C1516" s="2948" t="s">
        <v>636</v>
      </c>
      <c r="D1516" s="2948" t="s">
        <v>2014</v>
      </c>
      <c r="E1516" s="2948" t="s">
        <v>729</v>
      </c>
      <c r="F1516" s="2948" t="s">
        <v>2106</v>
      </c>
      <c r="G1516" s="2948" t="s">
        <v>1035</v>
      </c>
      <c r="H1516" s="2948" t="s">
        <v>2016</v>
      </c>
      <c r="I1516" s="2948" t="s">
        <v>1279</v>
      </c>
      <c r="J1516" s="2948" t="s">
        <v>643</v>
      </c>
      <c r="K1516" s="2950">
        <v>33.03</v>
      </c>
      <c r="L1516" s="2950">
        <v>13.25</v>
      </c>
      <c r="M1516" s="2951">
        <v>500000</v>
      </c>
      <c r="N1516" s="2951">
        <v>500000</v>
      </c>
      <c r="O1516" s="2955"/>
      <c r="P1516" s="2948"/>
      <c r="Q1516" s="2951">
        <v>0</v>
      </c>
      <c r="R1516" s="2948"/>
      <c r="S1516" s="2948"/>
      <c r="T1516" s="2948"/>
      <c r="U1516" s="2948"/>
      <c r="V1516" s="2948"/>
    </row>
    <row r="1517" spans="1:22" s="2944" customFormat="1" ht="46.8" hidden="1">
      <c r="A1517" s="2948">
        <v>1516</v>
      </c>
      <c r="B1517" s="2948" t="s">
        <v>635</v>
      </c>
      <c r="C1517" s="2948" t="s">
        <v>636</v>
      </c>
      <c r="D1517" s="2948" t="s">
        <v>2014</v>
      </c>
      <c r="E1517" s="2948" t="s">
        <v>729</v>
      </c>
      <c r="F1517" s="2948" t="s">
        <v>2107</v>
      </c>
      <c r="G1517" s="2948" t="s">
        <v>1035</v>
      </c>
      <c r="H1517" s="2948" t="s">
        <v>2016</v>
      </c>
      <c r="I1517" s="2948" t="s">
        <v>1279</v>
      </c>
      <c r="J1517" s="2948" t="s">
        <v>643</v>
      </c>
      <c r="K1517" s="2950">
        <v>33.03</v>
      </c>
      <c r="L1517" s="2950">
        <v>13.25</v>
      </c>
      <c r="M1517" s="2951">
        <v>500000</v>
      </c>
      <c r="N1517" s="2951">
        <v>500000</v>
      </c>
      <c r="O1517" s="2955"/>
      <c r="P1517" s="2948"/>
      <c r="Q1517" s="2951">
        <v>0</v>
      </c>
      <c r="R1517" s="2948"/>
      <c r="S1517" s="2948"/>
      <c r="T1517" s="2948"/>
      <c r="U1517" s="2948"/>
      <c r="V1517" s="2948"/>
    </row>
    <row r="1518" spans="1:22" s="2944" customFormat="1" ht="46.8" hidden="1">
      <c r="A1518" s="2948">
        <v>1517</v>
      </c>
      <c r="B1518" s="2948" t="s">
        <v>635</v>
      </c>
      <c r="C1518" s="2948" t="s">
        <v>636</v>
      </c>
      <c r="D1518" s="2948" t="s">
        <v>2014</v>
      </c>
      <c r="E1518" s="2948" t="s">
        <v>729</v>
      </c>
      <c r="F1518" s="2948" t="s">
        <v>2108</v>
      </c>
      <c r="G1518" s="2948" t="s">
        <v>1035</v>
      </c>
      <c r="H1518" s="2948" t="s">
        <v>2016</v>
      </c>
      <c r="I1518" s="2948" t="s">
        <v>1279</v>
      </c>
      <c r="J1518" s="2948" t="s">
        <v>643</v>
      </c>
      <c r="K1518" s="2950">
        <v>33.03</v>
      </c>
      <c r="L1518" s="2950">
        <v>13.25</v>
      </c>
      <c r="M1518" s="2951">
        <v>500000</v>
      </c>
      <c r="N1518" s="2951">
        <v>500000</v>
      </c>
      <c r="O1518" s="2955"/>
      <c r="P1518" s="2948"/>
      <c r="Q1518" s="2951">
        <v>0</v>
      </c>
      <c r="R1518" s="2948"/>
      <c r="S1518" s="2948"/>
      <c r="T1518" s="2948"/>
      <c r="U1518" s="2948"/>
      <c r="V1518" s="2948"/>
    </row>
    <row r="1519" spans="1:22" s="2944" customFormat="1" ht="46.8">
      <c r="A1519" s="2948">
        <v>1518</v>
      </c>
      <c r="B1519" s="2948" t="s">
        <v>635</v>
      </c>
      <c r="C1519" s="2948" t="s">
        <v>636</v>
      </c>
      <c r="D1519" s="2948" t="s">
        <v>2014</v>
      </c>
      <c r="E1519" s="2948" t="s">
        <v>729</v>
      </c>
      <c r="F1519" s="2948" t="s">
        <v>2109</v>
      </c>
      <c r="G1519" s="2948" t="s">
        <v>640</v>
      </c>
      <c r="H1519" s="2948" t="s">
        <v>2016</v>
      </c>
      <c r="I1519" s="2948" t="s">
        <v>1279</v>
      </c>
      <c r="J1519" s="2948" t="s">
        <v>643</v>
      </c>
      <c r="K1519" s="2950">
        <v>33.03</v>
      </c>
      <c r="L1519" s="2950">
        <v>13.25</v>
      </c>
      <c r="M1519" s="2951">
        <v>500000</v>
      </c>
      <c r="N1519" s="2951">
        <v>500000</v>
      </c>
      <c r="O1519" s="2952">
        <v>500000</v>
      </c>
      <c r="P1519" s="2953">
        <v>500000</v>
      </c>
      <c r="Q1519" s="2951">
        <v>500000</v>
      </c>
      <c r="R1519" s="2954">
        <v>45287</v>
      </c>
      <c r="S1519" s="2954">
        <v>45287</v>
      </c>
      <c r="T1519" s="2948"/>
      <c r="U1519" s="2948"/>
      <c r="V1519" s="2948" t="s">
        <v>2110</v>
      </c>
    </row>
    <row r="1520" spans="1:22" s="2944" customFormat="1" ht="46.8">
      <c r="A1520" s="2948">
        <v>1519</v>
      </c>
      <c r="B1520" s="2948" t="s">
        <v>635</v>
      </c>
      <c r="C1520" s="2948" t="s">
        <v>636</v>
      </c>
      <c r="D1520" s="2948" t="s">
        <v>2014</v>
      </c>
      <c r="E1520" s="2948" t="s">
        <v>729</v>
      </c>
      <c r="F1520" s="2948" t="s">
        <v>2111</v>
      </c>
      <c r="G1520" s="2948" t="s">
        <v>640</v>
      </c>
      <c r="H1520" s="2948" t="s">
        <v>2016</v>
      </c>
      <c r="I1520" s="2948" t="s">
        <v>1279</v>
      </c>
      <c r="J1520" s="2948" t="s">
        <v>643</v>
      </c>
      <c r="K1520" s="2950">
        <v>33.03</v>
      </c>
      <c r="L1520" s="2950">
        <v>13.25</v>
      </c>
      <c r="M1520" s="2951">
        <v>500000</v>
      </c>
      <c r="N1520" s="2951">
        <v>500000</v>
      </c>
      <c r="O1520" s="2952">
        <v>500000</v>
      </c>
      <c r="P1520" s="2953">
        <v>500000</v>
      </c>
      <c r="Q1520" s="2951">
        <v>500000</v>
      </c>
      <c r="R1520" s="2954">
        <v>45287</v>
      </c>
      <c r="S1520" s="2954">
        <v>45287</v>
      </c>
      <c r="T1520" s="2948"/>
      <c r="U1520" s="2948"/>
      <c r="V1520" s="2948" t="s">
        <v>2100</v>
      </c>
    </row>
    <row r="1521" spans="1:22" s="2944" customFormat="1" ht="46.8" hidden="1">
      <c r="A1521" s="2948">
        <v>1520</v>
      </c>
      <c r="B1521" s="2948" t="s">
        <v>635</v>
      </c>
      <c r="C1521" s="2948" t="s">
        <v>636</v>
      </c>
      <c r="D1521" s="2948" t="s">
        <v>2014</v>
      </c>
      <c r="E1521" s="2948" t="s">
        <v>729</v>
      </c>
      <c r="F1521" s="2948" t="s">
        <v>2112</v>
      </c>
      <c r="G1521" s="2948" t="s">
        <v>1035</v>
      </c>
      <c r="H1521" s="2948" t="s">
        <v>2016</v>
      </c>
      <c r="I1521" s="2948" t="s">
        <v>1279</v>
      </c>
      <c r="J1521" s="2948" t="s">
        <v>643</v>
      </c>
      <c r="K1521" s="2950">
        <v>33.03</v>
      </c>
      <c r="L1521" s="2950">
        <v>13.25</v>
      </c>
      <c r="M1521" s="2951">
        <v>500000</v>
      </c>
      <c r="N1521" s="2951">
        <v>500000</v>
      </c>
      <c r="O1521" s="2955"/>
      <c r="P1521" s="2948"/>
      <c r="Q1521" s="2951">
        <v>0</v>
      </c>
      <c r="R1521" s="2948"/>
      <c r="S1521" s="2948"/>
      <c r="T1521" s="2948"/>
      <c r="U1521" s="2948"/>
      <c r="V1521" s="2948"/>
    </row>
    <row r="1522" spans="1:22" s="2944" customFormat="1" ht="46.8" hidden="1">
      <c r="A1522" s="2948">
        <v>1521</v>
      </c>
      <c r="B1522" s="2948" t="s">
        <v>635</v>
      </c>
      <c r="C1522" s="2948" t="s">
        <v>636</v>
      </c>
      <c r="D1522" s="2948" t="s">
        <v>2014</v>
      </c>
      <c r="E1522" s="2948" t="s">
        <v>729</v>
      </c>
      <c r="F1522" s="2948" t="s">
        <v>2113</v>
      </c>
      <c r="G1522" s="2948" t="s">
        <v>1035</v>
      </c>
      <c r="H1522" s="2948" t="s">
        <v>2016</v>
      </c>
      <c r="I1522" s="2948" t="s">
        <v>1279</v>
      </c>
      <c r="J1522" s="2948" t="s">
        <v>643</v>
      </c>
      <c r="K1522" s="2950">
        <v>33.03</v>
      </c>
      <c r="L1522" s="2950">
        <v>13.25</v>
      </c>
      <c r="M1522" s="2951">
        <v>500000</v>
      </c>
      <c r="N1522" s="2951">
        <v>500000</v>
      </c>
      <c r="O1522" s="2955"/>
      <c r="P1522" s="2948"/>
      <c r="Q1522" s="2951">
        <v>0</v>
      </c>
      <c r="R1522" s="2948"/>
      <c r="S1522" s="2948"/>
      <c r="T1522" s="2948"/>
      <c r="U1522" s="2948"/>
      <c r="V1522" s="2948"/>
    </row>
    <row r="1523" spans="1:22" s="2944" customFormat="1" ht="46.8" hidden="1">
      <c r="A1523" s="2948">
        <v>1522</v>
      </c>
      <c r="B1523" s="2948" t="s">
        <v>635</v>
      </c>
      <c r="C1523" s="2948" t="s">
        <v>636</v>
      </c>
      <c r="D1523" s="2948" t="s">
        <v>2014</v>
      </c>
      <c r="E1523" s="2948" t="s">
        <v>729</v>
      </c>
      <c r="F1523" s="2948" t="s">
        <v>2114</v>
      </c>
      <c r="G1523" s="2948" t="s">
        <v>1035</v>
      </c>
      <c r="H1523" s="2948" t="s">
        <v>2016</v>
      </c>
      <c r="I1523" s="2948" t="s">
        <v>1279</v>
      </c>
      <c r="J1523" s="2948" t="s">
        <v>643</v>
      </c>
      <c r="K1523" s="2950">
        <v>33.03</v>
      </c>
      <c r="L1523" s="2950">
        <v>13.25</v>
      </c>
      <c r="M1523" s="2951">
        <v>500000</v>
      </c>
      <c r="N1523" s="2951">
        <v>500000</v>
      </c>
      <c r="O1523" s="2955"/>
      <c r="P1523" s="2948"/>
      <c r="Q1523" s="2951">
        <v>0</v>
      </c>
      <c r="R1523" s="2948"/>
      <c r="S1523" s="2948"/>
      <c r="T1523" s="2948"/>
      <c r="U1523" s="2948"/>
      <c r="V1523" s="2948"/>
    </row>
    <row r="1524" spans="1:22" s="2944" customFormat="1" ht="46.8">
      <c r="A1524" s="2948">
        <v>1523</v>
      </c>
      <c r="B1524" s="2948" t="s">
        <v>635</v>
      </c>
      <c r="C1524" s="2948" t="s">
        <v>636</v>
      </c>
      <c r="D1524" s="2948" t="s">
        <v>2014</v>
      </c>
      <c r="E1524" s="2948" t="s">
        <v>729</v>
      </c>
      <c r="F1524" s="2948" t="s">
        <v>2115</v>
      </c>
      <c r="G1524" s="2948" t="s">
        <v>640</v>
      </c>
      <c r="H1524" s="2948" t="s">
        <v>2016</v>
      </c>
      <c r="I1524" s="2948" t="s">
        <v>1279</v>
      </c>
      <c r="J1524" s="2948" t="s">
        <v>643</v>
      </c>
      <c r="K1524" s="2950">
        <v>33.03</v>
      </c>
      <c r="L1524" s="2950">
        <v>13.25</v>
      </c>
      <c r="M1524" s="2951">
        <v>550164</v>
      </c>
      <c r="N1524" s="2951">
        <v>550164</v>
      </c>
      <c r="O1524" s="2952">
        <v>500000</v>
      </c>
      <c r="P1524" s="2953">
        <v>500000</v>
      </c>
      <c r="Q1524" s="2951">
        <v>500000</v>
      </c>
      <c r="R1524" s="2954">
        <v>45044</v>
      </c>
      <c r="S1524" s="2954">
        <v>45044</v>
      </c>
      <c r="T1524" s="2948"/>
      <c r="U1524" s="2948"/>
      <c r="V1524" s="2948" t="s">
        <v>1488</v>
      </c>
    </row>
    <row r="1525" spans="1:22" s="2944" customFormat="1" ht="46.8">
      <c r="A1525" s="2948">
        <v>1524</v>
      </c>
      <c r="B1525" s="2948" t="s">
        <v>635</v>
      </c>
      <c r="C1525" s="2948" t="s">
        <v>636</v>
      </c>
      <c r="D1525" s="2948" t="s">
        <v>2014</v>
      </c>
      <c r="E1525" s="2948" t="s">
        <v>729</v>
      </c>
      <c r="F1525" s="2948" t="s">
        <v>2116</v>
      </c>
      <c r="G1525" s="2948" t="s">
        <v>640</v>
      </c>
      <c r="H1525" s="2948" t="s">
        <v>2016</v>
      </c>
      <c r="I1525" s="2948" t="s">
        <v>1279</v>
      </c>
      <c r="J1525" s="2948" t="s">
        <v>643</v>
      </c>
      <c r="K1525" s="2950">
        <v>33.03</v>
      </c>
      <c r="L1525" s="2950">
        <v>13.25</v>
      </c>
      <c r="M1525" s="2951">
        <v>500000</v>
      </c>
      <c r="N1525" s="2951">
        <v>500000</v>
      </c>
      <c r="O1525" s="2952">
        <v>500000</v>
      </c>
      <c r="P1525" s="2953">
        <v>500000</v>
      </c>
      <c r="Q1525" s="2951">
        <v>500000</v>
      </c>
      <c r="R1525" s="2954">
        <v>45197</v>
      </c>
      <c r="S1525" s="2954">
        <v>45197</v>
      </c>
      <c r="T1525" s="2948"/>
      <c r="U1525" s="2948"/>
      <c r="V1525" s="2948" t="s">
        <v>1350</v>
      </c>
    </row>
    <row r="1526" spans="1:22" s="2944" customFormat="1" ht="46.8">
      <c r="A1526" s="2948">
        <v>1525</v>
      </c>
      <c r="B1526" s="2948" t="s">
        <v>635</v>
      </c>
      <c r="C1526" s="2948" t="s">
        <v>636</v>
      </c>
      <c r="D1526" s="2948" t="s">
        <v>2014</v>
      </c>
      <c r="E1526" s="2948" t="s">
        <v>729</v>
      </c>
      <c r="F1526" s="2948" t="s">
        <v>2117</v>
      </c>
      <c r="G1526" s="2948" t="s">
        <v>640</v>
      </c>
      <c r="H1526" s="2948" t="s">
        <v>2016</v>
      </c>
      <c r="I1526" s="2948" t="s">
        <v>1279</v>
      </c>
      <c r="J1526" s="2948" t="s">
        <v>643</v>
      </c>
      <c r="K1526" s="2950">
        <v>33.03</v>
      </c>
      <c r="L1526" s="2950">
        <v>13.25</v>
      </c>
      <c r="M1526" s="2951">
        <v>500000</v>
      </c>
      <c r="N1526" s="2951">
        <v>500000</v>
      </c>
      <c r="O1526" s="2952">
        <v>500000</v>
      </c>
      <c r="P1526" s="2953">
        <v>500000</v>
      </c>
      <c r="Q1526" s="2951">
        <v>500000</v>
      </c>
      <c r="R1526" s="2954">
        <v>45194</v>
      </c>
      <c r="S1526" s="2954">
        <v>45197</v>
      </c>
      <c r="T1526" s="2948"/>
      <c r="U1526" s="2948"/>
      <c r="V1526" s="2948" t="s">
        <v>2118</v>
      </c>
    </row>
    <row r="1527" spans="1:22" s="2944" customFormat="1" ht="46.8">
      <c r="A1527" s="2948">
        <v>1526</v>
      </c>
      <c r="B1527" s="2948" t="s">
        <v>635</v>
      </c>
      <c r="C1527" s="2948" t="s">
        <v>636</v>
      </c>
      <c r="D1527" s="2948" t="s">
        <v>2014</v>
      </c>
      <c r="E1527" s="2948" t="s">
        <v>729</v>
      </c>
      <c r="F1527" s="2948" t="s">
        <v>2119</v>
      </c>
      <c r="G1527" s="2948" t="s">
        <v>640</v>
      </c>
      <c r="H1527" s="2948" t="s">
        <v>2016</v>
      </c>
      <c r="I1527" s="2948" t="s">
        <v>1279</v>
      </c>
      <c r="J1527" s="2948" t="s">
        <v>643</v>
      </c>
      <c r="K1527" s="2950">
        <v>33.03</v>
      </c>
      <c r="L1527" s="2950">
        <v>13.25</v>
      </c>
      <c r="M1527" s="2951">
        <v>550164</v>
      </c>
      <c r="N1527" s="2951">
        <v>550164</v>
      </c>
      <c r="O1527" s="2952">
        <v>500000</v>
      </c>
      <c r="P1527" s="2953">
        <v>500000</v>
      </c>
      <c r="Q1527" s="2951">
        <v>500000</v>
      </c>
      <c r="R1527" s="2954">
        <v>45044</v>
      </c>
      <c r="S1527" s="2954">
        <v>45044</v>
      </c>
      <c r="T1527" s="2948"/>
      <c r="U1527" s="2948"/>
      <c r="V1527" s="2948" t="s">
        <v>1474</v>
      </c>
    </row>
    <row r="1528" spans="1:22" s="2944" customFormat="1" ht="46.8">
      <c r="A1528" s="2948">
        <v>1527</v>
      </c>
      <c r="B1528" s="2948" t="s">
        <v>635</v>
      </c>
      <c r="C1528" s="2948" t="s">
        <v>636</v>
      </c>
      <c r="D1528" s="2948" t="s">
        <v>2014</v>
      </c>
      <c r="E1528" s="2948" t="s">
        <v>729</v>
      </c>
      <c r="F1528" s="2948" t="s">
        <v>2120</v>
      </c>
      <c r="G1528" s="2948" t="s">
        <v>640</v>
      </c>
      <c r="H1528" s="2948" t="s">
        <v>2016</v>
      </c>
      <c r="I1528" s="2948" t="s">
        <v>1279</v>
      </c>
      <c r="J1528" s="2948" t="s">
        <v>643</v>
      </c>
      <c r="K1528" s="2950">
        <v>33.03</v>
      </c>
      <c r="L1528" s="2950">
        <v>13.25</v>
      </c>
      <c r="M1528" s="2951">
        <v>550164</v>
      </c>
      <c r="N1528" s="2951">
        <v>550164</v>
      </c>
      <c r="O1528" s="2952">
        <v>500000</v>
      </c>
      <c r="P1528" s="2953">
        <v>500000</v>
      </c>
      <c r="Q1528" s="2951">
        <v>500000</v>
      </c>
      <c r="R1528" s="2954">
        <v>45043</v>
      </c>
      <c r="S1528" s="2954">
        <v>45044</v>
      </c>
      <c r="T1528" s="2948"/>
      <c r="U1528" s="2948"/>
      <c r="V1528" s="2948" t="s">
        <v>1465</v>
      </c>
    </row>
    <row r="1529" spans="1:22" s="2944" customFormat="1" ht="46.8">
      <c r="A1529" s="2948">
        <v>1528</v>
      </c>
      <c r="B1529" s="2948" t="s">
        <v>635</v>
      </c>
      <c r="C1529" s="2948" t="s">
        <v>636</v>
      </c>
      <c r="D1529" s="2948" t="s">
        <v>2014</v>
      </c>
      <c r="E1529" s="2948" t="s">
        <v>729</v>
      </c>
      <c r="F1529" s="2948" t="s">
        <v>2121</v>
      </c>
      <c r="G1529" s="2948" t="s">
        <v>640</v>
      </c>
      <c r="H1529" s="2948" t="s">
        <v>2016</v>
      </c>
      <c r="I1529" s="2948" t="s">
        <v>1279</v>
      </c>
      <c r="J1529" s="2948" t="s">
        <v>643</v>
      </c>
      <c r="K1529" s="2950">
        <v>33.03</v>
      </c>
      <c r="L1529" s="2950">
        <v>13.25</v>
      </c>
      <c r="M1529" s="2951">
        <v>550164</v>
      </c>
      <c r="N1529" s="2951">
        <v>550164</v>
      </c>
      <c r="O1529" s="2952">
        <v>500000</v>
      </c>
      <c r="P1529" s="2953">
        <v>500000</v>
      </c>
      <c r="Q1529" s="2951">
        <v>500000</v>
      </c>
      <c r="R1529" s="2954">
        <v>45043</v>
      </c>
      <c r="S1529" s="2954">
        <v>45044</v>
      </c>
      <c r="T1529" s="2948"/>
      <c r="U1529" s="2948"/>
      <c r="V1529" s="2948" t="s">
        <v>1465</v>
      </c>
    </row>
    <row r="1530" spans="1:22" s="2944" customFormat="1" ht="46.8">
      <c r="A1530" s="2948">
        <v>1529</v>
      </c>
      <c r="B1530" s="2948" t="s">
        <v>635</v>
      </c>
      <c r="C1530" s="2948" t="s">
        <v>636</v>
      </c>
      <c r="D1530" s="2948" t="s">
        <v>2014</v>
      </c>
      <c r="E1530" s="2948" t="s">
        <v>729</v>
      </c>
      <c r="F1530" s="2948" t="s">
        <v>2122</v>
      </c>
      <c r="G1530" s="2948" t="s">
        <v>640</v>
      </c>
      <c r="H1530" s="2948" t="s">
        <v>2016</v>
      </c>
      <c r="I1530" s="2948" t="s">
        <v>1279</v>
      </c>
      <c r="J1530" s="2948" t="s">
        <v>643</v>
      </c>
      <c r="K1530" s="2950">
        <v>33.03</v>
      </c>
      <c r="L1530" s="2950">
        <v>13.25</v>
      </c>
      <c r="M1530" s="2951">
        <v>550164</v>
      </c>
      <c r="N1530" s="2951">
        <v>550164</v>
      </c>
      <c r="O1530" s="2952">
        <v>500000</v>
      </c>
      <c r="P1530" s="2953">
        <v>500000</v>
      </c>
      <c r="Q1530" s="2951">
        <v>500000</v>
      </c>
      <c r="R1530" s="2954">
        <v>45043</v>
      </c>
      <c r="S1530" s="2954">
        <v>45044</v>
      </c>
      <c r="T1530" s="2948"/>
      <c r="U1530" s="2948"/>
      <c r="V1530" s="2948" t="s">
        <v>2123</v>
      </c>
    </row>
    <row r="1531" spans="1:22" s="2944" customFormat="1" ht="62.4">
      <c r="A1531" s="2948">
        <v>1530</v>
      </c>
      <c r="B1531" s="2948" t="s">
        <v>635</v>
      </c>
      <c r="C1531" s="2948" t="s">
        <v>636</v>
      </c>
      <c r="D1531" s="2948" t="s">
        <v>2014</v>
      </c>
      <c r="E1531" s="2948" t="s">
        <v>729</v>
      </c>
      <c r="F1531" s="2948" t="s">
        <v>2124</v>
      </c>
      <c r="G1531" s="2948" t="s">
        <v>640</v>
      </c>
      <c r="H1531" s="2948" t="s">
        <v>2016</v>
      </c>
      <c r="I1531" s="2948" t="s">
        <v>1279</v>
      </c>
      <c r="J1531" s="2948" t="s">
        <v>643</v>
      </c>
      <c r="K1531" s="2950">
        <v>33.03</v>
      </c>
      <c r="L1531" s="2950">
        <v>13.25</v>
      </c>
      <c r="M1531" s="2951">
        <v>500000</v>
      </c>
      <c r="N1531" s="2951">
        <v>500000</v>
      </c>
      <c r="O1531" s="2952">
        <v>500000</v>
      </c>
      <c r="P1531" s="2953">
        <v>500000</v>
      </c>
      <c r="Q1531" s="2951">
        <v>500000</v>
      </c>
      <c r="R1531" s="2954">
        <v>45197</v>
      </c>
      <c r="S1531" s="2954">
        <v>45199</v>
      </c>
      <c r="T1531" s="2948"/>
      <c r="U1531" s="2948"/>
      <c r="V1531" s="2948" t="s">
        <v>2125</v>
      </c>
    </row>
    <row r="1532" spans="1:22" s="2944" customFormat="1" ht="46.8" hidden="1">
      <c r="A1532" s="2948">
        <v>1531</v>
      </c>
      <c r="B1532" s="2948" t="s">
        <v>635</v>
      </c>
      <c r="C1532" s="2948" t="s">
        <v>636</v>
      </c>
      <c r="D1532" s="2948" t="s">
        <v>2014</v>
      </c>
      <c r="E1532" s="2948" t="s">
        <v>729</v>
      </c>
      <c r="F1532" s="2948" t="s">
        <v>2126</v>
      </c>
      <c r="G1532" s="2948" t="s">
        <v>1035</v>
      </c>
      <c r="H1532" s="2948" t="s">
        <v>2016</v>
      </c>
      <c r="I1532" s="2948" t="s">
        <v>1279</v>
      </c>
      <c r="J1532" s="2948" t="s">
        <v>643</v>
      </c>
      <c r="K1532" s="2950">
        <v>33.03</v>
      </c>
      <c r="L1532" s="2950">
        <v>13.25</v>
      </c>
      <c r="M1532" s="2951">
        <v>500000</v>
      </c>
      <c r="N1532" s="2951">
        <v>500000</v>
      </c>
      <c r="O1532" s="2955"/>
      <c r="P1532" s="2948"/>
      <c r="Q1532" s="2951">
        <v>0</v>
      </c>
      <c r="R1532" s="2948"/>
      <c r="S1532" s="2948"/>
      <c r="T1532" s="2948"/>
      <c r="U1532" s="2948"/>
      <c r="V1532" s="2948"/>
    </row>
    <row r="1533" spans="1:22" s="2944" customFormat="1" ht="46.8">
      <c r="A1533" s="2948">
        <v>1532</v>
      </c>
      <c r="B1533" s="2948" t="s">
        <v>635</v>
      </c>
      <c r="C1533" s="2948" t="s">
        <v>636</v>
      </c>
      <c r="D1533" s="2948" t="s">
        <v>2014</v>
      </c>
      <c r="E1533" s="2948" t="s">
        <v>729</v>
      </c>
      <c r="F1533" s="2948" t="s">
        <v>2127</v>
      </c>
      <c r="G1533" s="2948" t="s">
        <v>640</v>
      </c>
      <c r="H1533" s="2948" t="s">
        <v>2016</v>
      </c>
      <c r="I1533" s="2948" t="s">
        <v>1279</v>
      </c>
      <c r="J1533" s="2948" t="s">
        <v>643</v>
      </c>
      <c r="K1533" s="2950">
        <v>33.03</v>
      </c>
      <c r="L1533" s="2950">
        <v>13.25</v>
      </c>
      <c r="M1533" s="2951">
        <v>550164</v>
      </c>
      <c r="N1533" s="2951">
        <v>550164</v>
      </c>
      <c r="O1533" s="2952">
        <v>500000</v>
      </c>
      <c r="P1533" s="2953">
        <v>500000</v>
      </c>
      <c r="Q1533" s="2951">
        <v>500000</v>
      </c>
      <c r="R1533" s="2954">
        <v>45106</v>
      </c>
      <c r="S1533" s="2954">
        <v>45107</v>
      </c>
      <c r="T1533" s="2948"/>
      <c r="U1533" s="2948"/>
      <c r="V1533" s="2948" t="s">
        <v>1678</v>
      </c>
    </row>
    <row r="1534" spans="1:22" s="2944" customFormat="1" ht="46.8" hidden="1">
      <c r="A1534" s="2948">
        <v>1533</v>
      </c>
      <c r="B1534" s="2948" t="s">
        <v>635</v>
      </c>
      <c r="C1534" s="2948" t="s">
        <v>636</v>
      </c>
      <c r="D1534" s="2948" t="s">
        <v>2014</v>
      </c>
      <c r="E1534" s="2948" t="s">
        <v>729</v>
      </c>
      <c r="F1534" s="2948" t="s">
        <v>2128</v>
      </c>
      <c r="G1534" s="2948" t="s">
        <v>1035</v>
      </c>
      <c r="H1534" s="2948" t="s">
        <v>2016</v>
      </c>
      <c r="I1534" s="2948" t="s">
        <v>1279</v>
      </c>
      <c r="J1534" s="2948" t="s">
        <v>643</v>
      </c>
      <c r="K1534" s="2950">
        <v>33.03</v>
      </c>
      <c r="L1534" s="2950">
        <v>13.25</v>
      </c>
      <c r="M1534" s="2951">
        <v>500000</v>
      </c>
      <c r="N1534" s="2951">
        <v>500000</v>
      </c>
      <c r="O1534" s="2955"/>
      <c r="P1534" s="2948"/>
      <c r="Q1534" s="2951">
        <v>0</v>
      </c>
      <c r="R1534" s="2948"/>
      <c r="S1534" s="2948"/>
      <c r="T1534" s="2948"/>
      <c r="U1534" s="2948"/>
      <c r="V1534" s="2948"/>
    </row>
    <row r="1535" spans="1:22" s="2944" customFormat="1" ht="46.8" hidden="1">
      <c r="A1535" s="2948">
        <v>1534</v>
      </c>
      <c r="B1535" s="2948" t="s">
        <v>635</v>
      </c>
      <c r="C1535" s="2948" t="s">
        <v>636</v>
      </c>
      <c r="D1535" s="2948" t="s">
        <v>2014</v>
      </c>
      <c r="E1535" s="2948" t="s">
        <v>729</v>
      </c>
      <c r="F1535" s="2948" t="s">
        <v>2129</v>
      </c>
      <c r="G1535" s="2948" t="s">
        <v>1035</v>
      </c>
      <c r="H1535" s="2948" t="s">
        <v>2016</v>
      </c>
      <c r="I1535" s="2948" t="s">
        <v>1279</v>
      </c>
      <c r="J1535" s="2948" t="s">
        <v>643</v>
      </c>
      <c r="K1535" s="2950">
        <v>33.03</v>
      </c>
      <c r="L1535" s="2950">
        <v>13.25</v>
      </c>
      <c r="M1535" s="2951">
        <v>500000</v>
      </c>
      <c r="N1535" s="2951">
        <v>500000</v>
      </c>
      <c r="O1535" s="2955"/>
      <c r="P1535" s="2948"/>
      <c r="Q1535" s="2951">
        <v>0</v>
      </c>
      <c r="R1535" s="2948"/>
      <c r="S1535" s="2948"/>
      <c r="T1535" s="2948"/>
      <c r="U1535" s="2948"/>
      <c r="V1535" s="2948"/>
    </row>
    <row r="1536" spans="1:22" s="2944" customFormat="1" ht="46.8" hidden="1">
      <c r="A1536" s="2948">
        <v>1535</v>
      </c>
      <c r="B1536" s="2948" t="s">
        <v>635</v>
      </c>
      <c r="C1536" s="2948" t="s">
        <v>636</v>
      </c>
      <c r="D1536" s="2948" t="s">
        <v>2014</v>
      </c>
      <c r="E1536" s="2948" t="s">
        <v>729</v>
      </c>
      <c r="F1536" s="2948" t="s">
        <v>2130</v>
      </c>
      <c r="G1536" s="2948" t="s">
        <v>1035</v>
      </c>
      <c r="H1536" s="2948" t="s">
        <v>2016</v>
      </c>
      <c r="I1536" s="2948" t="s">
        <v>1279</v>
      </c>
      <c r="J1536" s="2948" t="s">
        <v>643</v>
      </c>
      <c r="K1536" s="2950">
        <v>33.03</v>
      </c>
      <c r="L1536" s="2950">
        <v>13.25</v>
      </c>
      <c r="M1536" s="2951">
        <v>500000</v>
      </c>
      <c r="N1536" s="2951">
        <v>500000</v>
      </c>
      <c r="O1536" s="2955"/>
      <c r="P1536" s="2948"/>
      <c r="Q1536" s="2951">
        <v>0</v>
      </c>
      <c r="R1536" s="2948"/>
      <c r="S1536" s="2948"/>
      <c r="T1536" s="2948"/>
      <c r="U1536" s="2948"/>
      <c r="V1536" s="2948"/>
    </row>
    <row r="1537" spans="1:22" s="2944" customFormat="1" ht="46.8" hidden="1">
      <c r="A1537" s="2948">
        <v>1536</v>
      </c>
      <c r="B1537" s="2948" t="s">
        <v>635</v>
      </c>
      <c r="C1537" s="2948" t="s">
        <v>636</v>
      </c>
      <c r="D1537" s="2948" t="s">
        <v>2014</v>
      </c>
      <c r="E1537" s="2948" t="s">
        <v>729</v>
      </c>
      <c r="F1537" s="2948" t="s">
        <v>2131</v>
      </c>
      <c r="G1537" s="2948" t="s">
        <v>1035</v>
      </c>
      <c r="H1537" s="2948" t="s">
        <v>2016</v>
      </c>
      <c r="I1537" s="2948" t="s">
        <v>1279</v>
      </c>
      <c r="J1537" s="2948" t="s">
        <v>643</v>
      </c>
      <c r="K1537" s="2950">
        <v>33.03</v>
      </c>
      <c r="L1537" s="2950">
        <v>13.25</v>
      </c>
      <c r="M1537" s="2951">
        <v>500000</v>
      </c>
      <c r="N1537" s="2951">
        <v>500000</v>
      </c>
      <c r="O1537" s="2955"/>
      <c r="P1537" s="2948"/>
      <c r="Q1537" s="2951">
        <v>0</v>
      </c>
      <c r="R1537" s="2948"/>
      <c r="S1537" s="2948"/>
      <c r="T1537" s="2948"/>
      <c r="U1537" s="2948"/>
      <c r="V1537" s="2948"/>
    </row>
    <row r="1538" spans="1:22" s="2944" customFormat="1" ht="46.8" hidden="1">
      <c r="A1538" s="2948">
        <v>1537</v>
      </c>
      <c r="B1538" s="2948" t="s">
        <v>635</v>
      </c>
      <c r="C1538" s="2948" t="s">
        <v>636</v>
      </c>
      <c r="D1538" s="2948" t="s">
        <v>2014</v>
      </c>
      <c r="E1538" s="2948" t="s">
        <v>729</v>
      </c>
      <c r="F1538" s="2948" t="s">
        <v>2132</v>
      </c>
      <c r="G1538" s="2948" t="s">
        <v>1035</v>
      </c>
      <c r="H1538" s="2948" t="s">
        <v>2016</v>
      </c>
      <c r="I1538" s="2948" t="s">
        <v>1279</v>
      </c>
      <c r="J1538" s="2948" t="s">
        <v>643</v>
      </c>
      <c r="K1538" s="2950">
        <v>33.03</v>
      </c>
      <c r="L1538" s="2950">
        <v>13.25</v>
      </c>
      <c r="M1538" s="2951">
        <v>500000</v>
      </c>
      <c r="N1538" s="2951">
        <v>500000</v>
      </c>
      <c r="O1538" s="2955"/>
      <c r="P1538" s="2948"/>
      <c r="Q1538" s="2951">
        <v>0</v>
      </c>
      <c r="R1538" s="2948"/>
      <c r="S1538" s="2948"/>
      <c r="T1538" s="2948"/>
      <c r="U1538" s="2948"/>
      <c r="V1538" s="2948"/>
    </row>
    <row r="1539" spans="1:22" s="2944" customFormat="1" ht="46.8">
      <c r="A1539" s="2948">
        <v>1538</v>
      </c>
      <c r="B1539" s="2948" t="s">
        <v>635</v>
      </c>
      <c r="C1539" s="2948" t="s">
        <v>636</v>
      </c>
      <c r="D1539" s="2948" t="s">
        <v>2014</v>
      </c>
      <c r="E1539" s="2948" t="s">
        <v>729</v>
      </c>
      <c r="F1539" s="2948" t="s">
        <v>2133</v>
      </c>
      <c r="G1539" s="2948" t="s">
        <v>640</v>
      </c>
      <c r="H1539" s="2948" t="s">
        <v>2016</v>
      </c>
      <c r="I1539" s="2948" t="s">
        <v>1279</v>
      </c>
      <c r="J1539" s="2948" t="s">
        <v>643</v>
      </c>
      <c r="K1539" s="2950">
        <v>33.03</v>
      </c>
      <c r="L1539" s="2950">
        <v>13.25</v>
      </c>
      <c r="M1539" s="2951">
        <v>500000</v>
      </c>
      <c r="N1539" s="2951">
        <v>500000</v>
      </c>
      <c r="O1539" s="2952">
        <v>500000</v>
      </c>
      <c r="P1539" s="2953">
        <v>500000</v>
      </c>
      <c r="Q1539" s="2951">
        <v>500000</v>
      </c>
      <c r="R1539" s="2954">
        <v>45274</v>
      </c>
      <c r="S1539" s="2954">
        <v>45275</v>
      </c>
      <c r="T1539" s="2948"/>
      <c r="U1539" s="2948"/>
      <c r="V1539" s="2948" t="s">
        <v>2134</v>
      </c>
    </row>
    <row r="1540" spans="1:22" s="2944" customFormat="1" ht="46.8" hidden="1">
      <c r="A1540" s="2948">
        <v>1539</v>
      </c>
      <c r="B1540" s="2948" t="s">
        <v>635</v>
      </c>
      <c r="C1540" s="2948" t="s">
        <v>636</v>
      </c>
      <c r="D1540" s="2948" t="s">
        <v>2014</v>
      </c>
      <c r="E1540" s="2948" t="s">
        <v>729</v>
      </c>
      <c r="F1540" s="2948" t="s">
        <v>2135</v>
      </c>
      <c r="G1540" s="2948" t="s">
        <v>1035</v>
      </c>
      <c r="H1540" s="2948" t="s">
        <v>2016</v>
      </c>
      <c r="I1540" s="2948" t="s">
        <v>1279</v>
      </c>
      <c r="J1540" s="2948" t="s">
        <v>643</v>
      </c>
      <c r="K1540" s="2950">
        <v>33.03</v>
      </c>
      <c r="L1540" s="2950">
        <v>13.25</v>
      </c>
      <c r="M1540" s="2951">
        <v>500000</v>
      </c>
      <c r="N1540" s="2951">
        <v>500000</v>
      </c>
      <c r="O1540" s="2955"/>
      <c r="P1540" s="2948"/>
      <c r="Q1540" s="2951">
        <v>0</v>
      </c>
      <c r="R1540" s="2948"/>
      <c r="S1540" s="2948"/>
      <c r="T1540" s="2948"/>
      <c r="U1540" s="2948"/>
      <c r="V1540" s="2948"/>
    </row>
    <row r="1541" spans="1:22" s="2944" customFormat="1" ht="46.8" hidden="1">
      <c r="A1541" s="2948">
        <v>1540</v>
      </c>
      <c r="B1541" s="2948" t="s">
        <v>635</v>
      </c>
      <c r="C1541" s="2948" t="s">
        <v>636</v>
      </c>
      <c r="D1541" s="2948" t="s">
        <v>2014</v>
      </c>
      <c r="E1541" s="2948" t="s">
        <v>729</v>
      </c>
      <c r="F1541" s="2948" t="s">
        <v>2136</v>
      </c>
      <c r="G1541" s="2948" t="s">
        <v>1035</v>
      </c>
      <c r="H1541" s="2948" t="s">
        <v>2016</v>
      </c>
      <c r="I1541" s="2948" t="s">
        <v>1279</v>
      </c>
      <c r="J1541" s="2948" t="s">
        <v>643</v>
      </c>
      <c r="K1541" s="2950">
        <v>33.03</v>
      </c>
      <c r="L1541" s="2950">
        <v>13.25</v>
      </c>
      <c r="M1541" s="2951">
        <v>500000</v>
      </c>
      <c r="N1541" s="2951">
        <v>500000</v>
      </c>
      <c r="O1541" s="2955"/>
      <c r="P1541" s="2948"/>
      <c r="Q1541" s="2951">
        <v>0</v>
      </c>
      <c r="R1541" s="2948"/>
      <c r="S1541" s="2948"/>
      <c r="T1541" s="2948"/>
      <c r="U1541" s="2948"/>
      <c r="V1541" s="2948"/>
    </row>
    <row r="1542" spans="1:22" s="2944" customFormat="1" ht="46.8">
      <c r="A1542" s="2948">
        <v>1541</v>
      </c>
      <c r="B1542" s="2948" t="s">
        <v>635</v>
      </c>
      <c r="C1542" s="2948" t="s">
        <v>636</v>
      </c>
      <c r="D1542" s="2948" t="s">
        <v>2014</v>
      </c>
      <c r="E1542" s="2948" t="s">
        <v>729</v>
      </c>
      <c r="F1542" s="2948" t="s">
        <v>2137</v>
      </c>
      <c r="G1542" s="2948" t="s">
        <v>640</v>
      </c>
      <c r="H1542" s="2948" t="s">
        <v>2016</v>
      </c>
      <c r="I1542" s="2948" t="s">
        <v>1279</v>
      </c>
      <c r="J1542" s="2948" t="s">
        <v>643</v>
      </c>
      <c r="K1542" s="2950">
        <v>33.03</v>
      </c>
      <c r="L1542" s="2950">
        <v>13.25</v>
      </c>
      <c r="M1542" s="2951">
        <v>550164</v>
      </c>
      <c r="N1542" s="2951">
        <v>550164</v>
      </c>
      <c r="O1542" s="2952">
        <v>500000</v>
      </c>
      <c r="P1542" s="2953">
        <v>500000</v>
      </c>
      <c r="Q1542" s="2951">
        <v>500000</v>
      </c>
      <c r="R1542" s="2954">
        <v>45046</v>
      </c>
      <c r="S1542" s="2954">
        <v>45046</v>
      </c>
      <c r="T1542" s="2948"/>
      <c r="U1542" s="2948"/>
      <c r="V1542" s="2948" t="s">
        <v>1817</v>
      </c>
    </row>
    <row r="1543" spans="1:22" s="2944" customFormat="1" ht="46.8">
      <c r="A1543" s="2948">
        <v>1542</v>
      </c>
      <c r="B1543" s="2948" t="s">
        <v>635</v>
      </c>
      <c r="C1543" s="2948" t="s">
        <v>636</v>
      </c>
      <c r="D1543" s="2948" t="s">
        <v>2014</v>
      </c>
      <c r="E1543" s="2948" t="s">
        <v>729</v>
      </c>
      <c r="F1543" s="2948" t="s">
        <v>2138</v>
      </c>
      <c r="G1543" s="2948" t="s">
        <v>640</v>
      </c>
      <c r="H1543" s="2948" t="s">
        <v>2016</v>
      </c>
      <c r="I1543" s="2948" t="s">
        <v>1279</v>
      </c>
      <c r="J1543" s="2948" t="s">
        <v>643</v>
      </c>
      <c r="K1543" s="2950">
        <v>33.03</v>
      </c>
      <c r="L1543" s="2950">
        <v>13.25</v>
      </c>
      <c r="M1543" s="2951">
        <v>500000</v>
      </c>
      <c r="N1543" s="2951">
        <v>500000</v>
      </c>
      <c r="O1543" s="2952">
        <v>500000</v>
      </c>
      <c r="P1543" s="2953">
        <v>500000</v>
      </c>
      <c r="Q1543" s="2951">
        <v>500000</v>
      </c>
      <c r="R1543" s="2954">
        <v>45197</v>
      </c>
      <c r="S1543" s="2954">
        <v>45197</v>
      </c>
      <c r="T1543" s="2948"/>
      <c r="U1543" s="2948"/>
      <c r="V1543" s="2948" t="s">
        <v>1378</v>
      </c>
    </row>
    <row r="1544" spans="1:22" s="2944" customFormat="1" ht="46.8">
      <c r="A1544" s="2948">
        <v>1543</v>
      </c>
      <c r="B1544" s="2948" t="s">
        <v>635</v>
      </c>
      <c r="C1544" s="2948" t="s">
        <v>636</v>
      </c>
      <c r="D1544" s="2948" t="s">
        <v>2014</v>
      </c>
      <c r="E1544" s="2948" t="s">
        <v>729</v>
      </c>
      <c r="F1544" s="2948" t="s">
        <v>2139</v>
      </c>
      <c r="G1544" s="2948" t="s">
        <v>640</v>
      </c>
      <c r="H1544" s="2948" t="s">
        <v>2016</v>
      </c>
      <c r="I1544" s="2948" t="s">
        <v>1279</v>
      </c>
      <c r="J1544" s="2948" t="s">
        <v>643</v>
      </c>
      <c r="K1544" s="2950">
        <v>33.03</v>
      </c>
      <c r="L1544" s="2950">
        <v>13.25</v>
      </c>
      <c r="M1544" s="2951">
        <v>550164</v>
      </c>
      <c r="N1544" s="2951">
        <v>550164</v>
      </c>
      <c r="O1544" s="2952">
        <v>500000</v>
      </c>
      <c r="P1544" s="2953">
        <v>500000</v>
      </c>
      <c r="Q1544" s="2951">
        <v>500000</v>
      </c>
      <c r="R1544" s="2954">
        <v>45070</v>
      </c>
      <c r="S1544" s="2954">
        <v>45071</v>
      </c>
      <c r="T1544" s="2948"/>
      <c r="U1544" s="2948"/>
      <c r="V1544" s="2948" t="s">
        <v>1857</v>
      </c>
    </row>
    <row r="1545" spans="1:22" s="2944" customFormat="1" ht="46.8">
      <c r="A1545" s="2948">
        <v>1544</v>
      </c>
      <c r="B1545" s="2948" t="s">
        <v>635</v>
      </c>
      <c r="C1545" s="2948" t="s">
        <v>636</v>
      </c>
      <c r="D1545" s="2948" t="s">
        <v>2014</v>
      </c>
      <c r="E1545" s="2948" t="s">
        <v>729</v>
      </c>
      <c r="F1545" s="2948" t="s">
        <v>2140</v>
      </c>
      <c r="G1545" s="2948" t="s">
        <v>640</v>
      </c>
      <c r="H1545" s="2948" t="s">
        <v>2016</v>
      </c>
      <c r="I1545" s="2948" t="s">
        <v>1279</v>
      </c>
      <c r="J1545" s="2948" t="s">
        <v>643</v>
      </c>
      <c r="K1545" s="2950">
        <v>33.03</v>
      </c>
      <c r="L1545" s="2950">
        <v>13.25</v>
      </c>
      <c r="M1545" s="2951">
        <v>550164</v>
      </c>
      <c r="N1545" s="2951">
        <v>550164</v>
      </c>
      <c r="O1545" s="2952">
        <v>550164</v>
      </c>
      <c r="P1545" s="2953">
        <v>550164</v>
      </c>
      <c r="Q1545" s="2951">
        <v>550164</v>
      </c>
      <c r="R1545" s="2954">
        <v>44618</v>
      </c>
      <c r="S1545" s="2954">
        <v>44618</v>
      </c>
      <c r="T1545" s="2948"/>
      <c r="U1545" s="2948"/>
      <c r="V1545" s="2948" t="s">
        <v>1798</v>
      </c>
    </row>
    <row r="1546" spans="1:22" s="2944" customFormat="1" ht="46.8">
      <c r="A1546" s="2948">
        <v>1545</v>
      </c>
      <c r="B1546" s="2948" t="s">
        <v>635</v>
      </c>
      <c r="C1546" s="2948" t="s">
        <v>636</v>
      </c>
      <c r="D1546" s="2948" t="s">
        <v>2014</v>
      </c>
      <c r="E1546" s="2948" t="s">
        <v>729</v>
      </c>
      <c r="F1546" s="2948" t="s">
        <v>2141</v>
      </c>
      <c r="G1546" s="2948" t="s">
        <v>640</v>
      </c>
      <c r="H1546" s="2948" t="s">
        <v>2016</v>
      </c>
      <c r="I1546" s="2948" t="s">
        <v>1279</v>
      </c>
      <c r="J1546" s="2948" t="s">
        <v>643</v>
      </c>
      <c r="K1546" s="2950">
        <v>33.03</v>
      </c>
      <c r="L1546" s="2950">
        <v>13.25</v>
      </c>
      <c r="M1546" s="2951">
        <v>500000</v>
      </c>
      <c r="N1546" s="2951">
        <v>500000</v>
      </c>
      <c r="O1546" s="2952">
        <v>500000</v>
      </c>
      <c r="P1546" s="2953">
        <v>500000</v>
      </c>
      <c r="Q1546" s="2951">
        <v>200000</v>
      </c>
      <c r="R1546" s="2954">
        <v>45286</v>
      </c>
      <c r="S1546" s="2954">
        <v>45287</v>
      </c>
      <c r="T1546" s="2948"/>
      <c r="U1546" s="2948"/>
      <c r="V1546" s="2948" t="s">
        <v>1843</v>
      </c>
    </row>
    <row r="1547" spans="1:22" s="2944" customFormat="1" ht="46.8">
      <c r="A1547" s="2948">
        <v>1546</v>
      </c>
      <c r="B1547" s="2948" t="s">
        <v>635</v>
      </c>
      <c r="C1547" s="2948" t="s">
        <v>636</v>
      </c>
      <c r="D1547" s="2948" t="s">
        <v>2014</v>
      </c>
      <c r="E1547" s="2948" t="s">
        <v>729</v>
      </c>
      <c r="F1547" s="2948" t="s">
        <v>2142</v>
      </c>
      <c r="G1547" s="2948" t="s">
        <v>640</v>
      </c>
      <c r="H1547" s="2948" t="s">
        <v>2016</v>
      </c>
      <c r="I1547" s="2948" t="s">
        <v>1279</v>
      </c>
      <c r="J1547" s="2948" t="s">
        <v>643</v>
      </c>
      <c r="K1547" s="2950">
        <v>33.03</v>
      </c>
      <c r="L1547" s="2950">
        <v>13.25</v>
      </c>
      <c r="M1547" s="2951">
        <v>550164</v>
      </c>
      <c r="N1547" s="2951">
        <v>550164</v>
      </c>
      <c r="O1547" s="2952">
        <v>550164</v>
      </c>
      <c r="P1547" s="2953">
        <v>550164</v>
      </c>
      <c r="Q1547" s="2951">
        <v>550164</v>
      </c>
      <c r="R1547" s="2954">
        <v>44554</v>
      </c>
      <c r="S1547" s="2954">
        <v>44559</v>
      </c>
      <c r="T1547" s="2948"/>
      <c r="U1547" s="2948"/>
      <c r="V1547" s="2948" t="s">
        <v>1782</v>
      </c>
    </row>
    <row r="1548" spans="1:22" s="2944" customFormat="1" ht="46.8">
      <c r="A1548" s="2948">
        <v>1547</v>
      </c>
      <c r="B1548" s="2948" t="s">
        <v>635</v>
      </c>
      <c r="C1548" s="2948" t="s">
        <v>636</v>
      </c>
      <c r="D1548" s="2948" t="s">
        <v>2014</v>
      </c>
      <c r="E1548" s="2948" t="s">
        <v>729</v>
      </c>
      <c r="F1548" s="2948" t="s">
        <v>2143</v>
      </c>
      <c r="G1548" s="2948" t="s">
        <v>640</v>
      </c>
      <c r="H1548" s="2948" t="s">
        <v>2016</v>
      </c>
      <c r="I1548" s="2948" t="s">
        <v>1279</v>
      </c>
      <c r="J1548" s="2948" t="s">
        <v>643</v>
      </c>
      <c r="K1548" s="2950">
        <v>33.03</v>
      </c>
      <c r="L1548" s="2950">
        <v>13.25</v>
      </c>
      <c r="M1548" s="2951">
        <v>550164</v>
      </c>
      <c r="N1548" s="2951">
        <v>550164</v>
      </c>
      <c r="O1548" s="2952">
        <v>550164</v>
      </c>
      <c r="P1548" s="2953">
        <v>550164</v>
      </c>
      <c r="Q1548" s="2951">
        <v>550164</v>
      </c>
      <c r="R1548" s="2954">
        <v>44561</v>
      </c>
      <c r="S1548" s="2954">
        <v>44561</v>
      </c>
      <c r="T1548" s="2948"/>
      <c r="U1548" s="2948"/>
      <c r="V1548" s="2948" t="s">
        <v>1843</v>
      </c>
    </row>
    <row r="1549" spans="1:22" s="2944" customFormat="1" ht="46.8">
      <c r="A1549" s="2948">
        <v>1548</v>
      </c>
      <c r="B1549" s="2948" t="s">
        <v>635</v>
      </c>
      <c r="C1549" s="2948" t="s">
        <v>636</v>
      </c>
      <c r="D1549" s="2948" t="s">
        <v>2014</v>
      </c>
      <c r="E1549" s="2948" t="s">
        <v>729</v>
      </c>
      <c r="F1549" s="2948" t="s">
        <v>2144</v>
      </c>
      <c r="G1549" s="2948" t="s">
        <v>640</v>
      </c>
      <c r="H1549" s="2948" t="s">
        <v>2016</v>
      </c>
      <c r="I1549" s="2948" t="s">
        <v>1279</v>
      </c>
      <c r="J1549" s="2948" t="s">
        <v>643</v>
      </c>
      <c r="K1549" s="2950">
        <v>33.03</v>
      </c>
      <c r="L1549" s="2950">
        <v>13.25</v>
      </c>
      <c r="M1549" s="2951">
        <v>550164</v>
      </c>
      <c r="N1549" s="2951">
        <v>550164</v>
      </c>
      <c r="O1549" s="2952">
        <v>550164</v>
      </c>
      <c r="P1549" s="2953">
        <v>550164</v>
      </c>
      <c r="Q1549" s="2951">
        <v>550164</v>
      </c>
      <c r="R1549" s="2954">
        <v>44957</v>
      </c>
      <c r="S1549" s="2954">
        <v>45044</v>
      </c>
      <c r="T1549" s="2948"/>
      <c r="U1549" s="2948"/>
      <c r="V1549" s="2948" t="s">
        <v>1814</v>
      </c>
    </row>
    <row r="1550" spans="1:22" s="2944" customFormat="1" ht="46.8">
      <c r="A1550" s="2948">
        <v>1549</v>
      </c>
      <c r="B1550" s="2948" t="s">
        <v>635</v>
      </c>
      <c r="C1550" s="2948" t="s">
        <v>636</v>
      </c>
      <c r="D1550" s="2948" t="s">
        <v>2014</v>
      </c>
      <c r="E1550" s="2948" t="s">
        <v>729</v>
      </c>
      <c r="F1550" s="2948" t="s">
        <v>2145</v>
      </c>
      <c r="G1550" s="2948" t="s">
        <v>640</v>
      </c>
      <c r="H1550" s="2948" t="s">
        <v>2016</v>
      </c>
      <c r="I1550" s="2948" t="s">
        <v>1279</v>
      </c>
      <c r="J1550" s="2948" t="s">
        <v>643</v>
      </c>
      <c r="K1550" s="2950">
        <v>33.03</v>
      </c>
      <c r="L1550" s="2950">
        <v>13.25</v>
      </c>
      <c r="M1550" s="2951">
        <v>550164</v>
      </c>
      <c r="N1550" s="2951">
        <v>550164</v>
      </c>
      <c r="O1550" s="2952">
        <v>500000</v>
      </c>
      <c r="P1550" s="2953">
        <v>500000</v>
      </c>
      <c r="Q1550" s="2951">
        <v>500000</v>
      </c>
      <c r="R1550" s="2954">
        <v>45044</v>
      </c>
      <c r="S1550" s="2954">
        <v>45044</v>
      </c>
      <c r="T1550" s="2948"/>
      <c r="U1550" s="2948"/>
      <c r="V1550" s="2948" t="s">
        <v>1829</v>
      </c>
    </row>
    <row r="1551" spans="1:22" s="2944" customFormat="1" ht="46.8">
      <c r="A1551" s="2948">
        <v>1550</v>
      </c>
      <c r="B1551" s="2948" t="s">
        <v>635</v>
      </c>
      <c r="C1551" s="2948" t="s">
        <v>636</v>
      </c>
      <c r="D1551" s="2948" t="s">
        <v>2014</v>
      </c>
      <c r="E1551" s="2948" t="s">
        <v>729</v>
      </c>
      <c r="F1551" s="2948" t="s">
        <v>2146</v>
      </c>
      <c r="G1551" s="2948" t="s">
        <v>640</v>
      </c>
      <c r="H1551" s="2948" t="s">
        <v>2016</v>
      </c>
      <c r="I1551" s="2948" t="s">
        <v>1279</v>
      </c>
      <c r="J1551" s="2948" t="s">
        <v>643</v>
      </c>
      <c r="K1551" s="2950">
        <v>33.03</v>
      </c>
      <c r="L1551" s="2950">
        <v>13.25</v>
      </c>
      <c r="M1551" s="2951">
        <v>550164</v>
      </c>
      <c r="N1551" s="2951">
        <v>550164</v>
      </c>
      <c r="O1551" s="2952">
        <v>550164</v>
      </c>
      <c r="P1551" s="2953">
        <v>550164</v>
      </c>
      <c r="Q1551" s="2951">
        <v>550164</v>
      </c>
      <c r="R1551" s="2954">
        <v>44736</v>
      </c>
      <c r="S1551" s="2954">
        <v>44737</v>
      </c>
      <c r="T1551" s="2948"/>
      <c r="U1551" s="2948"/>
      <c r="V1551" s="2948" t="s">
        <v>1797</v>
      </c>
    </row>
    <row r="1552" spans="1:22" s="2944" customFormat="1" ht="46.8">
      <c r="A1552" s="2948">
        <v>1551</v>
      </c>
      <c r="B1552" s="2948" t="s">
        <v>635</v>
      </c>
      <c r="C1552" s="2948" t="s">
        <v>636</v>
      </c>
      <c r="D1552" s="2948" t="s">
        <v>2014</v>
      </c>
      <c r="E1552" s="2948" t="s">
        <v>729</v>
      </c>
      <c r="F1552" s="2948" t="s">
        <v>2147</v>
      </c>
      <c r="G1552" s="2948" t="s">
        <v>640</v>
      </c>
      <c r="H1552" s="2948" t="s">
        <v>2016</v>
      </c>
      <c r="I1552" s="2948" t="s">
        <v>1279</v>
      </c>
      <c r="J1552" s="2948" t="s">
        <v>643</v>
      </c>
      <c r="K1552" s="2950">
        <v>33.03</v>
      </c>
      <c r="L1552" s="2950">
        <v>13.25</v>
      </c>
      <c r="M1552" s="2951">
        <v>550164</v>
      </c>
      <c r="N1552" s="2951">
        <v>550164</v>
      </c>
      <c r="O1552" s="2952">
        <v>550164</v>
      </c>
      <c r="P1552" s="2953">
        <v>550164</v>
      </c>
      <c r="Q1552" s="2951">
        <v>550164</v>
      </c>
      <c r="R1552" s="2954">
        <v>44555</v>
      </c>
      <c r="S1552" s="2954">
        <v>44561</v>
      </c>
      <c r="T1552" s="2948"/>
      <c r="U1552" s="2948"/>
      <c r="V1552" s="2948" t="s">
        <v>1796</v>
      </c>
    </row>
    <row r="1553" spans="1:22" s="2944" customFormat="1" ht="46.8">
      <c r="A1553" s="2948">
        <v>1552</v>
      </c>
      <c r="B1553" s="2948" t="s">
        <v>635</v>
      </c>
      <c r="C1553" s="2948" t="s">
        <v>636</v>
      </c>
      <c r="D1553" s="2948" t="s">
        <v>2014</v>
      </c>
      <c r="E1553" s="2948" t="s">
        <v>729</v>
      </c>
      <c r="F1553" s="2948" t="s">
        <v>2148</v>
      </c>
      <c r="G1553" s="2948" t="s">
        <v>640</v>
      </c>
      <c r="H1553" s="2948" t="s">
        <v>2016</v>
      </c>
      <c r="I1553" s="2948" t="s">
        <v>1279</v>
      </c>
      <c r="J1553" s="2948" t="s">
        <v>643</v>
      </c>
      <c r="K1553" s="2950">
        <v>33.03</v>
      </c>
      <c r="L1553" s="2950">
        <v>13.25</v>
      </c>
      <c r="M1553" s="2951">
        <v>550164</v>
      </c>
      <c r="N1553" s="2951">
        <v>550164</v>
      </c>
      <c r="O1553" s="2952">
        <v>550164</v>
      </c>
      <c r="P1553" s="2953">
        <v>550164</v>
      </c>
      <c r="Q1553" s="2951">
        <v>550164</v>
      </c>
      <c r="R1553" s="2954">
        <v>44554</v>
      </c>
      <c r="S1553" s="2954">
        <v>44561</v>
      </c>
      <c r="T1553" s="2948"/>
      <c r="U1553" s="2948"/>
      <c r="V1553" s="2948" t="s">
        <v>1779</v>
      </c>
    </row>
    <row r="1554" spans="1:22" s="2944" customFormat="1" ht="46.8">
      <c r="A1554" s="2948">
        <v>1553</v>
      </c>
      <c r="B1554" s="2948" t="s">
        <v>635</v>
      </c>
      <c r="C1554" s="2948" t="s">
        <v>636</v>
      </c>
      <c r="D1554" s="2948" t="s">
        <v>2014</v>
      </c>
      <c r="E1554" s="2948" t="s">
        <v>729</v>
      </c>
      <c r="F1554" s="2948" t="s">
        <v>2149</v>
      </c>
      <c r="G1554" s="2948" t="s">
        <v>640</v>
      </c>
      <c r="H1554" s="2948" t="s">
        <v>2016</v>
      </c>
      <c r="I1554" s="2948" t="s">
        <v>1279</v>
      </c>
      <c r="J1554" s="2948" t="s">
        <v>643</v>
      </c>
      <c r="K1554" s="2950">
        <v>33.03</v>
      </c>
      <c r="L1554" s="2950">
        <v>13.25</v>
      </c>
      <c r="M1554" s="2951">
        <v>550164</v>
      </c>
      <c r="N1554" s="2951">
        <v>550164</v>
      </c>
      <c r="O1554" s="2952">
        <v>550164</v>
      </c>
      <c r="P1554" s="2953">
        <v>550164</v>
      </c>
      <c r="Q1554" s="2951">
        <v>550164</v>
      </c>
      <c r="R1554" s="2954">
        <v>44736</v>
      </c>
      <c r="S1554" s="2954">
        <v>44737</v>
      </c>
      <c r="T1554" s="2948"/>
      <c r="U1554" s="2948"/>
      <c r="V1554" s="2948" t="s">
        <v>1779</v>
      </c>
    </row>
    <row r="1555" spans="1:22" s="2944" customFormat="1" ht="46.8" hidden="1">
      <c r="A1555" s="2948">
        <v>1554</v>
      </c>
      <c r="B1555" s="2948" t="s">
        <v>635</v>
      </c>
      <c r="C1555" s="2948" t="s">
        <v>636</v>
      </c>
      <c r="D1555" s="2948" t="s">
        <v>2014</v>
      </c>
      <c r="E1555" s="2948" t="s">
        <v>729</v>
      </c>
      <c r="F1555" s="2948" t="s">
        <v>2150</v>
      </c>
      <c r="G1555" s="2948" t="s">
        <v>1035</v>
      </c>
      <c r="H1555" s="2948" t="s">
        <v>2016</v>
      </c>
      <c r="I1555" s="2948" t="s">
        <v>1279</v>
      </c>
      <c r="J1555" s="2948" t="s">
        <v>643</v>
      </c>
      <c r="K1555" s="2950">
        <v>33.03</v>
      </c>
      <c r="L1555" s="2950">
        <v>13.25</v>
      </c>
      <c r="M1555" s="2951">
        <v>500000</v>
      </c>
      <c r="N1555" s="2951">
        <v>500000</v>
      </c>
      <c r="O1555" s="2955"/>
      <c r="P1555" s="2948"/>
      <c r="Q1555" s="2951">
        <v>0</v>
      </c>
      <c r="R1555" s="2948"/>
      <c r="S1555" s="2948"/>
      <c r="T1555" s="2948"/>
      <c r="U1555" s="2948"/>
      <c r="V1555" s="2948"/>
    </row>
    <row r="1556" spans="1:22" s="2944" customFormat="1" ht="46.8" hidden="1">
      <c r="A1556" s="2948">
        <v>1555</v>
      </c>
      <c r="B1556" s="2948" t="s">
        <v>635</v>
      </c>
      <c r="C1556" s="2948" t="s">
        <v>636</v>
      </c>
      <c r="D1556" s="2948" t="s">
        <v>2014</v>
      </c>
      <c r="E1556" s="2948" t="s">
        <v>729</v>
      </c>
      <c r="F1556" s="2948" t="s">
        <v>2151</v>
      </c>
      <c r="G1556" s="2948" t="s">
        <v>1035</v>
      </c>
      <c r="H1556" s="2948" t="s">
        <v>2016</v>
      </c>
      <c r="I1556" s="2948" t="s">
        <v>1279</v>
      </c>
      <c r="J1556" s="2948" t="s">
        <v>643</v>
      </c>
      <c r="K1556" s="2950">
        <v>33.03</v>
      </c>
      <c r="L1556" s="2950">
        <v>13.25</v>
      </c>
      <c r="M1556" s="2951">
        <v>500000</v>
      </c>
      <c r="N1556" s="2951">
        <v>500000</v>
      </c>
      <c r="O1556" s="2955"/>
      <c r="P1556" s="2948"/>
      <c r="Q1556" s="2951">
        <v>0</v>
      </c>
      <c r="R1556" s="2948"/>
      <c r="S1556" s="2948"/>
      <c r="T1556" s="2948"/>
      <c r="U1556" s="2948"/>
      <c r="V1556" s="2948"/>
    </row>
    <row r="1557" spans="1:22" s="2944" customFormat="1" ht="46.8">
      <c r="A1557" s="2948">
        <v>1556</v>
      </c>
      <c r="B1557" s="2948" t="s">
        <v>635</v>
      </c>
      <c r="C1557" s="2948" t="s">
        <v>636</v>
      </c>
      <c r="D1557" s="2948" t="s">
        <v>2014</v>
      </c>
      <c r="E1557" s="2948" t="s">
        <v>729</v>
      </c>
      <c r="F1557" s="2948" t="s">
        <v>2152</v>
      </c>
      <c r="G1557" s="2948" t="s">
        <v>640</v>
      </c>
      <c r="H1557" s="2948" t="s">
        <v>2016</v>
      </c>
      <c r="I1557" s="2948" t="s">
        <v>1279</v>
      </c>
      <c r="J1557" s="2948" t="s">
        <v>643</v>
      </c>
      <c r="K1557" s="2950">
        <v>33.03</v>
      </c>
      <c r="L1557" s="2950">
        <v>13.25</v>
      </c>
      <c r="M1557" s="2951">
        <v>550164</v>
      </c>
      <c r="N1557" s="2951">
        <v>550164</v>
      </c>
      <c r="O1557" s="2952">
        <v>550164</v>
      </c>
      <c r="P1557" s="2953">
        <v>550164</v>
      </c>
      <c r="Q1557" s="2951">
        <v>550164</v>
      </c>
      <c r="R1557" s="2954">
        <v>44736</v>
      </c>
      <c r="S1557" s="2954">
        <v>44737</v>
      </c>
      <c r="T1557" s="2948"/>
      <c r="U1557" s="2948"/>
      <c r="V1557" s="2948" t="s">
        <v>1796</v>
      </c>
    </row>
    <row r="1558" spans="1:22" s="2944" customFormat="1" ht="46.8" hidden="1">
      <c r="A1558" s="2948">
        <v>1557</v>
      </c>
      <c r="B1558" s="2948" t="s">
        <v>635</v>
      </c>
      <c r="C1558" s="2948" t="s">
        <v>636</v>
      </c>
      <c r="D1558" s="2948" t="s">
        <v>2014</v>
      </c>
      <c r="E1558" s="2948" t="s">
        <v>729</v>
      </c>
      <c r="F1558" s="2948" t="s">
        <v>2153</v>
      </c>
      <c r="G1558" s="2948" t="s">
        <v>1035</v>
      </c>
      <c r="H1558" s="2948" t="s">
        <v>2016</v>
      </c>
      <c r="I1558" s="2948" t="s">
        <v>1279</v>
      </c>
      <c r="J1558" s="2948" t="s">
        <v>643</v>
      </c>
      <c r="K1558" s="2950">
        <v>33.03</v>
      </c>
      <c r="L1558" s="2950">
        <v>13.25</v>
      </c>
      <c r="M1558" s="2951">
        <v>500000</v>
      </c>
      <c r="N1558" s="2951">
        <v>500000</v>
      </c>
      <c r="O1558" s="2955"/>
      <c r="P1558" s="2948"/>
      <c r="Q1558" s="2951">
        <v>0</v>
      </c>
      <c r="R1558" s="2948"/>
      <c r="S1558" s="2948"/>
      <c r="T1558" s="2948"/>
      <c r="U1558" s="2948"/>
      <c r="V1558" s="2948"/>
    </row>
    <row r="1559" spans="1:22" s="2944" customFormat="1" ht="46.8">
      <c r="A1559" s="2948">
        <v>1558</v>
      </c>
      <c r="B1559" s="2948" t="s">
        <v>635</v>
      </c>
      <c r="C1559" s="2948" t="s">
        <v>636</v>
      </c>
      <c r="D1559" s="2948" t="s">
        <v>2014</v>
      </c>
      <c r="E1559" s="2948" t="s">
        <v>729</v>
      </c>
      <c r="F1559" s="2948" t="s">
        <v>2154</v>
      </c>
      <c r="G1559" s="2948" t="s">
        <v>640</v>
      </c>
      <c r="H1559" s="2948" t="s">
        <v>2016</v>
      </c>
      <c r="I1559" s="2948" t="s">
        <v>1279</v>
      </c>
      <c r="J1559" s="2948" t="s">
        <v>643</v>
      </c>
      <c r="K1559" s="2950">
        <v>33.03</v>
      </c>
      <c r="L1559" s="2950">
        <v>13.25</v>
      </c>
      <c r="M1559" s="2951">
        <v>550164</v>
      </c>
      <c r="N1559" s="2951">
        <v>550164</v>
      </c>
      <c r="O1559" s="2952">
        <v>550164</v>
      </c>
      <c r="P1559" s="2953">
        <v>550164</v>
      </c>
      <c r="Q1559" s="2951">
        <v>550164</v>
      </c>
      <c r="R1559" s="2954">
        <v>44554</v>
      </c>
      <c r="S1559" s="2954">
        <v>44561</v>
      </c>
      <c r="T1559" s="2948"/>
      <c r="U1559" s="2948"/>
      <c r="V1559" s="2948" t="s">
        <v>1778</v>
      </c>
    </row>
    <row r="1560" spans="1:22" s="2944" customFormat="1" ht="46.8">
      <c r="A1560" s="2948">
        <v>1559</v>
      </c>
      <c r="B1560" s="2948" t="s">
        <v>635</v>
      </c>
      <c r="C1560" s="2948" t="s">
        <v>636</v>
      </c>
      <c r="D1560" s="2948" t="s">
        <v>2014</v>
      </c>
      <c r="E1560" s="2948" t="s">
        <v>729</v>
      </c>
      <c r="F1560" s="2948" t="s">
        <v>2155</v>
      </c>
      <c r="G1560" s="2948" t="s">
        <v>640</v>
      </c>
      <c r="H1560" s="2948" t="s">
        <v>2016</v>
      </c>
      <c r="I1560" s="2948" t="s">
        <v>1279</v>
      </c>
      <c r="J1560" s="2948" t="s">
        <v>643</v>
      </c>
      <c r="K1560" s="2950">
        <v>33.03</v>
      </c>
      <c r="L1560" s="2950">
        <v>13.25</v>
      </c>
      <c r="M1560" s="2951">
        <v>550164</v>
      </c>
      <c r="N1560" s="2951">
        <v>550164</v>
      </c>
      <c r="O1560" s="2952">
        <v>550164</v>
      </c>
      <c r="P1560" s="2953">
        <v>550164</v>
      </c>
      <c r="Q1560" s="2951">
        <v>550164</v>
      </c>
      <c r="R1560" s="2954">
        <v>44557</v>
      </c>
      <c r="S1560" s="2954">
        <v>44561</v>
      </c>
      <c r="T1560" s="2948"/>
      <c r="U1560" s="2948"/>
      <c r="V1560" s="2948" t="s">
        <v>1772</v>
      </c>
    </row>
    <row r="1561" spans="1:22" s="2944" customFormat="1" ht="46.8">
      <c r="A1561" s="2948">
        <v>1560</v>
      </c>
      <c r="B1561" s="2948" t="s">
        <v>635</v>
      </c>
      <c r="C1561" s="2948" t="s">
        <v>636</v>
      </c>
      <c r="D1561" s="2948" t="s">
        <v>2014</v>
      </c>
      <c r="E1561" s="2948" t="s">
        <v>729</v>
      </c>
      <c r="F1561" s="2948" t="s">
        <v>2156</v>
      </c>
      <c r="G1561" s="2948" t="s">
        <v>640</v>
      </c>
      <c r="H1561" s="2948" t="s">
        <v>2016</v>
      </c>
      <c r="I1561" s="2948" t="s">
        <v>1279</v>
      </c>
      <c r="J1561" s="2948" t="s">
        <v>643</v>
      </c>
      <c r="K1561" s="2950">
        <v>33.03</v>
      </c>
      <c r="L1561" s="2950">
        <v>13.25</v>
      </c>
      <c r="M1561" s="2951">
        <v>550164</v>
      </c>
      <c r="N1561" s="2951">
        <v>550164</v>
      </c>
      <c r="O1561" s="2952">
        <v>550164</v>
      </c>
      <c r="P1561" s="2953">
        <v>550164</v>
      </c>
      <c r="Q1561" s="2951">
        <v>550164</v>
      </c>
      <c r="R1561" s="2954">
        <v>44558</v>
      </c>
      <c r="S1561" s="2954">
        <v>44727</v>
      </c>
      <c r="T1561" s="2948"/>
      <c r="U1561" s="2948"/>
      <c r="V1561" s="2948" t="s">
        <v>2157</v>
      </c>
    </row>
    <row r="1562" spans="1:22" s="2944" customFormat="1" ht="46.8">
      <c r="A1562" s="2948">
        <v>1561</v>
      </c>
      <c r="B1562" s="2948" t="s">
        <v>635</v>
      </c>
      <c r="C1562" s="2948" t="s">
        <v>636</v>
      </c>
      <c r="D1562" s="2948" t="s">
        <v>2014</v>
      </c>
      <c r="E1562" s="2948" t="s">
        <v>729</v>
      </c>
      <c r="F1562" s="2948" t="s">
        <v>2158</v>
      </c>
      <c r="G1562" s="2948" t="s">
        <v>640</v>
      </c>
      <c r="H1562" s="2948" t="s">
        <v>2016</v>
      </c>
      <c r="I1562" s="2948" t="s">
        <v>1279</v>
      </c>
      <c r="J1562" s="2948" t="s">
        <v>643</v>
      </c>
      <c r="K1562" s="2950">
        <v>33.03</v>
      </c>
      <c r="L1562" s="2950">
        <v>13.25</v>
      </c>
      <c r="M1562" s="2951">
        <v>550164</v>
      </c>
      <c r="N1562" s="2951">
        <v>550164</v>
      </c>
      <c r="O1562" s="2952">
        <v>550164</v>
      </c>
      <c r="P1562" s="2953">
        <v>550164</v>
      </c>
      <c r="Q1562" s="2951">
        <v>550164</v>
      </c>
      <c r="R1562" s="2954">
        <v>44561</v>
      </c>
      <c r="S1562" s="2954">
        <v>44561</v>
      </c>
      <c r="T1562" s="2948"/>
      <c r="U1562" s="2948"/>
      <c r="V1562" s="2948" t="s">
        <v>1783</v>
      </c>
    </row>
    <row r="1563" spans="1:22" s="2944" customFormat="1" ht="46.8" hidden="1">
      <c r="A1563" s="2948">
        <v>1562</v>
      </c>
      <c r="B1563" s="2948" t="s">
        <v>635</v>
      </c>
      <c r="C1563" s="2948" t="s">
        <v>636</v>
      </c>
      <c r="D1563" s="2948" t="s">
        <v>2014</v>
      </c>
      <c r="E1563" s="2948" t="s">
        <v>729</v>
      </c>
      <c r="F1563" s="2948" t="s">
        <v>2159</v>
      </c>
      <c r="G1563" s="2948" t="s">
        <v>1035</v>
      </c>
      <c r="H1563" s="2948" t="s">
        <v>2021</v>
      </c>
      <c r="I1563" s="2948" t="s">
        <v>1279</v>
      </c>
      <c r="J1563" s="2948" t="s">
        <v>643</v>
      </c>
      <c r="K1563" s="2950">
        <v>26</v>
      </c>
      <c r="L1563" s="2950">
        <v>10.8</v>
      </c>
      <c r="M1563" s="2951">
        <v>500000</v>
      </c>
      <c r="N1563" s="2951">
        <v>500000</v>
      </c>
      <c r="O1563" s="2955"/>
      <c r="P1563" s="2948"/>
      <c r="Q1563" s="2951">
        <v>0</v>
      </c>
      <c r="R1563" s="2948"/>
      <c r="S1563" s="2948"/>
      <c r="T1563" s="2948"/>
      <c r="U1563" s="2948"/>
      <c r="V1563" s="2948"/>
    </row>
    <row r="1564" spans="1:22" s="2944" customFormat="1" ht="46.8">
      <c r="A1564" s="2948">
        <v>1563</v>
      </c>
      <c r="B1564" s="2948" t="s">
        <v>635</v>
      </c>
      <c r="C1564" s="2948" t="s">
        <v>636</v>
      </c>
      <c r="D1564" s="2948" t="s">
        <v>2014</v>
      </c>
      <c r="E1564" s="2948" t="s">
        <v>729</v>
      </c>
      <c r="F1564" s="2948" t="s">
        <v>2160</v>
      </c>
      <c r="G1564" s="2948" t="s">
        <v>640</v>
      </c>
      <c r="H1564" s="2948" t="s">
        <v>2016</v>
      </c>
      <c r="I1564" s="2948" t="s">
        <v>1279</v>
      </c>
      <c r="J1564" s="2948" t="s">
        <v>643</v>
      </c>
      <c r="K1564" s="2950">
        <v>33.03</v>
      </c>
      <c r="L1564" s="2950">
        <v>13.25</v>
      </c>
      <c r="M1564" s="2951">
        <v>550164</v>
      </c>
      <c r="N1564" s="2951">
        <v>550164</v>
      </c>
      <c r="O1564" s="2952">
        <v>500000</v>
      </c>
      <c r="P1564" s="2953">
        <v>500000</v>
      </c>
      <c r="Q1564" s="2951">
        <v>500000</v>
      </c>
      <c r="R1564" s="2954">
        <v>45046</v>
      </c>
      <c r="S1564" s="2954">
        <v>45046</v>
      </c>
      <c r="T1564" s="2948"/>
      <c r="U1564" s="2948"/>
      <c r="V1564" s="2948" t="s">
        <v>1858</v>
      </c>
    </row>
    <row r="1565" spans="1:22" s="2944" customFormat="1" ht="46.8">
      <c r="A1565" s="2948">
        <v>1564</v>
      </c>
      <c r="B1565" s="2948" t="s">
        <v>635</v>
      </c>
      <c r="C1565" s="2948" t="s">
        <v>636</v>
      </c>
      <c r="D1565" s="2948" t="s">
        <v>2014</v>
      </c>
      <c r="E1565" s="2948" t="s">
        <v>729</v>
      </c>
      <c r="F1565" s="2948" t="s">
        <v>2161</v>
      </c>
      <c r="G1565" s="2948" t="s">
        <v>640</v>
      </c>
      <c r="H1565" s="2948" t="s">
        <v>2016</v>
      </c>
      <c r="I1565" s="2948" t="s">
        <v>1279</v>
      </c>
      <c r="J1565" s="2948" t="s">
        <v>643</v>
      </c>
      <c r="K1565" s="2950">
        <v>33.03</v>
      </c>
      <c r="L1565" s="2950">
        <v>13.25</v>
      </c>
      <c r="M1565" s="2951">
        <v>550164</v>
      </c>
      <c r="N1565" s="2951">
        <v>550164</v>
      </c>
      <c r="O1565" s="2952">
        <v>550164</v>
      </c>
      <c r="P1565" s="2953">
        <v>550164</v>
      </c>
      <c r="Q1565" s="2951">
        <v>550164</v>
      </c>
      <c r="R1565" s="2954">
        <v>44554</v>
      </c>
      <c r="S1565" s="2954">
        <v>44561</v>
      </c>
      <c r="T1565" s="2948"/>
      <c r="U1565" s="2948"/>
      <c r="V1565" s="2948" t="s">
        <v>1842</v>
      </c>
    </row>
    <row r="1566" spans="1:22" s="2944" customFormat="1" ht="46.8">
      <c r="A1566" s="2948">
        <v>1565</v>
      </c>
      <c r="B1566" s="2948" t="s">
        <v>635</v>
      </c>
      <c r="C1566" s="2948" t="s">
        <v>636</v>
      </c>
      <c r="D1566" s="2948" t="s">
        <v>2014</v>
      </c>
      <c r="E1566" s="2948" t="s">
        <v>729</v>
      </c>
      <c r="F1566" s="2948" t="s">
        <v>2162</v>
      </c>
      <c r="G1566" s="2948" t="s">
        <v>640</v>
      </c>
      <c r="H1566" s="2948" t="s">
        <v>2016</v>
      </c>
      <c r="I1566" s="2948" t="s">
        <v>1279</v>
      </c>
      <c r="J1566" s="2948" t="s">
        <v>643</v>
      </c>
      <c r="K1566" s="2950">
        <v>33.03</v>
      </c>
      <c r="L1566" s="2950">
        <v>13.25</v>
      </c>
      <c r="M1566" s="2951">
        <v>550164</v>
      </c>
      <c r="N1566" s="2951">
        <v>550164</v>
      </c>
      <c r="O1566" s="2952">
        <v>550164</v>
      </c>
      <c r="P1566" s="2953">
        <v>550164</v>
      </c>
      <c r="Q1566" s="2951">
        <v>550164</v>
      </c>
      <c r="R1566" s="2954">
        <v>44558</v>
      </c>
      <c r="S1566" s="2954">
        <v>44561</v>
      </c>
      <c r="T1566" s="2948"/>
      <c r="U1566" s="2948"/>
      <c r="V1566" s="2948" t="s">
        <v>1780</v>
      </c>
    </row>
    <row r="1567" spans="1:22" s="2944" customFormat="1" ht="46.8">
      <c r="A1567" s="2948">
        <v>1566</v>
      </c>
      <c r="B1567" s="2948" t="s">
        <v>635</v>
      </c>
      <c r="C1567" s="2948" t="s">
        <v>636</v>
      </c>
      <c r="D1567" s="2948" t="s">
        <v>2014</v>
      </c>
      <c r="E1567" s="2948" t="s">
        <v>729</v>
      </c>
      <c r="F1567" s="2948" t="s">
        <v>2163</v>
      </c>
      <c r="G1567" s="2948" t="s">
        <v>640</v>
      </c>
      <c r="H1567" s="2948" t="s">
        <v>2016</v>
      </c>
      <c r="I1567" s="2948" t="s">
        <v>1279</v>
      </c>
      <c r="J1567" s="2948" t="s">
        <v>643</v>
      </c>
      <c r="K1567" s="2950">
        <v>33.03</v>
      </c>
      <c r="L1567" s="2950">
        <v>13.25</v>
      </c>
      <c r="M1567" s="2951">
        <v>550164</v>
      </c>
      <c r="N1567" s="2951">
        <v>550164</v>
      </c>
      <c r="O1567" s="2952">
        <v>550164</v>
      </c>
      <c r="P1567" s="2953">
        <v>550164</v>
      </c>
      <c r="Q1567" s="2951">
        <v>550164</v>
      </c>
      <c r="R1567" s="2954">
        <v>44524</v>
      </c>
      <c r="S1567" s="2954">
        <v>44561</v>
      </c>
      <c r="T1567" s="2948"/>
      <c r="U1567" s="2948"/>
      <c r="V1567" s="2948" t="s">
        <v>1834</v>
      </c>
    </row>
    <row r="1568" spans="1:22" s="2944" customFormat="1" ht="46.8">
      <c r="A1568" s="2948">
        <v>1567</v>
      </c>
      <c r="B1568" s="2948" t="s">
        <v>635</v>
      </c>
      <c r="C1568" s="2948" t="s">
        <v>636</v>
      </c>
      <c r="D1568" s="2948" t="s">
        <v>2014</v>
      </c>
      <c r="E1568" s="2948" t="s">
        <v>729</v>
      </c>
      <c r="F1568" s="2948" t="s">
        <v>2164</v>
      </c>
      <c r="G1568" s="2948" t="s">
        <v>640</v>
      </c>
      <c r="H1568" s="2948" t="s">
        <v>2016</v>
      </c>
      <c r="I1568" s="2948" t="s">
        <v>1279</v>
      </c>
      <c r="J1568" s="2948" t="s">
        <v>643</v>
      </c>
      <c r="K1568" s="2950">
        <v>33.03</v>
      </c>
      <c r="L1568" s="2950">
        <v>13.25</v>
      </c>
      <c r="M1568" s="2951">
        <v>550164</v>
      </c>
      <c r="N1568" s="2951">
        <v>550164</v>
      </c>
      <c r="O1568" s="2952">
        <v>500000</v>
      </c>
      <c r="P1568" s="2953">
        <v>500000</v>
      </c>
      <c r="Q1568" s="2951">
        <v>500000</v>
      </c>
      <c r="R1568" s="2954">
        <v>45044</v>
      </c>
      <c r="S1568" s="2954">
        <v>45044</v>
      </c>
      <c r="T1568" s="2948"/>
      <c r="U1568" s="2948"/>
      <c r="V1568" s="2948" t="s">
        <v>1850</v>
      </c>
    </row>
    <row r="1569" spans="1:22" s="2944" customFormat="1" ht="46.8" hidden="1">
      <c r="A1569" s="2948">
        <v>1568</v>
      </c>
      <c r="B1569" s="2948" t="s">
        <v>635</v>
      </c>
      <c r="C1569" s="2948" t="s">
        <v>636</v>
      </c>
      <c r="D1569" s="2948" t="s">
        <v>2014</v>
      </c>
      <c r="E1569" s="2948" t="s">
        <v>729</v>
      </c>
      <c r="F1569" s="2948" t="s">
        <v>2165</v>
      </c>
      <c r="G1569" s="2948" t="s">
        <v>1035</v>
      </c>
      <c r="H1569" s="2948" t="s">
        <v>2016</v>
      </c>
      <c r="I1569" s="2948" t="s">
        <v>1279</v>
      </c>
      <c r="J1569" s="2948" t="s">
        <v>643</v>
      </c>
      <c r="K1569" s="2950">
        <v>33.03</v>
      </c>
      <c r="L1569" s="2950">
        <v>13.25</v>
      </c>
      <c r="M1569" s="2951">
        <v>500000</v>
      </c>
      <c r="N1569" s="2951">
        <v>500000</v>
      </c>
      <c r="O1569" s="2955"/>
      <c r="P1569" s="2948"/>
      <c r="Q1569" s="2951">
        <v>0</v>
      </c>
      <c r="R1569" s="2948"/>
      <c r="S1569" s="2948"/>
      <c r="T1569" s="2948"/>
      <c r="U1569" s="2948"/>
      <c r="V1569" s="2948"/>
    </row>
    <row r="1570" spans="1:22" s="2944" customFormat="1" ht="46.8" hidden="1">
      <c r="A1570" s="2948">
        <v>1569</v>
      </c>
      <c r="B1570" s="2948" t="s">
        <v>635</v>
      </c>
      <c r="C1570" s="2948" t="s">
        <v>636</v>
      </c>
      <c r="D1570" s="2948" t="s">
        <v>2014</v>
      </c>
      <c r="E1570" s="2948" t="s">
        <v>729</v>
      </c>
      <c r="F1570" s="2948" t="s">
        <v>2166</v>
      </c>
      <c r="G1570" s="2948" t="s">
        <v>1035</v>
      </c>
      <c r="H1570" s="2948" t="s">
        <v>2016</v>
      </c>
      <c r="I1570" s="2948" t="s">
        <v>1279</v>
      </c>
      <c r="J1570" s="2948" t="s">
        <v>643</v>
      </c>
      <c r="K1570" s="2950">
        <v>33.03</v>
      </c>
      <c r="L1570" s="2950">
        <v>13.25</v>
      </c>
      <c r="M1570" s="2951">
        <v>500000</v>
      </c>
      <c r="N1570" s="2951">
        <v>500000</v>
      </c>
      <c r="O1570" s="2955"/>
      <c r="P1570" s="2948"/>
      <c r="Q1570" s="2951">
        <v>0</v>
      </c>
      <c r="R1570" s="2948"/>
      <c r="S1570" s="2948"/>
      <c r="T1570" s="2948"/>
      <c r="U1570" s="2948"/>
      <c r="V1570" s="2948"/>
    </row>
    <row r="1571" spans="1:22" s="2944" customFormat="1" ht="46.8" hidden="1">
      <c r="A1571" s="2948">
        <v>1570</v>
      </c>
      <c r="B1571" s="2948" t="s">
        <v>635</v>
      </c>
      <c r="C1571" s="2948" t="s">
        <v>636</v>
      </c>
      <c r="D1571" s="2948" t="s">
        <v>2014</v>
      </c>
      <c r="E1571" s="2948" t="s">
        <v>729</v>
      </c>
      <c r="F1571" s="2948" t="s">
        <v>2167</v>
      </c>
      <c r="G1571" s="2948" t="s">
        <v>1035</v>
      </c>
      <c r="H1571" s="2948" t="s">
        <v>2016</v>
      </c>
      <c r="I1571" s="2948" t="s">
        <v>1279</v>
      </c>
      <c r="J1571" s="2948" t="s">
        <v>643</v>
      </c>
      <c r="K1571" s="2950">
        <v>33.03</v>
      </c>
      <c r="L1571" s="2950">
        <v>13.25</v>
      </c>
      <c r="M1571" s="2951">
        <v>500000</v>
      </c>
      <c r="N1571" s="2951">
        <v>500000</v>
      </c>
      <c r="O1571" s="2955"/>
      <c r="P1571" s="2948"/>
      <c r="Q1571" s="2951">
        <v>0</v>
      </c>
      <c r="R1571" s="2948"/>
      <c r="S1571" s="2948"/>
      <c r="T1571" s="2948"/>
      <c r="U1571" s="2948"/>
      <c r="V1571" s="2948"/>
    </row>
    <row r="1572" spans="1:22" s="2944" customFormat="1" ht="46.8" hidden="1">
      <c r="A1572" s="2948">
        <v>1571</v>
      </c>
      <c r="B1572" s="2948" t="s">
        <v>635</v>
      </c>
      <c r="C1572" s="2948" t="s">
        <v>636</v>
      </c>
      <c r="D1572" s="2948" t="s">
        <v>2014</v>
      </c>
      <c r="E1572" s="2948" t="s">
        <v>729</v>
      </c>
      <c r="F1572" s="2948" t="s">
        <v>2168</v>
      </c>
      <c r="G1572" s="2948" t="s">
        <v>1035</v>
      </c>
      <c r="H1572" s="2948" t="s">
        <v>2016</v>
      </c>
      <c r="I1572" s="2948" t="s">
        <v>1279</v>
      </c>
      <c r="J1572" s="2948" t="s">
        <v>643</v>
      </c>
      <c r="K1572" s="2950">
        <v>33.03</v>
      </c>
      <c r="L1572" s="2950">
        <v>13.25</v>
      </c>
      <c r="M1572" s="2951">
        <v>500000</v>
      </c>
      <c r="N1572" s="2951">
        <v>500000</v>
      </c>
      <c r="O1572" s="2955"/>
      <c r="P1572" s="2948"/>
      <c r="Q1572" s="2951">
        <v>0</v>
      </c>
      <c r="R1572" s="2948"/>
      <c r="S1572" s="2948"/>
      <c r="T1572" s="2948"/>
      <c r="U1572" s="2948"/>
      <c r="V1572" s="2948"/>
    </row>
    <row r="1573" spans="1:22" s="2944" customFormat="1" ht="46.8" hidden="1">
      <c r="A1573" s="2948">
        <v>1572</v>
      </c>
      <c r="B1573" s="2948" t="s">
        <v>635</v>
      </c>
      <c r="C1573" s="2948" t="s">
        <v>636</v>
      </c>
      <c r="D1573" s="2948" t="s">
        <v>2014</v>
      </c>
      <c r="E1573" s="2948" t="s">
        <v>729</v>
      </c>
      <c r="F1573" s="2948" t="s">
        <v>2169</v>
      </c>
      <c r="G1573" s="2948" t="s">
        <v>1035</v>
      </c>
      <c r="H1573" s="2948" t="s">
        <v>2016</v>
      </c>
      <c r="I1573" s="2948" t="s">
        <v>1279</v>
      </c>
      <c r="J1573" s="2948" t="s">
        <v>643</v>
      </c>
      <c r="K1573" s="2950">
        <v>33.03</v>
      </c>
      <c r="L1573" s="2950">
        <v>13.25</v>
      </c>
      <c r="M1573" s="2951">
        <v>500000</v>
      </c>
      <c r="N1573" s="2951">
        <v>500000</v>
      </c>
      <c r="O1573" s="2955"/>
      <c r="P1573" s="2948"/>
      <c r="Q1573" s="2951">
        <v>0</v>
      </c>
      <c r="R1573" s="2948"/>
      <c r="S1573" s="2948"/>
      <c r="T1573" s="2948"/>
      <c r="U1573" s="2948"/>
      <c r="V1573" s="2948"/>
    </row>
    <row r="1574" spans="1:22" s="2944" customFormat="1" ht="46.8">
      <c r="A1574" s="2948">
        <v>1573</v>
      </c>
      <c r="B1574" s="2948" t="s">
        <v>635</v>
      </c>
      <c r="C1574" s="2948" t="s">
        <v>636</v>
      </c>
      <c r="D1574" s="2948" t="s">
        <v>2014</v>
      </c>
      <c r="E1574" s="2948" t="s">
        <v>729</v>
      </c>
      <c r="F1574" s="2948" t="s">
        <v>2170</v>
      </c>
      <c r="G1574" s="2948" t="s">
        <v>640</v>
      </c>
      <c r="H1574" s="2948" t="s">
        <v>2016</v>
      </c>
      <c r="I1574" s="2948" t="s">
        <v>1279</v>
      </c>
      <c r="J1574" s="2948" t="s">
        <v>643</v>
      </c>
      <c r="K1574" s="2950">
        <v>33.03</v>
      </c>
      <c r="L1574" s="2950">
        <v>13.25</v>
      </c>
      <c r="M1574" s="2951">
        <v>500000</v>
      </c>
      <c r="N1574" s="2951">
        <v>500000</v>
      </c>
      <c r="O1574" s="2952">
        <v>500000</v>
      </c>
      <c r="P1574" s="2953">
        <v>500000</v>
      </c>
      <c r="Q1574" s="2951">
        <v>500000</v>
      </c>
      <c r="R1574" s="2954">
        <v>45197</v>
      </c>
      <c r="S1574" s="2954">
        <v>45197</v>
      </c>
      <c r="T1574" s="2948"/>
      <c r="U1574" s="2948"/>
      <c r="V1574" s="2948" t="s">
        <v>1289</v>
      </c>
    </row>
    <row r="1575" spans="1:22" s="2944" customFormat="1" ht="46.8">
      <c r="A1575" s="2948">
        <v>1574</v>
      </c>
      <c r="B1575" s="2948" t="s">
        <v>635</v>
      </c>
      <c r="C1575" s="2948" t="s">
        <v>636</v>
      </c>
      <c r="D1575" s="2948" t="s">
        <v>2014</v>
      </c>
      <c r="E1575" s="2948" t="s">
        <v>729</v>
      </c>
      <c r="F1575" s="2948" t="s">
        <v>2171</v>
      </c>
      <c r="G1575" s="2948" t="s">
        <v>640</v>
      </c>
      <c r="H1575" s="2948" t="s">
        <v>2016</v>
      </c>
      <c r="I1575" s="2948" t="s">
        <v>1279</v>
      </c>
      <c r="J1575" s="2948" t="s">
        <v>643</v>
      </c>
      <c r="K1575" s="2950">
        <v>33.03</v>
      </c>
      <c r="L1575" s="2950">
        <v>13.25</v>
      </c>
      <c r="M1575" s="2951">
        <v>500000</v>
      </c>
      <c r="N1575" s="2951">
        <v>500000</v>
      </c>
      <c r="O1575" s="2952">
        <v>500000</v>
      </c>
      <c r="P1575" s="2953">
        <v>500000</v>
      </c>
      <c r="Q1575" s="2951">
        <v>500000</v>
      </c>
      <c r="R1575" s="2954">
        <v>45197</v>
      </c>
      <c r="S1575" s="2954">
        <v>45197</v>
      </c>
      <c r="T1575" s="2948"/>
      <c r="U1575" s="2948"/>
      <c r="V1575" s="2948" t="s">
        <v>1289</v>
      </c>
    </row>
    <row r="1576" spans="1:22" s="2944" customFormat="1" ht="46.8">
      <c r="A1576" s="2948">
        <v>1575</v>
      </c>
      <c r="B1576" s="2948" t="s">
        <v>635</v>
      </c>
      <c r="C1576" s="2948" t="s">
        <v>636</v>
      </c>
      <c r="D1576" s="2948" t="s">
        <v>2014</v>
      </c>
      <c r="E1576" s="2948" t="s">
        <v>729</v>
      </c>
      <c r="F1576" s="2948" t="s">
        <v>2172</v>
      </c>
      <c r="G1576" s="2948" t="s">
        <v>640</v>
      </c>
      <c r="H1576" s="2948" t="s">
        <v>2016</v>
      </c>
      <c r="I1576" s="2948" t="s">
        <v>1279</v>
      </c>
      <c r="J1576" s="2948" t="s">
        <v>643</v>
      </c>
      <c r="K1576" s="2950">
        <v>33.03</v>
      </c>
      <c r="L1576" s="2950">
        <v>13.25</v>
      </c>
      <c r="M1576" s="2951">
        <v>500000</v>
      </c>
      <c r="N1576" s="2951">
        <v>500000</v>
      </c>
      <c r="O1576" s="2952">
        <v>500000</v>
      </c>
      <c r="P1576" s="2953">
        <v>500000</v>
      </c>
      <c r="Q1576" s="2951">
        <v>500000</v>
      </c>
      <c r="R1576" s="2954">
        <v>45197</v>
      </c>
      <c r="S1576" s="2954">
        <v>45197</v>
      </c>
      <c r="T1576" s="2948"/>
      <c r="U1576" s="2948"/>
      <c r="V1576" s="2948" t="s">
        <v>1289</v>
      </c>
    </row>
    <row r="1577" spans="1:22" s="2944" customFormat="1" ht="46.8">
      <c r="A1577" s="2948">
        <v>1576</v>
      </c>
      <c r="B1577" s="2948" t="s">
        <v>635</v>
      </c>
      <c r="C1577" s="2948" t="s">
        <v>636</v>
      </c>
      <c r="D1577" s="2948" t="s">
        <v>2014</v>
      </c>
      <c r="E1577" s="2948" t="s">
        <v>729</v>
      </c>
      <c r="F1577" s="2948" t="s">
        <v>2173</v>
      </c>
      <c r="G1577" s="2948" t="s">
        <v>640</v>
      </c>
      <c r="H1577" s="2948" t="s">
        <v>2016</v>
      </c>
      <c r="I1577" s="2948" t="s">
        <v>1279</v>
      </c>
      <c r="J1577" s="2948" t="s">
        <v>643</v>
      </c>
      <c r="K1577" s="2950">
        <v>33.03</v>
      </c>
      <c r="L1577" s="2950">
        <v>13.25</v>
      </c>
      <c r="M1577" s="2951">
        <v>550164</v>
      </c>
      <c r="N1577" s="2951">
        <v>550164</v>
      </c>
      <c r="O1577" s="2952">
        <v>500000</v>
      </c>
      <c r="P1577" s="2953">
        <v>500000</v>
      </c>
      <c r="Q1577" s="2951">
        <v>500000</v>
      </c>
      <c r="R1577" s="2954">
        <v>45107</v>
      </c>
      <c r="S1577" s="2954">
        <v>45107</v>
      </c>
      <c r="T1577" s="2948"/>
      <c r="U1577" s="2948"/>
      <c r="V1577" s="2948" t="s">
        <v>1390</v>
      </c>
    </row>
    <row r="1578" spans="1:22" s="2944" customFormat="1" ht="46.8">
      <c r="A1578" s="2948">
        <v>1577</v>
      </c>
      <c r="B1578" s="2948" t="s">
        <v>635</v>
      </c>
      <c r="C1578" s="2948" t="s">
        <v>636</v>
      </c>
      <c r="D1578" s="2948" t="s">
        <v>2014</v>
      </c>
      <c r="E1578" s="2948" t="s">
        <v>729</v>
      </c>
      <c r="F1578" s="2948" t="s">
        <v>2174</v>
      </c>
      <c r="G1578" s="2948" t="s">
        <v>640</v>
      </c>
      <c r="H1578" s="2948" t="s">
        <v>2016</v>
      </c>
      <c r="I1578" s="2948" t="s">
        <v>1279</v>
      </c>
      <c r="J1578" s="2948" t="s">
        <v>643</v>
      </c>
      <c r="K1578" s="2950">
        <v>33.03</v>
      </c>
      <c r="L1578" s="2950">
        <v>13.25</v>
      </c>
      <c r="M1578" s="2951">
        <v>500000</v>
      </c>
      <c r="N1578" s="2951">
        <v>500000</v>
      </c>
      <c r="O1578" s="2952">
        <v>500000</v>
      </c>
      <c r="P1578" s="2953">
        <v>500000</v>
      </c>
      <c r="Q1578" s="2951">
        <v>500000</v>
      </c>
      <c r="R1578" s="2954">
        <v>45287</v>
      </c>
      <c r="S1578" s="2954">
        <v>45287</v>
      </c>
      <c r="T1578" s="2948"/>
      <c r="U1578" s="2948"/>
      <c r="V1578" s="2948" t="s">
        <v>1285</v>
      </c>
    </row>
    <row r="1579" spans="1:22" s="2944" customFormat="1" ht="46.8">
      <c r="A1579" s="2948">
        <v>1578</v>
      </c>
      <c r="B1579" s="2948" t="s">
        <v>635</v>
      </c>
      <c r="C1579" s="2948" t="s">
        <v>636</v>
      </c>
      <c r="D1579" s="2948" t="s">
        <v>2014</v>
      </c>
      <c r="E1579" s="2948" t="s">
        <v>729</v>
      </c>
      <c r="F1579" s="2948" t="s">
        <v>2175</v>
      </c>
      <c r="G1579" s="2948" t="s">
        <v>640</v>
      </c>
      <c r="H1579" s="2948" t="s">
        <v>2016</v>
      </c>
      <c r="I1579" s="2948" t="s">
        <v>1279</v>
      </c>
      <c r="J1579" s="2948" t="s">
        <v>643</v>
      </c>
      <c r="K1579" s="2950">
        <v>33.03</v>
      </c>
      <c r="L1579" s="2950">
        <v>13.25</v>
      </c>
      <c r="M1579" s="2951">
        <v>500000</v>
      </c>
      <c r="N1579" s="2951">
        <v>500000</v>
      </c>
      <c r="O1579" s="2952">
        <v>500000</v>
      </c>
      <c r="P1579" s="2953">
        <v>500000</v>
      </c>
      <c r="Q1579" s="2951">
        <v>500000</v>
      </c>
      <c r="R1579" s="2954">
        <v>45197</v>
      </c>
      <c r="S1579" s="2954">
        <v>45197</v>
      </c>
      <c r="T1579" s="2948"/>
      <c r="U1579" s="2948"/>
      <c r="V1579" s="2948" t="s">
        <v>2176</v>
      </c>
    </row>
    <row r="1580" spans="1:22" s="2944" customFormat="1" ht="46.8">
      <c r="A1580" s="2948">
        <v>1579</v>
      </c>
      <c r="B1580" s="2948" t="s">
        <v>635</v>
      </c>
      <c r="C1580" s="2948" t="s">
        <v>636</v>
      </c>
      <c r="D1580" s="2948" t="s">
        <v>2014</v>
      </c>
      <c r="E1580" s="2948" t="s">
        <v>729</v>
      </c>
      <c r="F1580" s="2948" t="s">
        <v>2177</v>
      </c>
      <c r="G1580" s="2948" t="s">
        <v>640</v>
      </c>
      <c r="H1580" s="2948" t="s">
        <v>2016</v>
      </c>
      <c r="I1580" s="2948" t="s">
        <v>1279</v>
      </c>
      <c r="J1580" s="2948" t="s">
        <v>643</v>
      </c>
      <c r="K1580" s="2950">
        <v>33.03</v>
      </c>
      <c r="L1580" s="2950">
        <v>13.25</v>
      </c>
      <c r="M1580" s="2951">
        <v>500000</v>
      </c>
      <c r="N1580" s="2951">
        <v>500000</v>
      </c>
      <c r="O1580" s="2952">
        <v>500000</v>
      </c>
      <c r="P1580" s="2953">
        <v>500000</v>
      </c>
      <c r="Q1580" s="2951">
        <v>500000</v>
      </c>
      <c r="R1580" s="2954">
        <v>45287</v>
      </c>
      <c r="S1580" s="2954">
        <v>45287</v>
      </c>
      <c r="T1580" s="2948"/>
      <c r="U1580" s="2948"/>
      <c r="V1580" s="2948" t="s">
        <v>2178</v>
      </c>
    </row>
    <row r="1581" spans="1:22" s="2944" customFormat="1" ht="46.8">
      <c r="A1581" s="2948">
        <v>1580</v>
      </c>
      <c r="B1581" s="2948" t="s">
        <v>635</v>
      </c>
      <c r="C1581" s="2948" t="s">
        <v>636</v>
      </c>
      <c r="D1581" s="2948" t="s">
        <v>2014</v>
      </c>
      <c r="E1581" s="2948" t="s">
        <v>729</v>
      </c>
      <c r="F1581" s="2948" t="s">
        <v>2179</v>
      </c>
      <c r="G1581" s="2948" t="s">
        <v>640</v>
      </c>
      <c r="H1581" s="2948" t="s">
        <v>2016</v>
      </c>
      <c r="I1581" s="2948" t="s">
        <v>1279</v>
      </c>
      <c r="J1581" s="2948" t="s">
        <v>643</v>
      </c>
      <c r="K1581" s="2950">
        <v>33.03</v>
      </c>
      <c r="L1581" s="2950">
        <v>13.25</v>
      </c>
      <c r="M1581" s="2951">
        <v>550164</v>
      </c>
      <c r="N1581" s="2951">
        <v>550164</v>
      </c>
      <c r="O1581" s="2952">
        <v>500000</v>
      </c>
      <c r="P1581" s="2953">
        <v>500000</v>
      </c>
      <c r="Q1581" s="2951">
        <v>500000</v>
      </c>
      <c r="R1581" s="2954">
        <v>45107</v>
      </c>
      <c r="S1581" s="2954">
        <v>45107</v>
      </c>
      <c r="T1581" s="2948"/>
      <c r="U1581" s="2948"/>
      <c r="V1581" s="2948" t="s">
        <v>2180</v>
      </c>
    </row>
    <row r="1582" spans="1:22" s="2944" customFormat="1" ht="46.8">
      <c r="A1582" s="2948">
        <v>1581</v>
      </c>
      <c r="B1582" s="2948" t="s">
        <v>635</v>
      </c>
      <c r="C1582" s="2948" t="s">
        <v>636</v>
      </c>
      <c r="D1582" s="2948" t="s">
        <v>2014</v>
      </c>
      <c r="E1582" s="2948" t="s">
        <v>729</v>
      </c>
      <c r="F1582" s="2948" t="s">
        <v>2181</v>
      </c>
      <c r="G1582" s="2948" t="s">
        <v>640</v>
      </c>
      <c r="H1582" s="2948" t="s">
        <v>2016</v>
      </c>
      <c r="I1582" s="2948" t="s">
        <v>1279</v>
      </c>
      <c r="J1582" s="2948" t="s">
        <v>643</v>
      </c>
      <c r="K1582" s="2950">
        <v>33.03</v>
      </c>
      <c r="L1582" s="2950">
        <v>13.25</v>
      </c>
      <c r="M1582" s="2951">
        <v>500000</v>
      </c>
      <c r="N1582" s="2951">
        <v>500000</v>
      </c>
      <c r="O1582" s="2952">
        <v>500000</v>
      </c>
      <c r="P1582" s="2953">
        <v>500000</v>
      </c>
      <c r="Q1582" s="2951">
        <v>500000</v>
      </c>
      <c r="R1582" s="2954">
        <v>45287</v>
      </c>
      <c r="S1582" s="2954">
        <v>45287</v>
      </c>
      <c r="T1582" s="2948"/>
      <c r="U1582" s="2948"/>
      <c r="V1582" s="2948" t="s">
        <v>1285</v>
      </c>
    </row>
    <row r="1583" spans="1:22" s="2944" customFormat="1" ht="46.8">
      <c r="A1583" s="2948">
        <v>1582</v>
      </c>
      <c r="B1583" s="2948" t="s">
        <v>635</v>
      </c>
      <c r="C1583" s="2948" t="s">
        <v>636</v>
      </c>
      <c r="D1583" s="2948" t="s">
        <v>2014</v>
      </c>
      <c r="E1583" s="2948" t="s">
        <v>729</v>
      </c>
      <c r="F1583" s="2948" t="s">
        <v>2182</v>
      </c>
      <c r="G1583" s="2948" t="s">
        <v>640</v>
      </c>
      <c r="H1583" s="2948" t="s">
        <v>2016</v>
      </c>
      <c r="I1583" s="2948" t="s">
        <v>1279</v>
      </c>
      <c r="J1583" s="2948" t="s">
        <v>643</v>
      </c>
      <c r="K1583" s="2950">
        <v>33.03</v>
      </c>
      <c r="L1583" s="2950">
        <v>13.25</v>
      </c>
      <c r="M1583" s="2951">
        <v>550164</v>
      </c>
      <c r="N1583" s="2951">
        <v>550164</v>
      </c>
      <c r="O1583" s="2952">
        <v>500000</v>
      </c>
      <c r="P1583" s="2953">
        <v>500000</v>
      </c>
      <c r="Q1583" s="2951">
        <v>500000</v>
      </c>
      <c r="R1583" s="2954">
        <v>45044</v>
      </c>
      <c r="S1583" s="2954">
        <v>45044</v>
      </c>
      <c r="T1583" s="2948"/>
      <c r="U1583" s="2948"/>
      <c r="V1583" s="2948" t="s">
        <v>1721</v>
      </c>
    </row>
    <row r="1584" spans="1:22" s="2944" customFormat="1" ht="46.8" hidden="1">
      <c r="A1584" s="2948">
        <v>1583</v>
      </c>
      <c r="B1584" s="2948" t="s">
        <v>635</v>
      </c>
      <c r="C1584" s="2948" t="s">
        <v>636</v>
      </c>
      <c r="D1584" s="2948" t="s">
        <v>2014</v>
      </c>
      <c r="E1584" s="2948" t="s">
        <v>729</v>
      </c>
      <c r="F1584" s="2948" t="s">
        <v>2183</v>
      </c>
      <c r="G1584" s="2948" t="s">
        <v>1035</v>
      </c>
      <c r="H1584" s="2948" t="s">
        <v>2016</v>
      </c>
      <c r="I1584" s="2948" t="s">
        <v>1279</v>
      </c>
      <c r="J1584" s="2948" t="s">
        <v>643</v>
      </c>
      <c r="K1584" s="2950">
        <v>33.03</v>
      </c>
      <c r="L1584" s="2950">
        <v>13.25</v>
      </c>
      <c r="M1584" s="2951">
        <v>500000</v>
      </c>
      <c r="N1584" s="2951">
        <v>500000</v>
      </c>
      <c r="O1584" s="2955"/>
      <c r="P1584" s="2948"/>
      <c r="Q1584" s="2951">
        <v>0</v>
      </c>
      <c r="R1584" s="2948"/>
      <c r="S1584" s="2948"/>
      <c r="T1584" s="2948"/>
      <c r="U1584" s="2948"/>
      <c r="V1584" s="2948"/>
    </row>
    <row r="1585" spans="1:22" s="2944" customFormat="1" ht="46.8" hidden="1">
      <c r="A1585" s="2948">
        <v>1584</v>
      </c>
      <c r="B1585" s="2948" t="s">
        <v>635</v>
      </c>
      <c r="C1585" s="2948" t="s">
        <v>636</v>
      </c>
      <c r="D1585" s="2948" t="s">
        <v>2014</v>
      </c>
      <c r="E1585" s="2948" t="s">
        <v>729</v>
      </c>
      <c r="F1585" s="2948" t="s">
        <v>2184</v>
      </c>
      <c r="G1585" s="2948" t="s">
        <v>1035</v>
      </c>
      <c r="H1585" s="2948" t="s">
        <v>2016</v>
      </c>
      <c r="I1585" s="2948" t="s">
        <v>1279</v>
      </c>
      <c r="J1585" s="2948" t="s">
        <v>643</v>
      </c>
      <c r="K1585" s="2950">
        <v>33.03</v>
      </c>
      <c r="L1585" s="2950">
        <v>13.25</v>
      </c>
      <c r="M1585" s="2951">
        <v>500000</v>
      </c>
      <c r="N1585" s="2951">
        <v>500000</v>
      </c>
      <c r="O1585" s="2955"/>
      <c r="P1585" s="2948"/>
      <c r="Q1585" s="2951">
        <v>0</v>
      </c>
      <c r="R1585" s="2948"/>
      <c r="S1585" s="2948"/>
      <c r="T1585" s="2948"/>
      <c r="U1585" s="2948"/>
      <c r="V1585" s="2948"/>
    </row>
    <row r="1586" spans="1:22" s="2944" customFormat="1" ht="46.8">
      <c r="A1586" s="2948">
        <v>1585</v>
      </c>
      <c r="B1586" s="2948" t="s">
        <v>635</v>
      </c>
      <c r="C1586" s="2948" t="s">
        <v>636</v>
      </c>
      <c r="D1586" s="2948" t="s">
        <v>2014</v>
      </c>
      <c r="E1586" s="2948" t="s">
        <v>729</v>
      </c>
      <c r="F1586" s="2948" t="s">
        <v>2185</v>
      </c>
      <c r="G1586" s="2948" t="s">
        <v>640</v>
      </c>
      <c r="H1586" s="2948" t="s">
        <v>2016</v>
      </c>
      <c r="I1586" s="2948" t="s">
        <v>1279</v>
      </c>
      <c r="J1586" s="2948" t="s">
        <v>643</v>
      </c>
      <c r="K1586" s="2950">
        <v>33.03</v>
      </c>
      <c r="L1586" s="2950">
        <v>13.25</v>
      </c>
      <c r="M1586" s="2951">
        <v>500000</v>
      </c>
      <c r="N1586" s="2951">
        <v>500000</v>
      </c>
      <c r="O1586" s="2952">
        <v>500000</v>
      </c>
      <c r="P1586" s="2953">
        <v>500000</v>
      </c>
      <c r="Q1586" s="2951">
        <v>500000</v>
      </c>
      <c r="R1586" s="2954">
        <v>45197</v>
      </c>
      <c r="S1586" s="2954">
        <v>45197</v>
      </c>
      <c r="T1586" s="2948"/>
      <c r="U1586" s="2948"/>
      <c r="V1586" s="2948" t="s">
        <v>1378</v>
      </c>
    </row>
    <row r="1587" spans="1:22" s="2944" customFormat="1" ht="46.8" hidden="1">
      <c r="A1587" s="2948">
        <v>1586</v>
      </c>
      <c r="B1587" s="2948" t="s">
        <v>635</v>
      </c>
      <c r="C1587" s="2948" t="s">
        <v>636</v>
      </c>
      <c r="D1587" s="2948" t="s">
        <v>2014</v>
      </c>
      <c r="E1587" s="2948" t="s">
        <v>729</v>
      </c>
      <c r="F1587" s="2948" t="s">
        <v>2186</v>
      </c>
      <c r="G1587" s="2948" t="s">
        <v>1035</v>
      </c>
      <c r="H1587" s="2948" t="s">
        <v>2016</v>
      </c>
      <c r="I1587" s="2948" t="s">
        <v>1279</v>
      </c>
      <c r="J1587" s="2948" t="s">
        <v>643</v>
      </c>
      <c r="K1587" s="2950">
        <v>33.03</v>
      </c>
      <c r="L1587" s="2950">
        <v>13.25</v>
      </c>
      <c r="M1587" s="2951">
        <v>500000</v>
      </c>
      <c r="N1587" s="2951">
        <v>500000</v>
      </c>
      <c r="O1587" s="2955"/>
      <c r="P1587" s="2948"/>
      <c r="Q1587" s="2951">
        <v>0</v>
      </c>
      <c r="R1587" s="2948"/>
      <c r="S1587" s="2948"/>
      <c r="T1587" s="2948"/>
      <c r="U1587" s="2948"/>
      <c r="V1587" s="2948"/>
    </row>
    <row r="1588" spans="1:22" s="2944" customFormat="1" ht="46.8">
      <c r="A1588" s="2948">
        <v>1587</v>
      </c>
      <c r="B1588" s="2948" t="s">
        <v>635</v>
      </c>
      <c r="C1588" s="2948" t="s">
        <v>636</v>
      </c>
      <c r="D1588" s="2948" t="s">
        <v>2014</v>
      </c>
      <c r="E1588" s="2948" t="s">
        <v>729</v>
      </c>
      <c r="F1588" s="2948" t="s">
        <v>2187</v>
      </c>
      <c r="G1588" s="2948" t="s">
        <v>640</v>
      </c>
      <c r="H1588" s="2948" t="s">
        <v>2016</v>
      </c>
      <c r="I1588" s="2948" t="s">
        <v>1279</v>
      </c>
      <c r="J1588" s="2948" t="s">
        <v>643</v>
      </c>
      <c r="K1588" s="2950">
        <v>33.03</v>
      </c>
      <c r="L1588" s="2950">
        <v>13.25</v>
      </c>
      <c r="M1588" s="2951">
        <v>550164</v>
      </c>
      <c r="N1588" s="2951">
        <v>550164</v>
      </c>
      <c r="O1588" s="2952">
        <v>500000</v>
      </c>
      <c r="P1588" s="2953">
        <v>500000</v>
      </c>
      <c r="Q1588" s="2951">
        <v>500000</v>
      </c>
      <c r="R1588" s="2954">
        <v>45107</v>
      </c>
      <c r="S1588" s="2954">
        <v>45107</v>
      </c>
      <c r="T1588" s="2948"/>
      <c r="U1588" s="2948"/>
      <c r="V1588" s="2948" t="s">
        <v>1292</v>
      </c>
    </row>
    <row r="1589" spans="1:22" s="2944" customFormat="1" ht="46.8">
      <c r="A1589" s="2948">
        <v>1588</v>
      </c>
      <c r="B1589" s="2948" t="s">
        <v>635</v>
      </c>
      <c r="C1589" s="2948" t="s">
        <v>636</v>
      </c>
      <c r="D1589" s="2948" t="s">
        <v>2014</v>
      </c>
      <c r="E1589" s="2948" t="s">
        <v>729</v>
      </c>
      <c r="F1589" s="2948" t="s">
        <v>2188</v>
      </c>
      <c r="G1589" s="2948" t="s">
        <v>640</v>
      </c>
      <c r="H1589" s="2948" t="s">
        <v>2016</v>
      </c>
      <c r="I1589" s="2948" t="s">
        <v>1279</v>
      </c>
      <c r="J1589" s="2948" t="s">
        <v>643</v>
      </c>
      <c r="K1589" s="2950">
        <v>33.03</v>
      </c>
      <c r="L1589" s="2950">
        <v>13.25</v>
      </c>
      <c r="M1589" s="2951">
        <v>550164</v>
      </c>
      <c r="N1589" s="2951">
        <v>550164</v>
      </c>
      <c r="O1589" s="2952">
        <v>500000</v>
      </c>
      <c r="P1589" s="2953">
        <v>500000</v>
      </c>
      <c r="Q1589" s="2951">
        <v>500000</v>
      </c>
      <c r="R1589" s="2954">
        <v>45042</v>
      </c>
      <c r="S1589" s="2954">
        <v>45042</v>
      </c>
      <c r="T1589" s="2948"/>
      <c r="U1589" s="2948"/>
      <c r="V1589" s="2948" t="s">
        <v>1718</v>
      </c>
    </row>
    <row r="1590" spans="1:22" s="2944" customFormat="1" ht="46.8" hidden="1">
      <c r="A1590" s="2948">
        <v>1589</v>
      </c>
      <c r="B1590" s="2948" t="s">
        <v>635</v>
      </c>
      <c r="C1590" s="2948" t="s">
        <v>636</v>
      </c>
      <c r="D1590" s="2948" t="s">
        <v>2014</v>
      </c>
      <c r="E1590" s="2948" t="s">
        <v>729</v>
      </c>
      <c r="F1590" s="2948" t="s">
        <v>2189</v>
      </c>
      <c r="G1590" s="2948" t="s">
        <v>1035</v>
      </c>
      <c r="H1590" s="2948" t="s">
        <v>2016</v>
      </c>
      <c r="I1590" s="2948" t="s">
        <v>1279</v>
      </c>
      <c r="J1590" s="2948" t="s">
        <v>643</v>
      </c>
      <c r="K1590" s="2950">
        <v>33.03</v>
      </c>
      <c r="L1590" s="2950">
        <v>13.25</v>
      </c>
      <c r="M1590" s="2951">
        <v>500000</v>
      </c>
      <c r="N1590" s="2951">
        <v>500000</v>
      </c>
      <c r="O1590" s="2955"/>
      <c r="P1590" s="2948"/>
      <c r="Q1590" s="2951">
        <v>0</v>
      </c>
      <c r="R1590" s="2948"/>
      <c r="S1590" s="2948"/>
      <c r="T1590" s="2948"/>
      <c r="U1590" s="2948"/>
      <c r="V1590" s="2948"/>
    </row>
    <row r="1591" spans="1:22" s="2944" customFormat="1" ht="46.8">
      <c r="A1591" s="2948">
        <v>1590</v>
      </c>
      <c r="B1591" s="2948" t="s">
        <v>635</v>
      </c>
      <c r="C1591" s="2948" t="s">
        <v>636</v>
      </c>
      <c r="D1591" s="2948" t="s">
        <v>2014</v>
      </c>
      <c r="E1591" s="2948" t="s">
        <v>729</v>
      </c>
      <c r="F1591" s="2948" t="s">
        <v>2190</v>
      </c>
      <c r="G1591" s="2948" t="s">
        <v>640</v>
      </c>
      <c r="H1591" s="2948" t="s">
        <v>2016</v>
      </c>
      <c r="I1591" s="2948" t="s">
        <v>1279</v>
      </c>
      <c r="J1591" s="2948" t="s">
        <v>643</v>
      </c>
      <c r="K1591" s="2950">
        <v>33.03</v>
      </c>
      <c r="L1591" s="2950">
        <v>13.25</v>
      </c>
      <c r="M1591" s="2951">
        <v>550164</v>
      </c>
      <c r="N1591" s="2951">
        <v>550164</v>
      </c>
      <c r="O1591" s="2952">
        <v>500000</v>
      </c>
      <c r="P1591" s="2953">
        <v>500000</v>
      </c>
      <c r="Q1591" s="2951">
        <v>500000</v>
      </c>
      <c r="R1591" s="2954">
        <v>45044</v>
      </c>
      <c r="S1591" s="2954">
        <v>45044</v>
      </c>
      <c r="T1591" s="2948"/>
      <c r="U1591" s="2948"/>
      <c r="V1591" s="2948" t="s">
        <v>1729</v>
      </c>
    </row>
    <row r="1592" spans="1:22" s="2944" customFormat="1" ht="46.8">
      <c r="A1592" s="2948">
        <v>1591</v>
      </c>
      <c r="B1592" s="2948" t="s">
        <v>635</v>
      </c>
      <c r="C1592" s="2948" t="s">
        <v>636</v>
      </c>
      <c r="D1592" s="2948" t="s">
        <v>2014</v>
      </c>
      <c r="E1592" s="2948" t="s">
        <v>729</v>
      </c>
      <c r="F1592" s="2948" t="s">
        <v>2191</v>
      </c>
      <c r="G1592" s="2948" t="s">
        <v>640</v>
      </c>
      <c r="H1592" s="2948" t="s">
        <v>2016</v>
      </c>
      <c r="I1592" s="2948" t="s">
        <v>1279</v>
      </c>
      <c r="J1592" s="2948" t="s">
        <v>643</v>
      </c>
      <c r="K1592" s="2950">
        <v>33.03</v>
      </c>
      <c r="L1592" s="2950">
        <v>13.25</v>
      </c>
      <c r="M1592" s="2951">
        <v>550164</v>
      </c>
      <c r="N1592" s="2951">
        <v>550164</v>
      </c>
      <c r="O1592" s="2952">
        <v>522656</v>
      </c>
      <c r="P1592" s="2953">
        <v>522656</v>
      </c>
      <c r="Q1592" s="2951">
        <v>522656</v>
      </c>
      <c r="R1592" s="2954">
        <v>44679</v>
      </c>
      <c r="S1592" s="2954">
        <v>44680</v>
      </c>
      <c r="T1592" s="2948"/>
      <c r="U1592" s="2948"/>
      <c r="V1592" s="2948" t="s">
        <v>1731</v>
      </c>
    </row>
    <row r="1593" spans="1:22" s="2944" customFormat="1" ht="46.8">
      <c r="A1593" s="2948">
        <v>1592</v>
      </c>
      <c r="B1593" s="2948" t="s">
        <v>635</v>
      </c>
      <c r="C1593" s="2948" t="s">
        <v>636</v>
      </c>
      <c r="D1593" s="2948" t="s">
        <v>2014</v>
      </c>
      <c r="E1593" s="2948" t="s">
        <v>729</v>
      </c>
      <c r="F1593" s="2948" t="s">
        <v>2192</v>
      </c>
      <c r="G1593" s="2948" t="s">
        <v>640</v>
      </c>
      <c r="H1593" s="2948" t="s">
        <v>2016</v>
      </c>
      <c r="I1593" s="2948" t="s">
        <v>1279</v>
      </c>
      <c r="J1593" s="2948" t="s">
        <v>643</v>
      </c>
      <c r="K1593" s="2950">
        <v>33.03</v>
      </c>
      <c r="L1593" s="2950">
        <v>13.25</v>
      </c>
      <c r="M1593" s="2951">
        <v>550164</v>
      </c>
      <c r="N1593" s="2951">
        <v>550164</v>
      </c>
      <c r="O1593" s="2952">
        <v>522656</v>
      </c>
      <c r="P1593" s="2953">
        <v>522656</v>
      </c>
      <c r="Q1593" s="2951">
        <v>522656</v>
      </c>
      <c r="R1593" s="2954">
        <v>44736</v>
      </c>
      <c r="S1593" s="2954">
        <v>44737</v>
      </c>
      <c r="T1593" s="2948"/>
      <c r="U1593" s="2948"/>
      <c r="V1593" s="2948" t="s">
        <v>1731</v>
      </c>
    </row>
    <row r="1594" spans="1:22" s="2944" customFormat="1" ht="46.8">
      <c r="A1594" s="2948">
        <v>1593</v>
      </c>
      <c r="B1594" s="2948" t="s">
        <v>635</v>
      </c>
      <c r="C1594" s="2948" t="s">
        <v>636</v>
      </c>
      <c r="D1594" s="2948" t="s">
        <v>2014</v>
      </c>
      <c r="E1594" s="2948" t="s">
        <v>729</v>
      </c>
      <c r="F1594" s="2948" t="s">
        <v>2193</v>
      </c>
      <c r="G1594" s="2948" t="s">
        <v>640</v>
      </c>
      <c r="H1594" s="2948" t="s">
        <v>2016</v>
      </c>
      <c r="I1594" s="2948" t="s">
        <v>1279</v>
      </c>
      <c r="J1594" s="2948" t="s">
        <v>643</v>
      </c>
      <c r="K1594" s="2950">
        <v>33.03</v>
      </c>
      <c r="L1594" s="2950">
        <v>13.25</v>
      </c>
      <c r="M1594" s="2951">
        <v>550164</v>
      </c>
      <c r="N1594" s="2951">
        <v>550164</v>
      </c>
      <c r="O1594" s="2952">
        <v>500000</v>
      </c>
      <c r="P1594" s="2953">
        <v>500000</v>
      </c>
      <c r="Q1594" s="2951">
        <v>500000</v>
      </c>
      <c r="R1594" s="2954">
        <v>45044</v>
      </c>
      <c r="S1594" s="2954">
        <v>45044</v>
      </c>
      <c r="T1594" s="2948"/>
      <c r="U1594" s="2948"/>
      <c r="V1594" s="2948" t="s">
        <v>1727</v>
      </c>
    </row>
    <row r="1595" spans="1:22" s="2944" customFormat="1" ht="46.8">
      <c r="A1595" s="2948">
        <v>1594</v>
      </c>
      <c r="B1595" s="2948" t="s">
        <v>635</v>
      </c>
      <c r="C1595" s="2948" t="s">
        <v>636</v>
      </c>
      <c r="D1595" s="2948" t="s">
        <v>2014</v>
      </c>
      <c r="E1595" s="2948" t="s">
        <v>729</v>
      </c>
      <c r="F1595" s="2948" t="s">
        <v>2194</v>
      </c>
      <c r="G1595" s="2948" t="s">
        <v>640</v>
      </c>
      <c r="H1595" s="2948" t="s">
        <v>2016</v>
      </c>
      <c r="I1595" s="2948" t="s">
        <v>1279</v>
      </c>
      <c r="J1595" s="2948" t="s">
        <v>643</v>
      </c>
      <c r="K1595" s="2950">
        <v>33.03</v>
      </c>
      <c r="L1595" s="2950">
        <v>13.25</v>
      </c>
      <c r="M1595" s="2951">
        <v>550164</v>
      </c>
      <c r="N1595" s="2951">
        <v>550164</v>
      </c>
      <c r="O1595" s="2952">
        <v>500000</v>
      </c>
      <c r="P1595" s="2953">
        <v>500000</v>
      </c>
      <c r="Q1595" s="2951">
        <v>500000</v>
      </c>
      <c r="R1595" s="2954">
        <v>45044</v>
      </c>
      <c r="S1595" s="2954">
        <v>45044</v>
      </c>
      <c r="T1595" s="2948"/>
      <c r="U1595" s="2948"/>
      <c r="V1595" s="2948" t="s">
        <v>1730</v>
      </c>
    </row>
    <row r="1596" spans="1:22" s="2944" customFormat="1" ht="46.8">
      <c r="A1596" s="2948">
        <v>1595</v>
      </c>
      <c r="B1596" s="2948" t="s">
        <v>635</v>
      </c>
      <c r="C1596" s="2948" t="s">
        <v>636</v>
      </c>
      <c r="D1596" s="2948" t="s">
        <v>2014</v>
      </c>
      <c r="E1596" s="2948" t="s">
        <v>729</v>
      </c>
      <c r="F1596" s="2948" t="s">
        <v>2195</v>
      </c>
      <c r="G1596" s="2948" t="s">
        <v>640</v>
      </c>
      <c r="H1596" s="2948" t="s">
        <v>2016</v>
      </c>
      <c r="I1596" s="2948" t="s">
        <v>1279</v>
      </c>
      <c r="J1596" s="2948" t="s">
        <v>643</v>
      </c>
      <c r="K1596" s="2950">
        <v>33.03</v>
      </c>
      <c r="L1596" s="2950">
        <v>13.25</v>
      </c>
      <c r="M1596" s="2951">
        <v>500000</v>
      </c>
      <c r="N1596" s="2951">
        <v>500000</v>
      </c>
      <c r="O1596" s="2952">
        <v>500000</v>
      </c>
      <c r="P1596" s="2953">
        <v>500000</v>
      </c>
      <c r="Q1596" s="2951">
        <v>500000</v>
      </c>
      <c r="R1596" s="2954">
        <v>45197</v>
      </c>
      <c r="S1596" s="2954">
        <v>45197</v>
      </c>
      <c r="T1596" s="2948"/>
      <c r="U1596" s="2948"/>
      <c r="V1596" s="2948" t="s">
        <v>1378</v>
      </c>
    </row>
    <row r="1597" spans="1:22" s="2944" customFormat="1" ht="46.8" hidden="1">
      <c r="A1597" s="2948">
        <v>1596</v>
      </c>
      <c r="B1597" s="2948" t="s">
        <v>635</v>
      </c>
      <c r="C1597" s="2948" t="s">
        <v>636</v>
      </c>
      <c r="D1597" s="2948" t="s">
        <v>2014</v>
      </c>
      <c r="E1597" s="2948" t="s">
        <v>729</v>
      </c>
      <c r="F1597" s="2948" t="s">
        <v>2196</v>
      </c>
      <c r="G1597" s="2948" t="s">
        <v>1035</v>
      </c>
      <c r="H1597" s="2948" t="s">
        <v>2016</v>
      </c>
      <c r="I1597" s="2948" t="s">
        <v>1279</v>
      </c>
      <c r="J1597" s="2948" t="s">
        <v>643</v>
      </c>
      <c r="K1597" s="2950">
        <v>33.03</v>
      </c>
      <c r="L1597" s="2950">
        <v>13.25</v>
      </c>
      <c r="M1597" s="2951">
        <v>500000</v>
      </c>
      <c r="N1597" s="2951">
        <v>500000</v>
      </c>
      <c r="O1597" s="2955"/>
      <c r="P1597" s="2948"/>
      <c r="Q1597" s="2951">
        <v>0</v>
      </c>
      <c r="R1597" s="2948"/>
      <c r="S1597" s="2948"/>
      <c r="T1597" s="2948"/>
      <c r="U1597" s="2948"/>
      <c r="V1597" s="2948"/>
    </row>
    <row r="1598" spans="1:22" s="2944" customFormat="1" ht="46.8" hidden="1">
      <c r="A1598" s="2948">
        <v>1597</v>
      </c>
      <c r="B1598" s="2948" t="s">
        <v>635</v>
      </c>
      <c r="C1598" s="2948" t="s">
        <v>636</v>
      </c>
      <c r="D1598" s="2948" t="s">
        <v>2014</v>
      </c>
      <c r="E1598" s="2948" t="s">
        <v>729</v>
      </c>
      <c r="F1598" s="2948" t="s">
        <v>2197</v>
      </c>
      <c r="G1598" s="2948" t="s">
        <v>1035</v>
      </c>
      <c r="H1598" s="2948" t="s">
        <v>2016</v>
      </c>
      <c r="I1598" s="2948" t="s">
        <v>1279</v>
      </c>
      <c r="J1598" s="2948" t="s">
        <v>643</v>
      </c>
      <c r="K1598" s="2950">
        <v>33.03</v>
      </c>
      <c r="L1598" s="2950">
        <v>13.25</v>
      </c>
      <c r="M1598" s="2951">
        <v>500000</v>
      </c>
      <c r="N1598" s="2951">
        <v>500000</v>
      </c>
      <c r="O1598" s="2955"/>
      <c r="P1598" s="2948"/>
      <c r="Q1598" s="2951">
        <v>0</v>
      </c>
      <c r="R1598" s="2948"/>
      <c r="S1598" s="2948"/>
      <c r="T1598" s="2948"/>
      <c r="U1598" s="2948"/>
      <c r="V1598" s="2948"/>
    </row>
    <row r="1599" spans="1:22" s="2944" customFormat="1" ht="46.8">
      <c r="A1599" s="2948">
        <v>1598</v>
      </c>
      <c r="B1599" s="2948" t="s">
        <v>635</v>
      </c>
      <c r="C1599" s="2948" t="s">
        <v>636</v>
      </c>
      <c r="D1599" s="2948" t="s">
        <v>2014</v>
      </c>
      <c r="E1599" s="2948" t="s">
        <v>729</v>
      </c>
      <c r="F1599" s="2948" t="s">
        <v>2198</v>
      </c>
      <c r="G1599" s="2948" t="s">
        <v>640</v>
      </c>
      <c r="H1599" s="2948" t="s">
        <v>2016</v>
      </c>
      <c r="I1599" s="2948" t="s">
        <v>1279</v>
      </c>
      <c r="J1599" s="2948" t="s">
        <v>643</v>
      </c>
      <c r="K1599" s="2950">
        <v>33.03</v>
      </c>
      <c r="L1599" s="2950">
        <v>13.25</v>
      </c>
      <c r="M1599" s="2951">
        <v>550164</v>
      </c>
      <c r="N1599" s="2951">
        <v>550164</v>
      </c>
      <c r="O1599" s="2952">
        <v>500000</v>
      </c>
      <c r="P1599" s="2953">
        <v>500000</v>
      </c>
      <c r="Q1599" s="2951">
        <v>500000</v>
      </c>
      <c r="R1599" s="2954">
        <v>45044</v>
      </c>
      <c r="S1599" s="2954">
        <v>45044</v>
      </c>
      <c r="T1599" s="2948"/>
      <c r="U1599" s="2948"/>
      <c r="V1599" s="2948" t="s">
        <v>1715</v>
      </c>
    </row>
    <row r="1600" spans="1:22" s="2944" customFormat="1" ht="46.8">
      <c r="A1600" s="2948">
        <v>1599</v>
      </c>
      <c r="B1600" s="2948" t="s">
        <v>635</v>
      </c>
      <c r="C1600" s="2948" t="s">
        <v>636</v>
      </c>
      <c r="D1600" s="2948" t="s">
        <v>2014</v>
      </c>
      <c r="E1600" s="2948" t="s">
        <v>729</v>
      </c>
      <c r="F1600" s="2948" t="s">
        <v>2199</v>
      </c>
      <c r="G1600" s="2948" t="s">
        <v>640</v>
      </c>
      <c r="H1600" s="2948" t="s">
        <v>2016</v>
      </c>
      <c r="I1600" s="2948" t="s">
        <v>1279</v>
      </c>
      <c r="J1600" s="2948" t="s">
        <v>643</v>
      </c>
      <c r="K1600" s="2950">
        <v>33.03</v>
      </c>
      <c r="L1600" s="2950">
        <v>13.25</v>
      </c>
      <c r="M1600" s="2951">
        <v>550164</v>
      </c>
      <c r="N1600" s="2951">
        <v>550164</v>
      </c>
      <c r="O1600" s="2952">
        <v>500000</v>
      </c>
      <c r="P1600" s="2953">
        <v>500000</v>
      </c>
      <c r="Q1600" s="2951">
        <v>500000</v>
      </c>
      <c r="R1600" s="2954">
        <v>45044</v>
      </c>
      <c r="S1600" s="2954">
        <v>45044</v>
      </c>
      <c r="T1600" s="2948"/>
      <c r="U1600" s="2948"/>
      <c r="V1600" s="2948" t="s">
        <v>1715</v>
      </c>
    </row>
    <row r="1601" spans="1:22" s="2944" customFormat="1" ht="46.8" hidden="1">
      <c r="A1601" s="2948">
        <v>1600</v>
      </c>
      <c r="B1601" s="2948" t="s">
        <v>635</v>
      </c>
      <c r="C1601" s="2948" t="s">
        <v>636</v>
      </c>
      <c r="D1601" s="2948" t="s">
        <v>2014</v>
      </c>
      <c r="E1601" s="2948" t="s">
        <v>729</v>
      </c>
      <c r="F1601" s="2948" t="s">
        <v>2200</v>
      </c>
      <c r="G1601" s="2948" t="s">
        <v>1035</v>
      </c>
      <c r="H1601" s="2948" t="s">
        <v>2016</v>
      </c>
      <c r="I1601" s="2948" t="s">
        <v>1279</v>
      </c>
      <c r="J1601" s="2948" t="s">
        <v>643</v>
      </c>
      <c r="K1601" s="2950">
        <v>33.03</v>
      </c>
      <c r="L1601" s="2950">
        <v>13.25</v>
      </c>
      <c r="M1601" s="2951">
        <v>500000</v>
      </c>
      <c r="N1601" s="2951">
        <v>500000</v>
      </c>
      <c r="O1601" s="2955"/>
      <c r="P1601" s="2948"/>
      <c r="Q1601" s="2951">
        <v>0</v>
      </c>
      <c r="R1601" s="2948"/>
      <c r="S1601" s="2948"/>
      <c r="T1601" s="2948"/>
      <c r="U1601" s="2948"/>
      <c r="V1601" s="2948"/>
    </row>
    <row r="1602" spans="1:22" s="2944" customFormat="1" ht="46.8" hidden="1">
      <c r="A1602" s="2948">
        <v>1601</v>
      </c>
      <c r="B1602" s="2948" t="s">
        <v>635</v>
      </c>
      <c r="C1602" s="2948" t="s">
        <v>636</v>
      </c>
      <c r="D1602" s="2948" t="s">
        <v>2014</v>
      </c>
      <c r="E1602" s="2948" t="s">
        <v>729</v>
      </c>
      <c r="F1602" s="2948" t="s">
        <v>2201</v>
      </c>
      <c r="G1602" s="2948" t="s">
        <v>1035</v>
      </c>
      <c r="H1602" s="2948" t="s">
        <v>2016</v>
      </c>
      <c r="I1602" s="2948" t="s">
        <v>1279</v>
      </c>
      <c r="J1602" s="2948" t="s">
        <v>643</v>
      </c>
      <c r="K1602" s="2950">
        <v>33.03</v>
      </c>
      <c r="L1602" s="2950">
        <v>13.25</v>
      </c>
      <c r="M1602" s="2951">
        <v>500000</v>
      </c>
      <c r="N1602" s="2951">
        <v>500000</v>
      </c>
      <c r="O1602" s="2955"/>
      <c r="P1602" s="2948"/>
      <c r="Q1602" s="2951">
        <v>0</v>
      </c>
      <c r="R1602" s="2948"/>
      <c r="S1602" s="2948"/>
      <c r="T1602" s="2948"/>
      <c r="U1602" s="2948"/>
      <c r="V1602" s="2948"/>
    </row>
    <row r="1603" spans="1:22" s="2944" customFormat="1" ht="46.8" hidden="1">
      <c r="A1603" s="2948">
        <v>1602</v>
      </c>
      <c r="B1603" s="2948" t="s">
        <v>635</v>
      </c>
      <c r="C1603" s="2948" t="s">
        <v>636</v>
      </c>
      <c r="D1603" s="2948" t="s">
        <v>2014</v>
      </c>
      <c r="E1603" s="2948" t="s">
        <v>729</v>
      </c>
      <c r="F1603" s="2948" t="s">
        <v>2202</v>
      </c>
      <c r="G1603" s="2948" t="s">
        <v>1035</v>
      </c>
      <c r="H1603" s="2948" t="s">
        <v>2016</v>
      </c>
      <c r="I1603" s="2948" t="s">
        <v>1279</v>
      </c>
      <c r="J1603" s="2948" t="s">
        <v>643</v>
      </c>
      <c r="K1603" s="2950">
        <v>33.03</v>
      </c>
      <c r="L1603" s="2950">
        <v>13.25</v>
      </c>
      <c r="M1603" s="2951">
        <v>500000</v>
      </c>
      <c r="N1603" s="2951">
        <v>500000</v>
      </c>
      <c r="O1603" s="2955"/>
      <c r="P1603" s="2948"/>
      <c r="Q1603" s="2951">
        <v>0</v>
      </c>
      <c r="R1603" s="2948"/>
      <c r="S1603" s="2948"/>
      <c r="T1603" s="2948"/>
      <c r="U1603" s="2948"/>
      <c r="V1603" s="2948"/>
    </row>
    <row r="1604" spans="1:22" s="2944" customFormat="1" ht="46.8" hidden="1">
      <c r="A1604" s="2948">
        <v>1603</v>
      </c>
      <c r="B1604" s="2948" t="s">
        <v>635</v>
      </c>
      <c r="C1604" s="2948" t="s">
        <v>636</v>
      </c>
      <c r="D1604" s="2948" t="s">
        <v>2014</v>
      </c>
      <c r="E1604" s="2948" t="s">
        <v>729</v>
      </c>
      <c r="F1604" s="2948" t="s">
        <v>2203</v>
      </c>
      <c r="G1604" s="2948" t="s">
        <v>1035</v>
      </c>
      <c r="H1604" s="2948" t="s">
        <v>2016</v>
      </c>
      <c r="I1604" s="2948" t="s">
        <v>1279</v>
      </c>
      <c r="J1604" s="2948" t="s">
        <v>643</v>
      </c>
      <c r="K1604" s="2950">
        <v>33.03</v>
      </c>
      <c r="L1604" s="2950">
        <v>13.25</v>
      </c>
      <c r="M1604" s="2951">
        <v>500000</v>
      </c>
      <c r="N1604" s="2951">
        <v>500000</v>
      </c>
      <c r="O1604" s="2955"/>
      <c r="P1604" s="2948"/>
      <c r="Q1604" s="2951">
        <v>0</v>
      </c>
      <c r="R1604" s="2948"/>
      <c r="S1604" s="2948"/>
      <c r="T1604" s="2948"/>
      <c r="U1604" s="2948"/>
      <c r="V1604" s="2948"/>
    </row>
    <row r="1605" spans="1:22" s="2944" customFormat="1" ht="46.8">
      <c r="A1605" s="2948">
        <v>1604</v>
      </c>
      <c r="B1605" s="2948" t="s">
        <v>635</v>
      </c>
      <c r="C1605" s="2948" t="s">
        <v>636</v>
      </c>
      <c r="D1605" s="2948" t="s">
        <v>2014</v>
      </c>
      <c r="E1605" s="2948" t="s">
        <v>729</v>
      </c>
      <c r="F1605" s="2948" t="s">
        <v>2204</v>
      </c>
      <c r="G1605" s="2948" t="s">
        <v>640</v>
      </c>
      <c r="H1605" s="2948" t="s">
        <v>2016</v>
      </c>
      <c r="I1605" s="2948" t="s">
        <v>1279</v>
      </c>
      <c r="J1605" s="2948" t="s">
        <v>643</v>
      </c>
      <c r="K1605" s="2950">
        <v>33.03</v>
      </c>
      <c r="L1605" s="2950">
        <v>13.25</v>
      </c>
      <c r="M1605" s="2951">
        <v>500000</v>
      </c>
      <c r="N1605" s="2951">
        <v>500000</v>
      </c>
      <c r="O1605" s="2952">
        <v>500000</v>
      </c>
      <c r="P1605" s="2953">
        <v>500000</v>
      </c>
      <c r="Q1605" s="2951">
        <v>500000</v>
      </c>
      <c r="R1605" s="2954">
        <v>45287</v>
      </c>
      <c r="S1605" s="2954">
        <v>45287</v>
      </c>
      <c r="T1605" s="2948"/>
      <c r="U1605" s="2948"/>
      <c r="V1605" s="2948" t="s">
        <v>2110</v>
      </c>
    </row>
    <row r="1606" spans="1:22" s="2944" customFormat="1" ht="46.8" hidden="1">
      <c r="A1606" s="2948">
        <v>1605</v>
      </c>
      <c r="B1606" s="2948" t="s">
        <v>635</v>
      </c>
      <c r="C1606" s="2948" t="s">
        <v>636</v>
      </c>
      <c r="D1606" s="2948" t="s">
        <v>2014</v>
      </c>
      <c r="E1606" s="2948" t="s">
        <v>729</v>
      </c>
      <c r="F1606" s="2948" t="s">
        <v>2205</v>
      </c>
      <c r="G1606" s="2948" t="s">
        <v>1035</v>
      </c>
      <c r="H1606" s="2948" t="s">
        <v>2016</v>
      </c>
      <c r="I1606" s="2948" t="s">
        <v>1279</v>
      </c>
      <c r="J1606" s="2948" t="s">
        <v>643</v>
      </c>
      <c r="K1606" s="2950">
        <v>33.03</v>
      </c>
      <c r="L1606" s="2950">
        <v>13.25</v>
      </c>
      <c r="M1606" s="2951">
        <v>500000</v>
      </c>
      <c r="N1606" s="2951">
        <v>500000</v>
      </c>
      <c r="O1606" s="2955"/>
      <c r="P1606" s="2948"/>
      <c r="Q1606" s="2951">
        <v>0</v>
      </c>
      <c r="R1606" s="2948"/>
      <c r="S1606" s="2948"/>
      <c r="T1606" s="2948"/>
      <c r="U1606" s="2948"/>
      <c r="V1606" s="2948"/>
    </row>
    <row r="1607" spans="1:22" s="2944" customFormat="1" ht="46.8" hidden="1">
      <c r="A1607" s="2948">
        <v>1606</v>
      </c>
      <c r="B1607" s="2948" t="s">
        <v>635</v>
      </c>
      <c r="C1607" s="2948" t="s">
        <v>636</v>
      </c>
      <c r="D1607" s="2948" t="s">
        <v>2014</v>
      </c>
      <c r="E1607" s="2948" t="s">
        <v>729</v>
      </c>
      <c r="F1607" s="2948" t="s">
        <v>2206</v>
      </c>
      <c r="G1607" s="2948" t="s">
        <v>1035</v>
      </c>
      <c r="H1607" s="2948" t="s">
        <v>2016</v>
      </c>
      <c r="I1607" s="2948" t="s">
        <v>1279</v>
      </c>
      <c r="J1607" s="2948" t="s">
        <v>643</v>
      </c>
      <c r="K1607" s="2950">
        <v>33.03</v>
      </c>
      <c r="L1607" s="2950">
        <v>13.25</v>
      </c>
      <c r="M1607" s="2951">
        <v>500000</v>
      </c>
      <c r="N1607" s="2951">
        <v>500000</v>
      </c>
      <c r="O1607" s="2955"/>
      <c r="P1607" s="2948"/>
      <c r="Q1607" s="2951">
        <v>0</v>
      </c>
      <c r="R1607" s="2948"/>
      <c r="S1607" s="2948"/>
      <c r="T1607" s="2948"/>
      <c r="U1607" s="2948"/>
      <c r="V1607" s="2948"/>
    </row>
    <row r="1608" spans="1:22" s="2944" customFormat="1" ht="46.8">
      <c r="A1608" s="2948">
        <v>1607</v>
      </c>
      <c r="B1608" s="2948" t="s">
        <v>635</v>
      </c>
      <c r="C1608" s="2948" t="s">
        <v>636</v>
      </c>
      <c r="D1608" s="2948" t="s">
        <v>2014</v>
      </c>
      <c r="E1608" s="2948" t="s">
        <v>729</v>
      </c>
      <c r="F1608" s="2948" t="s">
        <v>2207</v>
      </c>
      <c r="G1608" s="2948" t="s">
        <v>640</v>
      </c>
      <c r="H1608" s="2948" t="s">
        <v>2016</v>
      </c>
      <c r="I1608" s="2948" t="s">
        <v>1279</v>
      </c>
      <c r="J1608" s="2948" t="s">
        <v>643</v>
      </c>
      <c r="K1608" s="2950">
        <v>33.03</v>
      </c>
      <c r="L1608" s="2950">
        <v>13.25</v>
      </c>
      <c r="M1608" s="2951">
        <v>500000</v>
      </c>
      <c r="N1608" s="2951">
        <v>500000</v>
      </c>
      <c r="O1608" s="2952">
        <v>500000</v>
      </c>
      <c r="P1608" s="2953">
        <v>500000</v>
      </c>
      <c r="Q1608" s="2951">
        <v>500000</v>
      </c>
      <c r="R1608" s="2954">
        <v>45175</v>
      </c>
      <c r="S1608" s="2954">
        <v>45176</v>
      </c>
      <c r="T1608" s="2948"/>
      <c r="U1608" s="2948"/>
      <c r="V1608" s="2948" t="s">
        <v>1469</v>
      </c>
    </row>
    <row r="1609" spans="1:22" s="2944" customFormat="1" ht="46.8" hidden="1">
      <c r="A1609" s="2948">
        <v>1608</v>
      </c>
      <c r="B1609" s="2948" t="s">
        <v>635</v>
      </c>
      <c r="C1609" s="2948" t="s">
        <v>636</v>
      </c>
      <c r="D1609" s="2948" t="s">
        <v>2014</v>
      </c>
      <c r="E1609" s="2948" t="s">
        <v>729</v>
      </c>
      <c r="F1609" s="2948" t="s">
        <v>2208</v>
      </c>
      <c r="G1609" s="2948" t="s">
        <v>1035</v>
      </c>
      <c r="H1609" s="2948" t="s">
        <v>2016</v>
      </c>
      <c r="I1609" s="2948" t="s">
        <v>1279</v>
      </c>
      <c r="J1609" s="2948" t="s">
        <v>643</v>
      </c>
      <c r="K1609" s="2950">
        <v>33.03</v>
      </c>
      <c r="L1609" s="2950">
        <v>13.25</v>
      </c>
      <c r="M1609" s="2951">
        <v>500000</v>
      </c>
      <c r="N1609" s="2951">
        <v>500000</v>
      </c>
      <c r="O1609" s="2955"/>
      <c r="P1609" s="2948"/>
      <c r="Q1609" s="2951">
        <v>0</v>
      </c>
      <c r="R1609" s="2948"/>
      <c r="S1609" s="2948"/>
      <c r="T1609" s="2948"/>
      <c r="U1609" s="2948"/>
      <c r="V1609" s="2948"/>
    </row>
    <row r="1610" spans="1:22" s="2944" customFormat="1" ht="46.8" hidden="1">
      <c r="A1610" s="2948">
        <v>1609</v>
      </c>
      <c r="B1610" s="2948" t="s">
        <v>635</v>
      </c>
      <c r="C1610" s="2948" t="s">
        <v>636</v>
      </c>
      <c r="D1610" s="2948" t="s">
        <v>2014</v>
      </c>
      <c r="E1610" s="2948" t="s">
        <v>729</v>
      </c>
      <c r="F1610" s="2948" t="s">
        <v>2209</v>
      </c>
      <c r="G1610" s="2948" t="s">
        <v>1035</v>
      </c>
      <c r="H1610" s="2948" t="s">
        <v>2016</v>
      </c>
      <c r="I1610" s="2948" t="s">
        <v>1279</v>
      </c>
      <c r="J1610" s="2948" t="s">
        <v>643</v>
      </c>
      <c r="K1610" s="2950">
        <v>33.03</v>
      </c>
      <c r="L1610" s="2950">
        <v>13.25</v>
      </c>
      <c r="M1610" s="2951">
        <v>500000</v>
      </c>
      <c r="N1610" s="2951">
        <v>500000</v>
      </c>
      <c r="O1610" s="2955"/>
      <c r="P1610" s="2948"/>
      <c r="Q1610" s="2951">
        <v>0</v>
      </c>
      <c r="R1610" s="2948"/>
      <c r="S1610" s="2948"/>
      <c r="T1610" s="2948"/>
      <c r="U1610" s="2948"/>
      <c r="V1610" s="2948"/>
    </row>
    <row r="1611" spans="1:22" s="2944" customFormat="1" ht="46.8" hidden="1">
      <c r="A1611" s="2948">
        <v>1610</v>
      </c>
      <c r="B1611" s="2948" t="s">
        <v>635</v>
      </c>
      <c r="C1611" s="2948" t="s">
        <v>636</v>
      </c>
      <c r="D1611" s="2948" t="s">
        <v>2014</v>
      </c>
      <c r="E1611" s="2948" t="s">
        <v>729</v>
      </c>
      <c r="F1611" s="2948" t="s">
        <v>2210</v>
      </c>
      <c r="G1611" s="2948" t="s">
        <v>1035</v>
      </c>
      <c r="H1611" s="2948" t="s">
        <v>2016</v>
      </c>
      <c r="I1611" s="2948" t="s">
        <v>1279</v>
      </c>
      <c r="J1611" s="2948" t="s">
        <v>643</v>
      </c>
      <c r="K1611" s="2950">
        <v>33.03</v>
      </c>
      <c r="L1611" s="2950">
        <v>13.25</v>
      </c>
      <c r="M1611" s="2951">
        <v>500000</v>
      </c>
      <c r="N1611" s="2951">
        <v>500000</v>
      </c>
      <c r="O1611" s="2955"/>
      <c r="P1611" s="2948"/>
      <c r="Q1611" s="2951">
        <v>0</v>
      </c>
      <c r="R1611" s="2948"/>
      <c r="S1611" s="2948"/>
      <c r="T1611" s="2948"/>
      <c r="U1611" s="2948"/>
      <c r="V1611" s="2948"/>
    </row>
    <row r="1612" spans="1:22" s="2944" customFormat="1" ht="46.8" hidden="1">
      <c r="A1612" s="2948">
        <v>1611</v>
      </c>
      <c r="B1612" s="2948" t="s">
        <v>635</v>
      </c>
      <c r="C1612" s="2948" t="s">
        <v>636</v>
      </c>
      <c r="D1612" s="2948" t="s">
        <v>2014</v>
      </c>
      <c r="E1612" s="2948" t="s">
        <v>729</v>
      </c>
      <c r="F1612" s="2948" t="s">
        <v>2211</v>
      </c>
      <c r="G1612" s="2948" t="s">
        <v>1035</v>
      </c>
      <c r="H1612" s="2948" t="s">
        <v>2016</v>
      </c>
      <c r="I1612" s="2948" t="s">
        <v>1279</v>
      </c>
      <c r="J1612" s="2948" t="s">
        <v>643</v>
      </c>
      <c r="K1612" s="2950">
        <v>33.03</v>
      </c>
      <c r="L1612" s="2950">
        <v>13.25</v>
      </c>
      <c r="M1612" s="2951">
        <v>500000</v>
      </c>
      <c r="N1612" s="2951">
        <v>500000</v>
      </c>
      <c r="O1612" s="2955"/>
      <c r="P1612" s="2948"/>
      <c r="Q1612" s="2951">
        <v>0</v>
      </c>
      <c r="R1612" s="2948"/>
      <c r="S1612" s="2948"/>
      <c r="T1612" s="2948"/>
      <c r="U1612" s="2948"/>
      <c r="V1612" s="2948"/>
    </row>
    <row r="1613" spans="1:22" s="2944" customFormat="1" ht="46.8" hidden="1">
      <c r="A1613" s="2948">
        <v>1612</v>
      </c>
      <c r="B1613" s="2948" t="s">
        <v>635</v>
      </c>
      <c r="C1613" s="2948" t="s">
        <v>636</v>
      </c>
      <c r="D1613" s="2948" t="s">
        <v>2014</v>
      </c>
      <c r="E1613" s="2948" t="s">
        <v>729</v>
      </c>
      <c r="F1613" s="2948" t="s">
        <v>2212</v>
      </c>
      <c r="G1613" s="2948" t="s">
        <v>1035</v>
      </c>
      <c r="H1613" s="2948" t="s">
        <v>2016</v>
      </c>
      <c r="I1613" s="2948" t="s">
        <v>1279</v>
      </c>
      <c r="J1613" s="2948" t="s">
        <v>643</v>
      </c>
      <c r="K1613" s="2950">
        <v>33.03</v>
      </c>
      <c r="L1613" s="2950">
        <v>13.25</v>
      </c>
      <c r="M1613" s="2951">
        <v>500000</v>
      </c>
      <c r="N1613" s="2951">
        <v>500000</v>
      </c>
      <c r="O1613" s="2955"/>
      <c r="P1613" s="2948"/>
      <c r="Q1613" s="2951">
        <v>0</v>
      </c>
      <c r="R1613" s="2948"/>
      <c r="S1613" s="2948"/>
      <c r="T1613" s="2948"/>
      <c r="U1613" s="2948"/>
      <c r="V1613" s="2948"/>
    </row>
    <row r="1614" spans="1:22" s="2944" customFormat="1" ht="46.8" hidden="1">
      <c r="A1614" s="2948">
        <v>1613</v>
      </c>
      <c r="B1614" s="2948" t="s">
        <v>635</v>
      </c>
      <c r="C1614" s="2948" t="s">
        <v>636</v>
      </c>
      <c r="D1614" s="2948" t="s">
        <v>2014</v>
      </c>
      <c r="E1614" s="2948" t="s">
        <v>729</v>
      </c>
      <c r="F1614" s="2948" t="s">
        <v>2213</v>
      </c>
      <c r="G1614" s="2948" t="s">
        <v>1035</v>
      </c>
      <c r="H1614" s="2948" t="s">
        <v>2016</v>
      </c>
      <c r="I1614" s="2948" t="s">
        <v>1279</v>
      </c>
      <c r="J1614" s="2948" t="s">
        <v>643</v>
      </c>
      <c r="K1614" s="2950">
        <v>33.03</v>
      </c>
      <c r="L1614" s="2950">
        <v>13.25</v>
      </c>
      <c r="M1614" s="2951">
        <v>500000</v>
      </c>
      <c r="N1614" s="2951">
        <v>500000</v>
      </c>
      <c r="O1614" s="2955"/>
      <c r="P1614" s="2948"/>
      <c r="Q1614" s="2951">
        <v>0</v>
      </c>
      <c r="R1614" s="2948"/>
      <c r="S1614" s="2948"/>
      <c r="T1614" s="2948"/>
      <c r="U1614" s="2948"/>
      <c r="V1614" s="2948"/>
    </row>
    <row r="1615" spans="1:22" s="2944" customFormat="1" ht="46.8" hidden="1">
      <c r="A1615" s="2948">
        <v>1614</v>
      </c>
      <c r="B1615" s="2948" t="s">
        <v>635</v>
      </c>
      <c r="C1615" s="2948" t="s">
        <v>636</v>
      </c>
      <c r="D1615" s="2948" t="s">
        <v>2014</v>
      </c>
      <c r="E1615" s="2948" t="s">
        <v>729</v>
      </c>
      <c r="F1615" s="2948" t="s">
        <v>2214</v>
      </c>
      <c r="G1615" s="2948" t="s">
        <v>1035</v>
      </c>
      <c r="H1615" s="2948" t="s">
        <v>2016</v>
      </c>
      <c r="I1615" s="2948" t="s">
        <v>1279</v>
      </c>
      <c r="J1615" s="2948" t="s">
        <v>643</v>
      </c>
      <c r="K1615" s="2950">
        <v>33.03</v>
      </c>
      <c r="L1615" s="2950">
        <v>13.25</v>
      </c>
      <c r="M1615" s="2951">
        <v>500000</v>
      </c>
      <c r="N1615" s="2951">
        <v>500000</v>
      </c>
      <c r="O1615" s="2955"/>
      <c r="P1615" s="2948"/>
      <c r="Q1615" s="2951">
        <v>0</v>
      </c>
      <c r="R1615" s="2948"/>
      <c r="S1615" s="2948"/>
      <c r="T1615" s="2948"/>
      <c r="U1615" s="2948"/>
      <c r="V1615" s="2948"/>
    </row>
    <row r="1616" spans="1:22" s="2944" customFormat="1" ht="46.8" hidden="1">
      <c r="A1616" s="2948">
        <v>1615</v>
      </c>
      <c r="B1616" s="2948" t="s">
        <v>635</v>
      </c>
      <c r="C1616" s="2948" t="s">
        <v>636</v>
      </c>
      <c r="D1616" s="2948" t="s">
        <v>2014</v>
      </c>
      <c r="E1616" s="2948" t="s">
        <v>729</v>
      </c>
      <c r="F1616" s="2948" t="s">
        <v>2215</v>
      </c>
      <c r="G1616" s="2948" t="s">
        <v>1035</v>
      </c>
      <c r="H1616" s="2948" t="s">
        <v>2021</v>
      </c>
      <c r="I1616" s="2948" t="s">
        <v>1279</v>
      </c>
      <c r="J1616" s="2948" t="s">
        <v>643</v>
      </c>
      <c r="K1616" s="2950">
        <v>26</v>
      </c>
      <c r="L1616" s="2950">
        <v>10.8</v>
      </c>
      <c r="M1616" s="2951">
        <v>500000</v>
      </c>
      <c r="N1616" s="2951">
        <v>500000</v>
      </c>
      <c r="O1616" s="2955"/>
      <c r="P1616" s="2948"/>
      <c r="Q1616" s="2951">
        <v>0</v>
      </c>
      <c r="R1616" s="2948"/>
      <c r="S1616" s="2948"/>
      <c r="T1616" s="2948"/>
      <c r="U1616" s="2948"/>
      <c r="V1616" s="2948"/>
    </row>
    <row r="1617" spans="1:22" s="2944" customFormat="1" ht="46.8" hidden="1">
      <c r="A1617" s="2948">
        <v>1616</v>
      </c>
      <c r="B1617" s="2948" t="s">
        <v>635</v>
      </c>
      <c r="C1617" s="2948" t="s">
        <v>636</v>
      </c>
      <c r="D1617" s="2948" t="s">
        <v>2014</v>
      </c>
      <c r="E1617" s="2948" t="s">
        <v>729</v>
      </c>
      <c r="F1617" s="2948" t="s">
        <v>2216</v>
      </c>
      <c r="G1617" s="2948" t="s">
        <v>1035</v>
      </c>
      <c r="H1617" s="2948" t="s">
        <v>2016</v>
      </c>
      <c r="I1617" s="2948" t="s">
        <v>1279</v>
      </c>
      <c r="J1617" s="2948" t="s">
        <v>643</v>
      </c>
      <c r="K1617" s="2950">
        <v>33.03</v>
      </c>
      <c r="L1617" s="2950">
        <v>13.25</v>
      </c>
      <c r="M1617" s="2951">
        <v>500000</v>
      </c>
      <c r="N1617" s="2951">
        <v>500000</v>
      </c>
      <c r="O1617" s="2955"/>
      <c r="P1617" s="2948"/>
      <c r="Q1617" s="2951">
        <v>0</v>
      </c>
      <c r="R1617" s="2948"/>
      <c r="S1617" s="2948"/>
      <c r="T1617" s="2948"/>
      <c r="U1617" s="2948"/>
      <c r="V1617" s="2948"/>
    </row>
    <row r="1618" spans="1:22" s="2944" customFormat="1" ht="46.8">
      <c r="A1618" s="2948">
        <v>1617</v>
      </c>
      <c r="B1618" s="2948" t="s">
        <v>635</v>
      </c>
      <c r="C1618" s="2948" t="s">
        <v>636</v>
      </c>
      <c r="D1618" s="2948" t="s">
        <v>2014</v>
      </c>
      <c r="E1618" s="2948" t="s">
        <v>729</v>
      </c>
      <c r="F1618" s="2948" t="s">
        <v>2217</v>
      </c>
      <c r="G1618" s="2948" t="s">
        <v>640</v>
      </c>
      <c r="H1618" s="2948" t="s">
        <v>2016</v>
      </c>
      <c r="I1618" s="2948" t="s">
        <v>1279</v>
      </c>
      <c r="J1618" s="2948" t="s">
        <v>643</v>
      </c>
      <c r="K1618" s="2950">
        <v>33.03</v>
      </c>
      <c r="L1618" s="2950">
        <v>13.25</v>
      </c>
      <c r="M1618" s="2951">
        <v>500000</v>
      </c>
      <c r="N1618" s="2951">
        <v>500000</v>
      </c>
      <c r="O1618" s="2952">
        <v>500000</v>
      </c>
      <c r="P1618" s="2953">
        <v>500000</v>
      </c>
      <c r="Q1618" s="2951">
        <v>500000</v>
      </c>
      <c r="R1618" s="2954">
        <v>45287</v>
      </c>
      <c r="S1618" s="2954">
        <v>45287</v>
      </c>
      <c r="T1618" s="2948"/>
      <c r="U1618" s="2948"/>
      <c r="V1618" s="2948" t="s">
        <v>2218</v>
      </c>
    </row>
    <row r="1619" spans="1:22" s="2944" customFormat="1" ht="46.8" hidden="1">
      <c r="A1619" s="2948">
        <v>1618</v>
      </c>
      <c r="B1619" s="2948" t="s">
        <v>635</v>
      </c>
      <c r="C1619" s="2948" t="s">
        <v>636</v>
      </c>
      <c r="D1619" s="2948" t="s">
        <v>2014</v>
      </c>
      <c r="E1619" s="2948" t="s">
        <v>729</v>
      </c>
      <c r="F1619" s="2948" t="s">
        <v>2219</v>
      </c>
      <c r="G1619" s="2948" t="s">
        <v>1035</v>
      </c>
      <c r="H1619" s="2948" t="s">
        <v>2016</v>
      </c>
      <c r="I1619" s="2948" t="s">
        <v>1279</v>
      </c>
      <c r="J1619" s="2948" t="s">
        <v>643</v>
      </c>
      <c r="K1619" s="2950">
        <v>33.03</v>
      </c>
      <c r="L1619" s="2950">
        <v>13.25</v>
      </c>
      <c r="M1619" s="2951">
        <v>500000</v>
      </c>
      <c r="N1619" s="2951">
        <v>500000</v>
      </c>
      <c r="O1619" s="2955"/>
      <c r="P1619" s="2948"/>
      <c r="Q1619" s="2951">
        <v>0</v>
      </c>
      <c r="R1619" s="2948"/>
      <c r="S1619" s="2948"/>
      <c r="T1619" s="2948"/>
      <c r="U1619" s="2948"/>
      <c r="V1619" s="2948"/>
    </row>
    <row r="1620" spans="1:22" s="2944" customFormat="1" ht="46.8" hidden="1">
      <c r="A1620" s="2948">
        <v>1619</v>
      </c>
      <c r="B1620" s="2948" t="s">
        <v>635</v>
      </c>
      <c r="C1620" s="2948" t="s">
        <v>636</v>
      </c>
      <c r="D1620" s="2948" t="s">
        <v>2014</v>
      </c>
      <c r="E1620" s="2948" t="s">
        <v>729</v>
      </c>
      <c r="F1620" s="2948" t="s">
        <v>2220</v>
      </c>
      <c r="G1620" s="2948" t="s">
        <v>1035</v>
      </c>
      <c r="H1620" s="2948" t="s">
        <v>2016</v>
      </c>
      <c r="I1620" s="2948" t="s">
        <v>1279</v>
      </c>
      <c r="J1620" s="2948" t="s">
        <v>643</v>
      </c>
      <c r="K1620" s="2950">
        <v>33.03</v>
      </c>
      <c r="L1620" s="2950">
        <v>13.25</v>
      </c>
      <c r="M1620" s="2951">
        <v>500000</v>
      </c>
      <c r="N1620" s="2951">
        <v>500000</v>
      </c>
      <c r="O1620" s="2955"/>
      <c r="P1620" s="2948"/>
      <c r="Q1620" s="2951">
        <v>0</v>
      </c>
      <c r="R1620" s="2948"/>
      <c r="S1620" s="2948"/>
      <c r="T1620" s="2948"/>
      <c r="U1620" s="2948"/>
      <c r="V1620" s="2948"/>
    </row>
    <row r="1621" spans="1:22" s="2944" customFormat="1" ht="46.8" hidden="1">
      <c r="A1621" s="2948">
        <v>1620</v>
      </c>
      <c r="B1621" s="2948" t="s">
        <v>635</v>
      </c>
      <c r="C1621" s="2948" t="s">
        <v>636</v>
      </c>
      <c r="D1621" s="2948" t="s">
        <v>2014</v>
      </c>
      <c r="E1621" s="2948" t="s">
        <v>729</v>
      </c>
      <c r="F1621" s="2948" t="s">
        <v>2221</v>
      </c>
      <c r="G1621" s="2948" t="s">
        <v>1035</v>
      </c>
      <c r="H1621" s="2948" t="s">
        <v>2016</v>
      </c>
      <c r="I1621" s="2948" t="s">
        <v>1279</v>
      </c>
      <c r="J1621" s="2948" t="s">
        <v>643</v>
      </c>
      <c r="K1621" s="2950">
        <v>33.03</v>
      </c>
      <c r="L1621" s="2950">
        <v>13.25</v>
      </c>
      <c r="M1621" s="2951">
        <v>500000</v>
      </c>
      <c r="N1621" s="2951">
        <v>500000</v>
      </c>
      <c r="O1621" s="2955"/>
      <c r="P1621" s="2948"/>
      <c r="Q1621" s="2951">
        <v>0</v>
      </c>
      <c r="R1621" s="2948"/>
      <c r="S1621" s="2948"/>
      <c r="T1621" s="2948"/>
      <c r="U1621" s="2948"/>
      <c r="V1621" s="2948"/>
    </row>
    <row r="1622" spans="1:22" s="2944" customFormat="1" ht="46.8" hidden="1">
      <c r="A1622" s="2948">
        <v>1621</v>
      </c>
      <c r="B1622" s="2948" t="s">
        <v>635</v>
      </c>
      <c r="C1622" s="2948" t="s">
        <v>636</v>
      </c>
      <c r="D1622" s="2948" t="s">
        <v>2014</v>
      </c>
      <c r="E1622" s="2948" t="s">
        <v>729</v>
      </c>
      <c r="F1622" s="2948" t="s">
        <v>2222</v>
      </c>
      <c r="G1622" s="2948" t="s">
        <v>1035</v>
      </c>
      <c r="H1622" s="2948" t="s">
        <v>2021</v>
      </c>
      <c r="I1622" s="2948" t="s">
        <v>1279</v>
      </c>
      <c r="J1622" s="2948" t="s">
        <v>643</v>
      </c>
      <c r="K1622" s="2950">
        <v>26</v>
      </c>
      <c r="L1622" s="2950">
        <v>10.8</v>
      </c>
      <c r="M1622" s="2951">
        <v>500000</v>
      </c>
      <c r="N1622" s="2951">
        <v>500000</v>
      </c>
      <c r="O1622" s="2955"/>
      <c r="P1622" s="2948"/>
      <c r="Q1622" s="2951">
        <v>0</v>
      </c>
      <c r="R1622" s="2948"/>
      <c r="S1622" s="2948"/>
      <c r="T1622" s="2948"/>
      <c r="U1622" s="2948"/>
      <c r="V1622" s="2948"/>
    </row>
    <row r="1623" spans="1:22" s="2944" customFormat="1" ht="46.8">
      <c r="A1623" s="2948">
        <v>1622</v>
      </c>
      <c r="B1623" s="2948" t="s">
        <v>635</v>
      </c>
      <c r="C1623" s="2948" t="s">
        <v>636</v>
      </c>
      <c r="D1623" s="2948" t="s">
        <v>2014</v>
      </c>
      <c r="E1623" s="2948" t="s">
        <v>729</v>
      </c>
      <c r="F1623" s="2948" t="s">
        <v>2223</v>
      </c>
      <c r="G1623" s="2948" t="s">
        <v>1866</v>
      </c>
      <c r="H1623" s="2948" t="s">
        <v>2016</v>
      </c>
      <c r="I1623" s="2948" t="s">
        <v>1279</v>
      </c>
      <c r="J1623" s="2948" t="s">
        <v>643</v>
      </c>
      <c r="K1623" s="2950">
        <v>33.03</v>
      </c>
      <c r="L1623" s="2950">
        <v>13.25</v>
      </c>
      <c r="M1623" s="2951">
        <v>500000</v>
      </c>
      <c r="N1623" s="2951">
        <v>500000</v>
      </c>
      <c r="O1623" s="2952">
        <v>500000</v>
      </c>
      <c r="P1623" s="2953">
        <v>500000</v>
      </c>
      <c r="Q1623" s="2951">
        <v>200000</v>
      </c>
      <c r="R1623" s="2954">
        <v>45288</v>
      </c>
      <c r="S1623" s="2948"/>
      <c r="T1623" s="2948"/>
      <c r="U1623" s="2948"/>
      <c r="V1623" s="2948" t="s">
        <v>1752</v>
      </c>
    </row>
    <row r="1624" spans="1:22" s="2944" customFormat="1" ht="46.8">
      <c r="A1624" s="2948">
        <v>1623</v>
      </c>
      <c r="B1624" s="2948" t="s">
        <v>635</v>
      </c>
      <c r="C1624" s="2948" t="s">
        <v>636</v>
      </c>
      <c r="D1624" s="2948" t="s">
        <v>2014</v>
      </c>
      <c r="E1624" s="2948" t="s">
        <v>729</v>
      </c>
      <c r="F1624" s="2948" t="s">
        <v>2224</v>
      </c>
      <c r="G1624" s="2948" t="s">
        <v>640</v>
      </c>
      <c r="H1624" s="2948" t="s">
        <v>2016</v>
      </c>
      <c r="I1624" s="2948" t="s">
        <v>1279</v>
      </c>
      <c r="J1624" s="2948" t="s">
        <v>643</v>
      </c>
      <c r="K1624" s="2950">
        <v>33.03</v>
      </c>
      <c r="L1624" s="2950">
        <v>13.25</v>
      </c>
      <c r="M1624" s="2951">
        <v>500000</v>
      </c>
      <c r="N1624" s="2951">
        <v>500000</v>
      </c>
      <c r="O1624" s="2952">
        <v>500000</v>
      </c>
      <c r="P1624" s="2953">
        <v>500000</v>
      </c>
      <c r="Q1624" s="2951">
        <v>500000</v>
      </c>
      <c r="R1624" s="2954">
        <v>45230</v>
      </c>
      <c r="S1624" s="2954">
        <v>45230</v>
      </c>
      <c r="T1624" s="2948"/>
      <c r="U1624" s="2948"/>
      <c r="V1624" s="2948" t="s">
        <v>2225</v>
      </c>
    </row>
    <row r="1625" spans="1:22" s="2944" customFormat="1" ht="46.8">
      <c r="A1625" s="2948">
        <v>1624</v>
      </c>
      <c r="B1625" s="2948" t="s">
        <v>635</v>
      </c>
      <c r="C1625" s="2948" t="s">
        <v>636</v>
      </c>
      <c r="D1625" s="2948" t="s">
        <v>2014</v>
      </c>
      <c r="E1625" s="2948" t="s">
        <v>729</v>
      </c>
      <c r="F1625" s="2948" t="s">
        <v>2226</v>
      </c>
      <c r="G1625" s="2948" t="s">
        <v>640</v>
      </c>
      <c r="H1625" s="2948" t="s">
        <v>2016</v>
      </c>
      <c r="I1625" s="2948" t="s">
        <v>1279</v>
      </c>
      <c r="J1625" s="2948" t="s">
        <v>643</v>
      </c>
      <c r="K1625" s="2950">
        <v>33.03</v>
      </c>
      <c r="L1625" s="2950">
        <v>13.25</v>
      </c>
      <c r="M1625" s="2951">
        <v>500000</v>
      </c>
      <c r="N1625" s="2951">
        <v>500000</v>
      </c>
      <c r="O1625" s="2952">
        <v>500000</v>
      </c>
      <c r="P1625" s="2953">
        <v>500000</v>
      </c>
      <c r="Q1625" s="2951">
        <v>500000</v>
      </c>
      <c r="R1625" s="2954">
        <v>45274</v>
      </c>
      <c r="S1625" s="2954">
        <v>45275</v>
      </c>
      <c r="T1625" s="2948"/>
      <c r="U1625" s="2948"/>
      <c r="V1625" s="2948" t="s">
        <v>2134</v>
      </c>
    </row>
    <row r="1626" spans="1:22" s="2944" customFormat="1" ht="46.8">
      <c r="A1626" s="2948">
        <v>1625</v>
      </c>
      <c r="B1626" s="2948" t="s">
        <v>635</v>
      </c>
      <c r="C1626" s="2948" t="s">
        <v>636</v>
      </c>
      <c r="D1626" s="2948" t="s">
        <v>2014</v>
      </c>
      <c r="E1626" s="2948" t="s">
        <v>729</v>
      </c>
      <c r="F1626" s="2948" t="s">
        <v>2227</v>
      </c>
      <c r="G1626" s="2948" t="s">
        <v>640</v>
      </c>
      <c r="H1626" s="2948" t="s">
        <v>2016</v>
      </c>
      <c r="I1626" s="2948" t="s">
        <v>1279</v>
      </c>
      <c r="J1626" s="2948" t="s">
        <v>643</v>
      </c>
      <c r="K1626" s="2950">
        <v>33.03</v>
      </c>
      <c r="L1626" s="2950">
        <v>13.25</v>
      </c>
      <c r="M1626" s="2951">
        <v>500000</v>
      </c>
      <c r="N1626" s="2951">
        <v>500000</v>
      </c>
      <c r="O1626" s="2952">
        <v>500000</v>
      </c>
      <c r="P1626" s="2953">
        <v>500000</v>
      </c>
      <c r="Q1626" s="2951">
        <v>500000</v>
      </c>
      <c r="R1626" s="2954">
        <v>45287</v>
      </c>
      <c r="S1626" s="2954">
        <v>45287</v>
      </c>
      <c r="T1626" s="2948"/>
      <c r="U1626" s="2948"/>
      <c r="V1626" s="2948" t="s">
        <v>1342</v>
      </c>
    </row>
    <row r="1627" spans="1:22" s="2944" customFormat="1" ht="46.8">
      <c r="A1627" s="2948">
        <v>1626</v>
      </c>
      <c r="B1627" s="2948" t="s">
        <v>635</v>
      </c>
      <c r="C1627" s="2948" t="s">
        <v>636</v>
      </c>
      <c r="D1627" s="2948" t="s">
        <v>2228</v>
      </c>
      <c r="E1627" s="2948" t="s">
        <v>2229</v>
      </c>
      <c r="F1627" s="2948" t="s">
        <v>639</v>
      </c>
      <c r="G1627" s="2948" t="s">
        <v>640</v>
      </c>
      <c r="H1627" s="2948" t="s">
        <v>2230</v>
      </c>
      <c r="I1627" s="2948" t="s">
        <v>1454</v>
      </c>
      <c r="J1627" s="2948" t="s">
        <v>643</v>
      </c>
      <c r="K1627" s="2950">
        <v>200.94</v>
      </c>
      <c r="L1627" s="2950">
        <v>85.8</v>
      </c>
      <c r="M1627" s="2951">
        <v>6028200</v>
      </c>
      <c r="N1627" s="2951">
        <v>6028200</v>
      </c>
      <c r="O1627" s="2952">
        <v>6028200</v>
      </c>
      <c r="P1627" s="2953">
        <v>6028200</v>
      </c>
      <c r="Q1627" s="2951">
        <v>6028200</v>
      </c>
      <c r="R1627" s="2954">
        <v>44984</v>
      </c>
      <c r="S1627" s="2954">
        <v>44994</v>
      </c>
      <c r="T1627" s="2954">
        <v>45013</v>
      </c>
      <c r="U1627" s="2954">
        <v>45013</v>
      </c>
      <c r="V1627" s="2948" t="s">
        <v>1812</v>
      </c>
    </row>
    <row r="1628" spans="1:22" s="2944" customFormat="1" ht="46.8">
      <c r="A1628" s="2948">
        <v>1627</v>
      </c>
      <c r="B1628" s="2948" t="s">
        <v>635</v>
      </c>
      <c r="C1628" s="2948" t="s">
        <v>636</v>
      </c>
      <c r="D1628" s="2948" t="s">
        <v>2228</v>
      </c>
      <c r="E1628" s="2948" t="s">
        <v>2229</v>
      </c>
      <c r="F1628" s="2948" t="s">
        <v>1452</v>
      </c>
      <c r="G1628" s="2948" t="s">
        <v>640</v>
      </c>
      <c r="H1628" s="2948" t="s">
        <v>2231</v>
      </c>
      <c r="I1628" s="2948" t="s">
        <v>1454</v>
      </c>
      <c r="J1628" s="2948" t="s">
        <v>643</v>
      </c>
      <c r="K1628" s="2950">
        <v>151.69</v>
      </c>
      <c r="L1628" s="2950">
        <v>64.77</v>
      </c>
      <c r="M1628" s="2951">
        <v>4550700</v>
      </c>
      <c r="N1628" s="2951">
        <v>4550700</v>
      </c>
      <c r="O1628" s="2952">
        <v>4550700</v>
      </c>
      <c r="P1628" s="2953">
        <v>4550700</v>
      </c>
      <c r="Q1628" s="2951">
        <v>4550700</v>
      </c>
      <c r="R1628" s="2954">
        <v>45078</v>
      </c>
      <c r="S1628" s="2954">
        <v>45089</v>
      </c>
      <c r="T1628" s="2954">
        <v>45097</v>
      </c>
      <c r="U1628" s="2954">
        <v>45097</v>
      </c>
      <c r="V1628" s="2948" t="s">
        <v>1810</v>
      </c>
    </row>
    <row r="1629" spans="1:22" s="2944" customFormat="1" ht="46.8">
      <c r="A1629" s="2948">
        <v>1628</v>
      </c>
      <c r="B1629" s="2948" t="s">
        <v>635</v>
      </c>
      <c r="C1629" s="2948" t="s">
        <v>636</v>
      </c>
      <c r="D1629" s="2948" t="s">
        <v>2228</v>
      </c>
      <c r="E1629" s="2948" t="s">
        <v>1451</v>
      </c>
      <c r="F1629" s="2948" t="s">
        <v>639</v>
      </c>
      <c r="G1629" s="2948" t="s">
        <v>640</v>
      </c>
      <c r="H1629" s="2948" t="s">
        <v>2232</v>
      </c>
      <c r="I1629" s="2948" t="s">
        <v>1454</v>
      </c>
      <c r="J1629" s="2948" t="s">
        <v>643</v>
      </c>
      <c r="K1629" s="2950">
        <v>249.01</v>
      </c>
      <c r="L1629" s="2950">
        <v>99.94</v>
      </c>
      <c r="M1629" s="2951">
        <v>7470300</v>
      </c>
      <c r="N1629" s="2951">
        <v>7470300</v>
      </c>
      <c r="O1629" s="2952">
        <v>7470300</v>
      </c>
      <c r="P1629" s="2953">
        <v>7470300</v>
      </c>
      <c r="Q1629" s="2951">
        <v>7470300</v>
      </c>
      <c r="R1629" s="2954">
        <v>44648</v>
      </c>
      <c r="S1629" s="2954">
        <v>44650</v>
      </c>
      <c r="T1629" s="2954">
        <v>44764</v>
      </c>
      <c r="U1629" s="2954">
        <v>44764</v>
      </c>
      <c r="V1629" s="2948" t="s">
        <v>1760</v>
      </c>
    </row>
    <row r="1630" spans="1:22" s="2944" customFormat="1" ht="46.8">
      <c r="A1630" s="2948">
        <v>1629</v>
      </c>
      <c r="B1630" s="2948" t="s">
        <v>635</v>
      </c>
      <c r="C1630" s="2948" t="s">
        <v>636</v>
      </c>
      <c r="D1630" s="2948" t="s">
        <v>2228</v>
      </c>
      <c r="E1630" s="2948" t="s">
        <v>1451</v>
      </c>
      <c r="F1630" s="2948" t="s">
        <v>1452</v>
      </c>
      <c r="G1630" s="2948" t="s">
        <v>640</v>
      </c>
      <c r="H1630" s="2948" t="s">
        <v>2233</v>
      </c>
      <c r="I1630" s="2948" t="s">
        <v>1454</v>
      </c>
      <c r="J1630" s="2948" t="s">
        <v>643</v>
      </c>
      <c r="K1630" s="2950">
        <v>220.03</v>
      </c>
      <c r="L1630" s="2950">
        <v>88.31</v>
      </c>
      <c r="M1630" s="2951">
        <v>6600900</v>
      </c>
      <c r="N1630" s="2951">
        <v>6600900</v>
      </c>
      <c r="O1630" s="2952">
        <v>6270855</v>
      </c>
      <c r="P1630" s="2953">
        <v>6270855</v>
      </c>
      <c r="Q1630" s="2951">
        <v>6270855</v>
      </c>
      <c r="R1630" s="2948"/>
      <c r="S1630" s="2954">
        <v>44631.429571759298</v>
      </c>
      <c r="T1630" s="2954">
        <v>44984</v>
      </c>
      <c r="U1630" s="2954">
        <v>44984</v>
      </c>
      <c r="V1630" s="2948" t="s">
        <v>1758</v>
      </c>
    </row>
    <row r="1631" spans="1:22" s="2944" customFormat="1" ht="46.8">
      <c r="A1631" s="2948">
        <v>1630</v>
      </c>
      <c r="B1631" s="2948" t="s">
        <v>635</v>
      </c>
      <c r="C1631" s="2948" t="s">
        <v>636</v>
      </c>
      <c r="D1631" s="2948" t="s">
        <v>2228</v>
      </c>
      <c r="E1631" s="2948" t="s">
        <v>1455</v>
      </c>
      <c r="F1631" s="2948" t="s">
        <v>639</v>
      </c>
      <c r="G1631" s="2948" t="s">
        <v>640</v>
      </c>
      <c r="H1631" s="2948" t="s">
        <v>2234</v>
      </c>
      <c r="I1631" s="2948" t="s">
        <v>1454</v>
      </c>
      <c r="J1631" s="2948" t="s">
        <v>643</v>
      </c>
      <c r="K1631" s="2950">
        <v>128.94</v>
      </c>
      <c r="L1631" s="2950">
        <v>60.98</v>
      </c>
      <c r="M1631" s="2951">
        <v>3868200</v>
      </c>
      <c r="N1631" s="2951">
        <v>3868200</v>
      </c>
      <c r="O1631" s="2952">
        <v>3868200</v>
      </c>
      <c r="P1631" s="2953">
        <v>3868200</v>
      </c>
      <c r="Q1631" s="2951">
        <v>2000000</v>
      </c>
      <c r="R1631" s="2954">
        <v>45046</v>
      </c>
      <c r="S1631" s="2954">
        <v>45046</v>
      </c>
      <c r="T1631" s="2948"/>
      <c r="U1631" s="2948"/>
      <c r="V1631" s="2948" t="s">
        <v>1674</v>
      </c>
    </row>
    <row r="1632" spans="1:22" s="2944" customFormat="1" ht="46.8">
      <c r="A1632" s="2948">
        <v>1631</v>
      </c>
      <c r="B1632" s="2948" t="s">
        <v>635</v>
      </c>
      <c r="C1632" s="2948" t="s">
        <v>636</v>
      </c>
      <c r="D1632" s="2948" t="s">
        <v>2228</v>
      </c>
      <c r="E1632" s="2948" t="s">
        <v>1455</v>
      </c>
      <c r="F1632" s="2948" t="s">
        <v>1452</v>
      </c>
      <c r="G1632" s="2948" t="s">
        <v>640</v>
      </c>
      <c r="H1632" s="2948" t="s">
        <v>2235</v>
      </c>
      <c r="I1632" s="2948" t="s">
        <v>1454</v>
      </c>
      <c r="J1632" s="2948" t="s">
        <v>643</v>
      </c>
      <c r="K1632" s="2950">
        <v>115.64</v>
      </c>
      <c r="L1632" s="2950">
        <v>54.69</v>
      </c>
      <c r="M1632" s="2951">
        <v>3469200</v>
      </c>
      <c r="N1632" s="2951">
        <v>3469200</v>
      </c>
      <c r="O1632" s="2952">
        <v>3469200</v>
      </c>
      <c r="P1632" s="2953">
        <v>3469200</v>
      </c>
      <c r="Q1632" s="2951">
        <v>3469200</v>
      </c>
      <c r="R1632" s="2954">
        <v>44725</v>
      </c>
      <c r="S1632" s="2954">
        <v>44810</v>
      </c>
      <c r="T1632" s="2954">
        <v>44859</v>
      </c>
      <c r="U1632" s="2954">
        <v>44859</v>
      </c>
      <c r="V1632" s="2948" t="s">
        <v>1673</v>
      </c>
    </row>
    <row r="1633" spans="1:22" s="2944" customFormat="1" ht="46.8">
      <c r="A1633" s="2948">
        <v>1632</v>
      </c>
      <c r="B1633" s="2948" t="s">
        <v>635</v>
      </c>
      <c r="C1633" s="2948" t="s">
        <v>636</v>
      </c>
      <c r="D1633" s="2948" t="s">
        <v>2228</v>
      </c>
      <c r="E1633" s="2948" t="s">
        <v>1455</v>
      </c>
      <c r="F1633" s="2948" t="s">
        <v>1458</v>
      </c>
      <c r="G1633" s="2948" t="s">
        <v>640</v>
      </c>
      <c r="H1633" s="2948" t="s">
        <v>2235</v>
      </c>
      <c r="I1633" s="2948" t="s">
        <v>1454</v>
      </c>
      <c r="J1633" s="2948" t="s">
        <v>643</v>
      </c>
      <c r="K1633" s="2950">
        <v>115.64</v>
      </c>
      <c r="L1633" s="2950">
        <v>54.69</v>
      </c>
      <c r="M1633" s="2951">
        <v>3469200</v>
      </c>
      <c r="N1633" s="2951">
        <v>3469200</v>
      </c>
      <c r="O1633" s="2952">
        <v>3469200</v>
      </c>
      <c r="P1633" s="2953">
        <v>3469200</v>
      </c>
      <c r="Q1633" s="2951">
        <v>3469200</v>
      </c>
      <c r="R1633" s="2954">
        <v>44831</v>
      </c>
      <c r="S1633" s="2954">
        <v>44858</v>
      </c>
      <c r="T1633" s="2954">
        <v>44934</v>
      </c>
      <c r="U1633" s="2954">
        <v>44934</v>
      </c>
      <c r="V1633" s="2948" t="s">
        <v>1640</v>
      </c>
    </row>
    <row r="1634" spans="1:22" s="2944" customFormat="1" ht="46.8">
      <c r="A1634" s="2948">
        <v>1633</v>
      </c>
      <c r="B1634" s="2948" t="s">
        <v>635</v>
      </c>
      <c r="C1634" s="2948" t="s">
        <v>636</v>
      </c>
      <c r="D1634" s="2948" t="s">
        <v>2228</v>
      </c>
      <c r="E1634" s="2948" t="s">
        <v>1455</v>
      </c>
      <c r="F1634" s="2948" t="s">
        <v>1457</v>
      </c>
      <c r="G1634" s="2948" t="s">
        <v>640</v>
      </c>
      <c r="H1634" s="2948" t="s">
        <v>2236</v>
      </c>
      <c r="I1634" s="2948" t="s">
        <v>1454</v>
      </c>
      <c r="J1634" s="2948" t="s">
        <v>643</v>
      </c>
      <c r="K1634" s="2950">
        <v>128.94</v>
      </c>
      <c r="L1634" s="2950">
        <v>60.98</v>
      </c>
      <c r="M1634" s="2951">
        <v>3868200</v>
      </c>
      <c r="N1634" s="2951">
        <v>3868200</v>
      </c>
      <c r="O1634" s="2952">
        <v>3868200</v>
      </c>
      <c r="P1634" s="2953">
        <v>3868200</v>
      </c>
      <c r="Q1634" s="2951">
        <v>3868200</v>
      </c>
      <c r="R1634" s="2948"/>
      <c r="S1634" s="2954">
        <v>45182</v>
      </c>
      <c r="T1634" s="2948"/>
      <c r="U1634" s="2948"/>
      <c r="V1634" s="2948" t="s">
        <v>1638</v>
      </c>
    </row>
    <row r="1635" spans="1:22" s="2944" customFormat="1" ht="46.8">
      <c r="A1635" s="2948">
        <v>1634</v>
      </c>
      <c r="B1635" s="2948" t="s">
        <v>635</v>
      </c>
      <c r="C1635" s="2948" t="s">
        <v>636</v>
      </c>
      <c r="D1635" s="2948" t="s">
        <v>2228</v>
      </c>
      <c r="E1635" s="2948" t="s">
        <v>822</v>
      </c>
      <c r="F1635" s="2948" t="s">
        <v>639</v>
      </c>
      <c r="G1635" s="2948" t="s">
        <v>640</v>
      </c>
      <c r="H1635" s="2948" t="s">
        <v>2237</v>
      </c>
      <c r="I1635" s="2948" t="s">
        <v>1454</v>
      </c>
      <c r="J1635" s="2948" t="s">
        <v>643</v>
      </c>
      <c r="K1635" s="2950">
        <v>127.76</v>
      </c>
      <c r="L1635" s="2950">
        <v>60.98</v>
      </c>
      <c r="M1635" s="2951">
        <v>3832800</v>
      </c>
      <c r="N1635" s="2951">
        <v>3832800</v>
      </c>
      <c r="O1635" s="2952">
        <v>3832800</v>
      </c>
      <c r="P1635" s="2953">
        <v>3832800</v>
      </c>
      <c r="Q1635" s="2951">
        <v>3832800</v>
      </c>
      <c r="R1635" s="2954">
        <v>45037</v>
      </c>
      <c r="S1635" s="2954">
        <v>45044</v>
      </c>
      <c r="T1635" s="2954">
        <v>45063</v>
      </c>
      <c r="U1635" s="2954">
        <v>45063</v>
      </c>
      <c r="V1635" s="2948" t="s">
        <v>1610</v>
      </c>
    </row>
    <row r="1636" spans="1:22" s="2944" customFormat="1" ht="46.8">
      <c r="A1636" s="2948">
        <v>1635</v>
      </c>
      <c r="B1636" s="2948" t="s">
        <v>635</v>
      </c>
      <c r="C1636" s="2948" t="s">
        <v>636</v>
      </c>
      <c r="D1636" s="2948" t="s">
        <v>2228</v>
      </c>
      <c r="E1636" s="2948" t="s">
        <v>822</v>
      </c>
      <c r="F1636" s="2948" t="s">
        <v>1452</v>
      </c>
      <c r="G1636" s="2948" t="s">
        <v>640</v>
      </c>
      <c r="H1636" s="2948" t="s">
        <v>2238</v>
      </c>
      <c r="I1636" s="2948" t="s">
        <v>1454</v>
      </c>
      <c r="J1636" s="2948" t="s">
        <v>643</v>
      </c>
      <c r="K1636" s="2950">
        <v>114.58</v>
      </c>
      <c r="L1636" s="2950">
        <v>54.69</v>
      </c>
      <c r="M1636" s="2951">
        <v>3437400</v>
      </c>
      <c r="N1636" s="2951">
        <v>3437400</v>
      </c>
      <c r="O1636" s="2952">
        <v>3437400</v>
      </c>
      <c r="P1636" s="2953">
        <v>3437400</v>
      </c>
      <c r="Q1636" s="2951">
        <v>3437400</v>
      </c>
      <c r="R1636" s="2954">
        <v>45046</v>
      </c>
      <c r="S1636" s="2954">
        <v>45046</v>
      </c>
      <c r="T1636" s="2954">
        <v>45049</v>
      </c>
      <c r="U1636" s="2954">
        <v>45044</v>
      </c>
      <c r="V1636" s="2948" t="s">
        <v>1609</v>
      </c>
    </row>
    <row r="1637" spans="1:22" s="2944" customFormat="1" ht="46.8">
      <c r="A1637" s="2948">
        <v>1636</v>
      </c>
      <c r="B1637" s="2948" t="s">
        <v>635</v>
      </c>
      <c r="C1637" s="2948" t="s">
        <v>636</v>
      </c>
      <c r="D1637" s="2948" t="s">
        <v>2228</v>
      </c>
      <c r="E1637" s="2948" t="s">
        <v>822</v>
      </c>
      <c r="F1637" s="2948" t="s">
        <v>1458</v>
      </c>
      <c r="G1637" s="2948" t="s">
        <v>640</v>
      </c>
      <c r="H1637" s="2948" t="s">
        <v>2238</v>
      </c>
      <c r="I1637" s="2948" t="s">
        <v>1454</v>
      </c>
      <c r="J1637" s="2948" t="s">
        <v>643</v>
      </c>
      <c r="K1637" s="2950">
        <v>114.58</v>
      </c>
      <c r="L1637" s="2950">
        <v>54.69</v>
      </c>
      <c r="M1637" s="2951">
        <v>3437400</v>
      </c>
      <c r="N1637" s="2951">
        <v>3437400</v>
      </c>
      <c r="O1637" s="2952">
        <v>3437400</v>
      </c>
      <c r="P1637" s="2953">
        <v>3437400</v>
      </c>
      <c r="Q1637" s="2951">
        <v>3437400</v>
      </c>
      <c r="R1637" s="2954">
        <v>44830</v>
      </c>
      <c r="S1637" s="2954">
        <v>44832</v>
      </c>
      <c r="T1637" s="2954">
        <v>45015</v>
      </c>
      <c r="U1637" s="2954">
        <v>45015</v>
      </c>
      <c r="V1637" s="2948" t="s">
        <v>1580</v>
      </c>
    </row>
    <row r="1638" spans="1:22" s="2944" customFormat="1" ht="46.8">
      <c r="A1638" s="2948">
        <v>1637</v>
      </c>
      <c r="B1638" s="2948" t="s">
        <v>635</v>
      </c>
      <c r="C1638" s="2948" t="s">
        <v>636</v>
      </c>
      <c r="D1638" s="2948" t="s">
        <v>2228</v>
      </c>
      <c r="E1638" s="2948" t="s">
        <v>822</v>
      </c>
      <c r="F1638" s="2948" t="s">
        <v>1457</v>
      </c>
      <c r="G1638" s="2948" t="s">
        <v>640</v>
      </c>
      <c r="H1638" s="2948" t="s">
        <v>2237</v>
      </c>
      <c r="I1638" s="2948" t="s">
        <v>1454</v>
      </c>
      <c r="J1638" s="2948" t="s">
        <v>643</v>
      </c>
      <c r="K1638" s="2950">
        <v>127.76</v>
      </c>
      <c r="L1638" s="2950">
        <v>60.98</v>
      </c>
      <c r="M1638" s="2951">
        <v>3832800</v>
      </c>
      <c r="N1638" s="2951">
        <v>3832800</v>
      </c>
      <c r="O1638" s="2952">
        <v>3832800</v>
      </c>
      <c r="P1638" s="2953">
        <v>3832800</v>
      </c>
      <c r="Q1638" s="2951">
        <v>3832800</v>
      </c>
      <c r="R1638" s="2954">
        <v>45075</v>
      </c>
      <c r="S1638" s="2954">
        <v>45075</v>
      </c>
      <c r="T1638" s="2954">
        <v>45080</v>
      </c>
      <c r="U1638" s="2954">
        <v>45080</v>
      </c>
      <c r="V1638" s="2948" t="s">
        <v>1578</v>
      </c>
    </row>
    <row r="1639" spans="1:22" s="2944" customFormat="1" ht="46.8">
      <c r="A1639" s="2948">
        <v>1638</v>
      </c>
      <c r="B1639" s="2948" t="s">
        <v>635</v>
      </c>
      <c r="C1639" s="2948" t="s">
        <v>636</v>
      </c>
      <c r="D1639" s="2948" t="s">
        <v>2228</v>
      </c>
      <c r="E1639" s="2948" t="s">
        <v>1456</v>
      </c>
      <c r="F1639" s="2948" t="s">
        <v>639</v>
      </c>
      <c r="G1639" s="2948" t="s">
        <v>640</v>
      </c>
      <c r="H1639" s="2948" t="s">
        <v>2239</v>
      </c>
      <c r="I1639" s="2948" t="s">
        <v>1454</v>
      </c>
      <c r="J1639" s="2948" t="s">
        <v>643</v>
      </c>
      <c r="K1639" s="2950">
        <v>135.6</v>
      </c>
      <c r="L1639" s="2950">
        <v>53.65</v>
      </c>
      <c r="M1639" s="2951">
        <v>4068000</v>
      </c>
      <c r="N1639" s="2951">
        <v>4068000</v>
      </c>
      <c r="O1639" s="2952">
        <v>4068000</v>
      </c>
      <c r="P1639" s="2953">
        <v>4068000</v>
      </c>
      <c r="Q1639" s="2951">
        <v>4068000</v>
      </c>
      <c r="R1639" s="2954">
        <v>45046</v>
      </c>
      <c r="S1639" s="2954">
        <v>45046</v>
      </c>
      <c r="T1639" s="2954">
        <v>45108</v>
      </c>
      <c r="U1639" s="2954">
        <v>45108</v>
      </c>
      <c r="V1639" s="2948" t="s">
        <v>1553</v>
      </c>
    </row>
    <row r="1640" spans="1:22" s="2944" customFormat="1" ht="46.8">
      <c r="A1640" s="2948">
        <v>1639</v>
      </c>
      <c r="B1640" s="2948" t="s">
        <v>635</v>
      </c>
      <c r="C1640" s="2948" t="s">
        <v>636</v>
      </c>
      <c r="D1640" s="2948" t="s">
        <v>2228</v>
      </c>
      <c r="E1640" s="2948" t="s">
        <v>1456</v>
      </c>
      <c r="F1640" s="2948" t="s">
        <v>1452</v>
      </c>
      <c r="G1640" s="2948" t="s">
        <v>640</v>
      </c>
      <c r="H1640" s="2948" t="s">
        <v>2240</v>
      </c>
      <c r="I1640" s="2948" t="s">
        <v>1454</v>
      </c>
      <c r="J1640" s="2948" t="s">
        <v>643</v>
      </c>
      <c r="K1640" s="2950">
        <v>135.02000000000001</v>
      </c>
      <c r="L1640" s="2950">
        <v>53.42</v>
      </c>
      <c r="M1640" s="2951">
        <v>4050600</v>
      </c>
      <c r="N1640" s="2951">
        <v>4050600</v>
      </c>
      <c r="O1640" s="2952">
        <v>4050600</v>
      </c>
      <c r="P1640" s="2953">
        <v>4050600</v>
      </c>
      <c r="Q1640" s="2951">
        <v>1620240</v>
      </c>
      <c r="R1640" s="2954">
        <v>45285</v>
      </c>
      <c r="S1640" s="2954">
        <v>45285</v>
      </c>
      <c r="T1640" s="2948"/>
      <c r="U1640" s="2948"/>
      <c r="V1640" s="2948" t="s">
        <v>1551</v>
      </c>
    </row>
    <row r="1641" spans="1:22" s="2944" customFormat="1" ht="46.8">
      <c r="A1641" s="2948">
        <v>1640</v>
      </c>
      <c r="B1641" s="2948" t="s">
        <v>635</v>
      </c>
      <c r="C1641" s="2948" t="s">
        <v>636</v>
      </c>
      <c r="D1641" s="2948" t="s">
        <v>2228</v>
      </c>
      <c r="E1641" s="2948" t="s">
        <v>1459</v>
      </c>
      <c r="F1641" s="2948" t="s">
        <v>639</v>
      </c>
      <c r="G1641" s="2948" t="s">
        <v>640</v>
      </c>
      <c r="H1641" s="2948" t="s">
        <v>2241</v>
      </c>
      <c r="I1641" s="2948" t="s">
        <v>1454</v>
      </c>
      <c r="J1641" s="2948" t="s">
        <v>643</v>
      </c>
      <c r="K1641" s="2950">
        <v>116.35</v>
      </c>
      <c r="L1641" s="2950">
        <v>60.48</v>
      </c>
      <c r="M1641" s="2951">
        <v>3490500</v>
      </c>
      <c r="N1641" s="2951">
        <v>3490500</v>
      </c>
      <c r="O1641" s="2952">
        <v>3490500</v>
      </c>
      <c r="P1641" s="2953">
        <v>3490500</v>
      </c>
      <c r="Q1641" s="2951">
        <v>3490500</v>
      </c>
      <c r="R1641" s="2954">
        <v>44799</v>
      </c>
      <c r="S1641" s="2954">
        <v>44887</v>
      </c>
      <c r="T1641" s="2954">
        <v>44887</v>
      </c>
      <c r="U1641" s="2954">
        <v>44887</v>
      </c>
      <c r="V1641" s="2948" t="s">
        <v>1523</v>
      </c>
    </row>
    <row r="1642" spans="1:22" s="2944" customFormat="1" ht="46.8">
      <c r="A1642" s="2948">
        <v>1641</v>
      </c>
      <c r="B1642" s="2948" t="s">
        <v>635</v>
      </c>
      <c r="C1642" s="2948" t="s">
        <v>636</v>
      </c>
      <c r="D1642" s="2948" t="s">
        <v>2228</v>
      </c>
      <c r="E1642" s="2948" t="s">
        <v>1459</v>
      </c>
      <c r="F1642" s="2948" t="s">
        <v>1452</v>
      </c>
      <c r="G1642" s="2948" t="s">
        <v>640</v>
      </c>
      <c r="H1642" s="2948" t="s">
        <v>2242</v>
      </c>
      <c r="I1642" s="2948" t="s">
        <v>1454</v>
      </c>
      <c r="J1642" s="2948" t="s">
        <v>643</v>
      </c>
      <c r="K1642" s="2950">
        <v>105.21</v>
      </c>
      <c r="L1642" s="2950">
        <v>54.69</v>
      </c>
      <c r="M1642" s="2951">
        <v>3156300</v>
      </c>
      <c r="N1642" s="2951">
        <v>3156300</v>
      </c>
      <c r="O1642" s="2952">
        <v>3156300</v>
      </c>
      <c r="P1642" s="2953">
        <v>3156300</v>
      </c>
      <c r="Q1642" s="2951">
        <v>3156300</v>
      </c>
      <c r="R1642" s="2954">
        <v>44498</v>
      </c>
      <c r="S1642" s="2954">
        <v>44526</v>
      </c>
      <c r="T1642" s="2954">
        <v>44764</v>
      </c>
      <c r="U1642" s="2954">
        <v>44764</v>
      </c>
      <c r="V1642" s="2948" t="s">
        <v>1521</v>
      </c>
    </row>
    <row r="1643" spans="1:22" s="2944" customFormat="1" ht="46.8">
      <c r="A1643" s="2948">
        <v>1642</v>
      </c>
      <c r="B1643" s="2948" t="s">
        <v>635</v>
      </c>
      <c r="C1643" s="2948" t="s">
        <v>636</v>
      </c>
      <c r="D1643" s="2948" t="s">
        <v>2228</v>
      </c>
      <c r="E1643" s="2948" t="s">
        <v>1459</v>
      </c>
      <c r="F1643" s="2948" t="s">
        <v>1458</v>
      </c>
      <c r="G1643" s="2948" t="s">
        <v>640</v>
      </c>
      <c r="H1643" s="2948" t="s">
        <v>2242</v>
      </c>
      <c r="I1643" s="2948" t="s">
        <v>1454</v>
      </c>
      <c r="J1643" s="2948" t="s">
        <v>643</v>
      </c>
      <c r="K1643" s="2950">
        <v>105.21</v>
      </c>
      <c r="L1643" s="2950">
        <v>54.69</v>
      </c>
      <c r="M1643" s="2951">
        <v>3156300</v>
      </c>
      <c r="N1643" s="2951">
        <v>3156300</v>
      </c>
      <c r="O1643" s="2952">
        <v>3156300</v>
      </c>
      <c r="P1643" s="2953">
        <v>3156300</v>
      </c>
      <c r="Q1643" s="2951">
        <v>3156300</v>
      </c>
      <c r="R1643" s="2954">
        <v>44641</v>
      </c>
      <c r="S1643" s="2954">
        <v>44646</v>
      </c>
      <c r="T1643" s="2954">
        <v>44739</v>
      </c>
      <c r="U1643" s="2954">
        <v>44739</v>
      </c>
      <c r="V1643" s="2948" t="s">
        <v>1495</v>
      </c>
    </row>
    <row r="1644" spans="1:22" s="2944" customFormat="1" ht="46.8">
      <c r="A1644" s="2948">
        <v>1643</v>
      </c>
      <c r="B1644" s="2948" t="s">
        <v>635</v>
      </c>
      <c r="C1644" s="2948" t="s">
        <v>636</v>
      </c>
      <c r="D1644" s="2948" t="s">
        <v>2228</v>
      </c>
      <c r="E1644" s="2948" t="s">
        <v>1459</v>
      </c>
      <c r="F1644" s="2948" t="s">
        <v>1457</v>
      </c>
      <c r="G1644" s="2948" t="s">
        <v>640</v>
      </c>
      <c r="H1644" s="2948" t="s">
        <v>2243</v>
      </c>
      <c r="I1644" s="2948" t="s">
        <v>1454</v>
      </c>
      <c r="J1644" s="2948" t="s">
        <v>643</v>
      </c>
      <c r="K1644" s="2950">
        <v>114.93</v>
      </c>
      <c r="L1644" s="2950">
        <v>59.74</v>
      </c>
      <c r="M1644" s="2951">
        <v>3447900</v>
      </c>
      <c r="N1644" s="2951">
        <v>3447900</v>
      </c>
      <c r="O1644" s="2952">
        <v>3447900</v>
      </c>
      <c r="P1644" s="2953">
        <v>3447900</v>
      </c>
      <c r="Q1644" s="2951">
        <v>3447900</v>
      </c>
      <c r="R1644" s="2954">
        <v>44650</v>
      </c>
      <c r="S1644" s="2954">
        <v>44727</v>
      </c>
      <c r="T1644" s="2954">
        <v>44769</v>
      </c>
      <c r="U1644" s="2954">
        <v>44769</v>
      </c>
      <c r="V1644" s="2948" t="s">
        <v>1493</v>
      </c>
    </row>
    <row r="1645" spans="1:22" s="2944" customFormat="1" ht="46.8">
      <c r="A1645" s="2948">
        <v>1644</v>
      </c>
      <c r="B1645" s="2948" t="s">
        <v>635</v>
      </c>
      <c r="C1645" s="2948" t="s">
        <v>636</v>
      </c>
      <c r="D1645" s="2948" t="s">
        <v>2228</v>
      </c>
      <c r="E1645" s="2948" t="s">
        <v>1460</v>
      </c>
      <c r="F1645" s="2948" t="s">
        <v>639</v>
      </c>
      <c r="G1645" s="2948" t="s">
        <v>640</v>
      </c>
      <c r="H1645" s="2948" t="s">
        <v>2244</v>
      </c>
      <c r="I1645" s="2948" t="s">
        <v>1454</v>
      </c>
      <c r="J1645" s="2948" t="s">
        <v>643</v>
      </c>
      <c r="K1645" s="2950">
        <v>163.56</v>
      </c>
      <c r="L1645" s="2950">
        <v>89.89</v>
      </c>
      <c r="M1645" s="2951">
        <v>4906800</v>
      </c>
      <c r="N1645" s="2951">
        <v>4906800</v>
      </c>
      <c r="O1645" s="2952">
        <v>4906800</v>
      </c>
      <c r="P1645" s="2953">
        <v>4906800</v>
      </c>
      <c r="Q1645" s="2951">
        <v>4906800</v>
      </c>
      <c r="R1645" s="2954">
        <v>45015</v>
      </c>
      <c r="S1645" s="2954">
        <v>45015</v>
      </c>
      <c r="T1645" s="2954">
        <v>45108</v>
      </c>
      <c r="U1645" s="2954">
        <v>45108</v>
      </c>
      <c r="V1645" s="2948" t="s">
        <v>1465</v>
      </c>
    </row>
    <row r="1646" spans="1:22" s="2944" customFormat="1" ht="46.8">
      <c r="A1646" s="2948">
        <v>1645</v>
      </c>
      <c r="B1646" s="2948" t="s">
        <v>635</v>
      </c>
      <c r="C1646" s="2948" t="s">
        <v>636</v>
      </c>
      <c r="D1646" s="2948" t="s">
        <v>2228</v>
      </c>
      <c r="E1646" s="2948" t="s">
        <v>1460</v>
      </c>
      <c r="F1646" s="2948" t="s">
        <v>1452</v>
      </c>
      <c r="G1646" s="2948" t="s">
        <v>640</v>
      </c>
      <c r="H1646" s="2948" t="s">
        <v>2245</v>
      </c>
      <c r="I1646" s="2948" t="s">
        <v>1454</v>
      </c>
      <c r="J1646" s="2948" t="s">
        <v>643</v>
      </c>
      <c r="K1646" s="2950">
        <v>165.97</v>
      </c>
      <c r="L1646" s="2950">
        <v>91.21</v>
      </c>
      <c r="M1646" s="2951">
        <v>4979100</v>
      </c>
      <c r="N1646" s="2951">
        <v>4979100</v>
      </c>
      <c r="O1646" s="2952">
        <v>4979100</v>
      </c>
      <c r="P1646" s="2953">
        <v>4979100</v>
      </c>
      <c r="Q1646" s="2951">
        <v>4979100</v>
      </c>
      <c r="R1646" s="2954">
        <v>44454</v>
      </c>
      <c r="S1646" s="2954">
        <v>44458</v>
      </c>
      <c r="T1646" s="2954">
        <v>44764</v>
      </c>
      <c r="U1646" s="2954">
        <v>44764</v>
      </c>
      <c r="V1646" s="2948" t="s">
        <v>1464</v>
      </c>
    </row>
    <row r="1647" spans="1:22" s="2944" customFormat="1" ht="46.8" hidden="1">
      <c r="A1647" s="2948">
        <v>1646</v>
      </c>
      <c r="B1647" s="2948" t="s">
        <v>635</v>
      </c>
      <c r="C1647" s="2948" t="s">
        <v>636</v>
      </c>
      <c r="D1647" s="2948" t="s">
        <v>2228</v>
      </c>
      <c r="E1647" s="2948" t="s">
        <v>1461</v>
      </c>
      <c r="F1647" s="2948" t="s">
        <v>639</v>
      </c>
      <c r="G1647" s="2948" t="s">
        <v>1035</v>
      </c>
      <c r="H1647" s="2948" t="s">
        <v>2244</v>
      </c>
      <c r="I1647" s="2948" t="s">
        <v>1454</v>
      </c>
      <c r="J1647" s="2948" t="s">
        <v>643</v>
      </c>
      <c r="K1647" s="2950">
        <v>235.38</v>
      </c>
      <c r="L1647" s="2950">
        <v>83.63</v>
      </c>
      <c r="M1647" s="2951">
        <v>7061400</v>
      </c>
      <c r="N1647" s="2951">
        <v>7061400</v>
      </c>
      <c r="O1647" s="2955"/>
      <c r="P1647" s="2948"/>
      <c r="Q1647" s="2951">
        <v>0</v>
      </c>
      <c r="R1647" s="2948"/>
      <c r="S1647" s="2948"/>
      <c r="T1647" s="2948"/>
      <c r="U1647" s="2948"/>
      <c r="V1647" s="2948"/>
    </row>
    <row r="1648" spans="1:22" s="2944" customFormat="1" ht="46.8">
      <c r="A1648" s="2948">
        <v>1647</v>
      </c>
      <c r="B1648" s="2948" t="s">
        <v>635</v>
      </c>
      <c r="C1648" s="2948" t="s">
        <v>636</v>
      </c>
      <c r="D1648" s="2948" t="s">
        <v>2228</v>
      </c>
      <c r="E1648" s="2948" t="s">
        <v>1461</v>
      </c>
      <c r="F1648" s="2948" t="s">
        <v>1452</v>
      </c>
      <c r="G1648" s="2948" t="s">
        <v>640</v>
      </c>
      <c r="H1648" s="2948" t="s">
        <v>2245</v>
      </c>
      <c r="I1648" s="2948" t="s">
        <v>1454</v>
      </c>
      <c r="J1648" s="2948" t="s">
        <v>643</v>
      </c>
      <c r="K1648" s="2950">
        <v>172.28</v>
      </c>
      <c r="L1648" s="2950">
        <v>61.21</v>
      </c>
      <c r="M1648" s="2951">
        <v>5168400</v>
      </c>
      <c r="N1648" s="2951">
        <v>5168400</v>
      </c>
      <c r="O1648" s="2952">
        <v>5168400</v>
      </c>
      <c r="P1648" s="2953">
        <v>5168400</v>
      </c>
      <c r="Q1648" s="2951">
        <v>5168400</v>
      </c>
      <c r="R1648" s="2954">
        <v>44865</v>
      </c>
      <c r="S1648" s="2954">
        <v>44865</v>
      </c>
      <c r="T1648" s="2954">
        <v>45005</v>
      </c>
      <c r="U1648" s="2954">
        <v>45005</v>
      </c>
      <c r="V1648" s="2948" t="s">
        <v>1707</v>
      </c>
    </row>
    <row r="1649" spans="1:23" s="2944" customFormat="1" ht="93.6">
      <c r="A1649" s="2948">
        <v>1648</v>
      </c>
      <c r="B1649" s="2948" t="s">
        <v>635</v>
      </c>
      <c r="C1649" s="2948" t="s">
        <v>636</v>
      </c>
      <c r="D1649" s="2948" t="s">
        <v>2246</v>
      </c>
      <c r="E1649" s="2948" t="s">
        <v>1451</v>
      </c>
      <c r="F1649" s="2948" t="s">
        <v>2247</v>
      </c>
      <c r="G1649" s="2948" t="s">
        <v>640</v>
      </c>
      <c r="H1649" s="2948" t="s">
        <v>1453</v>
      </c>
      <c r="I1649" s="2948" t="s">
        <v>2248</v>
      </c>
      <c r="J1649" s="2948" t="s">
        <v>643</v>
      </c>
      <c r="K1649" s="2950">
        <v>23.05</v>
      </c>
      <c r="L1649" s="2950">
        <v>10.23</v>
      </c>
      <c r="M1649" s="2951">
        <v>691500</v>
      </c>
      <c r="N1649" s="2951">
        <v>691500</v>
      </c>
      <c r="O1649" s="2952">
        <v>691500</v>
      </c>
      <c r="P1649" s="2953">
        <v>691500</v>
      </c>
      <c r="Q1649" s="2951">
        <v>691500</v>
      </c>
      <c r="R1649" s="2954">
        <v>44959</v>
      </c>
      <c r="S1649" s="2954">
        <v>44971</v>
      </c>
      <c r="T1649" s="2954">
        <v>44971</v>
      </c>
      <c r="U1649" s="2954">
        <v>44971</v>
      </c>
      <c r="V1649" s="2948" t="s">
        <v>1024</v>
      </c>
      <c r="W1649" s="2944">
        <f>O1649/K1649</f>
        <v>30000</v>
      </c>
    </row>
    <row r="1650" spans="1:23" s="2944" customFormat="1" ht="93.6">
      <c r="A1650" s="2948">
        <v>1649</v>
      </c>
      <c r="B1650" s="2948" t="s">
        <v>635</v>
      </c>
      <c r="C1650" s="2948" t="s">
        <v>636</v>
      </c>
      <c r="D1650" s="2948" t="s">
        <v>2246</v>
      </c>
      <c r="E1650" s="2948" t="s">
        <v>1451</v>
      </c>
      <c r="F1650" s="2948" t="s">
        <v>2249</v>
      </c>
      <c r="G1650" s="2948" t="s">
        <v>640</v>
      </c>
      <c r="H1650" s="2948" t="s">
        <v>1453</v>
      </c>
      <c r="I1650" s="2948" t="s">
        <v>2248</v>
      </c>
      <c r="J1650" s="2948" t="s">
        <v>643</v>
      </c>
      <c r="K1650" s="2950">
        <v>20.190000000000001</v>
      </c>
      <c r="L1650" s="2950">
        <v>8.9600000000000009</v>
      </c>
      <c r="M1650" s="2951">
        <v>605700</v>
      </c>
      <c r="N1650" s="2951">
        <v>605700</v>
      </c>
      <c r="O1650" s="2952">
        <v>605700</v>
      </c>
      <c r="P1650" s="2953">
        <v>605700</v>
      </c>
      <c r="Q1650" s="2951">
        <v>605700</v>
      </c>
      <c r="R1650" s="2954">
        <v>45224</v>
      </c>
      <c r="S1650" s="2954">
        <v>45230</v>
      </c>
      <c r="T1650" s="2948"/>
      <c r="U1650" s="2948"/>
      <c r="V1650" s="2948" t="s">
        <v>1015</v>
      </c>
      <c r="W1650" s="2944">
        <f t="shared" ref="W1650:W1713" si="10">O1650/K1650</f>
        <v>30000</v>
      </c>
    </row>
    <row r="1651" spans="1:23" s="2944" customFormat="1" ht="93.6">
      <c r="A1651" s="2948">
        <v>1650</v>
      </c>
      <c r="B1651" s="2948" t="s">
        <v>635</v>
      </c>
      <c r="C1651" s="2948" t="s">
        <v>636</v>
      </c>
      <c r="D1651" s="2948" t="s">
        <v>2246</v>
      </c>
      <c r="E1651" s="2948" t="s">
        <v>1451</v>
      </c>
      <c r="F1651" s="2948" t="s">
        <v>2250</v>
      </c>
      <c r="G1651" s="2948" t="s">
        <v>640</v>
      </c>
      <c r="H1651" s="2948" t="s">
        <v>1453</v>
      </c>
      <c r="I1651" s="2948" t="s">
        <v>2248</v>
      </c>
      <c r="J1651" s="2948" t="s">
        <v>643</v>
      </c>
      <c r="K1651" s="2950">
        <v>23.8</v>
      </c>
      <c r="L1651" s="2950">
        <v>10.56</v>
      </c>
      <c r="M1651" s="2951">
        <v>714000</v>
      </c>
      <c r="N1651" s="2951">
        <v>714000</v>
      </c>
      <c r="O1651" s="2952">
        <v>714000</v>
      </c>
      <c r="P1651" s="2953">
        <v>714000</v>
      </c>
      <c r="Q1651" s="2951">
        <v>714000</v>
      </c>
      <c r="R1651" s="2954">
        <v>45075</v>
      </c>
      <c r="S1651" s="2954">
        <v>45075</v>
      </c>
      <c r="T1651" s="2954">
        <v>45075</v>
      </c>
      <c r="U1651" s="2954">
        <v>45075</v>
      </c>
      <c r="V1651" s="2948" t="s">
        <v>995</v>
      </c>
      <c r="W1651" s="2944">
        <f t="shared" si="10"/>
        <v>30000</v>
      </c>
    </row>
    <row r="1652" spans="1:23" s="2944" customFormat="1" ht="93.6" hidden="1">
      <c r="A1652" s="2948">
        <v>1651</v>
      </c>
      <c r="B1652" s="2948" t="s">
        <v>635</v>
      </c>
      <c r="C1652" s="2948" t="s">
        <v>636</v>
      </c>
      <c r="D1652" s="2948" t="s">
        <v>2246</v>
      </c>
      <c r="E1652" s="2948" t="s">
        <v>1451</v>
      </c>
      <c r="F1652" s="2948" t="s">
        <v>1457</v>
      </c>
      <c r="G1652" s="2948" t="s">
        <v>1035</v>
      </c>
      <c r="H1652" s="2948" t="s">
        <v>1453</v>
      </c>
      <c r="I1652" s="2948" t="s">
        <v>2248</v>
      </c>
      <c r="J1652" s="2948" t="s">
        <v>643</v>
      </c>
      <c r="K1652" s="2950">
        <v>29.92</v>
      </c>
      <c r="L1652" s="2950">
        <v>13.28</v>
      </c>
      <c r="M1652" s="2951">
        <v>897600</v>
      </c>
      <c r="N1652" s="2951">
        <v>897600</v>
      </c>
      <c r="O1652" s="2955"/>
      <c r="P1652" s="2948"/>
      <c r="Q1652" s="2951">
        <v>0</v>
      </c>
      <c r="R1652" s="2948"/>
      <c r="S1652" s="2948"/>
      <c r="T1652" s="2948"/>
      <c r="U1652" s="2948"/>
      <c r="V1652" s="2948"/>
      <c r="W1652" s="2944">
        <f t="shared" si="10"/>
        <v>0</v>
      </c>
    </row>
    <row r="1653" spans="1:23" s="2944" customFormat="1" ht="93.6" hidden="1">
      <c r="A1653" s="2948">
        <v>1652</v>
      </c>
      <c r="B1653" s="2948" t="s">
        <v>635</v>
      </c>
      <c r="C1653" s="2948" t="s">
        <v>636</v>
      </c>
      <c r="D1653" s="2948" t="s">
        <v>2246</v>
      </c>
      <c r="E1653" s="2948" t="s">
        <v>1451</v>
      </c>
      <c r="F1653" s="2948" t="s">
        <v>1458</v>
      </c>
      <c r="G1653" s="2948" t="s">
        <v>1035</v>
      </c>
      <c r="H1653" s="2948" t="s">
        <v>1453</v>
      </c>
      <c r="I1653" s="2948" t="s">
        <v>2248</v>
      </c>
      <c r="J1653" s="2948" t="s">
        <v>643</v>
      </c>
      <c r="K1653" s="2950">
        <v>13.63</v>
      </c>
      <c r="L1653" s="2950">
        <v>6.05</v>
      </c>
      <c r="M1653" s="2951">
        <v>408900</v>
      </c>
      <c r="N1653" s="2951">
        <v>408900</v>
      </c>
      <c r="O1653" s="2955"/>
      <c r="P1653" s="2948"/>
      <c r="Q1653" s="2951">
        <v>0</v>
      </c>
      <c r="R1653" s="2948"/>
      <c r="S1653" s="2948"/>
      <c r="T1653" s="2948"/>
      <c r="U1653" s="2948"/>
      <c r="V1653" s="2948"/>
      <c r="W1653" s="2944">
        <f t="shared" si="10"/>
        <v>0</v>
      </c>
    </row>
    <row r="1654" spans="1:23" s="2944" customFormat="1" ht="93.6">
      <c r="A1654" s="2948">
        <v>1653</v>
      </c>
      <c r="B1654" s="2948" t="s">
        <v>635</v>
      </c>
      <c r="C1654" s="2948" t="s">
        <v>636</v>
      </c>
      <c r="D1654" s="2948" t="s">
        <v>2246</v>
      </c>
      <c r="E1654" s="2948" t="s">
        <v>1451</v>
      </c>
      <c r="F1654" s="2948" t="s">
        <v>645</v>
      </c>
      <c r="G1654" s="2948" t="s">
        <v>640</v>
      </c>
      <c r="H1654" s="2948" t="s">
        <v>1453</v>
      </c>
      <c r="I1654" s="2948" t="s">
        <v>2248</v>
      </c>
      <c r="J1654" s="2948" t="s">
        <v>643</v>
      </c>
      <c r="K1654" s="2950">
        <v>19.559999999999999</v>
      </c>
      <c r="L1654" s="2950">
        <v>8.68</v>
      </c>
      <c r="M1654" s="2951">
        <v>586800</v>
      </c>
      <c r="N1654" s="2951">
        <v>586800</v>
      </c>
      <c r="O1654" s="2952">
        <v>586800</v>
      </c>
      <c r="P1654" s="2953">
        <v>586800</v>
      </c>
      <c r="Q1654" s="2951">
        <v>586800</v>
      </c>
      <c r="R1654" s="2954">
        <v>44551</v>
      </c>
      <c r="S1654" s="2954">
        <v>44561</v>
      </c>
      <c r="T1654" s="2954">
        <v>44785</v>
      </c>
      <c r="U1654" s="2954">
        <v>44785</v>
      </c>
      <c r="V1654" s="2948" t="s">
        <v>1001</v>
      </c>
      <c r="W1654" s="2944">
        <f t="shared" si="10"/>
        <v>30000</v>
      </c>
    </row>
    <row r="1655" spans="1:23" s="2944" customFormat="1" ht="93.6" hidden="1">
      <c r="A1655" s="2948">
        <v>1654</v>
      </c>
      <c r="B1655" s="2948" t="s">
        <v>635</v>
      </c>
      <c r="C1655" s="2948" t="s">
        <v>636</v>
      </c>
      <c r="D1655" s="2948" t="s">
        <v>2246</v>
      </c>
      <c r="E1655" s="2948" t="s">
        <v>1451</v>
      </c>
      <c r="F1655" s="2948" t="s">
        <v>2251</v>
      </c>
      <c r="G1655" s="2948" t="s">
        <v>1035</v>
      </c>
      <c r="H1655" s="2948" t="s">
        <v>1453</v>
      </c>
      <c r="I1655" s="2948" t="s">
        <v>2248</v>
      </c>
      <c r="J1655" s="2948" t="s">
        <v>643</v>
      </c>
      <c r="K1655" s="2950">
        <v>57.1</v>
      </c>
      <c r="L1655" s="2950">
        <v>25.34</v>
      </c>
      <c r="M1655" s="2951">
        <v>1713000</v>
      </c>
      <c r="N1655" s="2951">
        <v>1713000</v>
      </c>
      <c r="O1655" s="2955"/>
      <c r="P1655" s="2948"/>
      <c r="Q1655" s="2951">
        <v>0</v>
      </c>
      <c r="R1655" s="2948"/>
      <c r="S1655" s="2948"/>
      <c r="T1655" s="2948"/>
      <c r="U1655" s="2948"/>
      <c r="V1655" s="2948"/>
      <c r="W1655" s="2944">
        <f t="shared" si="10"/>
        <v>0</v>
      </c>
    </row>
    <row r="1656" spans="1:23" s="2944" customFormat="1" ht="93.6" hidden="1">
      <c r="A1656" s="2948">
        <v>1655</v>
      </c>
      <c r="B1656" s="2948" t="s">
        <v>635</v>
      </c>
      <c r="C1656" s="2948" t="s">
        <v>636</v>
      </c>
      <c r="D1656" s="2948" t="s">
        <v>2246</v>
      </c>
      <c r="E1656" s="2948" t="s">
        <v>1451</v>
      </c>
      <c r="F1656" s="2948" t="s">
        <v>2252</v>
      </c>
      <c r="G1656" s="2948" t="s">
        <v>1035</v>
      </c>
      <c r="H1656" s="2948" t="s">
        <v>1453</v>
      </c>
      <c r="I1656" s="2948" t="s">
        <v>2248</v>
      </c>
      <c r="J1656" s="2948" t="s">
        <v>643</v>
      </c>
      <c r="K1656" s="2950">
        <v>13</v>
      </c>
      <c r="L1656" s="2950">
        <v>5.77</v>
      </c>
      <c r="M1656" s="2951">
        <v>390000</v>
      </c>
      <c r="N1656" s="2951">
        <v>390000</v>
      </c>
      <c r="O1656" s="2955"/>
      <c r="P1656" s="2948"/>
      <c r="Q1656" s="2951">
        <v>0</v>
      </c>
      <c r="R1656" s="2948"/>
      <c r="S1656" s="2948"/>
      <c r="T1656" s="2948"/>
      <c r="U1656" s="2948"/>
      <c r="V1656" s="2948"/>
      <c r="W1656" s="2944">
        <f t="shared" si="10"/>
        <v>0</v>
      </c>
    </row>
    <row r="1657" spans="1:23" s="2944" customFormat="1" ht="93.6" hidden="1">
      <c r="A1657" s="2948">
        <v>1656</v>
      </c>
      <c r="B1657" s="2948" t="s">
        <v>635</v>
      </c>
      <c r="C1657" s="2948" t="s">
        <v>636</v>
      </c>
      <c r="D1657" s="2948" t="s">
        <v>2246</v>
      </c>
      <c r="E1657" s="2948" t="s">
        <v>1451</v>
      </c>
      <c r="F1657" s="2948" t="s">
        <v>2253</v>
      </c>
      <c r="G1657" s="2948" t="s">
        <v>1035</v>
      </c>
      <c r="H1657" s="2948" t="s">
        <v>1453</v>
      </c>
      <c r="I1657" s="2948" t="s">
        <v>2248</v>
      </c>
      <c r="J1657" s="2948" t="s">
        <v>643</v>
      </c>
      <c r="K1657" s="2950">
        <v>70.849999999999994</v>
      </c>
      <c r="L1657" s="2950">
        <v>31.44</v>
      </c>
      <c r="M1657" s="2951">
        <v>2125500</v>
      </c>
      <c r="N1657" s="2951">
        <v>2125500</v>
      </c>
      <c r="O1657" s="2955"/>
      <c r="P1657" s="2948"/>
      <c r="Q1657" s="2951">
        <v>0</v>
      </c>
      <c r="R1657" s="2948"/>
      <c r="S1657" s="2948"/>
      <c r="T1657" s="2948"/>
      <c r="U1657" s="2948"/>
      <c r="V1657" s="2948"/>
      <c r="W1657" s="2944">
        <f t="shared" si="10"/>
        <v>0</v>
      </c>
    </row>
    <row r="1658" spans="1:23" s="2944" customFormat="1" ht="93.6" hidden="1">
      <c r="A1658" s="2948">
        <v>1657</v>
      </c>
      <c r="B1658" s="2948" t="s">
        <v>635</v>
      </c>
      <c r="C1658" s="2948" t="s">
        <v>636</v>
      </c>
      <c r="D1658" s="2948" t="s">
        <v>2246</v>
      </c>
      <c r="E1658" s="2948" t="s">
        <v>1451</v>
      </c>
      <c r="F1658" s="2948" t="s">
        <v>2254</v>
      </c>
      <c r="G1658" s="2948" t="s">
        <v>1035</v>
      </c>
      <c r="H1658" s="2948" t="s">
        <v>1453</v>
      </c>
      <c r="I1658" s="2948" t="s">
        <v>2248</v>
      </c>
      <c r="J1658" s="2948" t="s">
        <v>643</v>
      </c>
      <c r="K1658" s="2950">
        <v>39.19</v>
      </c>
      <c r="L1658" s="2950">
        <v>17.39</v>
      </c>
      <c r="M1658" s="2951">
        <v>1175700</v>
      </c>
      <c r="N1658" s="2951">
        <v>1175700</v>
      </c>
      <c r="O1658" s="2955"/>
      <c r="P1658" s="2948"/>
      <c r="Q1658" s="2951">
        <v>0</v>
      </c>
      <c r="R1658" s="2948"/>
      <c r="S1658" s="2948"/>
      <c r="T1658" s="2948"/>
      <c r="U1658" s="2948"/>
      <c r="V1658" s="2948"/>
      <c r="W1658" s="2944">
        <f t="shared" si="10"/>
        <v>0</v>
      </c>
    </row>
    <row r="1659" spans="1:23" s="2944" customFormat="1" ht="93.6" hidden="1">
      <c r="A1659" s="2948">
        <v>1658</v>
      </c>
      <c r="B1659" s="2948" t="s">
        <v>635</v>
      </c>
      <c r="C1659" s="2948" t="s">
        <v>636</v>
      </c>
      <c r="D1659" s="2948" t="s">
        <v>2246</v>
      </c>
      <c r="E1659" s="2948" t="s">
        <v>1451</v>
      </c>
      <c r="F1659" s="2948" t="s">
        <v>2255</v>
      </c>
      <c r="G1659" s="2948" t="s">
        <v>1035</v>
      </c>
      <c r="H1659" s="2948" t="s">
        <v>1453</v>
      </c>
      <c r="I1659" s="2948" t="s">
        <v>2248</v>
      </c>
      <c r="J1659" s="2948" t="s">
        <v>643</v>
      </c>
      <c r="K1659" s="2950">
        <v>26.05</v>
      </c>
      <c r="L1659" s="2950">
        <v>11.56</v>
      </c>
      <c r="M1659" s="2951">
        <v>781500</v>
      </c>
      <c r="N1659" s="2951">
        <v>781500</v>
      </c>
      <c r="O1659" s="2955"/>
      <c r="P1659" s="2948"/>
      <c r="Q1659" s="2951">
        <v>0</v>
      </c>
      <c r="R1659" s="2948"/>
      <c r="S1659" s="2948"/>
      <c r="T1659" s="2948"/>
      <c r="U1659" s="2948"/>
      <c r="V1659" s="2948"/>
      <c r="W1659" s="2944">
        <f t="shared" si="10"/>
        <v>0</v>
      </c>
    </row>
    <row r="1660" spans="1:23" s="2944" customFormat="1" ht="93.6" hidden="1">
      <c r="A1660" s="2948">
        <v>1659</v>
      </c>
      <c r="B1660" s="2948" t="s">
        <v>635</v>
      </c>
      <c r="C1660" s="2948" t="s">
        <v>636</v>
      </c>
      <c r="D1660" s="2948" t="s">
        <v>2246</v>
      </c>
      <c r="E1660" s="2948" t="s">
        <v>1451</v>
      </c>
      <c r="F1660" s="2948" t="s">
        <v>2256</v>
      </c>
      <c r="G1660" s="2948" t="s">
        <v>1035</v>
      </c>
      <c r="H1660" s="2948" t="s">
        <v>1453</v>
      </c>
      <c r="I1660" s="2948" t="s">
        <v>2248</v>
      </c>
      <c r="J1660" s="2948" t="s">
        <v>643</v>
      </c>
      <c r="K1660" s="2950">
        <v>22.02</v>
      </c>
      <c r="L1660" s="2950">
        <v>9.77</v>
      </c>
      <c r="M1660" s="2951">
        <v>660600</v>
      </c>
      <c r="N1660" s="2951">
        <v>660600</v>
      </c>
      <c r="O1660" s="2955"/>
      <c r="P1660" s="2948"/>
      <c r="Q1660" s="2951">
        <v>0</v>
      </c>
      <c r="R1660" s="2948"/>
      <c r="S1660" s="2948"/>
      <c r="T1660" s="2948"/>
      <c r="U1660" s="2948"/>
      <c r="V1660" s="2948"/>
      <c r="W1660" s="2944">
        <f t="shared" si="10"/>
        <v>0</v>
      </c>
    </row>
    <row r="1661" spans="1:23" s="2944" customFormat="1" ht="93.6">
      <c r="A1661" s="2948">
        <v>1660</v>
      </c>
      <c r="B1661" s="2948" t="s">
        <v>635</v>
      </c>
      <c r="C1661" s="2948" t="s">
        <v>636</v>
      </c>
      <c r="D1661" s="2948" t="s">
        <v>2246</v>
      </c>
      <c r="E1661" s="2948" t="s">
        <v>1451</v>
      </c>
      <c r="F1661" s="2948" t="s">
        <v>648</v>
      </c>
      <c r="G1661" s="2948" t="s">
        <v>640</v>
      </c>
      <c r="H1661" s="2948" t="s">
        <v>1453</v>
      </c>
      <c r="I1661" s="2948" t="s">
        <v>2248</v>
      </c>
      <c r="J1661" s="2948" t="s">
        <v>643</v>
      </c>
      <c r="K1661" s="2950">
        <v>13.79</v>
      </c>
      <c r="L1661" s="2950">
        <v>6.12</v>
      </c>
      <c r="M1661" s="2951">
        <v>413700</v>
      </c>
      <c r="N1661" s="2951">
        <v>413700</v>
      </c>
      <c r="O1661" s="2952">
        <v>413700</v>
      </c>
      <c r="P1661" s="2953">
        <v>413700</v>
      </c>
      <c r="Q1661" s="2951">
        <v>413700</v>
      </c>
      <c r="R1661" s="2954">
        <v>45075</v>
      </c>
      <c r="S1661" s="2954">
        <v>45077</v>
      </c>
      <c r="T1661" s="2954">
        <v>45093</v>
      </c>
      <c r="U1661" s="2954">
        <v>45093</v>
      </c>
      <c r="V1661" s="2948" t="s">
        <v>938</v>
      </c>
      <c r="W1661" s="2944">
        <f t="shared" si="10"/>
        <v>30000</v>
      </c>
    </row>
    <row r="1662" spans="1:23" s="2944" customFormat="1" ht="93.6">
      <c r="A1662" s="2948">
        <v>1661</v>
      </c>
      <c r="B1662" s="2948" t="s">
        <v>635</v>
      </c>
      <c r="C1662" s="2948" t="s">
        <v>636</v>
      </c>
      <c r="D1662" s="2948" t="s">
        <v>2246</v>
      </c>
      <c r="E1662" s="2948" t="s">
        <v>1451</v>
      </c>
      <c r="F1662" s="2948" t="s">
        <v>651</v>
      </c>
      <c r="G1662" s="2948" t="s">
        <v>640</v>
      </c>
      <c r="H1662" s="2948" t="s">
        <v>1453</v>
      </c>
      <c r="I1662" s="2948" t="s">
        <v>2248</v>
      </c>
      <c r="J1662" s="2948" t="s">
        <v>643</v>
      </c>
      <c r="K1662" s="2950">
        <v>26.5</v>
      </c>
      <c r="L1662" s="2950">
        <v>11.76</v>
      </c>
      <c r="M1662" s="2951">
        <v>795000</v>
      </c>
      <c r="N1662" s="2951">
        <v>795000</v>
      </c>
      <c r="O1662" s="2952">
        <v>795000</v>
      </c>
      <c r="P1662" s="2953">
        <v>795000</v>
      </c>
      <c r="Q1662" s="2951">
        <v>795000</v>
      </c>
      <c r="R1662" s="2954">
        <v>45075</v>
      </c>
      <c r="S1662" s="2954">
        <v>45075</v>
      </c>
      <c r="T1662" s="2954">
        <v>45082</v>
      </c>
      <c r="U1662" s="2954">
        <v>45082</v>
      </c>
      <c r="V1662" s="2948" t="s">
        <v>1017</v>
      </c>
      <c r="W1662" s="2944">
        <f t="shared" si="10"/>
        <v>30000</v>
      </c>
    </row>
    <row r="1663" spans="1:23" s="2944" customFormat="1" ht="93.6" hidden="1">
      <c r="A1663" s="2948">
        <v>1662</v>
      </c>
      <c r="B1663" s="2948" t="s">
        <v>635</v>
      </c>
      <c r="C1663" s="2948" t="s">
        <v>636</v>
      </c>
      <c r="D1663" s="2948" t="s">
        <v>2246</v>
      </c>
      <c r="E1663" s="2948" t="s">
        <v>1451</v>
      </c>
      <c r="F1663" s="2948" t="s">
        <v>2257</v>
      </c>
      <c r="G1663" s="2948" t="s">
        <v>1035</v>
      </c>
      <c r="H1663" s="2948" t="s">
        <v>1453</v>
      </c>
      <c r="I1663" s="2948" t="s">
        <v>2248</v>
      </c>
      <c r="J1663" s="2948" t="s">
        <v>643</v>
      </c>
      <c r="K1663" s="2950">
        <v>71.09</v>
      </c>
      <c r="L1663" s="2950">
        <v>31.55</v>
      </c>
      <c r="M1663" s="2951">
        <v>2132700</v>
      </c>
      <c r="N1663" s="2951">
        <v>2132700</v>
      </c>
      <c r="O1663" s="2955"/>
      <c r="P1663" s="2948"/>
      <c r="Q1663" s="2951">
        <v>0</v>
      </c>
      <c r="R1663" s="2948"/>
      <c r="S1663" s="2948"/>
      <c r="T1663" s="2948"/>
      <c r="U1663" s="2948"/>
      <c r="V1663" s="2948"/>
      <c r="W1663" s="2944">
        <f t="shared" si="10"/>
        <v>0</v>
      </c>
    </row>
    <row r="1664" spans="1:23" s="2944" customFormat="1" ht="93.6">
      <c r="A1664" s="2948">
        <v>1663</v>
      </c>
      <c r="B1664" s="2948" t="s">
        <v>635</v>
      </c>
      <c r="C1664" s="2948" t="s">
        <v>636</v>
      </c>
      <c r="D1664" s="2948" t="s">
        <v>2246</v>
      </c>
      <c r="E1664" s="2948" t="s">
        <v>1451</v>
      </c>
      <c r="F1664" s="2948" t="s">
        <v>653</v>
      </c>
      <c r="G1664" s="2948" t="s">
        <v>640</v>
      </c>
      <c r="H1664" s="2948" t="s">
        <v>1453</v>
      </c>
      <c r="I1664" s="2948" t="s">
        <v>2248</v>
      </c>
      <c r="J1664" s="2948" t="s">
        <v>643</v>
      </c>
      <c r="K1664" s="2950">
        <v>24.13</v>
      </c>
      <c r="L1664" s="2950">
        <v>10.71</v>
      </c>
      <c r="M1664" s="2951">
        <v>723900</v>
      </c>
      <c r="N1664" s="2951">
        <v>723900</v>
      </c>
      <c r="O1664" s="2952">
        <v>723900</v>
      </c>
      <c r="P1664" s="2953">
        <v>723900</v>
      </c>
      <c r="Q1664" s="2951">
        <v>723900</v>
      </c>
      <c r="R1664" s="2954">
        <v>44551</v>
      </c>
      <c r="S1664" s="2954">
        <v>44561</v>
      </c>
      <c r="T1664" s="2954">
        <v>44739</v>
      </c>
      <c r="U1664" s="2954">
        <v>44739</v>
      </c>
      <c r="V1664" s="2948" t="s">
        <v>986</v>
      </c>
      <c r="W1664" s="2944">
        <f t="shared" si="10"/>
        <v>30000</v>
      </c>
    </row>
    <row r="1665" spans="1:23" s="2944" customFormat="1" ht="93.6">
      <c r="A1665" s="2948">
        <v>1664</v>
      </c>
      <c r="B1665" s="2948" t="s">
        <v>635</v>
      </c>
      <c r="C1665" s="2948" t="s">
        <v>636</v>
      </c>
      <c r="D1665" s="2948" t="s">
        <v>2246</v>
      </c>
      <c r="E1665" s="2948" t="s">
        <v>1451</v>
      </c>
      <c r="F1665" s="2948" t="s">
        <v>655</v>
      </c>
      <c r="G1665" s="2948" t="s">
        <v>640</v>
      </c>
      <c r="H1665" s="2948" t="s">
        <v>1453</v>
      </c>
      <c r="I1665" s="2948" t="s">
        <v>2248</v>
      </c>
      <c r="J1665" s="2948" t="s">
        <v>643</v>
      </c>
      <c r="K1665" s="2950">
        <v>26.21</v>
      </c>
      <c r="L1665" s="2950">
        <v>11.63</v>
      </c>
      <c r="M1665" s="2951">
        <v>786300</v>
      </c>
      <c r="N1665" s="2951">
        <v>786300</v>
      </c>
      <c r="O1665" s="2952">
        <v>786300</v>
      </c>
      <c r="P1665" s="2953">
        <v>786300</v>
      </c>
      <c r="Q1665" s="2951">
        <v>786300</v>
      </c>
      <c r="R1665" s="2954">
        <v>44551</v>
      </c>
      <c r="S1665" s="2954">
        <v>44561</v>
      </c>
      <c r="T1665" s="2954">
        <v>44778</v>
      </c>
      <c r="U1665" s="2954">
        <v>44778</v>
      </c>
      <c r="V1665" s="2948" t="s">
        <v>1013</v>
      </c>
      <c r="W1665" s="2944">
        <f t="shared" si="10"/>
        <v>30000</v>
      </c>
    </row>
    <row r="1666" spans="1:23" s="2944" customFormat="1" ht="93.6" hidden="1">
      <c r="A1666" s="2948">
        <v>1665</v>
      </c>
      <c r="B1666" s="2948" t="s">
        <v>635</v>
      </c>
      <c r="C1666" s="2948" t="s">
        <v>636</v>
      </c>
      <c r="D1666" s="2948" t="s">
        <v>2246</v>
      </c>
      <c r="E1666" s="2948" t="s">
        <v>1455</v>
      </c>
      <c r="F1666" s="2948" t="s">
        <v>1457</v>
      </c>
      <c r="G1666" s="2948" t="s">
        <v>1035</v>
      </c>
      <c r="H1666" s="2948" t="s">
        <v>1453</v>
      </c>
      <c r="I1666" s="2948" t="s">
        <v>2248</v>
      </c>
      <c r="J1666" s="2948" t="s">
        <v>643</v>
      </c>
      <c r="K1666" s="2950">
        <v>29.95</v>
      </c>
      <c r="L1666" s="2950">
        <v>10.85</v>
      </c>
      <c r="M1666" s="2951">
        <v>898500</v>
      </c>
      <c r="N1666" s="2951">
        <v>898500</v>
      </c>
      <c r="O1666" s="2955"/>
      <c r="P1666" s="2948"/>
      <c r="Q1666" s="2951">
        <v>0</v>
      </c>
      <c r="R1666" s="2948"/>
      <c r="S1666" s="2948"/>
      <c r="T1666" s="2948"/>
      <c r="U1666" s="2948"/>
      <c r="V1666" s="2948"/>
      <c r="W1666" s="2944">
        <f t="shared" si="10"/>
        <v>0</v>
      </c>
    </row>
    <row r="1667" spans="1:23" s="2944" customFormat="1" ht="93.6" hidden="1">
      <c r="A1667" s="2948">
        <v>1666</v>
      </c>
      <c r="B1667" s="2948" t="s">
        <v>635</v>
      </c>
      <c r="C1667" s="2948" t="s">
        <v>636</v>
      </c>
      <c r="D1667" s="2948" t="s">
        <v>2246</v>
      </c>
      <c r="E1667" s="2948" t="s">
        <v>1455</v>
      </c>
      <c r="F1667" s="2948" t="s">
        <v>1458</v>
      </c>
      <c r="G1667" s="2948" t="s">
        <v>1035</v>
      </c>
      <c r="H1667" s="2948" t="s">
        <v>1453</v>
      </c>
      <c r="I1667" s="2948" t="s">
        <v>2248</v>
      </c>
      <c r="J1667" s="2948" t="s">
        <v>643</v>
      </c>
      <c r="K1667" s="2950">
        <v>30.86</v>
      </c>
      <c r="L1667" s="2950">
        <v>11.18</v>
      </c>
      <c r="M1667" s="2951">
        <v>925800</v>
      </c>
      <c r="N1667" s="2951">
        <v>925800</v>
      </c>
      <c r="O1667" s="2955"/>
      <c r="P1667" s="2948"/>
      <c r="Q1667" s="2951">
        <v>0</v>
      </c>
      <c r="R1667" s="2948"/>
      <c r="S1667" s="2948"/>
      <c r="T1667" s="2948"/>
      <c r="U1667" s="2948"/>
      <c r="V1667" s="2948"/>
      <c r="W1667" s="2944">
        <f t="shared" si="10"/>
        <v>0</v>
      </c>
    </row>
    <row r="1668" spans="1:23" s="2944" customFormat="1" ht="93.6" hidden="1">
      <c r="A1668" s="2948">
        <v>1667</v>
      </c>
      <c r="B1668" s="2948" t="s">
        <v>635</v>
      </c>
      <c r="C1668" s="2948" t="s">
        <v>636</v>
      </c>
      <c r="D1668" s="2948" t="s">
        <v>2246</v>
      </c>
      <c r="E1668" s="2948" t="s">
        <v>1455</v>
      </c>
      <c r="F1668" s="2948" t="s">
        <v>645</v>
      </c>
      <c r="G1668" s="2948" t="s">
        <v>1035</v>
      </c>
      <c r="H1668" s="2948" t="s">
        <v>1453</v>
      </c>
      <c r="I1668" s="2948" t="s">
        <v>2248</v>
      </c>
      <c r="J1668" s="2948" t="s">
        <v>643</v>
      </c>
      <c r="K1668" s="2950">
        <v>23.96</v>
      </c>
      <c r="L1668" s="2950">
        <v>8.68</v>
      </c>
      <c r="M1668" s="2951">
        <v>718800</v>
      </c>
      <c r="N1668" s="2951">
        <v>718800</v>
      </c>
      <c r="O1668" s="2955"/>
      <c r="P1668" s="2948"/>
      <c r="Q1668" s="2951">
        <v>0</v>
      </c>
      <c r="R1668" s="2948"/>
      <c r="S1668" s="2948"/>
      <c r="T1668" s="2948"/>
      <c r="U1668" s="2948"/>
      <c r="V1668" s="2948"/>
      <c r="W1668" s="2944">
        <f t="shared" si="10"/>
        <v>0</v>
      </c>
    </row>
    <row r="1669" spans="1:23" s="2944" customFormat="1" ht="93.6">
      <c r="A1669" s="2948">
        <v>1668</v>
      </c>
      <c r="B1669" s="2948" t="s">
        <v>635</v>
      </c>
      <c r="C1669" s="2948" t="s">
        <v>636</v>
      </c>
      <c r="D1669" s="2948" t="s">
        <v>2246</v>
      </c>
      <c r="E1669" s="2948" t="s">
        <v>1455</v>
      </c>
      <c r="F1669" s="2948" t="s">
        <v>2251</v>
      </c>
      <c r="G1669" s="2948" t="s">
        <v>640</v>
      </c>
      <c r="H1669" s="2948" t="s">
        <v>1453</v>
      </c>
      <c r="I1669" s="2948" t="s">
        <v>2248</v>
      </c>
      <c r="J1669" s="2948" t="s">
        <v>643</v>
      </c>
      <c r="K1669" s="2950">
        <v>15.79</v>
      </c>
      <c r="L1669" s="2950">
        <v>5.72</v>
      </c>
      <c r="M1669" s="2951">
        <v>473700</v>
      </c>
      <c r="N1669" s="2951">
        <v>473700</v>
      </c>
      <c r="O1669" s="2952">
        <v>450015</v>
      </c>
      <c r="P1669" s="2953">
        <v>450015</v>
      </c>
      <c r="Q1669" s="2951">
        <v>450015</v>
      </c>
      <c r="R1669" s="2954">
        <v>45041</v>
      </c>
      <c r="S1669" s="2954">
        <v>45044</v>
      </c>
      <c r="T1669" s="2954">
        <v>45050</v>
      </c>
      <c r="U1669" s="2954">
        <v>45050</v>
      </c>
      <c r="V1669" s="2948" t="s">
        <v>960</v>
      </c>
      <c r="W1669" s="2944">
        <f t="shared" si="10"/>
        <v>28500</v>
      </c>
    </row>
    <row r="1670" spans="1:23" s="2944" customFormat="1" ht="93.6" hidden="1">
      <c r="A1670" s="2948">
        <v>1669</v>
      </c>
      <c r="B1670" s="2948" t="s">
        <v>635</v>
      </c>
      <c r="C1670" s="2948" t="s">
        <v>636</v>
      </c>
      <c r="D1670" s="2948" t="s">
        <v>2246</v>
      </c>
      <c r="E1670" s="2948" t="s">
        <v>1455</v>
      </c>
      <c r="F1670" s="2948" t="s">
        <v>2252</v>
      </c>
      <c r="G1670" s="2948" t="s">
        <v>1035</v>
      </c>
      <c r="H1670" s="2948" t="s">
        <v>1453</v>
      </c>
      <c r="I1670" s="2948" t="s">
        <v>2248</v>
      </c>
      <c r="J1670" s="2948" t="s">
        <v>643</v>
      </c>
      <c r="K1670" s="2950">
        <v>35.520000000000003</v>
      </c>
      <c r="L1670" s="2950">
        <v>12.87</v>
      </c>
      <c r="M1670" s="2951">
        <v>1065600</v>
      </c>
      <c r="N1670" s="2951">
        <v>1065600</v>
      </c>
      <c r="O1670" s="2955"/>
      <c r="P1670" s="2948"/>
      <c r="Q1670" s="2951">
        <v>0</v>
      </c>
      <c r="R1670" s="2948"/>
      <c r="S1670" s="2948"/>
      <c r="T1670" s="2948"/>
      <c r="U1670" s="2948"/>
      <c r="V1670" s="2948"/>
      <c r="W1670" s="2944">
        <f t="shared" si="10"/>
        <v>0</v>
      </c>
    </row>
    <row r="1671" spans="1:23" s="2944" customFormat="1" ht="93.6" hidden="1">
      <c r="A1671" s="2948">
        <v>1670</v>
      </c>
      <c r="B1671" s="2948" t="s">
        <v>635</v>
      </c>
      <c r="C1671" s="2948" t="s">
        <v>636</v>
      </c>
      <c r="D1671" s="2948" t="s">
        <v>2246</v>
      </c>
      <c r="E1671" s="2948" t="s">
        <v>1455</v>
      </c>
      <c r="F1671" s="2948" t="s">
        <v>2253</v>
      </c>
      <c r="G1671" s="2948" t="s">
        <v>1035</v>
      </c>
      <c r="H1671" s="2948" t="s">
        <v>1453</v>
      </c>
      <c r="I1671" s="2948" t="s">
        <v>2248</v>
      </c>
      <c r="J1671" s="2948" t="s">
        <v>643</v>
      </c>
      <c r="K1671" s="2950">
        <v>37.21</v>
      </c>
      <c r="L1671" s="2950">
        <v>13.48</v>
      </c>
      <c r="M1671" s="2951">
        <v>1116300</v>
      </c>
      <c r="N1671" s="2951">
        <v>1116300</v>
      </c>
      <c r="O1671" s="2955"/>
      <c r="P1671" s="2948"/>
      <c r="Q1671" s="2951">
        <v>0</v>
      </c>
      <c r="R1671" s="2948"/>
      <c r="S1671" s="2948"/>
      <c r="T1671" s="2948"/>
      <c r="U1671" s="2948"/>
      <c r="V1671" s="2948"/>
      <c r="W1671" s="2944">
        <f t="shared" si="10"/>
        <v>0</v>
      </c>
    </row>
    <row r="1672" spans="1:23" s="2944" customFormat="1" ht="93.6" hidden="1">
      <c r="A1672" s="2948">
        <v>1671</v>
      </c>
      <c r="B1672" s="2948" t="s">
        <v>635</v>
      </c>
      <c r="C1672" s="2948" t="s">
        <v>636</v>
      </c>
      <c r="D1672" s="2948" t="s">
        <v>2246</v>
      </c>
      <c r="E1672" s="2948" t="s">
        <v>1455</v>
      </c>
      <c r="F1672" s="2948" t="s">
        <v>2254</v>
      </c>
      <c r="G1672" s="2948" t="s">
        <v>1035</v>
      </c>
      <c r="H1672" s="2948" t="s">
        <v>1453</v>
      </c>
      <c r="I1672" s="2948" t="s">
        <v>2248</v>
      </c>
      <c r="J1672" s="2948" t="s">
        <v>643</v>
      </c>
      <c r="K1672" s="2950">
        <v>33.090000000000003</v>
      </c>
      <c r="L1672" s="2950">
        <v>11.99</v>
      </c>
      <c r="M1672" s="2951">
        <v>992700</v>
      </c>
      <c r="N1672" s="2951">
        <v>992700</v>
      </c>
      <c r="O1672" s="2955"/>
      <c r="P1672" s="2948"/>
      <c r="Q1672" s="2951">
        <v>0</v>
      </c>
      <c r="R1672" s="2948"/>
      <c r="S1672" s="2948"/>
      <c r="T1672" s="2948"/>
      <c r="U1672" s="2948"/>
      <c r="V1672" s="2948"/>
      <c r="W1672" s="2944">
        <f t="shared" si="10"/>
        <v>0</v>
      </c>
    </row>
    <row r="1673" spans="1:23" s="2944" customFormat="1" ht="93.6" hidden="1">
      <c r="A1673" s="2948">
        <v>1672</v>
      </c>
      <c r="B1673" s="2948" t="s">
        <v>635</v>
      </c>
      <c r="C1673" s="2948" t="s">
        <v>636</v>
      </c>
      <c r="D1673" s="2948" t="s">
        <v>2246</v>
      </c>
      <c r="E1673" s="2948" t="s">
        <v>1455</v>
      </c>
      <c r="F1673" s="2948" t="s">
        <v>2255</v>
      </c>
      <c r="G1673" s="2948" t="s">
        <v>1035</v>
      </c>
      <c r="H1673" s="2948" t="s">
        <v>1453</v>
      </c>
      <c r="I1673" s="2948" t="s">
        <v>2248</v>
      </c>
      <c r="J1673" s="2948" t="s">
        <v>643</v>
      </c>
      <c r="K1673" s="2950">
        <v>25.42</v>
      </c>
      <c r="L1673" s="2950">
        <v>9.2100000000000009</v>
      </c>
      <c r="M1673" s="2951">
        <v>762600</v>
      </c>
      <c r="N1673" s="2951">
        <v>762600</v>
      </c>
      <c r="O1673" s="2955"/>
      <c r="P1673" s="2948"/>
      <c r="Q1673" s="2951">
        <v>0</v>
      </c>
      <c r="R1673" s="2948"/>
      <c r="S1673" s="2948"/>
      <c r="T1673" s="2948"/>
      <c r="U1673" s="2948"/>
      <c r="V1673" s="2948"/>
      <c r="W1673" s="2944">
        <f t="shared" si="10"/>
        <v>0</v>
      </c>
    </row>
    <row r="1674" spans="1:23" s="2944" customFormat="1" ht="93.6">
      <c r="A1674" s="2948">
        <v>1673</v>
      </c>
      <c r="B1674" s="2948" t="s">
        <v>635</v>
      </c>
      <c r="C1674" s="2948" t="s">
        <v>636</v>
      </c>
      <c r="D1674" s="2948" t="s">
        <v>2246</v>
      </c>
      <c r="E1674" s="2948" t="s">
        <v>1455</v>
      </c>
      <c r="F1674" s="2948" t="s">
        <v>2256</v>
      </c>
      <c r="G1674" s="2948" t="s">
        <v>640</v>
      </c>
      <c r="H1674" s="2948" t="s">
        <v>1453</v>
      </c>
      <c r="I1674" s="2948" t="s">
        <v>2248</v>
      </c>
      <c r="J1674" s="2948" t="s">
        <v>643</v>
      </c>
      <c r="K1674" s="2950">
        <v>25.2</v>
      </c>
      <c r="L1674" s="2950">
        <v>9.1300000000000008</v>
      </c>
      <c r="M1674" s="2951">
        <v>756000</v>
      </c>
      <c r="N1674" s="2951">
        <v>756000</v>
      </c>
      <c r="O1674" s="2952">
        <v>756000</v>
      </c>
      <c r="P1674" s="2953">
        <v>756000</v>
      </c>
      <c r="Q1674" s="2951">
        <v>756000</v>
      </c>
      <c r="R1674" s="2954">
        <v>44551</v>
      </c>
      <c r="S1674" s="2954">
        <v>44561</v>
      </c>
      <c r="T1674" s="2954">
        <v>44757</v>
      </c>
      <c r="U1674" s="2954">
        <v>44757</v>
      </c>
      <c r="V1674" s="2948" t="s">
        <v>951</v>
      </c>
      <c r="W1674" s="2944">
        <f t="shared" si="10"/>
        <v>30000</v>
      </c>
    </row>
    <row r="1675" spans="1:23" s="2944" customFormat="1" ht="93.6" hidden="1">
      <c r="A1675" s="2948">
        <v>1674</v>
      </c>
      <c r="B1675" s="2948" t="s">
        <v>635</v>
      </c>
      <c r="C1675" s="2948" t="s">
        <v>636</v>
      </c>
      <c r="D1675" s="2948" t="s">
        <v>2246</v>
      </c>
      <c r="E1675" s="2948" t="s">
        <v>1455</v>
      </c>
      <c r="F1675" s="2948" t="s">
        <v>648</v>
      </c>
      <c r="G1675" s="2948" t="s">
        <v>1035</v>
      </c>
      <c r="H1675" s="2948" t="s">
        <v>1453</v>
      </c>
      <c r="I1675" s="2948" t="s">
        <v>2248</v>
      </c>
      <c r="J1675" s="2948" t="s">
        <v>643</v>
      </c>
      <c r="K1675" s="2950">
        <v>38.61</v>
      </c>
      <c r="L1675" s="2950">
        <v>13.99</v>
      </c>
      <c r="M1675" s="2951">
        <v>1158300</v>
      </c>
      <c r="N1675" s="2951">
        <v>1158300</v>
      </c>
      <c r="O1675" s="2955"/>
      <c r="P1675" s="2948"/>
      <c r="Q1675" s="2951">
        <v>0</v>
      </c>
      <c r="R1675" s="2948"/>
      <c r="S1675" s="2948"/>
      <c r="T1675" s="2948"/>
      <c r="U1675" s="2948"/>
      <c r="V1675" s="2948"/>
      <c r="W1675" s="2944">
        <f t="shared" si="10"/>
        <v>0</v>
      </c>
    </row>
    <row r="1676" spans="1:23" s="2944" customFormat="1" ht="93.6" hidden="1">
      <c r="A1676" s="2948">
        <v>1675</v>
      </c>
      <c r="B1676" s="2948" t="s">
        <v>635</v>
      </c>
      <c r="C1676" s="2948" t="s">
        <v>636</v>
      </c>
      <c r="D1676" s="2948" t="s">
        <v>2246</v>
      </c>
      <c r="E1676" s="2948" t="s">
        <v>1455</v>
      </c>
      <c r="F1676" s="2948" t="s">
        <v>651</v>
      </c>
      <c r="G1676" s="2948" t="s">
        <v>1035</v>
      </c>
      <c r="H1676" s="2948" t="s">
        <v>1453</v>
      </c>
      <c r="I1676" s="2948" t="s">
        <v>2248</v>
      </c>
      <c r="J1676" s="2948" t="s">
        <v>643</v>
      </c>
      <c r="K1676" s="2950">
        <v>37.18</v>
      </c>
      <c r="L1676" s="2950">
        <v>13.47</v>
      </c>
      <c r="M1676" s="2951">
        <v>1115400</v>
      </c>
      <c r="N1676" s="2951">
        <v>1115400</v>
      </c>
      <c r="O1676" s="2955"/>
      <c r="P1676" s="2948"/>
      <c r="Q1676" s="2951">
        <v>0</v>
      </c>
      <c r="R1676" s="2948"/>
      <c r="S1676" s="2948"/>
      <c r="T1676" s="2948"/>
      <c r="U1676" s="2948"/>
      <c r="V1676" s="2948"/>
      <c r="W1676" s="2944">
        <f t="shared" si="10"/>
        <v>0</v>
      </c>
    </row>
    <row r="1677" spans="1:23" s="2944" customFormat="1" ht="93.6" hidden="1">
      <c r="A1677" s="2948">
        <v>1676</v>
      </c>
      <c r="B1677" s="2948" t="s">
        <v>635</v>
      </c>
      <c r="C1677" s="2948" t="s">
        <v>636</v>
      </c>
      <c r="D1677" s="2948" t="s">
        <v>2246</v>
      </c>
      <c r="E1677" s="2948" t="s">
        <v>1455</v>
      </c>
      <c r="F1677" s="2948" t="s">
        <v>2258</v>
      </c>
      <c r="G1677" s="2948" t="s">
        <v>1035</v>
      </c>
      <c r="H1677" s="2948" t="s">
        <v>1453</v>
      </c>
      <c r="I1677" s="2948" t="s">
        <v>2248</v>
      </c>
      <c r="J1677" s="2948" t="s">
        <v>643</v>
      </c>
      <c r="K1677" s="2950">
        <v>31.85</v>
      </c>
      <c r="L1677" s="2950">
        <v>11.54</v>
      </c>
      <c r="M1677" s="2951">
        <v>955500</v>
      </c>
      <c r="N1677" s="2951">
        <v>955500</v>
      </c>
      <c r="O1677" s="2955"/>
      <c r="P1677" s="2948"/>
      <c r="Q1677" s="2951">
        <v>0</v>
      </c>
      <c r="R1677" s="2948"/>
      <c r="S1677" s="2948"/>
      <c r="T1677" s="2948"/>
      <c r="U1677" s="2948"/>
      <c r="V1677" s="2948"/>
      <c r="W1677" s="2944">
        <f t="shared" si="10"/>
        <v>0</v>
      </c>
    </row>
    <row r="1678" spans="1:23" s="2944" customFormat="1" ht="93.6" hidden="1">
      <c r="A1678" s="2948">
        <v>1677</v>
      </c>
      <c r="B1678" s="2948" t="s">
        <v>635</v>
      </c>
      <c r="C1678" s="2948" t="s">
        <v>636</v>
      </c>
      <c r="D1678" s="2948" t="s">
        <v>2246</v>
      </c>
      <c r="E1678" s="2948" t="s">
        <v>1455</v>
      </c>
      <c r="F1678" s="2948" t="s">
        <v>2259</v>
      </c>
      <c r="G1678" s="2948" t="s">
        <v>1035</v>
      </c>
      <c r="H1678" s="2948" t="s">
        <v>1453</v>
      </c>
      <c r="I1678" s="2948" t="s">
        <v>2248</v>
      </c>
      <c r="J1678" s="2948" t="s">
        <v>643</v>
      </c>
      <c r="K1678" s="2950">
        <v>60.81</v>
      </c>
      <c r="L1678" s="2950">
        <v>22.03</v>
      </c>
      <c r="M1678" s="2951">
        <v>1824300</v>
      </c>
      <c r="N1678" s="2951">
        <v>1824300</v>
      </c>
      <c r="O1678" s="2955"/>
      <c r="P1678" s="2948"/>
      <c r="Q1678" s="2951">
        <v>0</v>
      </c>
      <c r="R1678" s="2948"/>
      <c r="S1678" s="2948"/>
      <c r="T1678" s="2948"/>
      <c r="U1678" s="2948"/>
      <c r="V1678" s="2948"/>
      <c r="W1678" s="2944">
        <f t="shared" si="10"/>
        <v>0</v>
      </c>
    </row>
    <row r="1679" spans="1:23" s="2944" customFormat="1" ht="93.6" hidden="1">
      <c r="A1679" s="2948">
        <v>1678</v>
      </c>
      <c r="B1679" s="2948" t="s">
        <v>635</v>
      </c>
      <c r="C1679" s="2948" t="s">
        <v>636</v>
      </c>
      <c r="D1679" s="2948" t="s">
        <v>2246</v>
      </c>
      <c r="E1679" s="2948" t="s">
        <v>1455</v>
      </c>
      <c r="F1679" s="2948" t="s">
        <v>2257</v>
      </c>
      <c r="G1679" s="2948" t="s">
        <v>1035</v>
      </c>
      <c r="H1679" s="2948" t="s">
        <v>1453</v>
      </c>
      <c r="I1679" s="2948" t="s">
        <v>2248</v>
      </c>
      <c r="J1679" s="2948" t="s">
        <v>643</v>
      </c>
      <c r="K1679" s="2950">
        <v>37.21</v>
      </c>
      <c r="L1679" s="2950">
        <v>13.48</v>
      </c>
      <c r="M1679" s="2951">
        <v>1116300</v>
      </c>
      <c r="N1679" s="2951">
        <v>1116300</v>
      </c>
      <c r="O1679" s="2955"/>
      <c r="P1679" s="2948"/>
      <c r="Q1679" s="2951">
        <v>0</v>
      </c>
      <c r="R1679" s="2948"/>
      <c r="S1679" s="2948"/>
      <c r="T1679" s="2948"/>
      <c r="U1679" s="2948"/>
      <c r="V1679" s="2948"/>
      <c r="W1679" s="2944">
        <f t="shared" si="10"/>
        <v>0</v>
      </c>
    </row>
    <row r="1680" spans="1:23" s="2944" customFormat="1" ht="93.6">
      <c r="A1680" s="2948">
        <v>1679</v>
      </c>
      <c r="B1680" s="2948" t="s">
        <v>635</v>
      </c>
      <c r="C1680" s="2948" t="s">
        <v>636</v>
      </c>
      <c r="D1680" s="2948" t="s">
        <v>2246</v>
      </c>
      <c r="E1680" s="2948" t="s">
        <v>1455</v>
      </c>
      <c r="F1680" s="2948" t="s">
        <v>653</v>
      </c>
      <c r="G1680" s="2948" t="s">
        <v>640</v>
      </c>
      <c r="H1680" s="2948" t="s">
        <v>1453</v>
      </c>
      <c r="I1680" s="2948" t="s">
        <v>2248</v>
      </c>
      <c r="J1680" s="2948" t="s">
        <v>643</v>
      </c>
      <c r="K1680" s="2950">
        <v>25.42</v>
      </c>
      <c r="L1680" s="2950">
        <v>9.2100000000000009</v>
      </c>
      <c r="M1680" s="2951">
        <v>762600</v>
      </c>
      <c r="N1680" s="2951">
        <v>762600</v>
      </c>
      <c r="O1680" s="2952">
        <v>762600</v>
      </c>
      <c r="P1680" s="2953">
        <v>762600</v>
      </c>
      <c r="Q1680" s="2951">
        <v>762600</v>
      </c>
      <c r="R1680" s="2954">
        <v>44551</v>
      </c>
      <c r="S1680" s="2954">
        <v>44561</v>
      </c>
      <c r="T1680" s="2954">
        <v>44566</v>
      </c>
      <c r="U1680" s="2954">
        <v>44566</v>
      </c>
      <c r="V1680" s="2948" t="s">
        <v>961</v>
      </c>
      <c r="W1680" s="2944">
        <f t="shared" si="10"/>
        <v>30000</v>
      </c>
    </row>
    <row r="1681" spans="1:23" s="2944" customFormat="1" ht="93.6" hidden="1">
      <c r="A1681" s="2948">
        <v>1680</v>
      </c>
      <c r="B1681" s="2948" t="s">
        <v>635</v>
      </c>
      <c r="C1681" s="2948" t="s">
        <v>636</v>
      </c>
      <c r="D1681" s="2948" t="s">
        <v>2246</v>
      </c>
      <c r="E1681" s="2948" t="s">
        <v>1455</v>
      </c>
      <c r="F1681" s="2948" t="s">
        <v>655</v>
      </c>
      <c r="G1681" s="2948" t="s">
        <v>1035</v>
      </c>
      <c r="H1681" s="2948" t="s">
        <v>1453</v>
      </c>
      <c r="I1681" s="2948" t="s">
        <v>2248</v>
      </c>
      <c r="J1681" s="2948" t="s">
        <v>643</v>
      </c>
      <c r="K1681" s="2950">
        <v>25.2</v>
      </c>
      <c r="L1681" s="2950">
        <v>9.1300000000000008</v>
      </c>
      <c r="M1681" s="2951">
        <v>756000</v>
      </c>
      <c r="N1681" s="2951">
        <v>756000</v>
      </c>
      <c r="O1681" s="2955"/>
      <c r="P1681" s="2948"/>
      <c r="Q1681" s="2951">
        <v>0</v>
      </c>
      <c r="R1681" s="2948"/>
      <c r="S1681" s="2948"/>
      <c r="T1681" s="2948"/>
      <c r="U1681" s="2948"/>
      <c r="V1681" s="2948"/>
      <c r="W1681" s="2944">
        <f t="shared" si="10"/>
        <v>0</v>
      </c>
    </row>
    <row r="1682" spans="1:23" s="2944" customFormat="1" ht="93.6">
      <c r="A1682" s="2948">
        <v>1681</v>
      </c>
      <c r="B1682" s="2948" t="s">
        <v>635</v>
      </c>
      <c r="C1682" s="2948" t="s">
        <v>636</v>
      </c>
      <c r="D1682" s="2948" t="s">
        <v>2246</v>
      </c>
      <c r="E1682" s="2948" t="s">
        <v>822</v>
      </c>
      <c r="F1682" s="2948" t="s">
        <v>2247</v>
      </c>
      <c r="G1682" s="2948" t="s">
        <v>640</v>
      </c>
      <c r="H1682" s="2948" t="s">
        <v>1453</v>
      </c>
      <c r="I1682" s="2948" t="s">
        <v>2248</v>
      </c>
      <c r="J1682" s="2948" t="s">
        <v>643</v>
      </c>
      <c r="K1682" s="2950">
        <v>18.46</v>
      </c>
      <c r="L1682" s="2950">
        <v>8.2100000000000009</v>
      </c>
      <c r="M1682" s="2951">
        <v>553800</v>
      </c>
      <c r="N1682" s="2951">
        <v>553800</v>
      </c>
      <c r="O1682" s="2952">
        <v>553800</v>
      </c>
      <c r="P1682" s="2953">
        <v>553800</v>
      </c>
      <c r="Q1682" s="2951">
        <v>553800</v>
      </c>
      <c r="R1682" s="2954">
        <v>44559</v>
      </c>
      <c r="S1682" s="2954">
        <v>44561</v>
      </c>
      <c r="T1682" s="2954">
        <v>44571</v>
      </c>
      <c r="U1682" s="2954">
        <v>44571</v>
      </c>
      <c r="V1682" s="2948" t="s">
        <v>850</v>
      </c>
      <c r="W1682" s="2944">
        <f t="shared" si="10"/>
        <v>30000</v>
      </c>
    </row>
    <row r="1683" spans="1:23" s="2944" customFormat="1" ht="93.6" hidden="1">
      <c r="A1683" s="2948">
        <v>1682</v>
      </c>
      <c r="B1683" s="2948" t="s">
        <v>635</v>
      </c>
      <c r="C1683" s="2948" t="s">
        <v>636</v>
      </c>
      <c r="D1683" s="2948" t="s">
        <v>2246</v>
      </c>
      <c r="E1683" s="2948" t="s">
        <v>822</v>
      </c>
      <c r="F1683" s="2948" t="s">
        <v>2249</v>
      </c>
      <c r="G1683" s="2948" t="s">
        <v>1035</v>
      </c>
      <c r="H1683" s="2948" t="s">
        <v>1453</v>
      </c>
      <c r="I1683" s="2948" t="s">
        <v>2248</v>
      </c>
      <c r="J1683" s="2948" t="s">
        <v>643</v>
      </c>
      <c r="K1683" s="2950">
        <v>25.21</v>
      </c>
      <c r="L1683" s="2950">
        <v>11.21</v>
      </c>
      <c r="M1683" s="2951">
        <v>756300</v>
      </c>
      <c r="N1683" s="2951">
        <v>756300</v>
      </c>
      <c r="O1683" s="2955"/>
      <c r="P1683" s="2948"/>
      <c r="Q1683" s="2951">
        <v>0</v>
      </c>
      <c r="R1683" s="2948"/>
      <c r="S1683" s="2948"/>
      <c r="T1683" s="2948"/>
      <c r="U1683" s="2948"/>
      <c r="V1683" s="2948"/>
      <c r="W1683" s="2944">
        <f t="shared" si="10"/>
        <v>0</v>
      </c>
    </row>
    <row r="1684" spans="1:23" s="2944" customFormat="1" ht="93.6" hidden="1">
      <c r="A1684" s="2948">
        <v>1683</v>
      </c>
      <c r="B1684" s="2948" t="s">
        <v>635</v>
      </c>
      <c r="C1684" s="2948" t="s">
        <v>636</v>
      </c>
      <c r="D1684" s="2948" t="s">
        <v>2246</v>
      </c>
      <c r="E1684" s="2948" t="s">
        <v>822</v>
      </c>
      <c r="F1684" s="2948" t="s">
        <v>2250</v>
      </c>
      <c r="G1684" s="2948" t="s">
        <v>1035</v>
      </c>
      <c r="H1684" s="2948" t="s">
        <v>1453</v>
      </c>
      <c r="I1684" s="2948" t="s">
        <v>2248</v>
      </c>
      <c r="J1684" s="2948" t="s">
        <v>643</v>
      </c>
      <c r="K1684" s="2950">
        <v>13.92</v>
      </c>
      <c r="L1684" s="2950">
        <v>6.19</v>
      </c>
      <c r="M1684" s="2951">
        <v>417600</v>
      </c>
      <c r="N1684" s="2951">
        <v>417600</v>
      </c>
      <c r="O1684" s="2955"/>
      <c r="P1684" s="2948"/>
      <c r="Q1684" s="2951">
        <v>0</v>
      </c>
      <c r="R1684" s="2948"/>
      <c r="S1684" s="2948"/>
      <c r="T1684" s="2948"/>
      <c r="U1684" s="2948"/>
      <c r="V1684" s="2948"/>
      <c r="W1684" s="2944">
        <f t="shared" si="10"/>
        <v>0</v>
      </c>
    </row>
    <row r="1685" spans="1:23" s="2944" customFormat="1" ht="93.6">
      <c r="A1685" s="2948">
        <v>1684</v>
      </c>
      <c r="B1685" s="2948" t="s">
        <v>635</v>
      </c>
      <c r="C1685" s="2948" t="s">
        <v>636</v>
      </c>
      <c r="D1685" s="2948" t="s">
        <v>2246</v>
      </c>
      <c r="E1685" s="2948" t="s">
        <v>822</v>
      </c>
      <c r="F1685" s="2948" t="s">
        <v>1457</v>
      </c>
      <c r="G1685" s="2948" t="s">
        <v>640</v>
      </c>
      <c r="H1685" s="2948" t="s">
        <v>1453</v>
      </c>
      <c r="I1685" s="2948" t="s">
        <v>2248</v>
      </c>
      <c r="J1685" s="2948" t="s">
        <v>643</v>
      </c>
      <c r="K1685" s="2950">
        <v>18.46</v>
      </c>
      <c r="L1685" s="2950">
        <v>8.2100000000000009</v>
      </c>
      <c r="M1685" s="2951">
        <v>553800</v>
      </c>
      <c r="N1685" s="2951">
        <v>553800</v>
      </c>
      <c r="O1685" s="2952">
        <v>553800</v>
      </c>
      <c r="P1685" s="2953">
        <v>553800</v>
      </c>
      <c r="Q1685" s="2951">
        <v>553800</v>
      </c>
      <c r="R1685" s="2954">
        <v>44551</v>
      </c>
      <c r="S1685" s="2954">
        <v>44561</v>
      </c>
      <c r="T1685" s="2954">
        <v>44778</v>
      </c>
      <c r="U1685" s="2954">
        <v>44778</v>
      </c>
      <c r="V1685" s="2948" t="s">
        <v>843</v>
      </c>
      <c r="W1685" s="2944">
        <f t="shared" si="10"/>
        <v>30000</v>
      </c>
    </row>
    <row r="1686" spans="1:23" s="2944" customFormat="1" ht="93.6" hidden="1">
      <c r="A1686" s="2948">
        <v>1685</v>
      </c>
      <c r="B1686" s="2948" t="s">
        <v>635</v>
      </c>
      <c r="C1686" s="2948" t="s">
        <v>636</v>
      </c>
      <c r="D1686" s="2948" t="s">
        <v>2246</v>
      </c>
      <c r="E1686" s="2948" t="s">
        <v>822</v>
      </c>
      <c r="F1686" s="2948" t="s">
        <v>1458</v>
      </c>
      <c r="G1686" s="2948" t="s">
        <v>1035</v>
      </c>
      <c r="H1686" s="2948" t="s">
        <v>1453</v>
      </c>
      <c r="I1686" s="2948" t="s">
        <v>2248</v>
      </c>
      <c r="J1686" s="2948" t="s">
        <v>643</v>
      </c>
      <c r="K1686" s="2950">
        <v>25.23</v>
      </c>
      <c r="L1686" s="2950">
        <v>11.22</v>
      </c>
      <c r="M1686" s="2951">
        <v>756900</v>
      </c>
      <c r="N1686" s="2951">
        <v>756900</v>
      </c>
      <c r="O1686" s="2955"/>
      <c r="P1686" s="2948"/>
      <c r="Q1686" s="2951">
        <v>0</v>
      </c>
      <c r="R1686" s="2948"/>
      <c r="S1686" s="2948"/>
      <c r="T1686" s="2948"/>
      <c r="U1686" s="2948"/>
      <c r="V1686" s="2948"/>
      <c r="W1686" s="2944">
        <f t="shared" si="10"/>
        <v>0</v>
      </c>
    </row>
    <row r="1687" spans="1:23" s="2944" customFormat="1" ht="93.6" hidden="1">
      <c r="A1687" s="2948">
        <v>1686</v>
      </c>
      <c r="B1687" s="2948" t="s">
        <v>635</v>
      </c>
      <c r="C1687" s="2948" t="s">
        <v>636</v>
      </c>
      <c r="D1687" s="2948" t="s">
        <v>2246</v>
      </c>
      <c r="E1687" s="2948" t="s">
        <v>822</v>
      </c>
      <c r="F1687" s="2948" t="s">
        <v>645</v>
      </c>
      <c r="G1687" s="2948" t="s">
        <v>1035</v>
      </c>
      <c r="H1687" s="2948" t="s">
        <v>1453</v>
      </c>
      <c r="I1687" s="2948" t="s">
        <v>2248</v>
      </c>
      <c r="J1687" s="2948" t="s">
        <v>643</v>
      </c>
      <c r="K1687" s="2950">
        <v>25.23</v>
      </c>
      <c r="L1687" s="2950">
        <v>11.22</v>
      </c>
      <c r="M1687" s="2951">
        <v>756900</v>
      </c>
      <c r="N1687" s="2951">
        <v>756900</v>
      </c>
      <c r="O1687" s="2955"/>
      <c r="P1687" s="2948"/>
      <c r="Q1687" s="2951">
        <v>0</v>
      </c>
      <c r="R1687" s="2948"/>
      <c r="S1687" s="2948"/>
      <c r="T1687" s="2948"/>
      <c r="U1687" s="2948"/>
      <c r="V1687" s="2948"/>
      <c r="W1687" s="2944">
        <f t="shared" si="10"/>
        <v>0</v>
      </c>
    </row>
    <row r="1688" spans="1:23" s="2944" customFormat="1" ht="93.6" hidden="1">
      <c r="A1688" s="2948">
        <v>1687</v>
      </c>
      <c r="B1688" s="2948" t="s">
        <v>635</v>
      </c>
      <c r="C1688" s="2948" t="s">
        <v>636</v>
      </c>
      <c r="D1688" s="2948" t="s">
        <v>2246</v>
      </c>
      <c r="E1688" s="2948" t="s">
        <v>822</v>
      </c>
      <c r="F1688" s="2948" t="s">
        <v>2251</v>
      </c>
      <c r="G1688" s="2948" t="s">
        <v>1035</v>
      </c>
      <c r="H1688" s="2948" t="s">
        <v>1453</v>
      </c>
      <c r="I1688" s="2948" t="s">
        <v>2248</v>
      </c>
      <c r="J1688" s="2948" t="s">
        <v>643</v>
      </c>
      <c r="K1688" s="2950">
        <v>43.67</v>
      </c>
      <c r="L1688" s="2950">
        <v>19.420000000000002</v>
      </c>
      <c r="M1688" s="2951">
        <v>1310100</v>
      </c>
      <c r="N1688" s="2951">
        <v>1310100</v>
      </c>
      <c r="O1688" s="2955"/>
      <c r="P1688" s="2948"/>
      <c r="Q1688" s="2951">
        <v>0</v>
      </c>
      <c r="R1688" s="2948"/>
      <c r="S1688" s="2948"/>
      <c r="T1688" s="2948"/>
      <c r="U1688" s="2948"/>
      <c r="V1688" s="2948"/>
      <c r="W1688" s="2944">
        <f t="shared" si="10"/>
        <v>0</v>
      </c>
    </row>
    <row r="1689" spans="1:23" s="2944" customFormat="1" ht="93.6">
      <c r="A1689" s="2948">
        <v>1688</v>
      </c>
      <c r="B1689" s="2948" t="s">
        <v>635</v>
      </c>
      <c r="C1689" s="2948" t="s">
        <v>636</v>
      </c>
      <c r="D1689" s="2948" t="s">
        <v>2246</v>
      </c>
      <c r="E1689" s="2948" t="s">
        <v>822</v>
      </c>
      <c r="F1689" s="2948" t="s">
        <v>2252</v>
      </c>
      <c r="G1689" s="2948" t="s">
        <v>640</v>
      </c>
      <c r="H1689" s="2948" t="s">
        <v>1453</v>
      </c>
      <c r="I1689" s="2948" t="s">
        <v>2248</v>
      </c>
      <c r="J1689" s="2948" t="s">
        <v>643</v>
      </c>
      <c r="K1689" s="2950">
        <v>9.42</v>
      </c>
      <c r="L1689" s="2950">
        <v>4.1900000000000004</v>
      </c>
      <c r="M1689" s="2951">
        <v>282600</v>
      </c>
      <c r="N1689" s="2951">
        <v>282600</v>
      </c>
      <c r="O1689" s="2952">
        <v>282600</v>
      </c>
      <c r="P1689" s="2953">
        <v>282600</v>
      </c>
      <c r="Q1689" s="2951">
        <v>282600</v>
      </c>
      <c r="R1689" s="2954">
        <v>44939</v>
      </c>
      <c r="S1689" s="2954">
        <v>44939</v>
      </c>
      <c r="T1689" s="2948"/>
      <c r="U1689" s="2948"/>
      <c r="V1689" s="2948" t="s">
        <v>839</v>
      </c>
      <c r="W1689" s="2944">
        <f t="shared" si="10"/>
        <v>30000</v>
      </c>
    </row>
    <row r="1690" spans="1:23" s="2944" customFormat="1" ht="93.6" hidden="1">
      <c r="A1690" s="2948">
        <v>1689</v>
      </c>
      <c r="B1690" s="2948" t="s">
        <v>635</v>
      </c>
      <c r="C1690" s="2948" t="s">
        <v>636</v>
      </c>
      <c r="D1690" s="2948" t="s">
        <v>2246</v>
      </c>
      <c r="E1690" s="2948" t="s">
        <v>822</v>
      </c>
      <c r="F1690" s="2948" t="s">
        <v>2253</v>
      </c>
      <c r="G1690" s="2948" t="s">
        <v>1035</v>
      </c>
      <c r="H1690" s="2948" t="s">
        <v>1453</v>
      </c>
      <c r="I1690" s="2948" t="s">
        <v>2248</v>
      </c>
      <c r="J1690" s="2948" t="s">
        <v>643</v>
      </c>
      <c r="K1690" s="2950">
        <v>13.25</v>
      </c>
      <c r="L1690" s="2950">
        <v>5.89</v>
      </c>
      <c r="M1690" s="2951">
        <v>397500</v>
      </c>
      <c r="N1690" s="2951">
        <v>397500</v>
      </c>
      <c r="O1690" s="2955"/>
      <c r="P1690" s="2948"/>
      <c r="Q1690" s="2951">
        <v>0</v>
      </c>
      <c r="R1690" s="2948"/>
      <c r="S1690" s="2948"/>
      <c r="T1690" s="2948"/>
      <c r="U1690" s="2948"/>
      <c r="V1690" s="2948"/>
      <c r="W1690" s="2944">
        <f t="shared" si="10"/>
        <v>0</v>
      </c>
    </row>
    <row r="1691" spans="1:23" s="2944" customFormat="1" ht="93.6">
      <c r="A1691" s="2948">
        <v>1690</v>
      </c>
      <c r="B1691" s="2948" t="s">
        <v>635</v>
      </c>
      <c r="C1691" s="2948" t="s">
        <v>636</v>
      </c>
      <c r="D1691" s="2948" t="s">
        <v>2246</v>
      </c>
      <c r="E1691" s="2948" t="s">
        <v>822</v>
      </c>
      <c r="F1691" s="2948" t="s">
        <v>2254</v>
      </c>
      <c r="G1691" s="2948" t="s">
        <v>640</v>
      </c>
      <c r="H1691" s="2948" t="s">
        <v>1453</v>
      </c>
      <c r="I1691" s="2948" t="s">
        <v>2248</v>
      </c>
      <c r="J1691" s="2948" t="s">
        <v>643</v>
      </c>
      <c r="K1691" s="2950">
        <v>9.31</v>
      </c>
      <c r="L1691" s="2950">
        <v>4.1399999999999997</v>
      </c>
      <c r="M1691" s="2951">
        <v>279300</v>
      </c>
      <c r="N1691" s="2951">
        <v>279300</v>
      </c>
      <c r="O1691" s="2952">
        <v>279300</v>
      </c>
      <c r="P1691" s="2953">
        <v>279300</v>
      </c>
      <c r="Q1691" s="2951">
        <v>279300</v>
      </c>
      <c r="R1691" s="2954">
        <v>44585</v>
      </c>
      <c r="S1691" s="2954">
        <v>44681</v>
      </c>
      <c r="T1691" s="2954">
        <v>44778</v>
      </c>
      <c r="U1691" s="2954">
        <v>44778</v>
      </c>
      <c r="V1691" s="2948" t="s">
        <v>837</v>
      </c>
      <c r="W1691" s="2944">
        <f t="shared" si="10"/>
        <v>30000</v>
      </c>
    </row>
    <row r="1692" spans="1:23" s="2944" customFormat="1" ht="93.6">
      <c r="A1692" s="2948">
        <v>1691</v>
      </c>
      <c r="B1692" s="2948" t="s">
        <v>635</v>
      </c>
      <c r="C1692" s="2948" t="s">
        <v>636</v>
      </c>
      <c r="D1692" s="2948" t="s">
        <v>2246</v>
      </c>
      <c r="E1692" s="2948" t="s">
        <v>822</v>
      </c>
      <c r="F1692" s="2948" t="s">
        <v>2255</v>
      </c>
      <c r="G1692" s="2948" t="s">
        <v>640</v>
      </c>
      <c r="H1692" s="2948" t="s">
        <v>1453</v>
      </c>
      <c r="I1692" s="2948" t="s">
        <v>2248</v>
      </c>
      <c r="J1692" s="2948" t="s">
        <v>643</v>
      </c>
      <c r="K1692" s="2950">
        <v>17.27</v>
      </c>
      <c r="L1692" s="2950">
        <v>7.68</v>
      </c>
      <c r="M1692" s="2951">
        <v>518100</v>
      </c>
      <c r="N1692" s="2951">
        <v>518100</v>
      </c>
      <c r="O1692" s="2952">
        <v>518100</v>
      </c>
      <c r="P1692" s="2953">
        <v>518100</v>
      </c>
      <c r="Q1692" s="2951">
        <v>518100</v>
      </c>
      <c r="R1692" s="2954">
        <v>45233</v>
      </c>
      <c r="S1692" s="2954">
        <v>45285</v>
      </c>
      <c r="T1692" s="2948"/>
      <c r="U1692" s="2948"/>
      <c r="V1692" s="2948" t="s">
        <v>2260</v>
      </c>
      <c r="W1692" s="2944">
        <f t="shared" si="10"/>
        <v>30000</v>
      </c>
    </row>
    <row r="1693" spans="1:23" s="2944" customFormat="1" ht="93.6">
      <c r="A1693" s="2948">
        <v>1692</v>
      </c>
      <c r="B1693" s="2948" t="s">
        <v>635</v>
      </c>
      <c r="C1693" s="2948" t="s">
        <v>636</v>
      </c>
      <c r="D1693" s="2948" t="s">
        <v>2246</v>
      </c>
      <c r="E1693" s="2948" t="s">
        <v>822</v>
      </c>
      <c r="F1693" s="2948" t="s">
        <v>2256</v>
      </c>
      <c r="G1693" s="2948" t="s">
        <v>640</v>
      </c>
      <c r="H1693" s="2948" t="s">
        <v>1453</v>
      </c>
      <c r="I1693" s="2948" t="s">
        <v>2248</v>
      </c>
      <c r="J1693" s="2948" t="s">
        <v>643</v>
      </c>
      <c r="K1693" s="2950">
        <v>16.03</v>
      </c>
      <c r="L1693" s="2950">
        <v>7.13</v>
      </c>
      <c r="M1693" s="2951">
        <v>480900</v>
      </c>
      <c r="N1693" s="2951">
        <v>480900</v>
      </c>
      <c r="O1693" s="2952">
        <v>480900</v>
      </c>
      <c r="P1693" s="2953">
        <v>480900</v>
      </c>
      <c r="Q1693" s="2951">
        <v>480900</v>
      </c>
      <c r="R1693" s="2954">
        <v>44585</v>
      </c>
      <c r="S1693" s="2954">
        <v>44638</v>
      </c>
      <c r="T1693" s="2954">
        <v>44638</v>
      </c>
      <c r="U1693" s="2954">
        <v>44638</v>
      </c>
      <c r="V1693" s="2948" t="s">
        <v>834</v>
      </c>
      <c r="W1693" s="2944">
        <f t="shared" si="10"/>
        <v>30000</v>
      </c>
    </row>
    <row r="1694" spans="1:23" s="2944" customFormat="1" ht="93.6" hidden="1">
      <c r="A1694" s="2948">
        <v>1693</v>
      </c>
      <c r="B1694" s="2948" t="s">
        <v>635</v>
      </c>
      <c r="C1694" s="2948" t="s">
        <v>636</v>
      </c>
      <c r="D1694" s="2948" t="s">
        <v>2246</v>
      </c>
      <c r="E1694" s="2948" t="s">
        <v>822</v>
      </c>
      <c r="F1694" s="2948" t="s">
        <v>648</v>
      </c>
      <c r="G1694" s="2948" t="s">
        <v>1035</v>
      </c>
      <c r="H1694" s="2948" t="s">
        <v>1453</v>
      </c>
      <c r="I1694" s="2948" t="s">
        <v>2248</v>
      </c>
      <c r="J1694" s="2948" t="s">
        <v>643</v>
      </c>
      <c r="K1694" s="2950">
        <v>51.77</v>
      </c>
      <c r="L1694" s="2950">
        <v>23.02</v>
      </c>
      <c r="M1694" s="2951">
        <v>1553100</v>
      </c>
      <c r="N1694" s="2951">
        <v>1553100</v>
      </c>
      <c r="O1694" s="2955"/>
      <c r="P1694" s="2948"/>
      <c r="Q1694" s="2951">
        <v>0</v>
      </c>
      <c r="R1694" s="2948"/>
      <c r="S1694" s="2948"/>
      <c r="T1694" s="2948"/>
      <c r="U1694" s="2948"/>
      <c r="V1694" s="2948"/>
      <c r="W1694" s="2944">
        <f t="shared" si="10"/>
        <v>0</v>
      </c>
    </row>
    <row r="1695" spans="1:23" s="2944" customFormat="1" ht="93.6">
      <c r="A1695" s="2948">
        <v>1694</v>
      </c>
      <c r="B1695" s="2948" t="s">
        <v>635</v>
      </c>
      <c r="C1695" s="2948" t="s">
        <v>636</v>
      </c>
      <c r="D1695" s="2948" t="s">
        <v>2246</v>
      </c>
      <c r="E1695" s="2948" t="s">
        <v>822</v>
      </c>
      <c r="F1695" s="2948" t="s">
        <v>651</v>
      </c>
      <c r="G1695" s="2948" t="s">
        <v>640</v>
      </c>
      <c r="H1695" s="2948" t="s">
        <v>1453</v>
      </c>
      <c r="I1695" s="2948" t="s">
        <v>2248</v>
      </c>
      <c r="J1695" s="2948" t="s">
        <v>643</v>
      </c>
      <c r="K1695" s="2950">
        <v>9.42</v>
      </c>
      <c r="L1695" s="2950">
        <v>4.1900000000000004</v>
      </c>
      <c r="M1695" s="2951">
        <v>282600</v>
      </c>
      <c r="N1695" s="2951">
        <v>282600</v>
      </c>
      <c r="O1695" s="2952">
        <v>282600</v>
      </c>
      <c r="P1695" s="2953">
        <v>282600</v>
      </c>
      <c r="Q1695" s="2951">
        <v>282600</v>
      </c>
      <c r="R1695" s="2954">
        <v>44551</v>
      </c>
      <c r="S1695" s="2954">
        <v>44561</v>
      </c>
      <c r="T1695" s="2954">
        <v>44778</v>
      </c>
      <c r="U1695" s="2954">
        <v>44778</v>
      </c>
      <c r="V1695" s="2948" t="s">
        <v>846</v>
      </c>
      <c r="W1695" s="2944">
        <f t="shared" si="10"/>
        <v>30000</v>
      </c>
    </row>
    <row r="1696" spans="1:23" s="2944" customFormat="1" ht="93.6" hidden="1">
      <c r="A1696" s="2948">
        <v>1695</v>
      </c>
      <c r="B1696" s="2948" t="s">
        <v>635</v>
      </c>
      <c r="C1696" s="2948" t="s">
        <v>636</v>
      </c>
      <c r="D1696" s="2948" t="s">
        <v>2246</v>
      </c>
      <c r="E1696" s="2948" t="s">
        <v>822</v>
      </c>
      <c r="F1696" s="2948" t="s">
        <v>2261</v>
      </c>
      <c r="G1696" s="2948" t="s">
        <v>1035</v>
      </c>
      <c r="H1696" s="2948" t="s">
        <v>1453</v>
      </c>
      <c r="I1696" s="2948" t="s">
        <v>2248</v>
      </c>
      <c r="J1696" s="2948" t="s">
        <v>643</v>
      </c>
      <c r="K1696" s="2950">
        <v>43.67</v>
      </c>
      <c r="L1696" s="2950">
        <v>19.420000000000002</v>
      </c>
      <c r="M1696" s="2951">
        <v>1310100</v>
      </c>
      <c r="N1696" s="2951">
        <v>1310100</v>
      </c>
      <c r="O1696" s="2955"/>
      <c r="P1696" s="2948"/>
      <c r="Q1696" s="2951">
        <v>0</v>
      </c>
      <c r="R1696" s="2948"/>
      <c r="S1696" s="2948"/>
      <c r="T1696" s="2948"/>
      <c r="U1696" s="2948"/>
      <c r="V1696" s="2948"/>
      <c r="W1696" s="2944">
        <f t="shared" si="10"/>
        <v>0</v>
      </c>
    </row>
    <row r="1697" spans="1:23" s="2944" customFormat="1" ht="93.6" hidden="1">
      <c r="A1697" s="2948">
        <v>1696</v>
      </c>
      <c r="B1697" s="2948" t="s">
        <v>635</v>
      </c>
      <c r="C1697" s="2948" t="s">
        <v>636</v>
      </c>
      <c r="D1697" s="2948" t="s">
        <v>2246</v>
      </c>
      <c r="E1697" s="2948" t="s">
        <v>822</v>
      </c>
      <c r="F1697" s="2948" t="s">
        <v>2258</v>
      </c>
      <c r="G1697" s="2948" t="s">
        <v>1035</v>
      </c>
      <c r="H1697" s="2948" t="s">
        <v>1453</v>
      </c>
      <c r="I1697" s="2948" t="s">
        <v>2248</v>
      </c>
      <c r="J1697" s="2948" t="s">
        <v>643</v>
      </c>
      <c r="K1697" s="2950">
        <v>31.46</v>
      </c>
      <c r="L1697" s="2950">
        <v>13.99</v>
      </c>
      <c r="M1697" s="2951">
        <v>943800</v>
      </c>
      <c r="N1697" s="2951">
        <v>943800</v>
      </c>
      <c r="O1697" s="2955"/>
      <c r="P1697" s="2948"/>
      <c r="Q1697" s="2951">
        <v>0</v>
      </c>
      <c r="R1697" s="2948"/>
      <c r="S1697" s="2948"/>
      <c r="T1697" s="2948"/>
      <c r="U1697" s="2948"/>
      <c r="V1697" s="2948"/>
      <c r="W1697" s="2944">
        <f t="shared" si="10"/>
        <v>0</v>
      </c>
    </row>
    <row r="1698" spans="1:23" s="2944" customFormat="1" ht="93.6" hidden="1">
      <c r="A1698" s="2948">
        <v>1697</v>
      </c>
      <c r="B1698" s="2948" t="s">
        <v>635</v>
      </c>
      <c r="C1698" s="2948" t="s">
        <v>636</v>
      </c>
      <c r="D1698" s="2948" t="s">
        <v>2246</v>
      </c>
      <c r="E1698" s="2948" t="s">
        <v>822</v>
      </c>
      <c r="F1698" s="2948" t="s">
        <v>2259</v>
      </c>
      <c r="G1698" s="2948" t="s">
        <v>1035</v>
      </c>
      <c r="H1698" s="2948" t="s">
        <v>1453</v>
      </c>
      <c r="I1698" s="2948" t="s">
        <v>2248</v>
      </c>
      <c r="J1698" s="2948" t="s">
        <v>643</v>
      </c>
      <c r="K1698" s="2950">
        <v>22.06</v>
      </c>
      <c r="L1698" s="2950">
        <v>9.81</v>
      </c>
      <c r="M1698" s="2951">
        <v>661800</v>
      </c>
      <c r="N1698" s="2951">
        <v>661800</v>
      </c>
      <c r="O1698" s="2955"/>
      <c r="P1698" s="2948"/>
      <c r="Q1698" s="2951">
        <v>0</v>
      </c>
      <c r="R1698" s="2948"/>
      <c r="S1698" s="2948"/>
      <c r="T1698" s="2948"/>
      <c r="U1698" s="2948"/>
      <c r="V1698" s="2948"/>
      <c r="W1698" s="2944">
        <f t="shared" si="10"/>
        <v>0</v>
      </c>
    </row>
    <row r="1699" spans="1:23" s="2944" customFormat="1" ht="93.6">
      <c r="A1699" s="2948">
        <v>1698</v>
      </c>
      <c r="B1699" s="2948" t="s">
        <v>635</v>
      </c>
      <c r="C1699" s="2948" t="s">
        <v>636</v>
      </c>
      <c r="D1699" s="2948" t="s">
        <v>2246</v>
      </c>
      <c r="E1699" s="2948" t="s">
        <v>822</v>
      </c>
      <c r="F1699" s="2948" t="s">
        <v>2257</v>
      </c>
      <c r="G1699" s="2948" t="s">
        <v>640</v>
      </c>
      <c r="H1699" s="2948" t="s">
        <v>1453</v>
      </c>
      <c r="I1699" s="2948" t="s">
        <v>2248</v>
      </c>
      <c r="J1699" s="2948" t="s">
        <v>643</v>
      </c>
      <c r="K1699" s="2950">
        <v>23.03</v>
      </c>
      <c r="L1699" s="2950">
        <v>10.24</v>
      </c>
      <c r="M1699" s="2951">
        <v>690900</v>
      </c>
      <c r="N1699" s="2951">
        <v>690900</v>
      </c>
      <c r="O1699" s="2952">
        <v>690900</v>
      </c>
      <c r="P1699" s="2953">
        <v>690900</v>
      </c>
      <c r="Q1699" s="2951">
        <v>690900</v>
      </c>
      <c r="R1699" s="2954">
        <v>44723</v>
      </c>
      <c r="S1699" s="2954">
        <v>44726</v>
      </c>
      <c r="T1699" s="2954">
        <v>44726</v>
      </c>
      <c r="U1699" s="2954">
        <v>44726</v>
      </c>
      <c r="V1699" s="2948" t="s">
        <v>830</v>
      </c>
      <c r="W1699" s="2944">
        <f t="shared" si="10"/>
        <v>30000</v>
      </c>
    </row>
    <row r="1700" spans="1:23" s="2944" customFormat="1" ht="93.6" hidden="1">
      <c r="A1700" s="2948">
        <v>1699</v>
      </c>
      <c r="B1700" s="2948" t="s">
        <v>635</v>
      </c>
      <c r="C1700" s="2948" t="s">
        <v>636</v>
      </c>
      <c r="D1700" s="2948" t="s">
        <v>2246</v>
      </c>
      <c r="E1700" s="2948" t="s">
        <v>822</v>
      </c>
      <c r="F1700" s="2948" t="s">
        <v>653</v>
      </c>
      <c r="G1700" s="2948" t="s">
        <v>1035</v>
      </c>
      <c r="H1700" s="2948" t="s">
        <v>1453</v>
      </c>
      <c r="I1700" s="2948" t="s">
        <v>2248</v>
      </c>
      <c r="J1700" s="2948" t="s">
        <v>643</v>
      </c>
      <c r="K1700" s="2950">
        <v>55.75</v>
      </c>
      <c r="L1700" s="2950">
        <v>24.79</v>
      </c>
      <c r="M1700" s="2951">
        <v>1672500</v>
      </c>
      <c r="N1700" s="2951">
        <v>1672500</v>
      </c>
      <c r="O1700" s="2955"/>
      <c r="P1700" s="2948"/>
      <c r="Q1700" s="2951">
        <v>0</v>
      </c>
      <c r="R1700" s="2948"/>
      <c r="S1700" s="2948"/>
      <c r="T1700" s="2948"/>
      <c r="U1700" s="2948"/>
      <c r="V1700" s="2948"/>
      <c r="W1700" s="2944">
        <f t="shared" si="10"/>
        <v>0</v>
      </c>
    </row>
    <row r="1701" spans="1:23" s="2944" customFormat="1" ht="93.6" hidden="1">
      <c r="A1701" s="2948">
        <v>1700</v>
      </c>
      <c r="B1701" s="2948" t="s">
        <v>635</v>
      </c>
      <c r="C1701" s="2948" t="s">
        <v>636</v>
      </c>
      <c r="D1701" s="2948" t="s">
        <v>2246</v>
      </c>
      <c r="E1701" s="2948" t="s">
        <v>822</v>
      </c>
      <c r="F1701" s="2948" t="s">
        <v>655</v>
      </c>
      <c r="G1701" s="2948" t="s">
        <v>1035</v>
      </c>
      <c r="H1701" s="2948" t="s">
        <v>1453</v>
      </c>
      <c r="I1701" s="2948" t="s">
        <v>2248</v>
      </c>
      <c r="J1701" s="2948" t="s">
        <v>643</v>
      </c>
      <c r="K1701" s="2950">
        <v>25.23</v>
      </c>
      <c r="L1701" s="2950">
        <v>11.22</v>
      </c>
      <c r="M1701" s="2951">
        <v>756900</v>
      </c>
      <c r="N1701" s="2951">
        <v>756900</v>
      </c>
      <c r="O1701" s="2955"/>
      <c r="P1701" s="2948"/>
      <c r="Q1701" s="2951">
        <v>0</v>
      </c>
      <c r="R1701" s="2948"/>
      <c r="S1701" s="2948"/>
      <c r="T1701" s="2948"/>
      <c r="U1701" s="2948"/>
      <c r="V1701" s="2948"/>
      <c r="W1701" s="2944">
        <f t="shared" si="10"/>
        <v>0</v>
      </c>
    </row>
    <row r="1702" spans="1:23" s="2944" customFormat="1" ht="93.6" hidden="1">
      <c r="A1702" s="2948">
        <v>1701</v>
      </c>
      <c r="B1702" s="2948" t="s">
        <v>635</v>
      </c>
      <c r="C1702" s="2948" t="s">
        <v>636</v>
      </c>
      <c r="D1702" s="2948" t="s">
        <v>2246</v>
      </c>
      <c r="E1702" s="2948" t="s">
        <v>1456</v>
      </c>
      <c r="F1702" s="2948" t="s">
        <v>2262</v>
      </c>
      <c r="G1702" s="2948" t="s">
        <v>1035</v>
      </c>
      <c r="H1702" s="2948" t="s">
        <v>1453</v>
      </c>
      <c r="I1702" s="2948" t="s">
        <v>2248</v>
      </c>
      <c r="J1702" s="2948" t="s">
        <v>643</v>
      </c>
      <c r="K1702" s="2950">
        <v>18.05</v>
      </c>
      <c r="L1702" s="2950">
        <v>8.5399999999999991</v>
      </c>
      <c r="M1702" s="2951">
        <v>541500</v>
      </c>
      <c r="N1702" s="2951">
        <v>541500</v>
      </c>
      <c r="O1702" s="2955"/>
      <c r="P1702" s="2948"/>
      <c r="Q1702" s="2951">
        <v>0</v>
      </c>
      <c r="R1702" s="2948"/>
      <c r="S1702" s="2948"/>
      <c r="T1702" s="2948"/>
      <c r="U1702" s="2948"/>
      <c r="V1702" s="2948"/>
      <c r="W1702" s="2944">
        <f t="shared" si="10"/>
        <v>0</v>
      </c>
    </row>
    <row r="1703" spans="1:23" s="2944" customFormat="1" ht="93.6" hidden="1">
      <c r="A1703" s="2948">
        <v>1702</v>
      </c>
      <c r="B1703" s="2948" t="s">
        <v>635</v>
      </c>
      <c r="C1703" s="2948" t="s">
        <v>636</v>
      </c>
      <c r="D1703" s="2948" t="s">
        <v>2246</v>
      </c>
      <c r="E1703" s="2948" t="s">
        <v>1456</v>
      </c>
      <c r="F1703" s="2948" t="s">
        <v>2263</v>
      </c>
      <c r="G1703" s="2948" t="s">
        <v>1035</v>
      </c>
      <c r="H1703" s="2948" t="s">
        <v>1453</v>
      </c>
      <c r="I1703" s="2948" t="s">
        <v>2248</v>
      </c>
      <c r="J1703" s="2948" t="s">
        <v>643</v>
      </c>
      <c r="K1703" s="2950">
        <v>11.14</v>
      </c>
      <c r="L1703" s="2950">
        <v>5.27</v>
      </c>
      <c r="M1703" s="2951">
        <v>334200</v>
      </c>
      <c r="N1703" s="2951">
        <v>334200</v>
      </c>
      <c r="O1703" s="2955"/>
      <c r="P1703" s="2948"/>
      <c r="Q1703" s="2951">
        <v>0</v>
      </c>
      <c r="R1703" s="2948"/>
      <c r="S1703" s="2948"/>
      <c r="T1703" s="2948"/>
      <c r="U1703" s="2948"/>
      <c r="V1703" s="2948"/>
      <c r="W1703" s="2944">
        <f t="shared" si="10"/>
        <v>0</v>
      </c>
    </row>
    <row r="1704" spans="1:23" s="2944" customFormat="1" ht="93.6" hidden="1">
      <c r="A1704" s="2948">
        <v>1703</v>
      </c>
      <c r="B1704" s="2948" t="s">
        <v>635</v>
      </c>
      <c r="C1704" s="2948" t="s">
        <v>636</v>
      </c>
      <c r="D1704" s="2948" t="s">
        <v>2246</v>
      </c>
      <c r="E1704" s="2948" t="s">
        <v>1456</v>
      </c>
      <c r="F1704" s="2948" t="s">
        <v>2264</v>
      </c>
      <c r="G1704" s="2948" t="s">
        <v>1035</v>
      </c>
      <c r="H1704" s="2948" t="s">
        <v>1453</v>
      </c>
      <c r="I1704" s="2948" t="s">
        <v>2248</v>
      </c>
      <c r="J1704" s="2948" t="s">
        <v>643</v>
      </c>
      <c r="K1704" s="2950">
        <v>28.79</v>
      </c>
      <c r="L1704" s="2950">
        <v>13.62</v>
      </c>
      <c r="M1704" s="2951">
        <v>863700</v>
      </c>
      <c r="N1704" s="2951">
        <v>863700</v>
      </c>
      <c r="O1704" s="2955"/>
      <c r="P1704" s="2948"/>
      <c r="Q1704" s="2951">
        <v>0</v>
      </c>
      <c r="R1704" s="2948"/>
      <c r="S1704" s="2948"/>
      <c r="T1704" s="2948"/>
      <c r="U1704" s="2948"/>
      <c r="V1704" s="2948"/>
      <c r="W1704" s="2944">
        <f t="shared" si="10"/>
        <v>0</v>
      </c>
    </row>
    <row r="1705" spans="1:23" s="2944" customFormat="1" ht="93.6" hidden="1">
      <c r="A1705" s="2948">
        <v>1704</v>
      </c>
      <c r="B1705" s="2948" t="s">
        <v>635</v>
      </c>
      <c r="C1705" s="2948" t="s">
        <v>636</v>
      </c>
      <c r="D1705" s="2948" t="s">
        <v>2246</v>
      </c>
      <c r="E1705" s="2948" t="s">
        <v>1456</v>
      </c>
      <c r="F1705" s="2948" t="s">
        <v>2265</v>
      </c>
      <c r="G1705" s="2948" t="s">
        <v>1035</v>
      </c>
      <c r="H1705" s="2948" t="s">
        <v>1453</v>
      </c>
      <c r="I1705" s="2948" t="s">
        <v>2248</v>
      </c>
      <c r="J1705" s="2948" t="s">
        <v>643</v>
      </c>
      <c r="K1705" s="2950">
        <v>24.45</v>
      </c>
      <c r="L1705" s="2950">
        <v>11.57</v>
      </c>
      <c r="M1705" s="2951">
        <v>733500</v>
      </c>
      <c r="N1705" s="2951">
        <v>733500</v>
      </c>
      <c r="O1705" s="2955"/>
      <c r="P1705" s="2948"/>
      <c r="Q1705" s="2951">
        <v>0</v>
      </c>
      <c r="R1705" s="2948"/>
      <c r="S1705" s="2948"/>
      <c r="T1705" s="2948"/>
      <c r="U1705" s="2948"/>
      <c r="V1705" s="2948"/>
      <c r="W1705" s="2944">
        <f t="shared" si="10"/>
        <v>0</v>
      </c>
    </row>
    <row r="1706" spans="1:23" s="2944" customFormat="1" ht="93.6" hidden="1">
      <c r="A1706" s="2948">
        <v>1705</v>
      </c>
      <c r="B1706" s="2948" t="s">
        <v>635</v>
      </c>
      <c r="C1706" s="2948" t="s">
        <v>636</v>
      </c>
      <c r="D1706" s="2948" t="s">
        <v>2246</v>
      </c>
      <c r="E1706" s="2948" t="s">
        <v>1456</v>
      </c>
      <c r="F1706" s="2948" t="s">
        <v>2266</v>
      </c>
      <c r="G1706" s="2948" t="s">
        <v>1035</v>
      </c>
      <c r="H1706" s="2948" t="s">
        <v>1453</v>
      </c>
      <c r="I1706" s="2948" t="s">
        <v>2248</v>
      </c>
      <c r="J1706" s="2948" t="s">
        <v>643</v>
      </c>
      <c r="K1706" s="2950">
        <v>24.45</v>
      </c>
      <c r="L1706" s="2950">
        <v>11.57</v>
      </c>
      <c r="M1706" s="2951">
        <v>733500</v>
      </c>
      <c r="N1706" s="2951">
        <v>733500</v>
      </c>
      <c r="O1706" s="2955"/>
      <c r="P1706" s="2948"/>
      <c r="Q1706" s="2951">
        <v>0</v>
      </c>
      <c r="R1706" s="2948"/>
      <c r="S1706" s="2948"/>
      <c r="T1706" s="2948"/>
      <c r="U1706" s="2948"/>
      <c r="V1706" s="2948"/>
      <c r="W1706" s="2944">
        <f t="shared" si="10"/>
        <v>0</v>
      </c>
    </row>
    <row r="1707" spans="1:23" s="2944" customFormat="1" ht="93.6" hidden="1">
      <c r="A1707" s="2948">
        <v>1706</v>
      </c>
      <c r="B1707" s="2948" t="s">
        <v>635</v>
      </c>
      <c r="C1707" s="2948" t="s">
        <v>636</v>
      </c>
      <c r="D1707" s="2948" t="s">
        <v>2246</v>
      </c>
      <c r="E1707" s="2948" t="s">
        <v>1456</v>
      </c>
      <c r="F1707" s="2948" t="s">
        <v>2267</v>
      </c>
      <c r="G1707" s="2948" t="s">
        <v>1035</v>
      </c>
      <c r="H1707" s="2948" t="s">
        <v>1453</v>
      </c>
      <c r="I1707" s="2948" t="s">
        <v>2248</v>
      </c>
      <c r="J1707" s="2948" t="s">
        <v>643</v>
      </c>
      <c r="K1707" s="2950">
        <v>28.79</v>
      </c>
      <c r="L1707" s="2950">
        <v>13.62</v>
      </c>
      <c r="M1707" s="2951">
        <v>863700</v>
      </c>
      <c r="N1707" s="2951">
        <v>863700</v>
      </c>
      <c r="O1707" s="2955"/>
      <c r="P1707" s="2948"/>
      <c r="Q1707" s="2951">
        <v>0</v>
      </c>
      <c r="R1707" s="2948"/>
      <c r="S1707" s="2948"/>
      <c r="T1707" s="2948"/>
      <c r="U1707" s="2948"/>
      <c r="V1707" s="2948"/>
      <c r="W1707" s="2944">
        <f t="shared" si="10"/>
        <v>0</v>
      </c>
    </row>
    <row r="1708" spans="1:23" s="2944" customFormat="1" ht="93.6" hidden="1">
      <c r="A1708" s="2948">
        <v>1707</v>
      </c>
      <c r="B1708" s="2948" t="s">
        <v>635</v>
      </c>
      <c r="C1708" s="2948" t="s">
        <v>636</v>
      </c>
      <c r="D1708" s="2948" t="s">
        <v>2246</v>
      </c>
      <c r="E1708" s="2948" t="s">
        <v>1456</v>
      </c>
      <c r="F1708" s="2948" t="s">
        <v>2247</v>
      </c>
      <c r="G1708" s="2948" t="s">
        <v>1035</v>
      </c>
      <c r="H1708" s="2948" t="s">
        <v>1453</v>
      </c>
      <c r="I1708" s="2948" t="s">
        <v>2248</v>
      </c>
      <c r="J1708" s="2948" t="s">
        <v>643</v>
      </c>
      <c r="K1708" s="2950">
        <v>11.14</v>
      </c>
      <c r="L1708" s="2950">
        <v>5.27</v>
      </c>
      <c r="M1708" s="2951">
        <v>334200</v>
      </c>
      <c r="N1708" s="2951">
        <v>334200</v>
      </c>
      <c r="O1708" s="2955"/>
      <c r="P1708" s="2948"/>
      <c r="Q1708" s="2951">
        <v>0</v>
      </c>
      <c r="R1708" s="2948"/>
      <c r="S1708" s="2948"/>
      <c r="T1708" s="2948"/>
      <c r="U1708" s="2948"/>
      <c r="V1708" s="2948"/>
      <c r="W1708" s="2944">
        <f t="shared" si="10"/>
        <v>0</v>
      </c>
    </row>
    <row r="1709" spans="1:23" s="2944" customFormat="1" ht="93.6" hidden="1">
      <c r="A1709" s="2948">
        <v>1708</v>
      </c>
      <c r="B1709" s="2948" t="s">
        <v>635</v>
      </c>
      <c r="C1709" s="2948" t="s">
        <v>636</v>
      </c>
      <c r="D1709" s="2948" t="s">
        <v>2246</v>
      </c>
      <c r="E1709" s="2948" t="s">
        <v>1456</v>
      </c>
      <c r="F1709" s="2948" t="s">
        <v>2249</v>
      </c>
      <c r="G1709" s="2948" t="s">
        <v>1035</v>
      </c>
      <c r="H1709" s="2948" t="s">
        <v>1453</v>
      </c>
      <c r="I1709" s="2948" t="s">
        <v>2248</v>
      </c>
      <c r="J1709" s="2948" t="s">
        <v>643</v>
      </c>
      <c r="K1709" s="2950">
        <v>18.05</v>
      </c>
      <c r="L1709" s="2950">
        <v>8.5399999999999991</v>
      </c>
      <c r="M1709" s="2951">
        <v>541500</v>
      </c>
      <c r="N1709" s="2951">
        <v>541500</v>
      </c>
      <c r="O1709" s="2955"/>
      <c r="P1709" s="2948"/>
      <c r="Q1709" s="2951">
        <v>0</v>
      </c>
      <c r="R1709" s="2948"/>
      <c r="S1709" s="2948"/>
      <c r="T1709" s="2948"/>
      <c r="U1709" s="2948"/>
      <c r="V1709" s="2948"/>
      <c r="W1709" s="2944">
        <f t="shared" si="10"/>
        <v>0</v>
      </c>
    </row>
    <row r="1710" spans="1:23" s="2944" customFormat="1" ht="93.6" hidden="1">
      <c r="A1710" s="2948">
        <v>1709</v>
      </c>
      <c r="B1710" s="2948" t="s">
        <v>635</v>
      </c>
      <c r="C1710" s="2948" t="s">
        <v>636</v>
      </c>
      <c r="D1710" s="2948" t="s">
        <v>2246</v>
      </c>
      <c r="E1710" s="2948" t="s">
        <v>1456</v>
      </c>
      <c r="F1710" s="2948" t="s">
        <v>2250</v>
      </c>
      <c r="G1710" s="2948" t="s">
        <v>1035</v>
      </c>
      <c r="H1710" s="2948" t="s">
        <v>1453</v>
      </c>
      <c r="I1710" s="2948" t="s">
        <v>2248</v>
      </c>
      <c r="J1710" s="2948" t="s">
        <v>643</v>
      </c>
      <c r="K1710" s="2950">
        <v>23.71</v>
      </c>
      <c r="L1710" s="2950">
        <v>11.22</v>
      </c>
      <c r="M1710" s="2951">
        <v>711300</v>
      </c>
      <c r="N1710" s="2951">
        <v>711300</v>
      </c>
      <c r="O1710" s="2955"/>
      <c r="P1710" s="2948"/>
      <c r="Q1710" s="2951">
        <v>0</v>
      </c>
      <c r="R1710" s="2948"/>
      <c r="S1710" s="2948"/>
      <c r="T1710" s="2948"/>
      <c r="U1710" s="2948"/>
      <c r="V1710" s="2948"/>
      <c r="W1710" s="2944">
        <f t="shared" si="10"/>
        <v>0</v>
      </c>
    </row>
    <row r="1711" spans="1:23" s="2944" customFormat="1" ht="93.6" hidden="1">
      <c r="A1711" s="2948">
        <v>1710</v>
      </c>
      <c r="B1711" s="2948" t="s">
        <v>635</v>
      </c>
      <c r="C1711" s="2948" t="s">
        <v>636</v>
      </c>
      <c r="D1711" s="2948" t="s">
        <v>2246</v>
      </c>
      <c r="E1711" s="2948" t="s">
        <v>1456</v>
      </c>
      <c r="F1711" s="2948" t="s">
        <v>645</v>
      </c>
      <c r="G1711" s="2948" t="s">
        <v>1035</v>
      </c>
      <c r="H1711" s="2948" t="s">
        <v>1453</v>
      </c>
      <c r="I1711" s="2948" t="s">
        <v>2248</v>
      </c>
      <c r="J1711" s="2948" t="s">
        <v>643</v>
      </c>
      <c r="K1711" s="2950">
        <v>23.71</v>
      </c>
      <c r="L1711" s="2950">
        <v>11.22</v>
      </c>
      <c r="M1711" s="2951">
        <v>711300</v>
      </c>
      <c r="N1711" s="2951">
        <v>711300</v>
      </c>
      <c r="O1711" s="2955"/>
      <c r="P1711" s="2948"/>
      <c r="Q1711" s="2951">
        <v>0</v>
      </c>
      <c r="R1711" s="2948"/>
      <c r="S1711" s="2948"/>
      <c r="T1711" s="2948"/>
      <c r="U1711" s="2948"/>
      <c r="V1711" s="2948"/>
      <c r="W1711" s="2944">
        <f t="shared" si="10"/>
        <v>0</v>
      </c>
    </row>
    <row r="1712" spans="1:23" s="2944" customFormat="1" ht="93.6" hidden="1">
      <c r="A1712" s="2948">
        <v>1711</v>
      </c>
      <c r="B1712" s="2948" t="s">
        <v>635</v>
      </c>
      <c r="C1712" s="2948" t="s">
        <v>636</v>
      </c>
      <c r="D1712" s="2948" t="s">
        <v>2246</v>
      </c>
      <c r="E1712" s="2948" t="s">
        <v>1456</v>
      </c>
      <c r="F1712" s="2948" t="s">
        <v>2268</v>
      </c>
      <c r="G1712" s="2948" t="s">
        <v>1035</v>
      </c>
      <c r="H1712" s="2948" t="s">
        <v>1453</v>
      </c>
      <c r="I1712" s="2948" t="s">
        <v>2248</v>
      </c>
      <c r="J1712" s="2948" t="s">
        <v>643</v>
      </c>
      <c r="K1712" s="2950">
        <v>22.28</v>
      </c>
      <c r="L1712" s="2950">
        <v>10.54</v>
      </c>
      <c r="M1712" s="2951">
        <v>668400</v>
      </c>
      <c r="N1712" s="2951">
        <v>668400</v>
      </c>
      <c r="O1712" s="2955"/>
      <c r="P1712" s="2948"/>
      <c r="Q1712" s="2951">
        <v>0</v>
      </c>
      <c r="R1712" s="2948"/>
      <c r="S1712" s="2948"/>
      <c r="T1712" s="2948"/>
      <c r="U1712" s="2948"/>
      <c r="V1712" s="2948"/>
      <c r="W1712" s="2944">
        <f t="shared" si="10"/>
        <v>0</v>
      </c>
    </row>
    <row r="1713" spans="1:23" s="2944" customFormat="1" ht="93.6" hidden="1">
      <c r="A1713" s="2948">
        <v>1712</v>
      </c>
      <c r="B1713" s="2948" t="s">
        <v>635</v>
      </c>
      <c r="C1713" s="2948" t="s">
        <v>636</v>
      </c>
      <c r="D1713" s="2948" t="s">
        <v>2246</v>
      </c>
      <c r="E1713" s="2948" t="s">
        <v>1456</v>
      </c>
      <c r="F1713" s="2948" t="s">
        <v>2269</v>
      </c>
      <c r="G1713" s="2948" t="s">
        <v>1035</v>
      </c>
      <c r="H1713" s="2948" t="s">
        <v>1453</v>
      </c>
      <c r="I1713" s="2948" t="s">
        <v>2248</v>
      </c>
      <c r="J1713" s="2948" t="s">
        <v>643</v>
      </c>
      <c r="K1713" s="2950">
        <v>17.23</v>
      </c>
      <c r="L1713" s="2950">
        <v>8.15</v>
      </c>
      <c r="M1713" s="2951">
        <v>516900</v>
      </c>
      <c r="N1713" s="2951">
        <v>516900</v>
      </c>
      <c r="O1713" s="2955"/>
      <c r="P1713" s="2948"/>
      <c r="Q1713" s="2951">
        <v>0</v>
      </c>
      <c r="R1713" s="2948"/>
      <c r="S1713" s="2948"/>
      <c r="T1713" s="2948"/>
      <c r="U1713" s="2948"/>
      <c r="V1713" s="2948"/>
      <c r="W1713" s="2944">
        <f t="shared" si="10"/>
        <v>0</v>
      </c>
    </row>
    <row r="1714" spans="1:23" s="2944" customFormat="1" ht="93.6" hidden="1">
      <c r="A1714" s="2948">
        <v>1713</v>
      </c>
      <c r="B1714" s="2948" t="s">
        <v>635</v>
      </c>
      <c r="C1714" s="2948" t="s">
        <v>636</v>
      </c>
      <c r="D1714" s="2948" t="s">
        <v>2246</v>
      </c>
      <c r="E1714" s="2948" t="s">
        <v>1456</v>
      </c>
      <c r="F1714" s="2948" t="s">
        <v>2270</v>
      </c>
      <c r="G1714" s="2948" t="s">
        <v>1035</v>
      </c>
      <c r="H1714" s="2948" t="s">
        <v>1453</v>
      </c>
      <c r="I1714" s="2948" t="s">
        <v>2248</v>
      </c>
      <c r="J1714" s="2948" t="s">
        <v>643</v>
      </c>
      <c r="K1714" s="2950">
        <v>17.23</v>
      </c>
      <c r="L1714" s="2950">
        <v>8.15</v>
      </c>
      <c r="M1714" s="2951">
        <v>516900</v>
      </c>
      <c r="N1714" s="2951">
        <v>516900</v>
      </c>
      <c r="O1714" s="2955"/>
      <c r="P1714" s="2948"/>
      <c r="Q1714" s="2951">
        <v>0</v>
      </c>
      <c r="R1714" s="2948"/>
      <c r="S1714" s="2948"/>
      <c r="T1714" s="2948"/>
      <c r="U1714" s="2948"/>
      <c r="V1714" s="2948"/>
      <c r="W1714" s="2944">
        <f t="shared" ref="W1714:W1777" si="11">O1714/K1714</f>
        <v>0</v>
      </c>
    </row>
    <row r="1715" spans="1:23" s="2944" customFormat="1" ht="93.6">
      <c r="A1715" s="2948">
        <v>1714</v>
      </c>
      <c r="B1715" s="2948" t="s">
        <v>635</v>
      </c>
      <c r="C1715" s="2948" t="s">
        <v>636</v>
      </c>
      <c r="D1715" s="2948" t="s">
        <v>2246</v>
      </c>
      <c r="E1715" s="2948" t="s">
        <v>1456</v>
      </c>
      <c r="F1715" s="2948" t="s">
        <v>2271</v>
      </c>
      <c r="G1715" s="2948" t="s">
        <v>640</v>
      </c>
      <c r="H1715" s="2948" t="s">
        <v>1453</v>
      </c>
      <c r="I1715" s="2948" t="s">
        <v>2248</v>
      </c>
      <c r="J1715" s="2948" t="s">
        <v>643</v>
      </c>
      <c r="K1715" s="2950">
        <v>22.34</v>
      </c>
      <c r="L1715" s="2950">
        <v>10.57</v>
      </c>
      <c r="M1715" s="2951">
        <v>670200</v>
      </c>
      <c r="N1715" s="2951">
        <v>670200</v>
      </c>
      <c r="O1715" s="2952">
        <v>670200</v>
      </c>
      <c r="P1715" s="2953">
        <v>670200</v>
      </c>
      <c r="Q1715" s="2951">
        <v>670200</v>
      </c>
      <c r="R1715" s="2954">
        <v>45102</v>
      </c>
      <c r="S1715" s="2954">
        <v>45104</v>
      </c>
      <c r="T1715" s="2954">
        <v>45135</v>
      </c>
      <c r="U1715" s="2954">
        <v>45135</v>
      </c>
      <c r="V1715" s="2948" t="s">
        <v>794</v>
      </c>
      <c r="W1715" s="2944">
        <f t="shared" si="11"/>
        <v>30000</v>
      </c>
    </row>
    <row r="1716" spans="1:23" s="2944" customFormat="1" ht="93.6" hidden="1">
      <c r="A1716" s="2948">
        <v>1715</v>
      </c>
      <c r="B1716" s="2948" t="s">
        <v>635</v>
      </c>
      <c r="C1716" s="2948" t="s">
        <v>636</v>
      </c>
      <c r="D1716" s="2948" t="s">
        <v>2246</v>
      </c>
      <c r="E1716" s="2948" t="s">
        <v>1456</v>
      </c>
      <c r="F1716" s="2948" t="s">
        <v>2272</v>
      </c>
      <c r="G1716" s="2948" t="s">
        <v>1035</v>
      </c>
      <c r="H1716" s="2948" t="s">
        <v>1453</v>
      </c>
      <c r="I1716" s="2948" t="s">
        <v>2248</v>
      </c>
      <c r="J1716" s="2948" t="s">
        <v>643</v>
      </c>
      <c r="K1716" s="2950">
        <v>23.67</v>
      </c>
      <c r="L1716" s="2950">
        <v>11.2</v>
      </c>
      <c r="M1716" s="2951">
        <v>710100</v>
      </c>
      <c r="N1716" s="2951">
        <v>710100</v>
      </c>
      <c r="O1716" s="2955"/>
      <c r="P1716" s="2948"/>
      <c r="Q1716" s="2951">
        <v>0</v>
      </c>
      <c r="R1716" s="2948"/>
      <c r="S1716" s="2948"/>
      <c r="T1716" s="2948"/>
      <c r="U1716" s="2948"/>
      <c r="V1716" s="2948"/>
      <c r="W1716" s="2944">
        <f t="shared" si="11"/>
        <v>0</v>
      </c>
    </row>
    <row r="1717" spans="1:23" s="2944" customFormat="1" ht="93.6" hidden="1">
      <c r="A1717" s="2948">
        <v>1716</v>
      </c>
      <c r="B1717" s="2948" t="s">
        <v>635</v>
      </c>
      <c r="C1717" s="2948" t="s">
        <v>636</v>
      </c>
      <c r="D1717" s="2948" t="s">
        <v>2246</v>
      </c>
      <c r="E1717" s="2948" t="s">
        <v>1456</v>
      </c>
      <c r="F1717" s="2948" t="s">
        <v>2273</v>
      </c>
      <c r="G1717" s="2948" t="s">
        <v>1035</v>
      </c>
      <c r="H1717" s="2948" t="s">
        <v>1453</v>
      </c>
      <c r="I1717" s="2948" t="s">
        <v>2248</v>
      </c>
      <c r="J1717" s="2948" t="s">
        <v>643</v>
      </c>
      <c r="K1717" s="2950">
        <v>56.12</v>
      </c>
      <c r="L1717" s="2950">
        <v>26.55</v>
      </c>
      <c r="M1717" s="2951">
        <v>1683600</v>
      </c>
      <c r="N1717" s="2951">
        <v>1683600</v>
      </c>
      <c r="O1717" s="2955"/>
      <c r="P1717" s="2948"/>
      <c r="Q1717" s="2951">
        <v>0</v>
      </c>
      <c r="R1717" s="2948"/>
      <c r="S1717" s="2948"/>
      <c r="T1717" s="2948"/>
      <c r="U1717" s="2948"/>
      <c r="V1717" s="2948"/>
      <c r="W1717" s="2944">
        <f t="shared" si="11"/>
        <v>0</v>
      </c>
    </row>
    <row r="1718" spans="1:23" s="2944" customFormat="1" ht="93.6" hidden="1">
      <c r="A1718" s="2948">
        <v>1717</v>
      </c>
      <c r="B1718" s="2948" t="s">
        <v>635</v>
      </c>
      <c r="C1718" s="2948" t="s">
        <v>636</v>
      </c>
      <c r="D1718" s="2948" t="s">
        <v>2246</v>
      </c>
      <c r="E1718" s="2948" t="s">
        <v>1456</v>
      </c>
      <c r="F1718" s="2948" t="s">
        <v>2274</v>
      </c>
      <c r="G1718" s="2948" t="s">
        <v>1035</v>
      </c>
      <c r="H1718" s="2948" t="s">
        <v>1453</v>
      </c>
      <c r="I1718" s="2948" t="s">
        <v>2248</v>
      </c>
      <c r="J1718" s="2948" t="s">
        <v>643</v>
      </c>
      <c r="K1718" s="2950">
        <v>21.56</v>
      </c>
      <c r="L1718" s="2950">
        <v>10.199999999999999</v>
      </c>
      <c r="M1718" s="2951">
        <v>646800</v>
      </c>
      <c r="N1718" s="2951">
        <v>646800</v>
      </c>
      <c r="O1718" s="2955"/>
      <c r="P1718" s="2948"/>
      <c r="Q1718" s="2951">
        <v>0</v>
      </c>
      <c r="R1718" s="2948"/>
      <c r="S1718" s="2948"/>
      <c r="T1718" s="2948"/>
      <c r="U1718" s="2948"/>
      <c r="V1718" s="2948"/>
      <c r="W1718" s="2944">
        <f t="shared" si="11"/>
        <v>0</v>
      </c>
    </row>
    <row r="1719" spans="1:23" s="2944" customFormat="1" ht="93.6" hidden="1">
      <c r="A1719" s="2948">
        <v>1718</v>
      </c>
      <c r="B1719" s="2948" t="s">
        <v>635</v>
      </c>
      <c r="C1719" s="2948" t="s">
        <v>636</v>
      </c>
      <c r="D1719" s="2948" t="s">
        <v>2246</v>
      </c>
      <c r="E1719" s="2948" t="s">
        <v>1456</v>
      </c>
      <c r="F1719" s="2948" t="s">
        <v>2275</v>
      </c>
      <c r="G1719" s="2948" t="s">
        <v>1035</v>
      </c>
      <c r="H1719" s="2948" t="s">
        <v>1453</v>
      </c>
      <c r="I1719" s="2948" t="s">
        <v>2248</v>
      </c>
      <c r="J1719" s="2948" t="s">
        <v>643</v>
      </c>
      <c r="K1719" s="2950">
        <v>21.05</v>
      </c>
      <c r="L1719" s="2950">
        <v>9.9600000000000009</v>
      </c>
      <c r="M1719" s="2951">
        <v>631500</v>
      </c>
      <c r="N1719" s="2951">
        <v>631500</v>
      </c>
      <c r="O1719" s="2955"/>
      <c r="P1719" s="2948"/>
      <c r="Q1719" s="2951">
        <v>0</v>
      </c>
      <c r="R1719" s="2948"/>
      <c r="S1719" s="2948"/>
      <c r="T1719" s="2948"/>
      <c r="U1719" s="2948"/>
      <c r="V1719" s="2948"/>
      <c r="W1719" s="2944">
        <f t="shared" si="11"/>
        <v>0</v>
      </c>
    </row>
    <row r="1720" spans="1:23" s="2944" customFormat="1" ht="93.6" hidden="1">
      <c r="A1720" s="2948">
        <v>1719</v>
      </c>
      <c r="B1720" s="2948" t="s">
        <v>635</v>
      </c>
      <c r="C1720" s="2948" t="s">
        <v>636</v>
      </c>
      <c r="D1720" s="2948" t="s">
        <v>2246</v>
      </c>
      <c r="E1720" s="2948" t="s">
        <v>1456</v>
      </c>
      <c r="F1720" s="2948" t="s">
        <v>2276</v>
      </c>
      <c r="G1720" s="2948" t="s">
        <v>1035</v>
      </c>
      <c r="H1720" s="2948" t="s">
        <v>1453</v>
      </c>
      <c r="I1720" s="2948" t="s">
        <v>2248</v>
      </c>
      <c r="J1720" s="2948" t="s">
        <v>643</v>
      </c>
      <c r="K1720" s="2950">
        <v>16.36</v>
      </c>
      <c r="L1720" s="2950">
        <v>7.74</v>
      </c>
      <c r="M1720" s="2951">
        <v>490800</v>
      </c>
      <c r="N1720" s="2951">
        <v>490800</v>
      </c>
      <c r="O1720" s="2955"/>
      <c r="P1720" s="2948"/>
      <c r="Q1720" s="2951">
        <v>0</v>
      </c>
      <c r="R1720" s="2948"/>
      <c r="S1720" s="2948"/>
      <c r="T1720" s="2948"/>
      <c r="U1720" s="2948"/>
      <c r="V1720" s="2948"/>
      <c r="W1720" s="2944">
        <f t="shared" si="11"/>
        <v>0</v>
      </c>
    </row>
    <row r="1721" spans="1:23" s="2944" customFormat="1" ht="93.6">
      <c r="A1721" s="2948">
        <v>1720</v>
      </c>
      <c r="B1721" s="2948" t="s">
        <v>635</v>
      </c>
      <c r="C1721" s="2948" t="s">
        <v>636</v>
      </c>
      <c r="D1721" s="2948" t="s">
        <v>2246</v>
      </c>
      <c r="E1721" s="2948" t="s">
        <v>1456</v>
      </c>
      <c r="F1721" s="2948" t="s">
        <v>2251</v>
      </c>
      <c r="G1721" s="2948" t="s">
        <v>640</v>
      </c>
      <c r="H1721" s="2948" t="s">
        <v>1453</v>
      </c>
      <c r="I1721" s="2948" t="s">
        <v>2248</v>
      </c>
      <c r="J1721" s="2948" t="s">
        <v>643</v>
      </c>
      <c r="K1721" s="2950">
        <v>15.34</v>
      </c>
      <c r="L1721" s="2950">
        <v>7.26</v>
      </c>
      <c r="M1721" s="2951">
        <v>460200</v>
      </c>
      <c r="N1721" s="2951">
        <v>460200</v>
      </c>
      <c r="O1721" s="2952">
        <v>460200</v>
      </c>
      <c r="P1721" s="2953">
        <v>460200</v>
      </c>
      <c r="Q1721" s="2951">
        <v>460200</v>
      </c>
      <c r="R1721" s="2954">
        <v>44551</v>
      </c>
      <c r="S1721" s="2954">
        <v>44561</v>
      </c>
      <c r="T1721" s="2954">
        <v>44566</v>
      </c>
      <c r="U1721" s="2954">
        <v>44566</v>
      </c>
      <c r="V1721" s="2948" t="s">
        <v>790</v>
      </c>
      <c r="W1721" s="2944">
        <f t="shared" si="11"/>
        <v>30000</v>
      </c>
    </row>
    <row r="1722" spans="1:23" s="2944" customFormat="1" ht="93.6" hidden="1">
      <c r="A1722" s="2948">
        <v>1721</v>
      </c>
      <c r="B1722" s="2948" t="s">
        <v>635</v>
      </c>
      <c r="C1722" s="2948" t="s">
        <v>636</v>
      </c>
      <c r="D1722" s="2948" t="s">
        <v>2246</v>
      </c>
      <c r="E1722" s="2948" t="s">
        <v>1456</v>
      </c>
      <c r="F1722" s="2948" t="s">
        <v>2252</v>
      </c>
      <c r="G1722" s="2948" t="s">
        <v>1035</v>
      </c>
      <c r="H1722" s="2948" t="s">
        <v>1453</v>
      </c>
      <c r="I1722" s="2948" t="s">
        <v>2248</v>
      </c>
      <c r="J1722" s="2948" t="s">
        <v>643</v>
      </c>
      <c r="K1722" s="2950">
        <v>19.78</v>
      </c>
      <c r="L1722" s="2950">
        <v>9.36</v>
      </c>
      <c r="M1722" s="2951">
        <v>593400</v>
      </c>
      <c r="N1722" s="2951">
        <v>593400</v>
      </c>
      <c r="O1722" s="2955"/>
      <c r="P1722" s="2948"/>
      <c r="Q1722" s="2951">
        <v>0</v>
      </c>
      <c r="R1722" s="2948"/>
      <c r="S1722" s="2948"/>
      <c r="T1722" s="2948"/>
      <c r="U1722" s="2948"/>
      <c r="V1722" s="2948"/>
      <c r="W1722" s="2944">
        <f t="shared" si="11"/>
        <v>0</v>
      </c>
    </row>
    <row r="1723" spans="1:23" s="2944" customFormat="1" ht="93.6" hidden="1">
      <c r="A1723" s="2948">
        <v>1722</v>
      </c>
      <c r="B1723" s="2948" t="s">
        <v>635</v>
      </c>
      <c r="C1723" s="2948" t="s">
        <v>636</v>
      </c>
      <c r="D1723" s="2948" t="s">
        <v>2246</v>
      </c>
      <c r="E1723" s="2948" t="s">
        <v>1456</v>
      </c>
      <c r="F1723" s="2948" t="s">
        <v>2253</v>
      </c>
      <c r="G1723" s="2948" t="s">
        <v>1035</v>
      </c>
      <c r="H1723" s="2948" t="s">
        <v>1453</v>
      </c>
      <c r="I1723" s="2948" t="s">
        <v>2248</v>
      </c>
      <c r="J1723" s="2948" t="s">
        <v>643</v>
      </c>
      <c r="K1723" s="2950">
        <v>15.34</v>
      </c>
      <c r="L1723" s="2950">
        <v>7.26</v>
      </c>
      <c r="M1723" s="2951">
        <v>460200</v>
      </c>
      <c r="N1723" s="2951">
        <v>460200</v>
      </c>
      <c r="O1723" s="2955"/>
      <c r="P1723" s="2948"/>
      <c r="Q1723" s="2951">
        <v>0</v>
      </c>
      <c r="R1723" s="2948"/>
      <c r="S1723" s="2948"/>
      <c r="T1723" s="2948"/>
      <c r="U1723" s="2948"/>
      <c r="V1723" s="2948"/>
      <c r="W1723" s="2944">
        <f t="shared" si="11"/>
        <v>0</v>
      </c>
    </row>
    <row r="1724" spans="1:23" s="2944" customFormat="1" ht="93.6" hidden="1">
      <c r="A1724" s="2948">
        <v>1723</v>
      </c>
      <c r="B1724" s="2948" t="s">
        <v>635</v>
      </c>
      <c r="C1724" s="2948" t="s">
        <v>636</v>
      </c>
      <c r="D1724" s="2948" t="s">
        <v>2246</v>
      </c>
      <c r="E1724" s="2948" t="s">
        <v>1456</v>
      </c>
      <c r="F1724" s="2948" t="s">
        <v>2254</v>
      </c>
      <c r="G1724" s="2948" t="s">
        <v>1035</v>
      </c>
      <c r="H1724" s="2948" t="s">
        <v>1453</v>
      </c>
      <c r="I1724" s="2948" t="s">
        <v>2248</v>
      </c>
      <c r="J1724" s="2948" t="s">
        <v>643</v>
      </c>
      <c r="K1724" s="2950">
        <v>16.36</v>
      </c>
      <c r="L1724" s="2950">
        <v>7.74</v>
      </c>
      <c r="M1724" s="2951">
        <v>490800</v>
      </c>
      <c r="N1724" s="2951">
        <v>490800</v>
      </c>
      <c r="O1724" s="2955"/>
      <c r="P1724" s="2948"/>
      <c r="Q1724" s="2951">
        <v>0</v>
      </c>
      <c r="R1724" s="2948"/>
      <c r="S1724" s="2948"/>
      <c r="T1724" s="2948"/>
      <c r="U1724" s="2948"/>
      <c r="V1724" s="2948"/>
      <c r="W1724" s="2944">
        <f t="shared" si="11"/>
        <v>0</v>
      </c>
    </row>
    <row r="1725" spans="1:23" s="2944" customFormat="1" ht="93.6" hidden="1">
      <c r="A1725" s="2948">
        <v>1724</v>
      </c>
      <c r="B1725" s="2948" t="s">
        <v>635</v>
      </c>
      <c r="C1725" s="2948" t="s">
        <v>636</v>
      </c>
      <c r="D1725" s="2948" t="s">
        <v>2246</v>
      </c>
      <c r="E1725" s="2948" t="s">
        <v>1456</v>
      </c>
      <c r="F1725" s="2948" t="s">
        <v>2255</v>
      </c>
      <c r="G1725" s="2948" t="s">
        <v>1035</v>
      </c>
      <c r="H1725" s="2948" t="s">
        <v>1453</v>
      </c>
      <c r="I1725" s="2948" t="s">
        <v>2248</v>
      </c>
      <c r="J1725" s="2948" t="s">
        <v>643</v>
      </c>
      <c r="K1725" s="2950">
        <v>21.05</v>
      </c>
      <c r="L1725" s="2950">
        <v>9.9600000000000009</v>
      </c>
      <c r="M1725" s="2951">
        <v>631500</v>
      </c>
      <c r="N1725" s="2951">
        <v>631500</v>
      </c>
      <c r="O1725" s="2955"/>
      <c r="P1725" s="2948"/>
      <c r="Q1725" s="2951">
        <v>0</v>
      </c>
      <c r="R1725" s="2948"/>
      <c r="S1725" s="2948"/>
      <c r="T1725" s="2948"/>
      <c r="U1725" s="2948"/>
      <c r="V1725" s="2948"/>
      <c r="W1725" s="2944">
        <f t="shared" si="11"/>
        <v>0</v>
      </c>
    </row>
    <row r="1726" spans="1:23" s="2944" customFormat="1" ht="93.6" hidden="1">
      <c r="A1726" s="2948">
        <v>1725</v>
      </c>
      <c r="B1726" s="2948" t="s">
        <v>635</v>
      </c>
      <c r="C1726" s="2948" t="s">
        <v>636</v>
      </c>
      <c r="D1726" s="2948" t="s">
        <v>2246</v>
      </c>
      <c r="E1726" s="2948" t="s">
        <v>1456</v>
      </c>
      <c r="F1726" s="2948" t="s">
        <v>2256</v>
      </c>
      <c r="G1726" s="2948" t="s">
        <v>1035</v>
      </c>
      <c r="H1726" s="2948" t="s">
        <v>1453</v>
      </c>
      <c r="I1726" s="2948" t="s">
        <v>2248</v>
      </c>
      <c r="J1726" s="2948" t="s">
        <v>643</v>
      </c>
      <c r="K1726" s="2950">
        <v>23.27</v>
      </c>
      <c r="L1726" s="2950">
        <v>11.01</v>
      </c>
      <c r="M1726" s="2951">
        <v>698100</v>
      </c>
      <c r="N1726" s="2951">
        <v>698100</v>
      </c>
      <c r="O1726" s="2955"/>
      <c r="P1726" s="2948"/>
      <c r="Q1726" s="2951">
        <v>0</v>
      </c>
      <c r="R1726" s="2948"/>
      <c r="S1726" s="2948"/>
      <c r="T1726" s="2948"/>
      <c r="U1726" s="2948"/>
      <c r="V1726" s="2948"/>
      <c r="W1726" s="2944">
        <f t="shared" si="11"/>
        <v>0</v>
      </c>
    </row>
    <row r="1727" spans="1:23" s="2944" customFormat="1" ht="93.6" hidden="1">
      <c r="A1727" s="2948">
        <v>1726</v>
      </c>
      <c r="B1727" s="2948" t="s">
        <v>635</v>
      </c>
      <c r="C1727" s="2948" t="s">
        <v>636</v>
      </c>
      <c r="D1727" s="2948" t="s">
        <v>2246</v>
      </c>
      <c r="E1727" s="2948" t="s">
        <v>1456</v>
      </c>
      <c r="F1727" s="2948" t="s">
        <v>648</v>
      </c>
      <c r="G1727" s="2948" t="s">
        <v>1035</v>
      </c>
      <c r="H1727" s="2948" t="s">
        <v>1453</v>
      </c>
      <c r="I1727" s="2948" t="s">
        <v>2248</v>
      </c>
      <c r="J1727" s="2948" t="s">
        <v>643</v>
      </c>
      <c r="K1727" s="2950">
        <v>56.12</v>
      </c>
      <c r="L1727" s="2950">
        <v>26.55</v>
      </c>
      <c r="M1727" s="2951">
        <v>1683600</v>
      </c>
      <c r="N1727" s="2951">
        <v>1683600</v>
      </c>
      <c r="O1727" s="2955"/>
      <c r="P1727" s="2948"/>
      <c r="Q1727" s="2951">
        <v>0</v>
      </c>
      <c r="R1727" s="2948"/>
      <c r="S1727" s="2948"/>
      <c r="T1727" s="2948"/>
      <c r="U1727" s="2948"/>
      <c r="V1727" s="2948"/>
      <c r="W1727" s="2944">
        <f t="shared" si="11"/>
        <v>0</v>
      </c>
    </row>
    <row r="1728" spans="1:23" s="2944" customFormat="1" ht="93.6" hidden="1">
      <c r="A1728" s="2948">
        <v>1727</v>
      </c>
      <c r="B1728" s="2948" t="s">
        <v>635</v>
      </c>
      <c r="C1728" s="2948" t="s">
        <v>636</v>
      </c>
      <c r="D1728" s="2948" t="s">
        <v>2246</v>
      </c>
      <c r="E1728" s="2948" t="s">
        <v>1456</v>
      </c>
      <c r="F1728" s="2948" t="s">
        <v>651</v>
      </c>
      <c r="G1728" s="2948" t="s">
        <v>1035</v>
      </c>
      <c r="H1728" s="2948" t="s">
        <v>1453</v>
      </c>
      <c r="I1728" s="2948" t="s">
        <v>2248</v>
      </c>
      <c r="J1728" s="2948" t="s">
        <v>643</v>
      </c>
      <c r="K1728" s="2950">
        <v>23.61</v>
      </c>
      <c r="L1728" s="2950">
        <v>11.17</v>
      </c>
      <c r="M1728" s="2951">
        <v>708300</v>
      </c>
      <c r="N1728" s="2951">
        <v>708300</v>
      </c>
      <c r="O1728" s="2955"/>
      <c r="P1728" s="2948"/>
      <c r="Q1728" s="2951">
        <v>0</v>
      </c>
      <c r="R1728" s="2948"/>
      <c r="S1728" s="2948"/>
      <c r="T1728" s="2948"/>
      <c r="U1728" s="2948"/>
      <c r="V1728" s="2948"/>
      <c r="W1728" s="2944">
        <f t="shared" si="11"/>
        <v>0</v>
      </c>
    </row>
    <row r="1729" spans="1:23" s="2944" customFormat="1" ht="93.6" hidden="1">
      <c r="A1729" s="2948">
        <v>1728</v>
      </c>
      <c r="B1729" s="2948" t="s">
        <v>635</v>
      </c>
      <c r="C1729" s="2948" t="s">
        <v>636</v>
      </c>
      <c r="D1729" s="2948" t="s">
        <v>2246</v>
      </c>
      <c r="E1729" s="2948" t="s">
        <v>1456</v>
      </c>
      <c r="F1729" s="2948" t="s">
        <v>2277</v>
      </c>
      <c r="G1729" s="2948" t="s">
        <v>1035</v>
      </c>
      <c r="H1729" s="2948" t="s">
        <v>1453</v>
      </c>
      <c r="I1729" s="2948" t="s">
        <v>2248</v>
      </c>
      <c r="J1729" s="2948" t="s">
        <v>643</v>
      </c>
      <c r="K1729" s="2950">
        <v>18.850000000000001</v>
      </c>
      <c r="L1729" s="2950">
        <v>8.92</v>
      </c>
      <c r="M1729" s="2951">
        <v>565500</v>
      </c>
      <c r="N1729" s="2951">
        <v>565500</v>
      </c>
      <c r="O1729" s="2955"/>
      <c r="P1729" s="2948"/>
      <c r="Q1729" s="2951">
        <v>0</v>
      </c>
      <c r="R1729" s="2948"/>
      <c r="S1729" s="2948"/>
      <c r="T1729" s="2948"/>
      <c r="U1729" s="2948"/>
      <c r="V1729" s="2948"/>
      <c r="W1729" s="2944">
        <f t="shared" si="11"/>
        <v>0</v>
      </c>
    </row>
    <row r="1730" spans="1:23" s="2944" customFormat="1" ht="93.6" hidden="1">
      <c r="A1730" s="2948">
        <v>1729</v>
      </c>
      <c r="B1730" s="2948" t="s">
        <v>635</v>
      </c>
      <c r="C1730" s="2948" t="s">
        <v>636</v>
      </c>
      <c r="D1730" s="2948" t="s">
        <v>2246</v>
      </c>
      <c r="E1730" s="2948" t="s">
        <v>1456</v>
      </c>
      <c r="F1730" s="2948" t="s">
        <v>2278</v>
      </c>
      <c r="G1730" s="2948" t="s">
        <v>1035</v>
      </c>
      <c r="H1730" s="2948" t="s">
        <v>1453</v>
      </c>
      <c r="I1730" s="2948" t="s">
        <v>2248</v>
      </c>
      <c r="J1730" s="2948" t="s">
        <v>643</v>
      </c>
      <c r="K1730" s="2950">
        <v>18.850000000000001</v>
      </c>
      <c r="L1730" s="2950">
        <v>8.92</v>
      </c>
      <c r="M1730" s="2951">
        <v>565500</v>
      </c>
      <c r="N1730" s="2951">
        <v>565500</v>
      </c>
      <c r="O1730" s="2955"/>
      <c r="P1730" s="2948"/>
      <c r="Q1730" s="2951">
        <v>0</v>
      </c>
      <c r="R1730" s="2948"/>
      <c r="S1730" s="2948"/>
      <c r="T1730" s="2948"/>
      <c r="U1730" s="2948"/>
      <c r="V1730" s="2948"/>
      <c r="W1730" s="2944">
        <f t="shared" si="11"/>
        <v>0</v>
      </c>
    </row>
    <row r="1731" spans="1:23" s="2944" customFormat="1" ht="93.6" hidden="1">
      <c r="A1731" s="2948">
        <v>1730</v>
      </c>
      <c r="B1731" s="2948" t="s">
        <v>635</v>
      </c>
      <c r="C1731" s="2948" t="s">
        <v>636</v>
      </c>
      <c r="D1731" s="2948" t="s">
        <v>2246</v>
      </c>
      <c r="E1731" s="2948" t="s">
        <v>1456</v>
      </c>
      <c r="F1731" s="2948" t="s">
        <v>2279</v>
      </c>
      <c r="G1731" s="2948" t="s">
        <v>1035</v>
      </c>
      <c r="H1731" s="2948" t="s">
        <v>1453</v>
      </c>
      <c r="I1731" s="2948" t="s">
        <v>2248</v>
      </c>
      <c r="J1731" s="2948" t="s">
        <v>643</v>
      </c>
      <c r="K1731" s="2950">
        <v>24.33</v>
      </c>
      <c r="L1731" s="2950">
        <v>11.51</v>
      </c>
      <c r="M1731" s="2951">
        <v>729900</v>
      </c>
      <c r="N1731" s="2951">
        <v>729900</v>
      </c>
      <c r="O1731" s="2955"/>
      <c r="P1731" s="2948"/>
      <c r="Q1731" s="2951">
        <v>0</v>
      </c>
      <c r="R1731" s="2948"/>
      <c r="S1731" s="2948"/>
      <c r="T1731" s="2948"/>
      <c r="U1731" s="2948"/>
      <c r="V1731" s="2948"/>
      <c r="W1731" s="2944">
        <f t="shared" si="11"/>
        <v>0</v>
      </c>
    </row>
    <row r="1732" spans="1:23" s="2944" customFormat="1" ht="93.6" hidden="1">
      <c r="A1732" s="2948">
        <v>1731</v>
      </c>
      <c r="B1732" s="2948" t="s">
        <v>635</v>
      </c>
      <c r="C1732" s="2948" t="s">
        <v>636</v>
      </c>
      <c r="D1732" s="2948" t="s">
        <v>2246</v>
      </c>
      <c r="E1732" s="2948" t="s">
        <v>1456</v>
      </c>
      <c r="F1732" s="2948" t="s">
        <v>2280</v>
      </c>
      <c r="G1732" s="2948" t="s">
        <v>1035</v>
      </c>
      <c r="H1732" s="2948" t="s">
        <v>1453</v>
      </c>
      <c r="I1732" s="2948" t="s">
        <v>2248</v>
      </c>
      <c r="J1732" s="2948" t="s">
        <v>643</v>
      </c>
      <c r="K1732" s="2950">
        <v>14.31</v>
      </c>
      <c r="L1732" s="2950">
        <v>6.77</v>
      </c>
      <c r="M1732" s="2951">
        <v>429300</v>
      </c>
      <c r="N1732" s="2951">
        <v>429300</v>
      </c>
      <c r="O1732" s="2955"/>
      <c r="P1732" s="2948"/>
      <c r="Q1732" s="2951">
        <v>0</v>
      </c>
      <c r="R1732" s="2948"/>
      <c r="S1732" s="2948"/>
      <c r="T1732" s="2948"/>
      <c r="U1732" s="2948"/>
      <c r="V1732" s="2948"/>
      <c r="W1732" s="2944">
        <f t="shared" si="11"/>
        <v>0</v>
      </c>
    </row>
    <row r="1733" spans="1:23" s="2944" customFormat="1" ht="93.6" hidden="1">
      <c r="A1733" s="2948">
        <v>1732</v>
      </c>
      <c r="B1733" s="2948" t="s">
        <v>635</v>
      </c>
      <c r="C1733" s="2948" t="s">
        <v>636</v>
      </c>
      <c r="D1733" s="2948" t="s">
        <v>2246</v>
      </c>
      <c r="E1733" s="2948" t="s">
        <v>1456</v>
      </c>
      <c r="F1733" s="2948" t="s">
        <v>2281</v>
      </c>
      <c r="G1733" s="2948" t="s">
        <v>1035</v>
      </c>
      <c r="H1733" s="2948" t="s">
        <v>1453</v>
      </c>
      <c r="I1733" s="2948" t="s">
        <v>2248</v>
      </c>
      <c r="J1733" s="2948" t="s">
        <v>643</v>
      </c>
      <c r="K1733" s="2950">
        <v>13.42</v>
      </c>
      <c r="L1733" s="2950">
        <v>6.35</v>
      </c>
      <c r="M1733" s="2951">
        <v>402600</v>
      </c>
      <c r="N1733" s="2951">
        <v>402600</v>
      </c>
      <c r="O1733" s="2955"/>
      <c r="P1733" s="2948"/>
      <c r="Q1733" s="2951">
        <v>0</v>
      </c>
      <c r="R1733" s="2948"/>
      <c r="S1733" s="2948"/>
      <c r="T1733" s="2948"/>
      <c r="U1733" s="2948"/>
      <c r="V1733" s="2948"/>
      <c r="W1733" s="2944">
        <f t="shared" si="11"/>
        <v>0</v>
      </c>
    </row>
    <row r="1734" spans="1:23" s="2944" customFormat="1" ht="93.6" hidden="1">
      <c r="A1734" s="2948">
        <v>1733</v>
      </c>
      <c r="B1734" s="2948" t="s">
        <v>635</v>
      </c>
      <c r="C1734" s="2948" t="s">
        <v>636</v>
      </c>
      <c r="D1734" s="2948" t="s">
        <v>2246</v>
      </c>
      <c r="E1734" s="2948" t="s">
        <v>1456</v>
      </c>
      <c r="F1734" s="2948" t="s">
        <v>2282</v>
      </c>
      <c r="G1734" s="2948" t="s">
        <v>1035</v>
      </c>
      <c r="H1734" s="2948" t="s">
        <v>1453</v>
      </c>
      <c r="I1734" s="2948" t="s">
        <v>2248</v>
      </c>
      <c r="J1734" s="2948" t="s">
        <v>643</v>
      </c>
      <c r="K1734" s="2950">
        <v>19.78</v>
      </c>
      <c r="L1734" s="2950">
        <v>9.36</v>
      </c>
      <c r="M1734" s="2951">
        <v>593400</v>
      </c>
      <c r="N1734" s="2951">
        <v>593400</v>
      </c>
      <c r="O1734" s="2955"/>
      <c r="P1734" s="2948"/>
      <c r="Q1734" s="2951">
        <v>0</v>
      </c>
      <c r="R1734" s="2948"/>
      <c r="S1734" s="2948"/>
      <c r="T1734" s="2948"/>
      <c r="U1734" s="2948"/>
      <c r="V1734" s="2948"/>
      <c r="W1734" s="2944">
        <f t="shared" si="11"/>
        <v>0</v>
      </c>
    </row>
    <row r="1735" spans="1:23" s="2944" customFormat="1" ht="93.6" hidden="1">
      <c r="A1735" s="2948">
        <v>1734</v>
      </c>
      <c r="B1735" s="2948" t="s">
        <v>635</v>
      </c>
      <c r="C1735" s="2948" t="s">
        <v>636</v>
      </c>
      <c r="D1735" s="2948" t="s">
        <v>2246</v>
      </c>
      <c r="E1735" s="2948" t="s">
        <v>1456</v>
      </c>
      <c r="F1735" s="2948" t="s">
        <v>2283</v>
      </c>
      <c r="G1735" s="2948" t="s">
        <v>1035</v>
      </c>
      <c r="H1735" s="2948" t="s">
        <v>1453</v>
      </c>
      <c r="I1735" s="2948" t="s">
        <v>2248</v>
      </c>
      <c r="J1735" s="2948" t="s">
        <v>643</v>
      </c>
      <c r="K1735" s="2950">
        <v>25.34</v>
      </c>
      <c r="L1735" s="2950">
        <v>11.99</v>
      </c>
      <c r="M1735" s="2951">
        <v>760200</v>
      </c>
      <c r="N1735" s="2951">
        <v>760200</v>
      </c>
      <c r="O1735" s="2955"/>
      <c r="P1735" s="2948"/>
      <c r="Q1735" s="2951">
        <v>0</v>
      </c>
      <c r="R1735" s="2948"/>
      <c r="S1735" s="2948"/>
      <c r="T1735" s="2948"/>
      <c r="U1735" s="2948"/>
      <c r="V1735" s="2948"/>
      <c r="W1735" s="2944">
        <f t="shared" si="11"/>
        <v>0</v>
      </c>
    </row>
    <row r="1736" spans="1:23" s="2944" customFormat="1" ht="93.6" hidden="1">
      <c r="A1736" s="2948">
        <v>1735</v>
      </c>
      <c r="B1736" s="2948" t="s">
        <v>635</v>
      </c>
      <c r="C1736" s="2948" t="s">
        <v>636</v>
      </c>
      <c r="D1736" s="2948" t="s">
        <v>2246</v>
      </c>
      <c r="E1736" s="2948" t="s">
        <v>1456</v>
      </c>
      <c r="F1736" s="2948" t="s">
        <v>2284</v>
      </c>
      <c r="G1736" s="2948" t="s">
        <v>1035</v>
      </c>
      <c r="H1736" s="2948" t="s">
        <v>1453</v>
      </c>
      <c r="I1736" s="2948" t="s">
        <v>2248</v>
      </c>
      <c r="J1736" s="2948" t="s">
        <v>643</v>
      </c>
      <c r="K1736" s="2950">
        <v>25.34</v>
      </c>
      <c r="L1736" s="2950">
        <v>11.99</v>
      </c>
      <c r="M1736" s="2951">
        <v>760200</v>
      </c>
      <c r="N1736" s="2951">
        <v>760200</v>
      </c>
      <c r="O1736" s="2955"/>
      <c r="P1736" s="2948"/>
      <c r="Q1736" s="2951">
        <v>0</v>
      </c>
      <c r="R1736" s="2948"/>
      <c r="S1736" s="2948"/>
      <c r="T1736" s="2948"/>
      <c r="U1736" s="2948"/>
      <c r="V1736" s="2948"/>
      <c r="W1736" s="2944">
        <f t="shared" si="11"/>
        <v>0</v>
      </c>
    </row>
    <row r="1737" spans="1:23" s="2944" customFormat="1" ht="93.6" hidden="1">
      <c r="A1737" s="2948">
        <v>1736</v>
      </c>
      <c r="B1737" s="2948" t="s">
        <v>635</v>
      </c>
      <c r="C1737" s="2948" t="s">
        <v>636</v>
      </c>
      <c r="D1737" s="2948" t="s">
        <v>2246</v>
      </c>
      <c r="E1737" s="2948" t="s">
        <v>1456</v>
      </c>
      <c r="F1737" s="2948" t="s">
        <v>2261</v>
      </c>
      <c r="G1737" s="2948" t="s">
        <v>1035</v>
      </c>
      <c r="H1737" s="2948" t="s">
        <v>1453</v>
      </c>
      <c r="I1737" s="2948" t="s">
        <v>2248</v>
      </c>
      <c r="J1737" s="2948" t="s">
        <v>643</v>
      </c>
      <c r="K1737" s="2950">
        <v>19.78</v>
      </c>
      <c r="L1737" s="2950">
        <v>9.36</v>
      </c>
      <c r="M1737" s="2951">
        <v>593400</v>
      </c>
      <c r="N1737" s="2951">
        <v>593400</v>
      </c>
      <c r="O1737" s="2955"/>
      <c r="P1737" s="2948"/>
      <c r="Q1737" s="2951">
        <v>0</v>
      </c>
      <c r="R1737" s="2948"/>
      <c r="S1737" s="2948"/>
      <c r="T1737" s="2948"/>
      <c r="U1737" s="2948"/>
      <c r="V1737" s="2948"/>
      <c r="W1737" s="2944">
        <f t="shared" si="11"/>
        <v>0</v>
      </c>
    </row>
    <row r="1738" spans="1:23" s="2944" customFormat="1" ht="93.6">
      <c r="A1738" s="2948">
        <v>1737</v>
      </c>
      <c r="B1738" s="2948" t="s">
        <v>635</v>
      </c>
      <c r="C1738" s="2948" t="s">
        <v>636</v>
      </c>
      <c r="D1738" s="2948" t="s">
        <v>2246</v>
      </c>
      <c r="E1738" s="2948" t="s">
        <v>1456</v>
      </c>
      <c r="F1738" s="2948" t="s">
        <v>2258</v>
      </c>
      <c r="G1738" s="2948" t="s">
        <v>640</v>
      </c>
      <c r="H1738" s="2948" t="s">
        <v>1453</v>
      </c>
      <c r="I1738" s="2948" t="s">
        <v>2248</v>
      </c>
      <c r="J1738" s="2948" t="s">
        <v>643</v>
      </c>
      <c r="K1738" s="2950">
        <v>15.34</v>
      </c>
      <c r="L1738" s="2950">
        <v>7.26</v>
      </c>
      <c r="M1738" s="2951">
        <v>460200</v>
      </c>
      <c r="N1738" s="2951">
        <v>460200</v>
      </c>
      <c r="O1738" s="2952">
        <v>460200</v>
      </c>
      <c r="P1738" s="2953">
        <v>460200</v>
      </c>
      <c r="Q1738" s="2951">
        <v>460200</v>
      </c>
      <c r="R1738" s="2954">
        <v>45194</v>
      </c>
      <c r="S1738" s="2954">
        <v>45196</v>
      </c>
      <c r="T1738" s="2954">
        <v>45196</v>
      </c>
      <c r="U1738" s="2954">
        <v>45196</v>
      </c>
      <c r="V1738" s="2948" t="s">
        <v>810</v>
      </c>
      <c r="W1738" s="2944">
        <f t="shared" si="11"/>
        <v>30000</v>
      </c>
    </row>
    <row r="1739" spans="1:23" s="2944" customFormat="1" ht="93.6" hidden="1">
      <c r="A1739" s="2948">
        <v>1738</v>
      </c>
      <c r="B1739" s="2948" t="s">
        <v>635</v>
      </c>
      <c r="C1739" s="2948" t="s">
        <v>636</v>
      </c>
      <c r="D1739" s="2948" t="s">
        <v>2246</v>
      </c>
      <c r="E1739" s="2948" t="s">
        <v>1456</v>
      </c>
      <c r="F1739" s="2948" t="s">
        <v>2259</v>
      </c>
      <c r="G1739" s="2948" t="s">
        <v>1035</v>
      </c>
      <c r="H1739" s="2948" t="s">
        <v>1453</v>
      </c>
      <c r="I1739" s="2948" t="s">
        <v>2248</v>
      </c>
      <c r="J1739" s="2948" t="s">
        <v>643</v>
      </c>
      <c r="K1739" s="2950">
        <v>16.36</v>
      </c>
      <c r="L1739" s="2950">
        <v>7.74</v>
      </c>
      <c r="M1739" s="2951">
        <v>490800</v>
      </c>
      <c r="N1739" s="2951">
        <v>490800</v>
      </c>
      <c r="O1739" s="2955"/>
      <c r="P1739" s="2948"/>
      <c r="Q1739" s="2951">
        <v>0</v>
      </c>
      <c r="R1739" s="2948"/>
      <c r="S1739" s="2948"/>
      <c r="T1739" s="2948"/>
      <c r="U1739" s="2948"/>
      <c r="V1739" s="2948"/>
      <c r="W1739" s="2944">
        <f t="shared" si="11"/>
        <v>0</v>
      </c>
    </row>
    <row r="1740" spans="1:23" s="2944" customFormat="1" ht="93.6" hidden="1">
      <c r="A1740" s="2948">
        <v>1739</v>
      </c>
      <c r="B1740" s="2948" t="s">
        <v>635</v>
      </c>
      <c r="C1740" s="2948" t="s">
        <v>636</v>
      </c>
      <c r="D1740" s="2948" t="s">
        <v>2246</v>
      </c>
      <c r="E1740" s="2948" t="s">
        <v>1456</v>
      </c>
      <c r="F1740" s="2948" t="s">
        <v>2257</v>
      </c>
      <c r="G1740" s="2948" t="s">
        <v>1035</v>
      </c>
      <c r="H1740" s="2948" t="s">
        <v>1453</v>
      </c>
      <c r="I1740" s="2948" t="s">
        <v>2248</v>
      </c>
      <c r="J1740" s="2948" t="s">
        <v>643</v>
      </c>
      <c r="K1740" s="2950">
        <v>21.05</v>
      </c>
      <c r="L1740" s="2950">
        <v>9.9600000000000009</v>
      </c>
      <c r="M1740" s="2951">
        <v>631500</v>
      </c>
      <c r="N1740" s="2951">
        <v>631500</v>
      </c>
      <c r="O1740" s="2955"/>
      <c r="P1740" s="2948"/>
      <c r="Q1740" s="2951">
        <v>0</v>
      </c>
      <c r="R1740" s="2948"/>
      <c r="S1740" s="2948"/>
      <c r="T1740" s="2948"/>
      <c r="U1740" s="2948"/>
      <c r="V1740" s="2948"/>
      <c r="W1740" s="2944">
        <f t="shared" si="11"/>
        <v>0</v>
      </c>
    </row>
    <row r="1741" spans="1:23" s="2944" customFormat="1" ht="93.6" hidden="1">
      <c r="A1741" s="2948">
        <v>1740</v>
      </c>
      <c r="B1741" s="2948" t="s">
        <v>635</v>
      </c>
      <c r="C1741" s="2948" t="s">
        <v>636</v>
      </c>
      <c r="D1741" s="2948" t="s">
        <v>2246</v>
      </c>
      <c r="E1741" s="2948" t="s">
        <v>1456</v>
      </c>
      <c r="F1741" s="2948" t="s">
        <v>653</v>
      </c>
      <c r="G1741" s="2948" t="s">
        <v>1035</v>
      </c>
      <c r="H1741" s="2948" t="s">
        <v>1453</v>
      </c>
      <c r="I1741" s="2948" t="s">
        <v>2248</v>
      </c>
      <c r="J1741" s="2948" t="s">
        <v>643</v>
      </c>
      <c r="K1741" s="2950">
        <v>20.59</v>
      </c>
      <c r="L1741" s="2950">
        <v>9.74</v>
      </c>
      <c r="M1741" s="2951">
        <v>617700</v>
      </c>
      <c r="N1741" s="2951">
        <v>617700</v>
      </c>
      <c r="O1741" s="2955"/>
      <c r="P1741" s="2948"/>
      <c r="Q1741" s="2951">
        <v>0</v>
      </c>
      <c r="R1741" s="2948"/>
      <c r="S1741" s="2948"/>
      <c r="T1741" s="2948"/>
      <c r="U1741" s="2948"/>
      <c r="V1741" s="2948"/>
      <c r="W1741" s="2944">
        <f t="shared" si="11"/>
        <v>0</v>
      </c>
    </row>
    <row r="1742" spans="1:23" s="2944" customFormat="1" ht="93.6" hidden="1">
      <c r="A1742" s="2948">
        <v>1741</v>
      </c>
      <c r="B1742" s="2948" t="s">
        <v>635</v>
      </c>
      <c r="C1742" s="2948" t="s">
        <v>636</v>
      </c>
      <c r="D1742" s="2948" t="s">
        <v>2246</v>
      </c>
      <c r="E1742" s="2948" t="s">
        <v>1456</v>
      </c>
      <c r="F1742" s="2948" t="s">
        <v>655</v>
      </c>
      <c r="G1742" s="2948" t="s">
        <v>1035</v>
      </c>
      <c r="H1742" s="2948" t="s">
        <v>1453</v>
      </c>
      <c r="I1742" s="2948" t="s">
        <v>2248</v>
      </c>
      <c r="J1742" s="2948" t="s">
        <v>643</v>
      </c>
      <c r="K1742" s="2950">
        <v>47.05</v>
      </c>
      <c r="L1742" s="2950">
        <v>22.26</v>
      </c>
      <c r="M1742" s="2951">
        <v>1411500</v>
      </c>
      <c r="N1742" s="2951">
        <v>1411500</v>
      </c>
      <c r="O1742" s="2955"/>
      <c r="P1742" s="2948"/>
      <c r="Q1742" s="2951">
        <v>0</v>
      </c>
      <c r="R1742" s="2948"/>
      <c r="S1742" s="2948"/>
      <c r="T1742" s="2948"/>
      <c r="U1742" s="2948"/>
      <c r="V1742" s="2948"/>
      <c r="W1742" s="2944">
        <f t="shared" si="11"/>
        <v>0</v>
      </c>
    </row>
    <row r="1743" spans="1:23" s="2944" customFormat="1" ht="93.6" hidden="1">
      <c r="A1743" s="2948">
        <v>1742</v>
      </c>
      <c r="B1743" s="2948" t="s">
        <v>635</v>
      </c>
      <c r="C1743" s="2948" t="s">
        <v>636</v>
      </c>
      <c r="D1743" s="2948" t="s">
        <v>2246</v>
      </c>
      <c r="E1743" s="2948" t="s">
        <v>1459</v>
      </c>
      <c r="F1743" s="2948" t="s">
        <v>2250</v>
      </c>
      <c r="G1743" s="2948" t="s">
        <v>1035</v>
      </c>
      <c r="H1743" s="2948" t="s">
        <v>1453</v>
      </c>
      <c r="I1743" s="2948" t="s">
        <v>2248</v>
      </c>
      <c r="J1743" s="2948" t="s">
        <v>643</v>
      </c>
      <c r="K1743" s="2950">
        <v>36.92</v>
      </c>
      <c r="L1743" s="2950">
        <v>14.69</v>
      </c>
      <c r="M1743" s="2951">
        <v>1107600</v>
      </c>
      <c r="N1743" s="2951">
        <v>1107600</v>
      </c>
      <c r="O1743" s="2955"/>
      <c r="P1743" s="2948"/>
      <c r="Q1743" s="2951">
        <v>0</v>
      </c>
      <c r="R1743" s="2948"/>
      <c r="S1743" s="2948"/>
      <c r="T1743" s="2948"/>
      <c r="U1743" s="2948"/>
      <c r="V1743" s="2948"/>
      <c r="W1743" s="2944">
        <f t="shared" si="11"/>
        <v>0</v>
      </c>
    </row>
    <row r="1744" spans="1:23" s="2944" customFormat="1" ht="93.6" hidden="1">
      <c r="A1744" s="2948">
        <v>1743</v>
      </c>
      <c r="B1744" s="2948" t="s">
        <v>635</v>
      </c>
      <c r="C1744" s="2948" t="s">
        <v>636</v>
      </c>
      <c r="D1744" s="2948" t="s">
        <v>2246</v>
      </c>
      <c r="E1744" s="2948" t="s">
        <v>1459</v>
      </c>
      <c r="F1744" s="2948" t="s">
        <v>1457</v>
      </c>
      <c r="G1744" s="2948" t="s">
        <v>1035</v>
      </c>
      <c r="H1744" s="2948" t="s">
        <v>1453</v>
      </c>
      <c r="I1744" s="2948" t="s">
        <v>2248</v>
      </c>
      <c r="J1744" s="2948" t="s">
        <v>643</v>
      </c>
      <c r="K1744" s="2950">
        <v>33.83</v>
      </c>
      <c r="L1744" s="2950">
        <v>13.46</v>
      </c>
      <c r="M1744" s="2951">
        <v>1014900</v>
      </c>
      <c r="N1744" s="2951">
        <v>1014900</v>
      </c>
      <c r="O1744" s="2955"/>
      <c r="P1744" s="2948"/>
      <c r="Q1744" s="2951">
        <v>0</v>
      </c>
      <c r="R1744" s="2948"/>
      <c r="S1744" s="2948"/>
      <c r="T1744" s="2948"/>
      <c r="U1744" s="2948"/>
      <c r="V1744" s="2948"/>
      <c r="W1744" s="2944">
        <f t="shared" si="11"/>
        <v>0</v>
      </c>
    </row>
    <row r="1745" spans="1:23" s="2944" customFormat="1" ht="93.6" hidden="1">
      <c r="A1745" s="2948">
        <v>1744</v>
      </c>
      <c r="B1745" s="2948" t="s">
        <v>635</v>
      </c>
      <c r="C1745" s="2948" t="s">
        <v>636</v>
      </c>
      <c r="D1745" s="2948" t="s">
        <v>2246</v>
      </c>
      <c r="E1745" s="2948" t="s">
        <v>1459</v>
      </c>
      <c r="F1745" s="2948" t="s">
        <v>1458</v>
      </c>
      <c r="G1745" s="2948" t="s">
        <v>1035</v>
      </c>
      <c r="H1745" s="2948" t="s">
        <v>1453</v>
      </c>
      <c r="I1745" s="2948" t="s">
        <v>2248</v>
      </c>
      <c r="J1745" s="2948" t="s">
        <v>643</v>
      </c>
      <c r="K1745" s="2950">
        <v>29.73</v>
      </c>
      <c r="L1745" s="2950">
        <v>11.83</v>
      </c>
      <c r="M1745" s="2951">
        <v>891900</v>
      </c>
      <c r="N1745" s="2951">
        <v>891900</v>
      </c>
      <c r="O1745" s="2955"/>
      <c r="P1745" s="2948"/>
      <c r="Q1745" s="2951">
        <v>0</v>
      </c>
      <c r="R1745" s="2948"/>
      <c r="S1745" s="2948"/>
      <c r="T1745" s="2948"/>
      <c r="U1745" s="2948"/>
      <c r="V1745" s="2948"/>
      <c r="W1745" s="2944">
        <f t="shared" si="11"/>
        <v>0</v>
      </c>
    </row>
    <row r="1746" spans="1:23" s="2944" customFormat="1" ht="93.6" hidden="1">
      <c r="A1746" s="2948">
        <v>1745</v>
      </c>
      <c r="B1746" s="2948" t="s">
        <v>635</v>
      </c>
      <c r="C1746" s="2948" t="s">
        <v>636</v>
      </c>
      <c r="D1746" s="2948" t="s">
        <v>2246</v>
      </c>
      <c r="E1746" s="2948" t="s">
        <v>1459</v>
      </c>
      <c r="F1746" s="2948" t="s">
        <v>645</v>
      </c>
      <c r="G1746" s="2948" t="s">
        <v>1035</v>
      </c>
      <c r="H1746" s="2948" t="s">
        <v>1453</v>
      </c>
      <c r="I1746" s="2948" t="s">
        <v>2248</v>
      </c>
      <c r="J1746" s="2948" t="s">
        <v>643</v>
      </c>
      <c r="K1746" s="2950">
        <v>29.06</v>
      </c>
      <c r="L1746" s="2950">
        <v>11.56</v>
      </c>
      <c r="M1746" s="2951">
        <v>871800</v>
      </c>
      <c r="N1746" s="2951">
        <v>871800</v>
      </c>
      <c r="O1746" s="2955"/>
      <c r="P1746" s="2948"/>
      <c r="Q1746" s="2951">
        <v>0</v>
      </c>
      <c r="R1746" s="2948"/>
      <c r="S1746" s="2948"/>
      <c r="T1746" s="2948"/>
      <c r="U1746" s="2948"/>
      <c r="V1746" s="2948"/>
      <c r="W1746" s="2944">
        <f t="shared" si="11"/>
        <v>0</v>
      </c>
    </row>
    <row r="1747" spans="1:23" s="2944" customFormat="1" ht="93.6" hidden="1">
      <c r="A1747" s="2948">
        <v>1746</v>
      </c>
      <c r="B1747" s="2948" t="s">
        <v>635</v>
      </c>
      <c r="C1747" s="2948" t="s">
        <v>636</v>
      </c>
      <c r="D1747" s="2948" t="s">
        <v>2246</v>
      </c>
      <c r="E1747" s="2948" t="s">
        <v>1459</v>
      </c>
      <c r="F1747" s="2948" t="s">
        <v>2253</v>
      </c>
      <c r="G1747" s="2948" t="s">
        <v>1035</v>
      </c>
      <c r="H1747" s="2948" t="s">
        <v>1453</v>
      </c>
      <c r="I1747" s="2948" t="s">
        <v>2248</v>
      </c>
      <c r="J1747" s="2948" t="s">
        <v>643</v>
      </c>
      <c r="K1747" s="2950">
        <v>9.83</v>
      </c>
      <c r="L1747" s="2950">
        <v>3.91</v>
      </c>
      <c r="M1747" s="2951">
        <v>294900</v>
      </c>
      <c r="N1747" s="2951">
        <v>294900</v>
      </c>
      <c r="O1747" s="2955"/>
      <c r="P1747" s="2948"/>
      <c r="Q1747" s="2951">
        <v>0</v>
      </c>
      <c r="R1747" s="2948"/>
      <c r="S1747" s="2948"/>
      <c r="T1747" s="2948"/>
      <c r="U1747" s="2948"/>
      <c r="V1747" s="2948"/>
      <c r="W1747" s="2944">
        <f t="shared" si="11"/>
        <v>0</v>
      </c>
    </row>
    <row r="1748" spans="1:23" s="2944" customFormat="1" ht="93.6" hidden="1">
      <c r="A1748" s="2948">
        <v>1747</v>
      </c>
      <c r="B1748" s="2948" t="s">
        <v>635</v>
      </c>
      <c r="C1748" s="2948" t="s">
        <v>636</v>
      </c>
      <c r="D1748" s="2948" t="s">
        <v>2246</v>
      </c>
      <c r="E1748" s="2948" t="s">
        <v>1459</v>
      </c>
      <c r="F1748" s="2948" t="s">
        <v>2254</v>
      </c>
      <c r="G1748" s="2948" t="s">
        <v>1035</v>
      </c>
      <c r="H1748" s="2948" t="s">
        <v>1453</v>
      </c>
      <c r="I1748" s="2948" t="s">
        <v>2248</v>
      </c>
      <c r="J1748" s="2948" t="s">
        <v>643</v>
      </c>
      <c r="K1748" s="2950">
        <v>63.44</v>
      </c>
      <c r="L1748" s="2950">
        <v>25.24</v>
      </c>
      <c r="M1748" s="2951">
        <v>1903200</v>
      </c>
      <c r="N1748" s="2951">
        <v>1903200</v>
      </c>
      <c r="O1748" s="2955"/>
      <c r="P1748" s="2948"/>
      <c r="Q1748" s="2951">
        <v>0</v>
      </c>
      <c r="R1748" s="2948"/>
      <c r="S1748" s="2948"/>
      <c r="T1748" s="2948"/>
      <c r="U1748" s="2948"/>
      <c r="V1748" s="2948"/>
      <c r="W1748" s="2944">
        <f t="shared" si="11"/>
        <v>0</v>
      </c>
    </row>
    <row r="1749" spans="1:23" s="2944" customFormat="1" ht="93.6">
      <c r="A1749" s="2948">
        <v>1748</v>
      </c>
      <c r="B1749" s="2948" t="s">
        <v>635</v>
      </c>
      <c r="C1749" s="2948" t="s">
        <v>636</v>
      </c>
      <c r="D1749" s="2948" t="s">
        <v>2246</v>
      </c>
      <c r="E1749" s="2948" t="s">
        <v>1459</v>
      </c>
      <c r="F1749" s="2948" t="s">
        <v>2255</v>
      </c>
      <c r="G1749" s="2948" t="s">
        <v>640</v>
      </c>
      <c r="H1749" s="2948" t="s">
        <v>1453</v>
      </c>
      <c r="I1749" s="2948" t="s">
        <v>2248</v>
      </c>
      <c r="J1749" s="2948" t="s">
        <v>643</v>
      </c>
      <c r="K1749" s="2950">
        <v>28.53</v>
      </c>
      <c r="L1749" s="2950">
        <v>11.35</v>
      </c>
      <c r="M1749" s="2951">
        <v>855900</v>
      </c>
      <c r="N1749" s="2951">
        <v>855900</v>
      </c>
      <c r="O1749" s="2952">
        <v>855900</v>
      </c>
      <c r="P1749" s="2953">
        <v>855900</v>
      </c>
      <c r="Q1749" s="2951">
        <v>855900</v>
      </c>
      <c r="R1749" s="2954">
        <v>44551</v>
      </c>
      <c r="S1749" s="2954">
        <v>44561</v>
      </c>
      <c r="T1749" s="2954">
        <v>44778</v>
      </c>
      <c r="U1749" s="2954">
        <v>44778</v>
      </c>
      <c r="V1749" s="2948" t="s">
        <v>767</v>
      </c>
      <c r="W1749" s="2944">
        <f t="shared" si="11"/>
        <v>30000</v>
      </c>
    </row>
    <row r="1750" spans="1:23" s="2944" customFormat="1" ht="93.6">
      <c r="A1750" s="2948">
        <v>1749</v>
      </c>
      <c r="B1750" s="2948" t="s">
        <v>635</v>
      </c>
      <c r="C1750" s="2948" t="s">
        <v>636</v>
      </c>
      <c r="D1750" s="2948" t="s">
        <v>2246</v>
      </c>
      <c r="E1750" s="2948" t="s">
        <v>1459</v>
      </c>
      <c r="F1750" s="2948" t="s">
        <v>2256</v>
      </c>
      <c r="G1750" s="2948" t="s">
        <v>640</v>
      </c>
      <c r="H1750" s="2948" t="s">
        <v>1453</v>
      </c>
      <c r="I1750" s="2948" t="s">
        <v>2248</v>
      </c>
      <c r="J1750" s="2948" t="s">
        <v>643</v>
      </c>
      <c r="K1750" s="2950">
        <v>17.72</v>
      </c>
      <c r="L1750" s="2950">
        <v>7.05</v>
      </c>
      <c r="M1750" s="2951">
        <v>531600</v>
      </c>
      <c r="N1750" s="2951">
        <v>531600</v>
      </c>
      <c r="O1750" s="2952">
        <v>531600</v>
      </c>
      <c r="P1750" s="2953">
        <v>531600</v>
      </c>
      <c r="Q1750" s="2951">
        <v>531600</v>
      </c>
      <c r="R1750" s="2954">
        <v>45075</v>
      </c>
      <c r="S1750" s="2954">
        <v>45075</v>
      </c>
      <c r="T1750" s="2954">
        <v>45075</v>
      </c>
      <c r="U1750" s="2954">
        <v>45075</v>
      </c>
      <c r="V1750" s="2948" t="s">
        <v>758</v>
      </c>
      <c r="W1750" s="2944">
        <f t="shared" si="11"/>
        <v>30000</v>
      </c>
    </row>
    <row r="1751" spans="1:23" s="2944" customFormat="1" ht="93.6">
      <c r="A1751" s="2948">
        <v>1750</v>
      </c>
      <c r="B1751" s="2948" t="s">
        <v>635</v>
      </c>
      <c r="C1751" s="2948" t="s">
        <v>636</v>
      </c>
      <c r="D1751" s="2948" t="s">
        <v>2246</v>
      </c>
      <c r="E1751" s="2948" t="s">
        <v>1459</v>
      </c>
      <c r="F1751" s="2948" t="s">
        <v>648</v>
      </c>
      <c r="G1751" s="2948" t="s">
        <v>640</v>
      </c>
      <c r="H1751" s="2948" t="s">
        <v>1453</v>
      </c>
      <c r="I1751" s="2948" t="s">
        <v>2248</v>
      </c>
      <c r="J1751" s="2948" t="s">
        <v>643</v>
      </c>
      <c r="K1751" s="2950">
        <v>17.72</v>
      </c>
      <c r="L1751" s="2950">
        <v>7.05</v>
      </c>
      <c r="M1751" s="2951">
        <v>531600</v>
      </c>
      <c r="N1751" s="2951">
        <v>531600</v>
      </c>
      <c r="O1751" s="2952">
        <v>531600</v>
      </c>
      <c r="P1751" s="2953">
        <v>531600</v>
      </c>
      <c r="Q1751" s="2951">
        <v>531600</v>
      </c>
      <c r="R1751" s="2954">
        <v>44551</v>
      </c>
      <c r="S1751" s="2954">
        <v>44561</v>
      </c>
      <c r="T1751" s="2954">
        <v>44813</v>
      </c>
      <c r="U1751" s="2954">
        <v>44813</v>
      </c>
      <c r="V1751" s="2948" t="s">
        <v>745</v>
      </c>
      <c r="W1751" s="2944">
        <f t="shared" si="11"/>
        <v>30000</v>
      </c>
    </row>
    <row r="1752" spans="1:23" s="2944" customFormat="1" ht="93.6">
      <c r="A1752" s="2948">
        <v>1751</v>
      </c>
      <c r="B1752" s="2948" t="s">
        <v>635</v>
      </c>
      <c r="C1752" s="2948" t="s">
        <v>636</v>
      </c>
      <c r="D1752" s="2948" t="s">
        <v>2246</v>
      </c>
      <c r="E1752" s="2948" t="s">
        <v>1459</v>
      </c>
      <c r="F1752" s="2948" t="s">
        <v>651</v>
      </c>
      <c r="G1752" s="2948" t="s">
        <v>640</v>
      </c>
      <c r="H1752" s="2948" t="s">
        <v>1453</v>
      </c>
      <c r="I1752" s="2948" t="s">
        <v>2248</v>
      </c>
      <c r="J1752" s="2948" t="s">
        <v>643</v>
      </c>
      <c r="K1752" s="2950">
        <v>10.050000000000001</v>
      </c>
      <c r="L1752" s="2950">
        <v>4</v>
      </c>
      <c r="M1752" s="2951">
        <v>301500</v>
      </c>
      <c r="N1752" s="2951">
        <v>301500</v>
      </c>
      <c r="O1752" s="2952">
        <v>301500</v>
      </c>
      <c r="P1752" s="2953">
        <v>301500</v>
      </c>
      <c r="Q1752" s="2951">
        <v>301500</v>
      </c>
      <c r="R1752" s="2954">
        <v>45194</v>
      </c>
      <c r="S1752" s="2954">
        <v>45194</v>
      </c>
      <c r="T1752" s="2948"/>
      <c r="U1752" s="2948"/>
      <c r="V1752" s="2948" t="s">
        <v>761</v>
      </c>
      <c r="W1752" s="2944">
        <f t="shared" si="11"/>
        <v>30000</v>
      </c>
    </row>
    <row r="1753" spans="1:23" s="2944" customFormat="1" ht="93.6" hidden="1">
      <c r="A1753" s="2948">
        <v>1752</v>
      </c>
      <c r="B1753" s="2948" t="s">
        <v>635</v>
      </c>
      <c r="C1753" s="2948" t="s">
        <v>636</v>
      </c>
      <c r="D1753" s="2948" t="s">
        <v>2246</v>
      </c>
      <c r="E1753" s="2948" t="s">
        <v>1459</v>
      </c>
      <c r="F1753" s="2948" t="s">
        <v>2283</v>
      </c>
      <c r="G1753" s="2948" t="s">
        <v>1035</v>
      </c>
      <c r="H1753" s="2948" t="s">
        <v>1453</v>
      </c>
      <c r="I1753" s="2948" t="s">
        <v>2248</v>
      </c>
      <c r="J1753" s="2948" t="s">
        <v>643</v>
      </c>
      <c r="K1753" s="2950">
        <v>13.8</v>
      </c>
      <c r="L1753" s="2950">
        <v>5.49</v>
      </c>
      <c r="M1753" s="2951">
        <v>414000</v>
      </c>
      <c r="N1753" s="2951">
        <v>414000</v>
      </c>
      <c r="O1753" s="2955"/>
      <c r="P1753" s="2948"/>
      <c r="Q1753" s="2951">
        <v>0</v>
      </c>
      <c r="R1753" s="2948"/>
      <c r="S1753" s="2948"/>
      <c r="T1753" s="2948"/>
      <c r="U1753" s="2948"/>
      <c r="V1753" s="2948"/>
      <c r="W1753" s="2944">
        <f t="shared" si="11"/>
        <v>0</v>
      </c>
    </row>
    <row r="1754" spans="1:23" s="2944" customFormat="1" ht="93.6" hidden="1">
      <c r="A1754" s="2948">
        <v>1753</v>
      </c>
      <c r="B1754" s="2948" t="s">
        <v>635</v>
      </c>
      <c r="C1754" s="2948" t="s">
        <v>636</v>
      </c>
      <c r="D1754" s="2948" t="s">
        <v>2246</v>
      </c>
      <c r="E1754" s="2948" t="s">
        <v>1459</v>
      </c>
      <c r="F1754" s="2948" t="s">
        <v>2284</v>
      </c>
      <c r="G1754" s="2948" t="s">
        <v>1035</v>
      </c>
      <c r="H1754" s="2948" t="s">
        <v>1453</v>
      </c>
      <c r="I1754" s="2948" t="s">
        <v>2248</v>
      </c>
      <c r="J1754" s="2948" t="s">
        <v>643</v>
      </c>
      <c r="K1754" s="2950">
        <v>10.31</v>
      </c>
      <c r="L1754" s="2950">
        <v>4.0999999999999996</v>
      </c>
      <c r="M1754" s="2951">
        <v>309300</v>
      </c>
      <c r="N1754" s="2951">
        <v>309300</v>
      </c>
      <c r="O1754" s="2955"/>
      <c r="P1754" s="2948"/>
      <c r="Q1754" s="2951">
        <v>0</v>
      </c>
      <c r="R1754" s="2948"/>
      <c r="S1754" s="2948"/>
      <c r="T1754" s="2948"/>
      <c r="U1754" s="2948"/>
      <c r="V1754" s="2948"/>
      <c r="W1754" s="2944">
        <f t="shared" si="11"/>
        <v>0</v>
      </c>
    </row>
    <row r="1755" spans="1:23" s="2944" customFormat="1" ht="93.6" hidden="1">
      <c r="A1755" s="2948">
        <v>1754</v>
      </c>
      <c r="B1755" s="2948" t="s">
        <v>635</v>
      </c>
      <c r="C1755" s="2948" t="s">
        <v>636</v>
      </c>
      <c r="D1755" s="2948" t="s">
        <v>2246</v>
      </c>
      <c r="E1755" s="2948" t="s">
        <v>1459</v>
      </c>
      <c r="F1755" s="2948" t="s">
        <v>2261</v>
      </c>
      <c r="G1755" s="2948" t="s">
        <v>1035</v>
      </c>
      <c r="H1755" s="2948" t="s">
        <v>1453</v>
      </c>
      <c r="I1755" s="2948" t="s">
        <v>2248</v>
      </c>
      <c r="J1755" s="2948" t="s">
        <v>643</v>
      </c>
      <c r="K1755" s="2950">
        <v>9.83</v>
      </c>
      <c r="L1755" s="2950">
        <v>3.91</v>
      </c>
      <c r="M1755" s="2951">
        <v>294900</v>
      </c>
      <c r="N1755" s="2951">
        <v>294900</v>
      </c>
      <c r="O1755" s="2955"/>
      <c r="P1755" s="2948"/>
      <c r="Q1755" s="2951">
        <v>0</v>
      </c>
      <c r="R1755" s="2948"/>
      <c r="S1755" s="2948"/>
      <c r="T1755" s="2948"/>
      <c r="U1755" s="2948"/>
      <c r="V1755" s="2948"/>
      <c r="W1755" s="2944">
        <f t="shared" si="11"/>
        <v>0</v>
      </c>
    </row>
    <row r="1756" spans="1:23" s="2944" customFormat="1" ht="93.6" hidden="1">
      <c r="A1756" s="2948">
        <v>1755</v>
      </c>
      <c r="B1756" s="2948" t="s">
        <v>635</v>
      </c>
      <c r="C1756" s="2948" t="s">
        <v>636</v>
      </c>
      <c r="D1756" s="2948" t="s">
        <v>2246</v>
      </c>
      <c r="E1756" s="2948" t="s">
        <v>1459</v>
      </c>
      <c r="F1756" s="2948" t="s">
        <v>2258</v>
      </c>
      <c r="G1756" s="2948" t="s">
        <v>1035</v>
      </c>
      <c r="H1756" s="2948" t="s">
        <v>1453</v>
      </c>
      <c r="I1756" s="2948" t="s">
        <v>2248</v>
      </c>
      <c r="J1756" s="2948" t="s">
        <v>643</v>
      </c>
      <c r="K1756" s="2950">
        <v>15.83</v>
      </c>
      <c r="L1756" s="2950">
        <v>6.3</v>
      </c>
      <c r="M1756" s="2951">
        <v>474900</v>
      </c>
      <c r="N1756" s="2951">
        <v>474900</v>
      </c>
      <c r="O1756" s="2955"/>
      <c r="P1756" s="2948"/>
      <c r="Q1756" s="2951">
        <v>0</v>
      </c>
      <c r="R1756" s="2948"/>
      <c r="S1756" s="2948"/>
      <c r="T1756" s="2948"/>
      <c r="U1756" s="2948"/>
      <c r="V1756" s="2948"/>
      <c r="W1756" s="2944">
        <f t="shared" si="11"/>
        <v>0</v>
      </c>
    </row>
    <row r="1757" spans="1:23" s="2944" customFormat="1" ht="93.6" hidden="1">
      <c r="A1757" s="2948">
        <v>1756</v>
      </c>
      <c r="B1757" s="2948" t="s">
        <v>635</v>
      </c>
      <c r="C1757" s="2948" t="s">
        <v>636</v>
      </c>
      <c r="D1757" s="2948" t="s">
        <v>2246</v>
      </c>
      <c r="E1757" s="2948" t="s">
        <v>1459</v>
      </c>
      <c r="F1757" s="2948" t="s">
        <v>2259</v>
      </c>
      <c r="G1757" s="2948" t="s">
        <v>1035</v>
      </c>
      <c r="H1757" s="2948" t="s">
        <v>1453</v>
      </c>
      <c r="I1757" s="2948" t="s">
        <v>2248</v>
      </c>
      <c r="J1757" s="2948" t="s">
        <v>643</v>
      </c>
      <c r="K1757" s="2950">
        <v>15.83</v>
      </c>
      <c r="L1757" s="2950">
        <v>6.3</v>
      </c>
      <c r="M1757" s="2951">
        <v>474900</v>
      </c>
      <c r="N1757" s="2951">
        <v>474900</v>
      </c>
      <c r="O1757" s="2955"/>
      <c r="P1757" s="2948"/>
      <c r="Q1757" s="2951">
        <v>0</v>
      </c>
      <c r="R1757" s="2948"/>
      <c r="S1757" s="2948"/>
      <c r="T1757" s="2948"/>
      <c r="U1757" s="2948"/>
      <c r="V1757" s="2948"/>
      <c r="W1757" s="2944">
        <f t="shared" si="11"/>
        <v>0</v>
      </c>
    </row>
    <row r="1758" spans="1:23" s="2944" customFormat="1" ht="93.6" hidden="1">
      <c r="A1758" s="2948">
        <v>1757</v>
      </c>
      <c r="B1758" s="2948" t="s">
        <v>635</v>
      </c>
      <c r="C1758" s="2948" t="s">
        <v>636</v>
      </c>
      <c r="D1758" s="2948" t="s">
        <v>2246</v>
      </c>
      <c r="E1758" s="2948" t="s">
        <v>1459</v>
      </c>
      <c r="F1758" s="2948" t="s">
        <v>2257</v>
      </c>
      <c r="G1758" s="2948" t="s">
        <v>1035</v>
      </c>
      <c r="H1758" s="2948" t="s">
        <v>1453</v>
      </c>
      <c r="I1758" s="2948" t="s">
        <v>2248</v>
      </c>
      <c r="J1758" s="2948" t="s">
        <v>643</v>
      </c>
      <c r="K1758" s="2950">
        <v>26.39</v>
      </c>
      <c r="L1758" s="2950">
        <v>10.5</v>
      </c>
      <c r="M1758" s="2951">
        <v>791700</v>
      </c>
      <c r="N1758" s="2951">
        <v>791700</v>
      </c>
      <c r="O1758" s="2955"/>
      <c r="P1758" s="2948"/>
      <c r="Q1758" s="2951">
        <v>0</v>
      </c>
      <c r="R1758" s="2948"/>
      <c r="S1758" s="2948"/>
      <c r="T1758" s="2948"/>
      <c r="U1758" s="2948"/>
      <c r="V1758" s="2948"/>
      <c r="W1758" s="2944">
        <f t="shared" si="11"/>
        <v>0</v>
      </c>
    </row>
    <row r="1759" spans="1:23" s="2944" customFormat="1" ht="93.6" hidden="1">
      <c r="A1759" s="2948">
        <v>1758</v>
      </c>
      <c r="B1759" s="2948" t="s">
        <v>635</v>
      </c>
      <c r="C1759" s="2948" t="s">
        <v>636</v>
      </c>
      <c r="D1759" s="2948" t="s">
        <v>2246</v>
      </c>
      <c r="E1759" s="2948" t="s">
        <v>1459</v>
      </c>
      <c r="F1759" s="2948" t="s">
        <v>653</v>
      </c>
      <c r="G1759" s="2948" t="s">
        <v>1035</v>
      </c>
      <c r="H1759" s="2948" t="s">
        <v>1453</v>
      </c>
      <c r="I1759" s="2948" t="s">
        <v>2248</v>
      </c>
      <c r="J1759" s="2948" t="s">
        <v>643</v>
      </c>
      <c r="K1759" s="2950">
        <v>49.79</v>
      </c>
      <c r="L1759" s="2950">
        <v>19.809999999999999</v>
      </c>
      <c r="M1759" s="2951">
        <v>1493700</v>
      </c>
      <c r="N1759" s="2951">
        <v>1493700</v>
      </c>
      <c r="O1759" s="2955"/>
      <c r="P1759" s="2948"/>
      <c r="Q1759" s="2951">
        <v>0</v>
      </c>
      <c r="R1759" s="2948"/>
      <c r="S1759" s="2948"/>
      <c r="T1759" s="2948"/>
      <c r="U1759" s="2948"/>
      <c r="V1759" s="2948"/>
      <c r="W1759" s="2944">
        <f t="shared" si="11"/>
        <v>0</v>
      </c>
    </row>
    <row r="1760" spans="1:23" s="2944" customFormat="1" ht="93.6" hidden="1">
      <c r="A1760" s="2948">
        <v>1759</v>
      </c>
      <c r="B1760" s="2948" t="s">
        <v>635</v>
      </c>
      <c r="C1760" s="2948" t="s">
        <v>636</v>
      </c>
      <c r="D1760" s="2948" t="s">
        <v>2246</v>
      </c>
      <c r="E1760" s="2948" t="s">
        <v>1459</v>
      </c>
      <c r="F1760" s="2948" t="s">
        <v>655</v>
      </c>
      <c r="G1760" s="2948" t="s">
        <v>1035</v>
      </c>
      <c r="H1760" s="2948" t="s">
        <v>1453</v>
      </c>
      <c r="I1760" s="2948" t="s">
        <v>2248</v>
      </c>
      <c r="J1760" s="2948" t="s">
        <v>643</v>
      </c>
      <c r="K1760" s="2950">
        <v>30.06</v>
      </c>
      <c r="L1760" s="2950">
        <v>11.96</v>
      </c>
      <c r="M1760" s="2951">
        <v>901800</v>
      </c>
      <c r="N1760" s="2951">
        <v>901800</v>
      </c>
      <c r="O1760" s="2955"/>
      <c r="P1760" s="2948"/>
      <c r="Q1760" s="2951">
        <v>0</v>
      </c>
      <c r="R1760" s="2948"/>
      <c r="S1760" s="2948"/>
      <c r="T1760" s="2948"/>
      <c r="U1760" s="2948"/>
      <c r="V1760" s="2948"/>
      <c r="W1760" s="2944">
        <f t="shared" si="11"/>
        <v>0</v>
      </c>
    </row>
    <row r="1761" spans="1:23" s="2944" customFormat="1" ht="93.6" hidden="1">
      <c r="A1761" s="2948">
        <v>1760</v>
      </c>
      <c r="B1761" s="2948" t="s">
        <v>635</v>
      </c>
      <c r="C1761" s="2948" t="s">
        <v>636</v>
      </c>
      <c r="D1761" s="2948" t="s">
        <v>2246</v>
      </c>
      <c r="E1761" s="2948" t="s">
        <v>1460</v>
      </c>
      <c r="F1761" s="2948" t="s">
        <v>2262</v>
      </c>
      <c r="G1761" s="2948" t="s">
        <v>1035</v>
      </c>
      <c r="H1761" s="2948" t="s">
        <v>1453</v>
      </c>
      <c r="I1761" s="2948" t="s">
        <v>2248</v>
      </c>
      <c r="J1761" s="2948" t="s">
        <v>643</v>
      </c>
      <c r="K1761" s="2950">
        <v>17.16</v>
      </c>
      <c r="L1761" s="2950">
        <v>8.5399999999999991</v>
      </c>
      <c r="M1761" s="2951">
        <v>514800</v>
      </c>
      <c r="N1761" s="2951">
        <v>514800</v>
      </c>
      <c r="O1761" s="2955"/>
      <c r="P1761" s="2948"/>
      <c r="Q1761" s="2951">
        <v>0</v>
      </c>
      <c r="R1761" s="2948"/>
      <c r="S1761" s="2948"/>
      <c r="T1761" s="2948"/>
      <c r="U1761" s="2948"/>
      <c r="V1761" s="2948"/>
      <c r="W1761" s="2944">
        <f t="shared" si="11"/>
        <v>0</v>
      </c>
    </row>
    <row r="1762" spans="1:23" s="2944" customFormat="1" ht="93.6">
      <c r="A1762" s="2948">
        <v>1761</v>
      </c>
      <c r="B1762" s="2948" t="s">
        <v>635</v>
      </c>
      <c r="C1762" s="2948" t="s">
        <v>636</v>
      </c>
      <c r="D1762" s="2948" t="s">
        <v>2246</v>
      </c>
      <c r="E1762" s="2948" t="s">
        <v>1460</v>
      </c>
      <c r="F1762" s="2948" t="s">
        <v>2263</v>
      </c>
      <c r="G1762" s="2948" t="s">
        <v>640</v>
      </c>
      <c r="H1762" s="2948" t="s">
        <v>1453</v>
      </c>
      <c r="I1762" s="2948" t="s">
        <v>2248</v>
      </c>
      <c r="J1762" s="2948" t="s">
        <v>643</v>
      </c>
      <c r="K1762" s="2950">
        <v>10.59</v>
      </c>
      <c r="L1762" s="2950">
        <v>5.27</v>
      </c>
      <c r="M1762" s="2951">
        <v>317700</v>
      </c>
      <c r="N1762" s="2951">
        <v>317700</v>
      </c>
      <c r="O1762" s="2952">
        <v>317700</v>
      </c>
      <c r="P1762" s="2953">
        <v>317700</v>
      </c>
      <c r="Q1762" s="2951">
        <v>317700</v>
      </c>
      <c r="R1762" s="2954">
        <v>45075</v>
      </c>
      <c r="S1762" s="2954">
        <v>45077</v>
      </c>
      <c r="T1762" s="2954">
        <v>45105</v>
      </c>
      <c r="U1762" s="2954">
        <v>45105</v>
      </c>
      <c r="V1762" s="2948" t="s">
        <v>708</v>
      </c>
      <c r="W1762" s="2944">
        <f t="shared" si="11"/>
        <v>30000</v>
      </c>
    </row>
    <row r="1763" spans="1:23" s="2944" customFormat="1" ht="93.6" hidden="1">
      <c r="A1763" s="2948">
        <v>1762</v>
      </c>
      <c r="B1763" s="2948" t="s">
        <v>635</v>
      </c>
      <c r="C1763" s="2948" t="s">
        <v>636</v>
      </c>
      <c r="D1763" s="2948" t="s">
        <v>2246</v>
      </c>
      <c r="E1763" s="2948" t="s">
        <v>1460</v>
      </c>
      <c r="F1763" s="2948" t="s">
        <v>2264</v>
      </c>
      <c r="G1763" s="2948" t="s">
        <v>1035</v>
      </c>
      <c r="H1763" s="2948" t="s">
        <v>1453</v>
      </c>
      <c r="I1763" s="2948" t="s">
        <v>2248</v>
      </c>
      <c r="J1763" s="2948" t="s">
        <v>643</v>
      </c>
      <c r="K1763" s="2950">
        <v>27.36</v>
      </c>
      <c r="L1763" s="2950">
        <v>13.62</v>
      </c>
      <c r="M1763" s="2951">
        <v>820800</v>
      </c>
      <c r="N1763" s="2951">
        <v>820800</v>
      </c>
      <c r="O1763" s="2955"/>
      <c r="P1763" s="2948"/>
      <c r="Q1763" s="2951">
        <v>0</v>
      </c>
      <c r="R1763" s="2948"/>
      <c r="S1763" s="2948"/>
      <c r="T1763" s="2948"/>
      <c r="U1763" s="2948"/>
      <c r="V1763" s="2948"/>
      <c r="W1763" s="2944">
        <f t="shared" si="11"/>
        <v>0</v>
      </c>
    </row>
    <row r="1764" spans="1:23" s="2944" customFormat="1" ht="93.6">
      <c r="A1764" s="2948">
        <v>1763</v>
      </c>
      <c r="B1764" s="2948" t="s">
        <v>635</v>
      </c>
      <c r="C1764" s="2948" t="s">
        <v>636</v>
      </c>
      <c r="D1764" s="2948" t="s">
        <v>2246</v>
      </c>
      <c r="E1764" s="2948" t="s">
        <v>1460</v>
      </c>
      <c r="F1764" s="2948" t="s">
        <v>2265</v>
      </c>
      <c r="G1764" s="2948" t="s">
        <v>640</v>
      </c>
      <c r="H1764" s="2948" t="s">
        <v>1453</v>
      </c>
      <c r="I1764" s="2948" t="s">
        <v>2248</v>
      </c>
      <c r="J1764" s="2948" t="s">
        <v>643</v>
      </c>
      <c r="K1764" s="2950">
        <v>23.24</v>
      </c>
      <c r="L1764" s="2950">
        <v>11.57</v>
      </c>
      <c r="M1764" s="2951">
        <v>697200</v>
      </c>
      <c r="N1764" s="2951">
        <v>697200</v>
      </c>
      <c r="O1764" s="2952">
        <v>697200</v>
      </c>
      <c r="P1764" s="2953">
        <v>697200</v>
      </c>
      <c r="Q1764" s="2951">
        <v>697200</v>
      </c>
      <c r="R1764" s="2954">
        <v>44551</v>
      </c>
      <c r="S1764" s="2954">
        <v>44561</v>
      </c>
      <c r="T1764" s="2954">
        <v>44778</v>
      </c>
      <c r="U1764" s="2954">
        <v>44778</v>
      </c>
      <c r="V1764" s="2948" t="s">
        <v>707</v>
      </c>
      <c r="W1764" s="2944">
        <f t="shared" si="11"/>
        <v>30000</v>
      </c>
    </row>
    <row r="1765" spans="1:23" s="2944" customFormat="1" ht="93.6" hidden="1">
      <c r="A1765" s="2948">
        <v>1764</v>
      </c>
      <c r="B1765" s="2948" t="s">
        <v>635</v>
      </c>
      <c r="C1765" s="2948" t="s">
        <v>636</v>
      </c>
      <c r="D1765" s="2948" t="s">
        <v>2246</v>
      </c>
      <c r="E1765" s="2948" t="s">
        <v>1460</v>
      </c>
      <c r="F1765" s="2948" t="s">
        <v>2266</v>
      </c>
      <c r="G1765" s="2948" t="s">
        <v>1035</v>
      </c>
      <c r="H1765" s="2948" t="s">
        <v>1453</v>
      </c>
      <c r="I1765" s="2948" t="s">
        <v>2248</v>
      </c>
      <c r="J1765" s="2948" t="s">
        <v>643</v>
      </c>
      <c r="K1765" s="2950">
        <v>23.24</v>
      </c>
      <c r="L1765" s="2950">
        <v>11.57</v>
      </c>
      <c r="M1765" s="2951">
        <v>697200</v>
      </c>
      <c r="N1765" s="2951">
        <v>697200</v>
      </c>
      <c r="O1765" s="2955"/>
      <c r="P1765" s="2948"/>
      <c r="Q1765" s="2951">
        <v>0</v>
      </c>
      <c r="R1765" s="2948"/>
      <c r="S1765" s="2948"/>
      <c r="T1765" s="2948"/>
      <c r="U1765" s="2948"/>
      <c r="V1765" s="2948"/>
      <c r="W1765" s="2944">
        <f t="shared" si="11"/>
        <v>0</v>
      </c>
    </row>
    <row r="1766" spans="1:23" s="2944" customFormat="1" ht="93.6" hidden="1">
      <c r="A1766" s="2948">
        <v>1765</v>
      </c>
      <c r="B1766" s="2948" t="s">
        <v>635</v>
      </c>
      <c r="C1766" s="2948" t="s">
        <v>636</v>
      </c>
      <c r="D1766" s="2948" t="s">
        <v>2246</v>
      </c>
      <c r="E1766" s="2948" t="s">
        <v>1460</v>
      </c>
      <c r="F1766" s="2948" t="s">
        <v>2267</v>
      </c>
      <c r="G1766" s="2948" t="s">
        <v>1035</v>
      </c>
      <c r="H1766" s="2948" t="s">
        <v>1453</v>
      </c>
      <c r="I1766" s="2948" t="s">
        <v>2248</v>
      </c>
      <c r="J1766" s="2948" t="s">
        <v>643</v>
      </c>
      <c r="K1766" s="2950">
        <v>27.36</v>
      </c>
      <c r="L1766" s="2950">
        <v>13.62</v>
      </c>
      <c r="M1766" s="2951">
        <v>820800</v>
      </c>
      <c r="N1766" s="2951">
        <v>820800</v>
      </c>
      <c r="O1766" s="2955"/>
      <c r="P1766" s="2948"/>
      <c r="Q1766" s="2951">
        <v>0</v>
      </c>
      <c r="R1766" s="2948"/>
      <c r="S1766" s="2948"/>
      <c r="T1766" s="2948"/>
      <c r="U1766" s="2948"/>
      <c r="V1766" s="2948"/>
      <c r="W1766" s="2944">
        <f t="shared" si="11"/>
        <v>0</v>
      </c>
    </row>
    <row r="1767" spans="1:23" s="2944" customFormat="1" ht="93.6" hidden="1">
      <c r="A1767" s="2948">
        <v>1766</v>
      </c>
      <c r="B1767" s="2948" t="s">
        <v>635</v>
      </c>
      <c r="C1767" s="2948" t="s">
        <v>636</v>
      </c>
      <c r="D1767" s="2948" t="s">
        <v>2246</v>
      </c>
      <c r="E1767" s="2948" t="s">
        <v>1460</v>
      </c>
      <c r="F1767" s="2948" t="s">
        <v>2247</v>
      </c>
      <c r="G1767" s="2948" t="s">
        <v>1035</v>
      </c>
      <c r="H1767" s="2948" t="s">
        <v>1453</v>
      </c>
      <c r="I1767" s="2948" t="s">
        <v>2248</v>
      </c>
      <c r="J1767" s="2948" t="s">
        <v>643</v>
      </c>
      <c r="K1767" s="2950">
        <v>10.59</v>
      </c>
      <c r="L1767" s="2950">
        <v>5.27</v>
      </c>
      <c r="M1767" s="2951">
        <v>317700</v>
      </c>
      <c r="N1767" s="2951">
        <v>317700</v>
      </c>
      <c r="O1767" s="2955"/>
      <c r="P1767" s="2948"/>
      <c r="Q1767" s="2951">
        <v>0</v>
      </c>
      <c r="R1767" s="2948"/>
      <c r="S1767" s="2948"/>
      <c r="T1767" s="2948"/>
      <c r="U1767" s="2948"/>
      <c r="V1767" s="2948"/>
      <c r="W1767" s="2944">
        <f t="shared" si="11"/>
        <v>0</v>
      </c>
    </row>
    <row r="1768" spans="1:23" s="2944" customFormat="1" ht="93.6" hidden="1">
      <c r="A1768" s="2948">
        <v>1767</v>
      </c>
      <c r="B1768" s="2948" t="s">
        <v>635</v>
      </c>
      <c r="C1768" s="2948" t="s">
        <v>636</v>
      </c>
      <c r="D1768" s="2948" t="s">
        <v>2246</v>
      </c>
      <c r="E1768" s="2948" t="s">
        <v>1460</v>
      </c>
      <c r="F1768" s="2948" t="s">
        <v>2249</v>
      </c>
      <c r="G1768" s="2948" t="s">
        <v>1035</v>
      </c>
      <c r="H1768" s="2948" t="s">
        <v>1453</v>
      </c>
      <c r="I1768" s="2948" t="s">
        <v>2248</v>
      </c>
      <c r="J1768" s="2948" t="s">
        <v>643</v>
      </c>
      <c r="K1768" s="2950">
        <v>17.16</v>
      </c>
      <c r="L1768" s="2950">
        <v>8.5399999999999991</v>
      </c>
      <c r="M1768" s="2951">
        <v>514800</v>
      </c>
      <c r="N1768" s="2951">
        <v>514800</v>
      </c>
      <c r="O1768" s="2955"/>
      <c r="P1768" s="2948"/>
      <c r="Q1768" s="2951">
        <v>0</v>
      </c>
      <c r="R1768" s="2948"/>
      <c r="S1768" s="2948"/>
      <c r="T1768" s="2948"/>
      <c r="U1768" s="2948"/>
      <c r="V1768" s="2948"/>
      <c r="W1768" s="2944">
        <f t="shared" si="11"/>
        <v>0</v>
      </c>
    </row>
    <row r="1769" spans="1:23" s="2944" customFormat="1" ht="93.6" hidden="1">
      <c r="A1769" s="2948">
        <v>1768</v>
      </c>
      <c r="B1769" s="2948" t="s">
        <v>635</v>
      </c>
      <c r="C1769" s="2948" t="s">
        <v>636</v>
      </c>
      <c r="D1769" s="2948" t="s">
        <v>2246</v>
      </c>
      <c r="E1769" s="2948" t="s">
        <v>1460</v>
      </c>
      <c r="F1769" s="2948" t="s">
        <v>2250</v>
      </c>
      <c r="G1769" s="2948" t="s">
        <v>1035</v>
      </c>
      <c r="H1769" s="2948" t="s">
        <v>1453</v>
      </c>
      <c r="I1769" s="2948" t="s">
        <v>2248</v>
      </c>
      <c r="J1769" s="2948" t="s">
        <v>643</v>
      </c>
      <c r="K1769" s="2950">
        <v>22.54</v>
      </c>
      <c r="L1769" s="2950">
        <v>11.22</v>
      </c>
      <c r="M1769" s="2951">
        <v>676200</v>
      </c>
      <c r="N1769" s="2951">
        <v>676200</v>
      </c>
      <c r="O1769" s="2955"/>
      <c r="P1769" s="2948"/>
      <c r="Q1769" s="2951">
        <v>0</v>
      </c>
      <c r="R1769" s="2948"/>
      <c r="S1769" s="2948"/>
      <c r="T1769" s="2948"/>
      <c r="U1769" s="2948"/>
      <c r="V1769" s="2948"/>
      <c r="W1769" s="2944">
        <f t="shared" si="11"/>
        <v>0</v>
      </c>
    </row>
    <row r="1770" spans="1:23" s="2944" customFormat="1" ht="93.6" hidden="1">
      <c r="A1770" s="2948">
        <v>1769</v>
      </c>
      <c r="B1770" s="2948" t="s">
        <v>635</v>
      </c>
      <c r="C1770" s="2948" t="s">
        <v>636</v>
      </c>
      <c r="D1770" s="2948" t="s">
        <v>2246</v>
      </c>
      <c r="E1770" s="2948" t="s">
        <v>1460</v>
      </c>
      <c r="F1770" s="2948" t="s">
        <v>645</v>
      </c>
      <c r="G1770" s="2948" t="s">
        <v>1035</v>
      </c>
      <c r="H1770" s="2948" t="s">
        <v>1453</v>
      </c>
      <c r="I1770" s="2948" t="s">
        <v>2248</v>
      </c>
      <c r="J1770" s="2948" t="s">
        <v>643</v>
      </c>
      <c r="K1770" s="2950">
        <v>22.54</v>
      </c>
      <c r="L1770" s="2950">
        <v>11.22</v>
      </c>
      <c r="M1770" s="2951">
        <v>676200</v>
      </c>
      <c r="N1770" s="2951">
        <v>676200</v>
      </c>
      <c r="O1770" s="2955"/>
      <c r="P1770" s="2948"/>
      <c r="Q1770" s="2951">
        <v>0</v>
      </c>
      <c r="R1770" s="2948"/>
      <c r="S1770" s="2948"/>
      <c r="T1770" s="2948"/>
      <c r="U1770" s="2948"/>
      <c r="V1770" s="2948"/>
      <c r="W1770" s="2944">
        <f t="shared" si="11"/>
        <v>0</v>
      </c>
    </row>
    <row r="1771" spans="1:23" s="2944" customFormat="1" ht="93.6" hidden="1">
      <c r="A1771" s="2948">
        <v>1770</v>
      </c>
      <c r="B1771" s="2948" t="s">
        <v>635</v>
      </c>
      <c r="C1771" s="2948" t="s">
        <v>636</v>
      </c>
      <c r="D1771" s="2948" t="s">
        <v>2246</v>
      </c>
      <c r="E1771" s="2948" t="s">
        <v>1460</v>
      </c>
      <c r="F1771" s="2948" t="s">
        <v>2268</v>
      </c>
      <c r="G1771" s="2948" t="s">
        <v>1035</v>
      </c>
      <c r="H1771" s="2948" t="s">
        <v>1453</v>
      </c>
      <c r="I1771" s="2948" t="s">
        <v>2248</v>
      </c>
      <c r="J1771" s="2948" t="s">
        <v>643</v>
      </c>
      <c r="K1771" s="2950">
        <v>21.17</v>
      </c>
      <c r="L1771" s="2950">
        <v>10.54</v>
      </c>
      <c r="M1771" s="2951">
        <v>635100</v>
      </c>
      <c r="N1771" s="2951">
        <v>635100</v>
      </c>
      <c r="O1771" s="2955"/>
      <c r="P1771" s="2948"/>
      <c r="Q1771" s="2951">
        <v>0</v>
      </c>
      <c r="R1771" s="2948"/>
      <c r="S1771" s="2948"/>
      <c r="T1771" s="2948"/>
      <c r="U1771" s="2948"/>
      <c r="V1771" s="2948"/>
      <c r="W1771" s="2944">
        <f t="shared" si="11"/>
        <v>0</v>
      </c>
    </row>
    <row r="1772" spans="1:23" s="2944" customFormat="1" ht="93.6" hidden="1">
      <c r="A1772" s="2948">
        <v>1771</v>
      </c>
      <c r="B1772" s="2948" t="s">
        <v>635</v>
      </c>
      <c r="C1772" s="2948" t="s">
        <v>636</v>
      </c>
      <c r="D1772" s="2948" t="s">
        <v>2246</v>
      </c>
      <c r="E1772" s="2948" t="s">
        <v>1460</v>
      </c>
      <c r="F1772" s="2948" t="s">
        <v>2269</v>
      </c>
      <c r="G1772" s="2948" t="s">
        <v>1035</v>
      </c>
      <c r="H1772" s="2948" t="s">
        <v>1453</v>
      </c>
      <c r="I1772" s="2948" t="s">
        <v>2248</v>
      </c>
      <c r="J1772" s="2948" t="s">
        <v>643</v>
      </c>
      <c r="K1772" s="2950">
        <v>23.14</v>
      </c>
      <c r="L1772" s="2950">
        <v>11.52</v>
      </c>
      <c r="M1772" s="2951">
        <v>694200</v>
      </c>
      <c r="N1772" s="2951">
        <v>694200</v>
      </c>
      <c r="O1772" s="2955"/>
      <c r="P1772" s="2948"/>
      <c r="Q1772" s="2951">
        <v>0</v>
      </c>
      <c r="R1772" s="2948"/>
      <c r="S1772" s="2948"/>
      <c r="T1772" s="2948"/>
      <c r="U1772" s="2948"/>
      <c r="V1772" s="2948"/>
      <c r="W1772" s="2944">
        <f t="shared" si="11"/>
        <v>0</v>
      </c>
    </row>
    <row r="1773" spans="1:23" s="2944" customFormat="1" ht="93.6" hidden="1">
      <c r="A1773" s="2948">
        <v>1772</v>
      </c>
      <c r="B1773" s="2948" t="s">
        <v>635</v>
      </c>
      <c r="C1773" s="2948" t="s">
        <v>636</v>
      </c>
      <c r="D1773" s="2948" t="s">
        <v>2246</v>
      </c>
      <c r="E1773" s="2948" t="s">
        <v>1460</v>
      </c>
      <c r="F1773" s="2948" t="s">
        <v>2270</v>
      </c>
      <c r="G1773" s="2948" t="s">
        <v>1035</v>
      </c>
      <c r="H1773" s="2948" t="s">
        <v>1453</v>
      </c>
      <c r="I1773" s="2948" t="s">
        <v>2248</v>
      </c>
      <c r="J1773" s="2948" t="s">
        <v>643</v>
      </c>
      <c r="K1773" s="2950">
        <v>23.14</v>
      </c>
      <c r="L1773" s="2950">
        <v>11.52</v>
      </c>
      <c r="M1773" s="2951">
        <v>694200</v>
      </c>
      <c r="N1773" s="2951">
        <v>694200</v>
      </c>
      <c r="O1773" s="2955"/>
      <c r="P1773" s="2948"/>
      <c r="Q1773" s="2951">
        <v>0</v>
      </c>
      <c r="R1773" s="2948"/>
      <c r="S1773" s="2948"/>
      <c r="T1773" s="2948"/>
      <c r="U1773" s="2948"/>
      <c r="V1773" s="2948"/>
      <c r="W1773" s="2944">
        <f t="shared" si="11"/>
        <v>0</v>
      </c>
    </row>
    <row r="1774" spans="1:23" s="2944" customFormat="1" ht="93.6" hidden="1">
      <c r="A1774" s="2948">
        <v>1773</v>
      </c>
      <c r="B1774" s="2948" t="s">
        <v>635</v>
      </c>
      <c r="C1774" s="2948" t="s">
        <v>636</v>
      </c>
      <c r="D1774" s="2948" t="s">
        <v>2246</v>
      </c>
      <c r="E1774" s="2948" t="s">
        <v>1460</v>
      </c>
      <c r="F1774" s="2948" t="s">
        <v>2271</v>
      </c>
      <c r="G1774" s="2948" t="s">
        <v>1035</v>
      </c>
      <c r="H1774" s="2948" t="s">
        <v>1453</v>
      </c>
      <c r="I1774" s="2948" t="s">
        <v>2248</v>
      </c>
      <c r="J1774" s="2948" t="s">
        <v>643</v>
      </c>
      <c r="K1774" s="2950">
        <v>21.17</v>
      </c>
      <c r="L1774" s="2950">
        <v>10.54</v>
      </c>
      <c r="M1774" s="2951">
        <v>635100</v>
      </c>
      <c r="N1774" s="2951">
        <v>635100</v>
      </c>
      <c r="O1774" s="2955"/>
      <c r="P1774" s="2948"/>
      <c r="Q1774" s="2951">
        <v>0</v>
      </c>
      <c r="R1774" s="2948"/>
      <c r="S1774" s="2948"/>
      <c r="T1774" s="2948"/>
      <c r="U1774" s="2948"/>
      <c r="V1774" s="2948"/>
      <c r="W1774" s="2944">
        <f t="shared" si="11"/>
        <v>0</v>
      </c>
    </row>
    <row r="1775" spans="1:23" s="2944" customFormat="1" ht="93.6" hidden="1">
      <c r="A1775" s="2948">
        <v>1774</v>
      </c>
      <c r="B1775" s="2948" t="s">
        <v>635</v>
      </c>
      <c r="C1775" s="2948" t="s">
        <v>636</v>
      </c>
      <c r="D1775" s="2948" t="s">
        <v>2246</v>
      </c>
      <c r="E1775" s="2948" t="s">
        <v>1460</v>
      </c>
      <c r="F1775" s="2948" t="s">
        <v>2272</v>
      </c>
      <c r="G1775" s="2948" t="s">
        <v>1035</v>
      </c>
      <c r="H1775" s="2948" t="s">
        <v>1453</v>
      </c>
      <c r="I1775" s="2948" t="s">
        <v>2248</v>
      </c>
      <c r="J1775" s="2948" t="s">
        <v>643</v>
      </c>
      <c r="K1775" s="2950">
        <v>22.44</v>
      </c>
      <c r="L1775" s="2950">
        <v>11.17</v>
      </c>
      <c r="M1775" s="2951">
        <v>673200</v>
      </c>
      <c r="N1775" s="2951">
        <v>673200</v>
      </c>
      <c r="O1775" s="2955"/>
      <c r="P1775" s="2948"/>
      <c r="Q1775" s="2951">
        <v>0</v>
      </c>
      <c r="R1775" s="2948"/>
      <c r="S1775" s="2948"/>
      <c r="T1775" s="2948"/>
      <c r="U1775" s="2948"/>
      <c r="V1775" s="2948"/>
      <c r="W1775" s="2944">
        <f t="shared" si="11"/>
        <v>0</v>
      </c>
    </row>
    <row r="1776" spans="1:23" s="2944" customFormat="1" ht="93.6" hidden="1">
      <c r="A1776" s="2948">
        <v>1775</v>
      </c>
      <c r="B1776" s="2948" t="s">
        <v>635</v>
      </c>
      <c r="C1776" s="2948" t="s">
        <v>636</v>
      </c>
      <c r="D1776" s="2948" t="s">
        <v>2246</v>
      </c>
      <c r="E1776" s="2948" t="s">
        <v>1460</v>
      </c>
      <c r="F1776" s="2948" t="s">
        <v>2273</v>
      </c>
      <c r="G1776" s="2948" t="s">
        <v>1035</v>
      </c>
      <c r="H1776" s="2948" t="s">
        <v>1453</v>
      </c>
      <c r="I1776" s="2948" t="s">
        <v>2248</v>
      </c>
      <c r="J1776" s="2948" t="s">
        <v>643</v>
      </c>
      <c r="K1776" s="2950">
        <v>57.61</v>
      </c>
      <c r="L1776" s="2950">
        <v>28.68</v>
      </c>
      <c r="M1776" s="2951">
        <v>1728300</v>
      </c>
      <c r="N1776" s="2951">
        <v>1728300</v>
      </c>
      <c r="O1776" s="2955"/>
      <c r="P1776" s="2948"/>
      <c r="Q1776" s="2951">
        <v>0</v>
      </c>
      <c r="R1776" s="2948"/>
      <c r="S1776" s="2948"/>
      <c r="T1776" s="2948"/>
      <c r="U1776" s="2948"/>
      <c r="V1776" s="2948"/>
      <c r="W1776" s="2944">
        <f t="shared" si="11"/>
        <v>0</v>
      </c>
    </row>
    <row r="1777" spans="1:23" s="2944" customFormat="1" ht="93.6" hidden="1">
      <c r="A1777" s="2948">
        <v>1776</v>
      </c>
      <c r="B1777" s="2948" t="s">
        <v>635</v>
      </c>
      <c r="C1777" s="2948" t="s">
        <v>636</v>
      </c>
      <c r="D1777" s="2948" t="s">
        <v>2246</v>
      </c>
      <c r="E1777" s="2948" t="s">
        <v>1460</v>
      </c>
      <c r="F1777" s="2948" t="s">
        <v>2274</v>
      </c>
      <c r="G1777" s="2948" t="s">
        <v>1035</v>
      </c>
      <c r="H1777" s="2948" t="s">
        <v>1453</v>
      </c>
      <c r="I1777" s="2948" t="s">
        <v>2248</v>
      </c>
      <c r="J1777" s="2948" t="s">
        <v>643</v>
      </c>
      <c r="K1777" s="2950">
        <v>22.12</v>
      </c>
      <c r="L1777" s="2950">
        <v>11.01</v>
      </c>
      <c r="M1777" s="2951">
        <v>663600</v>
      </c>
      <c r="N1777" s="2951">
        <v>663600</v>
      </c>
      <c r="O1777" s="2955"/>
      <c r="P1777" s="2948"/>
      <c r="Q1777" s="2951">
        <v>0</v>
      </c>
      <c r="R1777" s="2948"/>
      <c r="S1777" s="2948"/>
      <c r="T1777" s="2948"/>
      <c r="U1777" s="2948"/>
      <c r="V1777" s="2948"/>
      <c r="W1777" s="2944">
        <f t="shared" si="11"/>
        <v>0</v>
      </c>
    </row>
    <row r="1778" spans="1:23" s="2944" customFormat="1" ht="93.6" hidden="1">
      <c r="A1778" s="2948">
        <v>1777</v>
      </c>
      <c r="B1778" s="2948" t="s">
        <v>635</v>
      </c>
      <c r="C1778" s="2948" t="s">
        <v>636</v>
      </c>
      <c r="D1778" s="2948" t="s">
        <v>2246</v>
      </c>
      <c r="E1778" s="2948" t="s">
        <v>1460</v>
      </c>
      <c r="F1778" s="2948" t="s">
        <v>2275</v>
      </c>
      <c r="G1778" s="2948" t="s">
        <v>1035</v>
      </c>
      <c r="H1778" s="2948" t="s">
        <v>1453</v>
      </c>
      <c r="I1778" s="2948" t="s">
        <v>2248</v>
      </c>
      <c r="J1778" s="2948" t="s">
        <v>643</v>
      </c>
      <c r="K1778" s="2950">
        <v>20.010000000000002</v>
      </c>
      <c r="L1778" s="2950">
        <v>9.9600000000000009</v>
      </c>
      <c r="M1778" s="2951">
        <v>600300</v>
      </c>
      <c r="N1778" s="2951">
        <v>600300</v>
      </c>
      <c r="O1778" s="2955"/>
      <c r="P1778" s="2948"/>
      <c r="Q1778" s="2951">
        <v>0</v>
      </c>
      <c r="R1778" s="2948"/>
      <c r="S1778" s="2948"/>
      <c r="T1778" s="2948"/>
      <c r="U1778" s="2948"/>
      <c r="V1778" s="2948"/>
      <c r="W1778" s="2944">
        <f t="shared" ref="W1778:W1841" si="12">O1778/K1778</f>
        <v>0</v>
      </c>
    </row>
    <row r="1779" spans="1:23" s="2944" customFormat="1" ht="93.6">
      <c r="A1779" s="2948">
        <v>1778</v>
      </c>
      <c r="B1779" s="2948" t="s">
        <v>635</v>
      </c>
      <c r="C1779" s="2948" t="s">
        <v>636</v>
      </c>
      <c r="D1779" s="2948" t="s">
        <v>2246</v>
      </c>
      <c r="E1779" s="2948" t="s">
        <v>1460</v>
      </c>
      <c r="F1779" s="2948" t="s">
        <v>2276</v>
      </c>
      <c r="G1779" s="2948" t="s">
        <v>640</v>
      </c>
      <c r="H1779" s="2948" t="s">
        <v>1453</v>
      </c>
      <c r="I1779" s="2948" t="s">
        <v>2248</v>
      </c>
      <c r="J1779" s="2948" t="s">
        <v>643</v>
      </c>
      <c r="K1779" s="2950">
        <v>15.55</v>
      </c>
      <c r="L1779" s="2950">
        <v>7.74</v>
      </c>
      <c r="M1779" s="2951">
        <v>466500</v>
      </c>
      <c r="N1779" s="2951">
        <v>466500</v>
      </c>
      <c r="O1779" s="2952">
        <v>466500</v>
      </c>
      <c r="P1779" s="2953">
        <v>466500</v>
      </c>
      <c r="Q1779" s="2951">
        <v>466500</v>
      </c>
      <c r="R1779" s="2954">
        <v>44558</v>
      </c>
      <c r="S1779" s="2954">
        <v>44561</v>
      </c>
      <c r="T1779" s="2954">
        <v>44571</v>
      </c>
      <c r="U1779" s="2954">
        <v>44571</v>
      </c>
      <c r="V1779" s="2948" t="s">
        <v>682</v>
      </c>
      <c r="W1779" s="2944">
        <f t="shared" si="12"/>
        <v>30000</v>
      </c>
    </row>
    <row r="1780" spans="1:23" s="2944" customFormat="1" ht="93.6">
      <c r="A1780" s="2948">
        <v>1779</v>
      </c>
      <c r="B1780" s="2948" t="s">
        <v>635</v>
      </c>
      <c r="C1780" s="2948" t="s">
        <v>636</v>
      </c>
      <c r="D1780" s="2948" t="s">
        <v>2246</v>
      </c>
      <c r="E1780" s="2948" t="s">
        <v>1460</v>
      </c>
      <c r="F1780" s="2948" t="s">
        <v>2251</v>
      </c>
      <c r="G1780" s="2948" t="s">
        <v>640</v>
      </c>
      <c r="H1780" s="2948" t="s">
        <v>1453</v>
      </c>
      <c r="I1780" s="2948" t="s">
        <v>2248</v>
      </c>
      <c r="J1780" s="2948" t="s">
        <v>643</v>
      </c>
      <c r="K1780" s="2950">
        <v>6.39</v>
      </c>
      <c r="L1780" s="2950">
        <v>3.18</v>
      </c>
      <c r="M1780" s="2951">
        <v>191700</v>
      </c>
      <c r="N1780" s="2951">
        <v>191700</v>
      </c>
      <c r="O1780" s="2952">
        <v>191700</v>
      </c>
      <c r="P1780" s="2953">
        <v>191700</v>
      </c>
      <c r="Q1780" s="2951">
        <v>191700</v>
      </c>
      <c r="R1780" s="2954">
        <v>44551</v>
      </c>
      <c r="S1780" s="2954">
        <v>44561</v>
      </c>
      <c r="T1780" s="2954">
        <v>44778</v>
      </c>
      <c r="U1780" s="2954">
        <v>44778</v>
      </c>
      <c r="V1780" s="2948" t="s">
        <v>666</v>
      </c>
      <c r="W1780" s="2944">
        <f t="shared" si="12"/>
        <v>30000</v>
      </c>
    </row>
    <row r="1781" spans="1:23" s="2944" customFormat="1" ht="93.6">
      <c r="A1781" s="2948">
        <v>1780</v>
      </c>
      <c r="B1781" s="2948" t="s">
        <v>635</v>
      </c>
      <c r="C1781" s="2948" t="s">
        <v>636</v>
      </c>
      <c r="D1781" s="2948" t="s">
        <v>2246</v>
      </c>
      <c r="E1781" s="2948" t="s">
        <v>1460</v>
      </c>
      <c r="F1781" s="2948" t="s">
        <v>2252</v>
      </c>
      <c r="G1781" s="2948" t="s">
        <v>640</v>
      </c>
      <c r="H1781" s="2948" t="s">
        <v>1453</v>
      </c>
      <c r="I1781" s="2948" t="s">
        <v>2248</v>
      </c>
      <c r="J1781" s="2948" t="s">
        <v>643</v>
      </c>
      <c r="K1781" s="2950">
        <v>7.11</v>
      </c>
      <c r="L1781" s="2950">
        <v>3.54</v>
      </c>
      <c r="M1781" s="2951">
        <v>213300</v>
      </c>
      <c r="N1781" s="2951">
        <v>213300</v>
      </c>
      <c r="O1781" s="2952">
        <v>202635</v>
      </c>
      <c r="P1781" s="2953">
        <v>202635</v>
      </c>
      <c r="Q1781" s="2951">
        <v>202635</v>
      </c>
      <c r="R1781" s="2954">
        <v>44555</v>
      </c>
      <c r="S1781" s="2954">
        <v>44641</v>
      </c>
      <c r="T1781" s="2954">
        <v>44641</v>
      </c>
      <c r="U1781" s="2954">
        <v>44641</v>
      </c>
      <c r="V1781" s="2948" t="s">
        <v>2285</v>
      </c>
      <c r="W1781" s="2944">
        <f t="shared" si="12"/>
        <v>28500</v>
      </c>
    </row>
    <row r="1782" spans="1:23" s="2944" customFormat="1" ht="93.6">
      <c r="A1782" s="2948">
        <v>1781</v>
      </c>
      <c r="B1782" s="2948" t="s">
        <v>635</v>
      </c>
      <c r="C1782" s="2948" t="s">
        <v>636</v>
      </c>
      <c r="D1782" s="2948" t="s">
        <v>2246</v>
      </c>
      <c r="E1782" s="2948" t="s">
        <v>1460</v>
      </c>
      <c r="F1782" s="2948" t="s">
        <v>2253</v>
      </c>
      <c r="G1782" s="2948" t="s">
        <v>640</v>
      </c>
      <c r="H1782" s="2948" t="s">
        <v>1453</v>
      </c>
      <c r="I1782" s="2948" t="s">
        <v>2248</v>
      </c>
      <c r="J1782" s="2948" t="s">
        <v>643</v>
      </c>
      <c r="K1782" s="2950">
        <v>14.58</v>
      </c>
      <c r="L1782" s="2950">
        <v>7.26</v>
      </c>
      <c r="M1782" s="2951">
        <v>437400</v>
      </c>
      <c r="N1782" s="2951">
        <v>437400</v>
      </c>
      <c r="O1782" s="2952">
        <v>437400</v>
      </c>
      <c r="P1782" s="2953">
        <v>437400</v>
      </c>
      <c r="Q1782" s="2951">
        <v>437400</v>
      </c>
      <c r="R1782" s="2954">
        <v>44551</v>
      </c>
      <c r="S1782" s="2954">
        <v>44559</v>
      </c>
      <c r="T1782" s="2954">
        <v>44575</v>
      </c>
      <c r="U1782" s="2954">
        <v>44575</v>
      </c>
      <c r="V1782" s="2948" t="s">
        <v>722</v>
      </c>
      <c r="W1782" s="2944">
        <f t="shared" si="12"/>
        <v>30000</v>
      </c>
    </row>
    <row r="1783" spans="1:23" s="2944" customFormat="1" ht="93.6">
      <c r="A1783" s="2948">
        <v>1782</v>
      </c>
      <c r="B1783" s="2948" t="s">
        <v>635</v>
      </c>
      <c r="C1783" s="2948" t="s">
        <v>636</v>
      </c>
      <c r="D1783" s="2948" t="s">
        <v>2246</v>
      </c>
      <c r="E1783" s="2948" t="s">
        <v>1460</v>
      </c>
      <c r="F1783" s="2948" t="s">
        <v>2254</v>
      </c>
      <c r="G1783" s="2948" t="s">
        <v>640</v>
      </c>
      <c r="H1783" s="2948" t="s">
        <v>1453</v>
      </c>
      <c r="I1783" s="2948" t="s">
        <v>2248</v>
      </c>
      <c r="J1783" s="2948" t="s">
        <v>643</v>
      </c>
      <c r="K1783" s="2950">
        <v>15.55</v>
      </c>
      <c r="L1783" s="2950">
        <v>7.74</v>
      </c>
      <c r="M1783" s="2951">
        <v>466500</v>
      </c>
      <c r="N1783" s="2951">
        <v>466500</v>
      </c>
      <c r="O1783" s="2952">
        <v>466500</v>
      </c>
      <c r="P1783" s="2953">
        <v>466500</v>
      </c>
      <c r="Q1783" s="2951">
        <v>466500</v>
      </c>
      <c r="R1783" s="2954">
        <v>44559</v>
      </c>
      <c r="S1783" s="2954">
        <v>44561</v>
      </c>
      <c r="T1783" s="2954">
        <v>44571</v>
      </c>
      <c r="U1783" s="2954">
        <v>44571</v>
      </c>
      <c r="V1783" s="2948" t="s">
        <v>716</v>
      </c>
      <c r="W1783" s="2944">
        <f t="shared" si="12"/>
        <v>30000</v>
      </c>
    </row>
    <row r="1784" spans="1:23" s="2944" customFormat="1" ht="93.6" hidden="1">
      <c r="A1784" s="2948">
        <v>1783</v>
      </c>
      <c r="B1784" s="2948" t="s">
        <v>635</v>
      </c>
      <c r="C1784" s="2948" t="s">
        <v>636</v>
      </c>
      <c r="D1784" s="2948" t="s">
        <v>2246</v>
      </c>
      <c r="E1784" s="2948" t="s">
        <v>1460</v>
      </c>
      <c r="F1784" s="2948" t="s">
        <v>2255</v>
      </c>
      <c r="G1784" s="2948" t="s">
        <v>1035</v>
      </c>
      <c r="H1784" s="2948" t="s">
        <v>1453</v>
      </c>
      <c r="I1784" s="2948" t="s">
        <v>2248</v>
      </c>
      <c r="J1784" s="2948" t="s">
        <v>643</v>
      </c>
      <c r="K1784" s="2950">
        <v>20.010000000000002</v>
      </c>
      <c r="L1784" s="2950">
        <v>9.9600000000000009</v>
      </c>
      <c r="M1784" s="2951">
        <v>600300</v>
      </c>
      <c r="N1784" s="2951">
        <v>600300</v>
      </c>
      <c r="O1784" s="2955"/>
      <c r="P1784" s="2948"/>
      <c r="Q1784" s="2951">
        <v>0</v>
      </c>
      <c r="R1784" s="2948"/>
      <c r="S1784" s="2948"/>
      <c r="T1784" s="2948"/>
      <c r="U1784" s="2948"/>
      <c r="V1784" s="2948"/>
      <c r="W1784" s="2944">
        <f t="shared" si="12"/>
        <v>0</v>
      </c>
    </row>
    <row r="1785" spans="1:23" s="2944" customFormat="1" ht="93.6" hidden="1">
      <c r="A1785" s="2948">
        <v>1784</v>
      </c>
      <c r="B1785" s="2948" t="s">
        <v>635</v>
      </c>
      <c r="C1785" s="2948" t="s">
        <v>636</v>
      </c>
      <c r="D1785" s="2948" t="s">
        <v>2246</v>
      </c>
      <c r="E1785" s="2948" t="s">
        <v>1460</v>
      </c>
      <c r="F1785" s="2948" t="s">
        <v>2256</v>
      </c>
      <c r="G1785" s="2948" t="s">
        <v>1035</v>
      </c>
      <c r="H1785" s="2948" t="s">
        <v>1453</v>
      </c>
      <c r="I1785" s="2948" t="s">
        <v>2248</v>
      </c>
      <c r="J1785" s="2948" t="s">
        <v>643</v>
      </c>
      <c r="K1785" s="2950">
        <v>22.12</v>
      </c>
      <c r="L1785" s="2950">
        <v>11.01</v>
      </c>
      <c r="M1785" s="2951">
        <v>663600</v>
      </c>
      <c r="N1785" s="2951">
        <v>663600</v>
      </c>
      <c r="O1785" s="2955"/>
      <c r="P1785" s="2948"/>
      <c r="Q1785" s="2951">
        <v>0</v>
      </c>
      <c r="R1785" s="2948"/>
      <c r="S1785" s="2948"/>
      <c r="T1785" s="2948"/>
      <c r="U1785" s="2948"/>
      <c r="V1785" s="2948"/>
      <c r="W1785" s="2944">
        <f t="shared" si="12"/>
        <v>0</v>
      </c>
    </row>
    <row r="1786" spans="1:23" s="2944" customFormat="1" ht="93.6" hidden="1">
      <c r="A1786" s="2948">
        <v>1785</v>
      </c>
      <c r="B1786" s="2948" t="s">
        <v>635</v>
      </c>
      <c r="C1786" s="2948" t="s">
        <v>636</v>
      </c>
      <c r="D1786" s="2948" t="s">
        <v>2246</v>
      </c>
      <c r="E1786" s="2948" t="s">
        <v>1460</v>
      </c>
      <c r="F1786" s="2948" t="s">
        <v>648</v>
      </c>
      <c r="G1786" s="2948" t="s">
        <v>1035</v>
      </c>
      <c r="H1786" s="2948" t="s">
        <v>1453</v>
      </c>
      <c r="I1786" s="2948" t="s">
        <v>2248</v>
      </c>
      <c r="J1786" s="2948" t="s">
        <v>643</v>
      </c>
      <c r="K1786" s="2950">
        <v>57.61</v>
      </c>
      <c r="L1786" s="2950">
        <v>28.68</v>
      </c>
      <c r="M1786" s="2951">
        <v>1728300</v>
      </c>
      <c r="N1786" s="2951">
        <v>1728300</v>
      </c>
      <c r="O1786" s="2955"/>
      <c r="P1786" s="2948"/>
      <c r="Q1786" s="2951">
        <v>0</v>
      </c>
      <c r="R1786" s="2948"/>
      <c r="S1786" s="2948"/>
      <c r="T1786" s="2948"/>
      <c r="U1786" s="2948"/>
      <c r="V1786" s="2948"/>
      <c r="W1786" s="2944">
        <f t="shared" si="12"/>
        <v>0</v>
      </c>
    </row>
    <row r="1787" spans="1:23" s="2944" customFormat="1" ht="93.6" hidden="1">
      <c r="A1787" s="2948">
        <v>1786</v>
      </c>
      <c r="B1787" s="2948" t="s">
        <v>635</v>
      </c>
      <c r="C1787" s="2948" t="s">
        <v>636</v>
      </c>
      <c r="D1787" s="2948" t="s">
        <v>2246</v>
      </c>
      <c r="E1787" s="2948" t="s">
        <v>1460</v>
      </c>
      <c r="F1787" s="2948" t="s">
        <v>651</v>
      </c>
      <c r="G1787" s="2948" t="s">
        <v>1035</v>
      </c>
      <c r="H1787" s="2948" t="s">
        <v>1453</v>
      </c>
      <c r="I1787" s="2948" t="s">
        <v>2248</v>
      </c>
      <c r="J1787" s="2948" t="s">
        <v>643</v>
      </c>
      <c r="K1787" s="2950">
        <v>22.44</v>
      </c>
      <c r="L1787" s="2950">
        <v>11.17</v>
      </c>
      <c r="M1787" s="2951">
        <v>673200</v>
      </c>
      <c r="N1787" s="2951">
        <v>673200</v>
      </c>
      <c r="O1787" s="2955"/>
      <c r="P1787" s="2948"/>
      <c r="Q1787" s="2951">
        <v>0</v>
      </c>
      <c r="R1787" s="2948"/>
      <c r="S1787" s="2948"/>
      <c r="T1787" s="2948"/>
      <c r="U1787" s="2948"/>
      <c r="V1787" s="2948"/>
      <c r="W1787" s="2944">
        <f t="shared" si="12"/>
        <v>0</v>
      </c>
    </row>
    <row r="1788" spans="1:23" s="2944" customFormat="1" ht="93.6" hidden="1">
      <c r="A1788" s="2948">
        <v>1787</v>
      </c>
      <c r="B1788" s="2948" t="s">
        <v>635</v>
      </c>
      <c r="C1788" s="2948" t="s">
        <v>636</v>
      </c>
      <c r="D1788" s="2948" t="s">
        <v>2246</v>
      </c>
      <c r="E1788" s="2948" t="s">
        <v>1460</v>
      </c>
      <c r="F1788" s="2948" t="s">
        <v>2279</v>
      </c>
      <c r="G1788" s="2948" t="s">
        <v>1035</v>
      </c>
      <c r="H1788" s="2948" t="s">
        <v>1453</v>
      </c>
      <c r="I1788" s="2948" t="s">
        <v>2248</v>
      </c>
      <c r="J1788" s="2948" t="s">
        <v>643</v>
      </c>
      <c r="K1788" s="2950">
        <v>28.97</v>
      </c>
      <c r="L1788" s="2950">
        <v>14.42</v>
      </c>
      <c r="M1788" s="2951">
        <v>869100</v>
      </c>
      <c r="N1788" s="2951">
        <v>869100</v>
      </c>
      <c r="O1788" s="2955"/>
      <c r="P1788" s="2948"/>
      <c r="Q1788" s="2951">
        <v>0</v>
      </c>
      <c r="R1788" s="2948"/>
      <c r="S1788" s="2948"/>
      <c r="T1788" s="2948"/>
      <c r="U1788" s="2948"/>
      <c r="V1788" s="2948"/>
      <c r="W1788" s="2944">
        <f t="shared" si="12"/>
        <v>0</v>
      </c>
    </row>
    <row r="1789" spans="1:23" s="2944" customFormat="1" ht="93.6" hidden="1">
      <c r="A1789" s="2948">
        <v>1788</v>
      </c>
      <c r="B1789" s="2948" t="s">
        <v>635</v>
      </c>
      <c r="C1789" s="2948" t="s">
        <v>636</v>
      </c>
      <c r="D1789" s="2948" t="s">
        <v>2246</v>
      </c>
      <c r="E1789" s="2948" t="s">
        <v>1460</v>
      </c>
      <c r="F1789" s="2948" t="s">
        <v>2280</v>
      </c>
      <c r="G1789" s="2948" t="s">
        <v>1035</v>
      </c>
      <c r="H1789" s="2948" t="s">
        <v>1453</v>
      </c>
      <c r="I1789" s="2948" t="s">
        <v>2248</v>
      </c>
      <c r="J1789" s="2948" t="s">
        <v>643</v>
      </c>
      <c r="K1789" s="2950">
        <v>20.350000000000001</v>
      </c>
      <c r="L1789" s="2950">
        <v>10.130000000000001</v>
      </c>
      <c r="M1789" s="2951">
        <v>610500</v>
      </c>
      <c r="N1789" s="2951">
        <v>610500</v>
      </c>
      <c r="O1789" s="2955"/>
      <c r="P1789" s="2948"/>
      <c r="Q1789" s="2951">
        <v>0</v>
      </c>
      <c r="R1789" s="2948"/>
      <c r="S1789" s="2948"/>
      <c r="T1789" s="2948"/>
      <c r="U1789" s="2948"/>
      <c r="V1789" s="2948"/>
      <c r="W1789" s="2944">
        <f t="shared" si="12"/>
        <v>0</v>
      </c>
    </row>
    <row r="1790" spans="1:23" s="2944" customFormat="1" ht="93.6" hidden="1">
      <c r="A1790" s="2948">
        <v>1789</v>
      </c>
      <c r="B1790" s="2948" t="s">
        <v>635</v>
      </c>
      <c r="C1790" s="2948" t="s">
        <v>636</v>
      </c>
      <c r="D1790" s="2948" t="s">
        <v>2246</v>
      </c>
      <c r="E1790" s="2948" t="s">
        <v>1460</v>
      </c>
      <c r="F1790" s="2948" t="s">
        <v>2281</v>
      </c>
      <c r="G1790" s="2948" t="s">
        <v>1035</v>
      </c>
      <c r="H1790" s="2948" t="s">
        <v>1453</v>
      </c>
      <c r="I1790" s="2948" t="s">
        <v>2248</v>
      </c>
      <c r="J1790" s="2948" t="s">
        <v>643</v>
      </c>
      <c r="K1790" s="2950">
        <v>20.350000000000001</v>
      </c>
      <c r="L1790" s="2950">
        <v>10.130000000000001</v>
      </c>
      <c r="M1790" s="2951">
        <v>610500</v>
      </c>
      <c r="N1790" s="2951">
        <v>610500</v>
      </c>
      <c r="O1790" s="2955"/>
      <c r="P1790" s="2948"/>
      <c r="Q1790" s="2951">
        <v>0</v>
      </c>
      <c r="R1790" s="2948"/>
      <c r="S1790" s="2948"/>
      <c r="T1790" s="2948"/>
      <c r="U1790" s="2948"/>
      <c r="V1790" s="2948"/>
      <c r="W1790" s="2944">
        <f t="shared" si="12"/>
        <v>0</v>
      </c>
    </row>
    <row r="1791" spans="1:23" s="2944" customFormat="1" ht="93.6" hidden="1">
      <c r="A1791" s="2948">
        <v>1790</v>
      </c>
      <c r="B1791" s="2948" t="s">
        <v>635</v>
      </c>
      <c r="C1791" s="2948" t="s">
        <v>636</v>
      </c>
      <c r="D1791" s="2948" t="s">
        <v>2246</v>
      </c>
      <c r="E1791" s="2948" t="s">
        <v>1460</v>
      </c>
      <c r="F1791" s="2948" t="s">
        <v>2282</v>
      </c>
      <c r="G1791" s="2948" t="s">
        <v>1035</v>
      </c>
      <c r="H1791" s="2948" t="s">
        <v>1453</v>
      </c>
      <c r="I1791" s="2948" t="s">
        <v>2248</v>
      </c>
      <c r="J1791" s="2948" t="s">
        <v>643</v>
      </c>
      <c r="K1791" s="2950">
        <v>28.97</v>
      </c>
      <c r="L1791" s="2950">
        <v>14.42</v>
      </c>
      <c r="M1791" s="2951">
        <v>869100</v>
      </c>
      <c r="N1791" s="2951">
        <v>869100</v>
      </c>
      <c r="O1791" s="2955"/>
      <c r="P1791" s="2948"/>
      <c r="Q1791" s="2951">
        <v>0</v>
      </c>
      <c r="R1791" s="2948"/>
      <c r="S1791" s="2948"/>
      <c r="T1791" s="2948"/>
      <c r="U1791" s="2948"/>
      <c r="V1791" s="2948"/>
      <c r="W1791" s="2944">
        <f t="shared" si="12"/>
        <v>0</v>
      </c>
    </row>
    <row r="1792" spans="1:23" s="2944" customFormat="1" ht="93.6" hidden="1">
      <c r="A1792" s="2948">
        <v>1791</v>
      </c>
      <c r="B1792" s="2948" t="s">
        <v>635</v>
      </c>
      <c r="C1792" s="2948" t="s">
        <v>636</v>
      </c>
      <c r="D1792" s="2948" t="s">
        <v>2246</v>
      </c>
      <c r="E1792" s="2948" t="s">
        <v>1460</v>
      </c>
      <c r="F1792" s="2948" t="s">
        <v>2283</v>
      </c>
      <c r="G1792" s="2948" t="s">
        <v>1035</v>
      </c>
      <c r="H1792" s="2948" t="s">
        <v>1453</v>
      </c>
      <c r="I1792" s="2948" t="s">
        <v>2248</v>
      </c>
      <c r="J1792" s="2948" t="s">
        <v>643</v>
      </c>
      <c r="K1792" s="2950">
        <v>24.21</v>
      </c>
      <c r="L1792" s="2950">
        <v>12.05</v>
      </c>
      <c r="M1792" s="2951">
        <v>726300</v>
      </c>
      <c r="N1792" s="2951">
        <v>726300</v>
      </c>
      <c r="O1792" s="2955"/>
      <c r="P1792" s="2948"/>
      <c r="Q1792" s="2951">
        <v>0</v>
      </c>
      <c r="R1792" s="2948"/>
      <c r="S1792" s="2948"/>
      <c r="T1792" s="2948"/>
      <c r="U1792" s="2948"/>
      <c r="V1792" s="2948"/>
      <c r="W1792" s="2944">
        <f t="shared" si="12"/>
        <v>0</v>
      </c>
    </row>
    <row r="1793" spans="1:23" s="2944" customFormat="1" ht="93.6" hidden="1">
      <c r="A1793" s="2948">
        <v>1792</v>
      </c>
      <c r="B1793" s="2948" t="s">
        <v>635</v>
      </c>
      <c r="C1793" s="2948" t="s">
        <v>636</v>
      </c>
      <c r="D1793" s="2948" t="s">
        <v>2246</v>
      </c>
      <c r="E1793" s="2948" t="s">
        <v>1460</v>
      </c>
      <c r="F1793" s="2948" t="s">
        <v>2284</v>
      </c>
      <c r="G1793" s="2948" t="s">
        <v>1035</v>
      </c>
      <c r="H1793" s="2948" t="s">
        <v>1453</v>
      </c>
      <c r="I1793" s="2948" t="s">
        <v>2248</v>
      </c>
      <c r="J1793" s="2948" t="s">
        <v>643</v>
      </c>
      <c r="K1793" s="2950">
        <v>24.21</v>
      </c>
      <c r="L1793" s="2950">
        <v>12.05</v>
      </c>
      <c r="M1793" s="2951">
        <v>726300</v>
      </c>
      <c r="N1793" s="2951">
        <v>726300</v>
      </c>
      <c r="O1793" s="2955"/>
      <c r="P1793" s="2948"/>
      <c r="Q1793" s="2951">
        <v>0</v>
      </c>
      <c r="R1793" s="2948"/>
      <c r="S1793" s="2948"/>
      <c r="T1793" s="2948"/>
      <c r="U1793" s="2948"/>
      <c r="V1793" s="2948"/>
      <c r="W1793" s="2944">
        <f t="shared" si="12"/>
        <v>0</v>
      </c>
    </row>
    <row r="1794" spans="1:23" s="2944" customFormat="1" ht="93.6">
      <c r="A1794" s="2948">
        <v>1793</v>
      </c>
      <c r="B1794" s="2948" t="s">
        <v>635</v>
      </c>
      <c r="C1794" s="2948" t="s">
        <v>636</v>
      </c>
      <c r="D1794" s="2948" t="s">
        <v>2246</v>
      </c>
      <c r="E1794" s="2948" t="s">
        <v>1460</v>
      </c>
      <c r="F1794" s="2948" t="s">
        <v>2261</v>
      </c>
      <c r="G1794" s="2948" t="s">
        <v>640</v>
      </c>
      <c r="H1794" s="2948" t="s">
        <v>1453</v>
      </c>
      <c r="I1794" s="2948" t="s">
        <v>2248</v>
      </c>
      <c r="J1794" s="2948" t="s">
        <v>643</v>
      </c>
      <c r="K1794" s="2950">
        <v>14.7</v>
      </c>
      <c r="L1794" s="2950">
        <v>7.32</v>
      </c>
      <c r="M1794" s="2951">
        <v>441000</v>
      </c>
      <c r="N1794" s="2951">
        <v>441000</v>
      </c>
      <c r="O1794" s="2952">
        <v>441000</v>
      </c>
      <c r="P1794" s="2953">
        <v>441000</v>
      </c>
      <c r="Q1794" s="2951">
        <v>441000</v>
      </c>
      <c r="R1794" s="2954">
        <v>45075</v>
      </c>
      <c r="S1794" s="2954">
        <v>45075</v>
      </c>
      <c r="T1794" s="2954">
        <v>45075</v>
      </c>
      <c r="U1794" s="2954">
        <v>45075</v>
      </c>
      <c r="V1794" s="2948" t="s">
        <v>688</v>
      </c>
      <c r="W1794" s="2944">
        <f t="shared" si="12"/>
        <v>30000</v>
      </c>
    </row>
    <row r="1795" spans="1:23" s="2944" customFormat="1" ht="93.6">
      <c r="A1795" s="2948">
        <v>1794</v>
      </c>
      <c r="B1795" s="2948" t="s">
        <v>635</v>
      </c>
      <c r="C1795" s="2948" t="s">
        <v>636</v>
      </c>
      <c r="D1795" s="2948" t="s">
        <v>2246</v>
      </c>
      <c r="E1795" s="2948" t="s">
        <v>1460</v>
      </c>
      <c r="F1795" s="2948" t="s">
        <v>2258</v>
      </c>
      <c r="G1795" s="2948" t="s">
        <v>640</v>
      </c>
      <c r="H1795" s="2948" t="s">
        <v>1453</v>
      </c>
      <c r="I1795" s="2948" t="s">
        <v>2248</v>
      </c>
      <c r="J1795" s="2948" t="s">
        <v>643</v>
      </c>
      <c r="K1795" s="2950">
        <v>15.55</v>
      </c>
      <c r="L1795" s="2950">
        <v>7.74</v>
      </c>
      <c r="M1795" s="2951">
        <v>466500</v>
      </c>
      <c r="N1795" s="2951">
        <v>466500</v>
      </c>
      <c r="O1795" s="2952">
        <v>466500</v>
      </c>
      <c r="P1795" s="2953">
        <v>466500</v>
      </c>
      <c r="Q1795" s="2951">
        <v>466500</v>
      </c>
      <c r="R1795" s="2954">
        <v>45075</v>
      </c>
      <c r="S1795" s="2954">
        <v>45075</v>
      </c>
      <c r="T1795" s="2954">
        <v>45082</v>
      </c>
      <c r="U1795" s="2954">
        <v>45082</v>
      </c>
      <c r="V1795" s="2948" t="s">
        <v>704</v>
      </c>
      <c r="W1795" s="2944">
        <f t="shared" si="12"/>
        <v>30000</v>
      </c>
    </row>
    <row r="1796" spans="1:23" s="2944" customFormat="1" ht="93.6" hidden="1">
      <c r="A1796" s="2948">
        <v>1795</v>
      </c>
      <c r="B1796" s="2948" t="s">
        <v>635</v>
      </c>
      <c r="C1796" s="2948" t="s">
        <v>636</v>
      </c>
      <c r="D1796" s="2948" t="s">
        <v>2246</v>
      </c>
      <c r="E1796" s="2948" t="s">
        <v>1460</v>
      </c>
      <c r="F1796" s="2948" t="s">
        <v>2259</v>
      </c>
      <c r="G1796" s="2948" t="s">
        <v>1035</v>
      </c>
      <c r="H1796" s="2948" t="s">
        <v>1453</v>
      </c>
      <c r="I1796" s="2948" t="s">
        <v>2248</v>
      </c>
      <c r="J1796" s="2948" t="s">
        <v>643</v>
      </c>
      <c r="K1796" s="2950">
        <v>20.010000000000002</v>
      </c>
      <c r="L1796" s="2950">
        <v>9.9600000000000009</v>
      </c>
      <c r="M1796" s="2951">
        <v>600300</v>
      </c>
      <c r="N1796" s="2951">
        <v>600300</v>
      </c>
      <c r="O1796" s="2955"/>
      <c r="P1796" s="2948"/>
      <c r="Q1796" s="2951">
        <v>0</v>
      </c>
      <c r="R1796" s="2948"/>
      <c r="S1796" s="2948"/>
      <c r="T1796" s="2948"/>
      <c r="U1796" s="2948"/>
      <c r="V1796" s="2948"/>
      <c r="W1796" s="2944">
        <f t="shared" si="12"/>
        <v>0</v>
      </c>
    </row>
    <row r="1797" spans="1:23" s="2944" customFormat="1" ht="93.6" hidden="1">
      <c r="A1797" s="2948">
        <v>1796</v>
      </c>
      <c r="B1797" s="2948" t="s">
        <v>635</v>
      </c>
      <c r="C1797" s="2948" t="s">
        <v>636</v>
      </c>
      <c r="D1797" s="2948" t="s">
        <v>2246</v>
      </c>
      <c r="E1797" s="2948" t="s">
        <v>1460</v>
      </c>
      <c r="F1797" s="2948" t="s">
        <v>2257</v>
      </c>
      <c r="G1797" s="2948" t="s">
        <v>1035</v>
      </c>
      <c r="H1797" s="2948" t="s">
        <v>1453</v>
      </c>
      <c r="I1797" s="2948" t="s">
        <v>2248</v>
      </c>
      <c r="J1797" s="2948" t="s">
        <v>643</v>
      </c>
      <c r="K1797" s="2950">
        <v>22.12</v>
      </c>
      <c r="L1797" s="2950">
        <v>11.01</v>
      </c>
      <c r="M1797" s="2951">
        <v>663600</v>
      </c>
      <c r="N1797" s="2951">
        <v>663600</v>
      </c>
      <c r="O1797" s="2955"/>
      <c r="P1797" s="2948"/>
      <c r="Q1797" s="2951">
        <v>0</v>
      </c>
      <c r="R1797" s="2948"/>
      <c r="S1797" s="2948"/>
      <c r="T1797" s="2948"/>
      <c r="U1797" s="2948"/>
      <c r="V1797" s="2948"/>
      <c r="W1797" s="2944">
        <f t="shared" si="12"/>
        <v>0</v>
      </c>
    </row>
    <row r="1798" spans="1:23" s="2944" customFormat="1" ht="93.6" hidden="1">
      <c r="A1798" s="2948">
        <v>1797</v>
      </c>
      <c r="B1798" s="2948" t="s">
        <v>635</v>
      </c>
      <c r="C1798" s="2948" t="s">
        <v>636</v>
      </c>
      <c r="D1798" s="2948" t="s">
        <v>2246</v>
      </c>
      <c r="E1798" s="2948" t="s">
        <v>1460</v>
      </c>
      <c r="F1798" s="2948" t="s">
        <v>653</v>
      </c>
      <c r="G1798" s="2948" t="s">
        <v>1035</v>
      </c>
      <c r="H1798" s="2948" t="s">
        <v>1453</v>
      </c>
      <c r="I1798" s="2948" t="s">
        <v>2248</v>
      </c>
      <c r="J1798" s="2948" t="s">
        <v>643</v>
      </c>
      <c r="K1798" s="2950">
        <v>57.61</v>
      </c>
      <c r="L1798" s="2950">
        <v>28.68</v>
      </c>
      <c r="M1798" s="2951">
        <v>1728300</v>
      </c>
      <c r="N1798" s="2951">
        <v>1728300</v>
      </c>
      <c r="O1798" s="2955"/>
      <c r="P1798" s="2948"/>
      <c r="Q1798" s="2951">
        <v>0</v>
      </c>
      <c r="R1798" s="2948"/>
      <c r="S1798" s="2948"/>
      <c r="T1798" s="2948"/>
      <c r="U1798" s="2948"/>
      <c r="V1798" s="2948"/>
      <c r="W1798" s="2944">
        <f t="shared" si="12"/>
        <v>0</v>
      </c>
    </row>
    <row r="1799" spans="1:23" s="2944" customFormat="1" ht="93.6" hidden="1">
      <c r="A1799" s="2948">
        <v>1798</v>
      </c>
      <c r="B1799" s="2948" t="s">
        <v>635</v>
      </c>
      <c r="C1799" s="2948" t="s">
        <v>636</v>
      </c>
      <c r="D1799" s="2948" t="s">
        <v>2246</v>
      </c>
      <c r="E1799" s="2948" t="s">
        <v>1460</v>
      </c>
      <c r="F1799" s="2948" t="s">
        <v>655</v>
      </c>
      <c r="G1799" s="2948" t="s">
        <v>1035</v>
      </c>
      <c r="H1799" s="2948" t="s">
        <v>1453</v>
      </c>
      <c r="I1799" s="2948" t="s">
        <v>2248</v>
      </c>
      <c r="J1799" s="2948" t="s">
        <v>643</v>
      </c>
      <c r="K1799" s="2950">
        <v>23.7</v>
      </c>
      <c r="L1799" s="2950">
        <v>11.8</v>
      </c>
      <c r="M1799" s="2951">
        <v>711000</v>
      </c>
      <c r="N1799" s="2951">
        <v>711000</v>
      </c>
      <c r="O1799" s="2955"/>
      <c r="P1799" s="2948"/>
      <c r="Q1799" s="2951">
        <v>0</v>
      </c>
      <c r="R1799" s="2948"/>
      <c r="S1799" s="2948"/>
      <c r="T1799" s="2948"/>
      <c r="U1799" s="2948"/>
      <c r="V1799" s="2948"/>
      <c r="W1799" s="2944">
        <f t="shared" si="12"/>
        <v>0</v>
      </c>
    </row>
    <row r="1800" spans="1:23" s="2944" customFormat="1" ht="93.6" hidden="1">
      <c r="A1800" s="2948">
        <v>1799</v>
      </c>
      <c r="B1800" s="2948" t="s">
        <v>635</v>
      </c>
      <c r="C1800" s="2948" t="s">
        <v>636</v>
      </c>
      <c r="D1800" s="2948" t="s">
        <v>2246</v>
      </c>
      <c r="E1800" s="2948" t="s">
        <v>1461</v>
      </c>
      <c r="F1800" s="2948" t="s">
        <v>2250</v>
      </c>
      <c r="G1800" s="2948" t="s">
        <v>1035</v>
      </c>
      <c r="H1800" s="2948" t="s">
        <v>1453</v>
      </c>
      <c r="I1800" s="2948" t="s">
        <v>2248</v>
      </c>
      <c r="J1800" s="2948" t="s">
        <v>643</v>
      </c>
      <c r="K1800" s="2950">
        <v>27.21</v>
      </c>
      <c r="L1800" s="2950">
        <v>10.85</v>
      </c>
      <c r="M1800" s="2951">
        <v>816300</v>
      </c>
      <c r="N1800" s="2951">
        <v>816300</v>
      </c>
      <c r="O1800" s="2955"/>
      <c r="P1800" s="2948"/>
      <c r="Q1800" s="2951">
        <v>0</v>
      </c>
      <c r="R1800" s="2948"/>
      <c r="S1800" s="2948"/>
      <c r="T1800" s="2948"/>
      <c r="U1800" s="2948"/>
      <c r="V1800" s="2948"/>
      <c r="W1800" s="2944">
        <f t="shared" si="12"/>
        <v>0</v>
      </c>
    </row>
    <row r="1801" spans="1:23" s="2944" customFormat="1" ht="93.6" hidden="1">
      <c r="A1801" s="2948">
        <v>1800</v>
      </c>
      <c r="B1801" s="2948" t="s">
        <v>635</v>
      </c>
      <c r="C1801" s="2948" t="s">
        <v>636</v>
      </c>
      <c r="D1801" s="2948" t="s">
        <v>2246</v>
      </c>
      <c r="E1801" s="2948" t="s">
        <v>1461</v>
      </c>
      <c r="F1801" s="2948" t="s">
        <v>1457</v>
      </c>
      <c r="G1801" s="2948" t="s">
        <v>1035</v>
      </c>
      <c r="H1801" s="2948" t="s">
        <v>1453</v>
      </c>
      <c r="I1801" s="2948" t="s">
        <v>2248</v>
      </c>
      <c r="J1801" s="2948" t="s">
        <v>643</v>
      </c>
      <c r="K1801" s="2950">
        <v>26.08</v>
      </c>
      <c r="L1801" s="2950">
        <v>10.4</v>
      </c>
      <c r="M1801" s="2951">
        <v>782400</v>
      </c>
      <c r="N1801" s="2951">
        <v>782400</v>
      </c>
      <c r="O1801" s="2955"/>
      <c r="P1801" s="2948"/>
      <c r="Q1801" s="2951">
        <v>0</v>
      </c>
      <c r="R1801" s="2948"/>
      <c r="S1801" s="2948"/>
      <c r="T1801" s="2948"/>
      <c r="U1801" s="2948"/>
      <c r="V1801" s="2948"/>
      <c r="W1801" s="2944">
        <f t="shared" si="12"/>
        <v>0</v>
      </c>
    </row>
    <row r="1802" spans="1:23" s="2944" customFormat="1" ht="93.6">
      <c r="A1802" s="2948">
        <v>1801</v>
      </c>
      <c r="B1802" s="2948" t="s">
        <v>635</v>
      </c>
      <c r="C1802" s="2948" t="s">
        <v>636</v>
      </c>
      <c r="D1802" s="2948" t="s">
        <v>2246</v>
      </c>
      <c r="E1802" s="2948" t="s">
        <v>1461</v>
      </c>
      <c r="F1802" s="2948" t="s">
        <v>1458</v>
      </c>
      <c r="G1802" s="2948" t="s">
        <v>640</v>
      </c>
      <c r="H1802" s="2948" t="s">
        <v>1453</v>
      </c>
      <c r="I1802" s="2948" t="s">
        <v>2248</v>
      </c>
      <c r="J1802" s="2948" t="s">
        <v>643</v>
      </c>
      <c r="K1802" s="2950">
        <v>28.04</v>
      </c>
      <c r="L1802" s="2950">
        <v>11.18</v>
      </c>
      <c r="M1802" s="2951">
        <v>841200</v>
      </c>
      <c r="N1802" s="2951">
        <v>841200</v>
      </c>
      <c r="O1802" s="2952">
        <v>841200</v>
      </c>
      <c r="P1802" s="2953">
        <v>841200</v>
      </c>
      <c r="Q1802" s="2951">
        <v>841200</v>
      </c>
      <c r="R1802" s="2954">
        <v>45077</v>
      </c>
      <c r="S1802" s="2954">
        <v>45077</v>
      </c>
      <c r="T1802" s="2954">
        <v>45105</v>
      </c>
      <c r="U1802" s="2954">
        <v>45105</v>
      </c>
      <c r="V1802" s="2948" t="s">
        <v>913</v>
      </c>
      <c r="W1802" s="2944">
        <f t="shared" si="12"/>
        <v>30000</v>
      </c>
    </row>
    <row r="1803" spans="1:23" s="2944" customFormat="1" ht="93.6" hidden="1">
      <c r="A1803" s="2948">
        <v>1802</v>
      </c>
      <c r="B1803" s="2948" t="s">
        <v>635</v>
      </c>
      <c r="C1803" s="2948" t="s">
        <v>636</v>
      </c>
      <c r="D1803" s="2948" t="s">
        <v>2246</v>
      </c>
      <c r="E1803" s="2948" t="s">
        <v>1461</v>
      </c>
      <c r="F1803" s="2948" t="s">
        <v>645</v>
      </c>
      <c r="G1803" s="2948" t="s">
        <v>1035</v>
      </c>
      <c r="H1803" s="2948" t="s">
        <v>1453</v>
      </c>
      <c r="I1803" s="2948" t="s">
        <v>2248</v>
      </c>
      <c r="J1803" s="2948" t="s">
        <v>643</v>
      </c>
      <c r="K1803" s="2950">
        <v>21.77</v>
      </c>
      <c r="L1803" s="2950">
        <v>8.68</v>
      </c>
      <c r="M1803" s="2951">
        <v>653100</v>
      </c>
      <c r="N1803" s="2951">
        <v>653100</v>
      </c>
      <c r="O1803" s="2955"/>
      <c r="P1803" s="2948"/>
      <c r="Q1803" s="2951">
        <v>0</v>
      </c>
      <c r="R1803" s="2948"/>
      <c r="S1803" s="2948"/>
      <c r="T1803" s="2948"/>
      <c r="U1803" s="2948"/>
      <c r="V1803" s="2948"/>
      <c r="W1803" s="2944">
        <f t="shared" si="12"/>
        <v>0</v>
      </c>
    </row>
    <row r="1804" spans="1:23" s="2944" customFormat="1" ht="93.6" hidden="1">
      <c r="A1804" s="2948">
        <v>1803</v>
      </c>
      <c r="B1804" s="2948" t="s">
        <v>635</v>
      </c>
      <c r="C1804" s="2948" t="s">
        <v>636</v>
      </c>
      <c r="D1804" s="2948" t="s">
        <v>2246</v>
      </c>
      <c r="E1804" s="2948" t="s">
        <v>1461</v>
      </c>
      <c r="F1804" s="2948" t="s">
        <v>2252</v>
      </c>
      <c r="G1804" s="2948" t="s">
        <v>1035</v>
      </c>
      <c r="H1804" s="2948" t="s">
        <v>1453</v>
      </c>
      <c r="I1804" s="2948" t="s">
        <v>2248</v>
      </c>
      <c r="J1804" s="2948" t="s">
        <v>643</v>
      </c>
      <c r="K1804" s="2950">
        <v>13.99</v>
      </c>
      <c r="L1804" s="2950">
        <v>5.58</v>
      </c>
      <c r="M1804" s="2951">
        <v>419700</v>
      </c>
      <c r="N1804" s="2951">
        <v>419700</v>
      </c>
      <c r="O1804" s="2955"/>
      <c r="P1804" s="2948"/>
      <c r="Q1804" s="2951">
        <v>0</v>
      </c>
      <c r="R1804" s="2948"/>
      <c r="S1804" s="2948"/>
      <c r="T1804" s="2948"/>
      <c r="U1804" s="2948"/>
      <c r="V1804" s="2948"/>
      <c r="W1804" s="2944">
        <f t="shared" si="12"/>
        <v>0</v>
      </c>
    </row>
    <row r="1805" spans="1:23" s="2944" customFormat="1" ht="93.6" hidden="1">
      <c r="A1805" s="2948">
        <v>1804</v>
      </c>
      <c r="B1805" s="2948" t="s">
        <v>635</v>
      </c>
      <c r="C1805" s="2948" t="s">
        <v>636</v>
      </c>
      <c r="D1805" s="2948" t="s">
        <v>2246</v>
      </c>
      <c r="E1805" s="2948" t="s">
        <v>1461</v>
      </c>
      <c r="F1805" s="2948" t="s">
        <v>2253</v>
      </c>
      <c r="G1805" s="2948" t="s">
        <v>1035</v>
      </c>
      <c r="H1805" s="2948" t="s">
        <v>1453</v>
      </c>
      <c r="I1805" s="2948" t="s">
        <v>2248</v>
      </c>
      <c r="J1805" s="2948" t="s">
        <v>643</v>
      </c>
      <c r="K1805" s="2950">
        <v>55.39</v>
      </c>
      <c r="L1805" s="2950">
        <v>22.09</v>
      </c>
      <c r="M1805" s="2951">
        <v>1661700</v>
      </c>
      <c r="N1805" s="2951">
        <v>1661700</v>
      </c>
      <c r="O1805" s="2955"/>
      <c r="P1805" s="2948"/>
      <c r="Q1805" s="2951">
        <v>0</v>
      </c>
      <c r="R1805" s="2948"/>
      <c r="S1805" s="2948"/>
      <c r="T1805" s="2948"/>
      <c r="U1805" s="2948"/>
      <c r="V1805" s="2948"/>
      <c r="W1805" s="2944">
        <f t="shared" si="12"/>
        <v>0</v>
      </c>
    </row>
    <row r="1806" spans="1:23" s="2944" customFormat="1" ht="93.6" hidden="1">
      <c r="A1806" s="2948">
        <v>1805</v>
      </c>
      <c r="B1806" s="2948" t="s">
        <v>635</v>
      </c>
      <c r="C1806" s="2948" t="s">
        <v>636</v>
      </c>
      <c r="D1806" s="2948" t="s">
        <v>2246</v>
      </c>
      <c r="E1806" s="2948" t="s">
        <v>1461</v>
      </c>
      <c r="F1806" s="2948" t="s">
        <v>2254</v>
      </c>
      <c r="G1806" s="2948" t="s">
        <v>1035</v>
      </c>
      <c r="H1806" s="2948" t="s">
        <v>1453</v>
      </c>
      <c r="I1806" s="2948" t="s">
        <v>2248</v>
      </c>
      <c r="J1806" s="2948" t="s">
        <v>643</v>
      </c>
      <c r="K1806" s="2950">
        <v>30.02</v>
      </c>
      <c r="L1806" s="2950">
        <v>11.97</v>
      </c>
      <c r="M1806" s="2951">
        <v>900600</v>
      </c>
      <c r="N1806" s="2951">
        <v>900600</v>
      </c>
      <c r="O1806" s="2955"/>
      <c r="P1806" s="2948"/>
      <c r="Q1806" s="2951">
        <v>0</v>
      </c>
      <c r="R1806" s="2948"/>
      <c r="S1806" s="2948"/>
      <c r="T1806" s="2948"/>
      <c r="U1806" s="2948"/>
      <c r="V1806" s="2948"/>
      <c r="W1806" s="2944">
        <f t="shared" si="12"/>
        <v>0</v>
      </c>
    </row>
    <row r="1807" spans="1:23" s="2944" customFormat="1" ht="93.6">
      <c r="A1807" s="2948">
        <v>1806</v>
      </c>
      <c r="B1807" s="2948" t="s">
        <v>635</v>
      </c>
      <c r="C1807" s="2948" t="s">
        <v>636</v>
      </c>
      <c r="D1807" s="2948" t="s">
        <v>2246</v>
      </c>
      <c r="E1807" s="2948" t="s">
        <v>1461</v>
      </c>
      <c r="F1807" s="2948" t="s">
        <v>2255</v>
      </c>
      <c r="G1807" s="2948" t="s">
        <v>640</v>
      </c>
      <c r="H1807" s="2948" t="s">
        <v>1453</v>
      </c>
      <c r="I1807" s="2948" t="s">
        <v>2248</v>
      </c>
      <c r="J1807" s="2948" t="s">
        <v>643</v>
      </c>
      <c r="K1807" s="2950">
        <v>23.1</v>
      </c>
      <c r="L1807" s="2950">
        <v>9.2100000000000009</v>
      </c>
      <c r="M1807" s="2951">
        <v>693000</v>
      </c>
      <c r="N1807" s="2951">
        <v>693000</v>
      </c>
      <c r="O1807" s="2952">
        <v>693000</v>
      </c>
      <c r="P1807" s="2953">
        <v>693000</v>
      </c>
      <c r="Q1807" s="2951">
        <v>693000</v>
      </c>
      <c r="R1807" s="2954">
        <v>45076</v>
      </c>
      <c r="S1807" s="2954">
        <v>45077</v>
      </c>
      <c r="T1807" s="2954">
        <v>45206</v>
      </c>
      <c r="U1807" s="2954">
        <v>45206</v>
      </c>
      <c r="V1807" s="2948" t="s">
        <v>905</v>
      </c>
      <c r="W1807" s="2944">
        <f t="shared" si="12"/>
        <v>30000</v>
      </c>
    </row>
    <row r="1808" spans="1:23" s="2944" customFormat="1" ht="93.6" hidden="1">
      <c r="A1808" s="2948">
        <v>1807</v>
      </c>
      <c r="B1808" s="2948" t="s">
        <v>635</v>
      </c>
      <c r="C1808" s="2948" t="s">
        <v>636</v>
      </c>
      <c r="D1808" s="2948" t="s">
        <v>2246</v>
      </c>
      <c r="E1808" s="2948" t="s">
        <v>1461</v>
      </c>
      <c r="F1808" s="2948" t="s">
        <v>2256</v>
      </c>
      <c r="G1808" s="2948" t="s">
        <v>1035</v>
      </c>
      <c r="H1808" s="2948" t="s">
        <v>1453</v>
      </c>
      <c r="I1808" s="2948" t="s">
        <v>2248</v>
      </c>
      <c r="J1808" s="2948" t="s">
        <v>643</v>
      </c>
      <c r="K1808" s="2950">
        <v>22.89</v>
      </c>
      <c r="L1808" s="2950">
        <v>9.1300000000000008</v>
      </c>
      <c r="M1808" s="2951">
        <v>686700</v>
      </c>
      <c r="N1808" s="2951">
        <v>686700</v>
      </c>
      <c r="O1808" s="2955"/>
      <c r="P1808" s="2948"/>
      <c r="Q1808" s="2951">
        <v>0</v>
      </c>
      <c r="R1808" s="2948"/>
      <c r="S1808" s="2948"/>
      <c r="T1808" s="2948"/>
      <c r="U1808" s="2948"/>
      <c r="V1808" s="2948"/>
      <c r="W1808" s="2944">
        <f t="shared" si="12"/>
        <v>0</v>
      </c>
    </row>
    <row r="1809" spans="1:23" s="2944" customFormat="1" ht="93.6">
      <c r="A1809" s="2948">
        <v>1808</v>
      </c>
      <c r="B1809" s="2948" t="s">
        <v>635</v>
      </c>
      <c r="C1809" s="2948" t="s">
        <v>636</v>
      </c>
      <c r="D1809" s="2948" t="s">
        <v>2246</v>
      </c>
      <c r="E1809" s="2948" t="s">
        <v>1461</v>
      </c>
      <c r="F1809" s="2948" t="s">
        <v>648</v>
      </c>
      <c r="G1809" s="2948" t="s">
        <v>640</v>
      </c>
      <c r="H1809" s="2948" t="s">
        <v>1453</v>
      </c>
      <c r="I1809" s="2948" t="s">
        <v>2248</v>
      </c>
      <c r="J1809" s="2948" t="s">
        <v>643</v>
      </c>
      <c r="K1809" s="2956">
        <v>35.08</v>
      </c>
      <c r="L1809" s="2950">
        <v>13.99</v>
      </c>
      <c r="M1809" s="2951">
        <v>1052400</v>
      </c>
      <c r="N1809" s="2951">
        <v>1052400</v>
      </c>
      <c r="O1809" s="2952">
        <v>999780</v>
      </c>
      <c r="P1809" s="2953">
        <v>999780</v>
      </c>
      <c r="Q1809" s="2951">
        <v>999780</v>
      </c>
      <c r="R1809" s="2954">
        <v>44555</v>
      </c>
      <c r="S1809" s="2954">
        <v>44561</v>
      </c>
      <c r="T1809" s="2954">
        <v>44571</v>
      </c>
      <c r="U1809" s="2954">
        <v>44571</v>
      </c>
      <c r="V1809" s="2948" t="s">
        <v>899</v>
      </c>
      <c r="W1809" s="2944">
        <f t="shared" si="12"/>
        <v>28500</v>
      </c>
    </row>
    <row r="1810" spans="1:23" s="2944" customFormat="1" ht="93.6" hidden="1">
      <c r="A1810" s="2948">
        <v>1809</v>
      </c>
      <c r="B1810" s="2948" t="s">
        <v>635</v>
      </c>
      <c r="C1810" s="2948" t="s">
        <v>636</v>
      </c>
      <c r="D1810" s="2948" t="s">
        <v>2246</v>
      </c>
      <c r="E1810" s="2948" t="s">
        <v>1461</v>
      </c>
      <c r="F1810" s="2948" t="s">
        <v>651</v>
      </c>
      <c r="G1810" s="2948" t="s">
        <v>1035</v>
      </c>
      <c r="H1810" s="2948" t="s">
        <v>1453</v>
      </c>
      <c r="I1810" s="2948" t="s">
        <v>2248</v>
      </c>
      <c r="J1810" s="2948" t="s">
        <v>643</v>
      </c>
      <c r="K1810" s="2950">
        <v>11.28</v>
      </c>
      <c r="L1810" s="2950">
        <v>4.5</v>
      </c>
      <c r="M1810" s="2951">
        <v>338400</v>
      </c>
      <c r="N1810" s="2951">
        <v>338400</v>
      </c>
      <c r="O1810" s="2955"/>
      <c r="P1810" s="2948"/>
      <c r="Q1810" s="2951">
        <v>0</v>
      </c>
      <c r="R1810" s="2948"/>
      <c r="S1810" s="2948"/>
      <c r="T1810" s="2948"/>
      <c r="U1810" s="2948"/>
      <c r="V1810" s="2948"/>
      <c r="W1810" s="2944">
        <f t="shared" si="12"/>
        <v>0</v>
      </c>
    </row>
    <row r="1811" spans="1:23" s="2944" customFormat="1" ht="93.6" hidden="1">
      <c r="A1811" s="2948">
        <v>1810</v>
      </c>
      <c r="B1811" s="2948" t="s">
        <v>635</v>
      </c>
      <c r="C1811" s="2948" t="s">
        <v>636</v>
      </c>
      <c r="D1811" s="2948" t="s">
        <v>2246</v>
      </c>
      <c r="E1811" s="2948" t="s">
        <v>1461</v>
      </c>
      <c r="F1811" s="2948" t="s">
        <v>2284</v>
      </c>
      <c r="G1811" s="2948" t="s">
        <v>1035</v>
      </c>
      <c r="H1811" s="2948" t="s">
        <v>1453</v>
      </c>
      <c r="I1811" s="2948" t="s">
        <v>2248</v>
      </c>
      <c r="J1811" s="2948" t="s">
        <v>643</v>
      </c>
      <c r="K1811" s="2950">
        <v>27.31</v>
      </c>
      <c r="L1811" s="2950">
        <v>10.89</v>
      </c>
      <c r="M1811" s="2951">
        <v>819300</v>
      </c>
      <c r="N1811" s="2951">
        <v>819300</v>
      </c>
      <c r="O1811" s="2955"/>
      <c r="P1811" s="2948"/>
      <c r="Q1811" s="2951">
        <v>0</v>
      </c>
      <c r="R1811" s="2948"/>
      <c r="S1811" s="2948"/>
      <c r="T1811" s="2948"/>
      <c r="U1811" s="2948"/>
      <c r="V1811" s="2948"/>
      <c r="W1811" s="2944">
        <f t="shared" si="12"/>
        <v>0</v>
      </c>
    </row>
    <row r="1812" spans="1:23" s="2944" customFormat="1" ht="93.6" hidden="1">
      <c r="A1812" s="2948">
        <v>1811</v>
      </c>
      <c r="B1812" s="2948" t="s">
        <v>635</v>
      </c>
      <c r="C1812" s="2948" t="s">
        <v>636</v>
      </c>
      <c r="D1812" s="2948" t="s">
        <v>2246</v>
      </c>
      <c r="E1812" s="2948" t="s">
        <v>1461</v>
      </c>
      <c r="F1812" s="2948" t="s">
        <v>2261</v>
      </c>
      <c r="G1812" s="2948" t="s">
        <v>1035</v>
      </c>
      <c r="H1812" s="2948" t="s">
        <v>1453</v>
      </c>
      <c r="I1812" s="2948" t="s">
        <v>2248</v>
      </c>
      <c r="J1812" s="2948" t="s">
        <v>643</v>
      </c>
      <c r="K1812" s="2950">
        <v>29.39</v>
      </c>
      <c r="L1812" s="2950">
        <v>11.72</v>
      </c>
      <c r="M1812" s="2951">
        <v>881700</v>
      </c>
      <c r="N1812" s="2951">
        <v>881700</v>
      </c>
      <c r="O1812" s="2955"/>
      <c r="P1812" s="2948"/>
      <c r="Q1812" s="2951">
        <v>0</v>
      </c>
      <c r="R1812" s="2948"/>
      <c r="S1812" s="2948"/>
      <c r="T1812" s="2948"/>
      <c r="U1812" s="2948"/>
      <c r="V1812" s="2948"/>
      <c r="W1812" s="2944">
        <f t="shared" si="12"/>
        <v>0</v>
      </c>
    </row>
    <row r="1813" spans="1:23" s="2944" customFormat="1" ht="93.6" hidden="1">
      <c r="A1813" s="2948">
        <v>1812</v>
      </c>
      <c r="B1813" s="2948" t="s">
        <v>635</v>
      </c>
      <c r="C1813" s="2948" t="s">
        <v>636</v>
      </c>
      <c r="D1813" s="2948" t="s">
        <v>2246</v>
      </c>
      <c r="E1813" s="2948" t="s">
        <v>1461</v>
      </c>
      <c r="F1813" s="2948" t="s">
        <v>2258</v>
      </c>
      <c r="G1813" s="2948" t="s">
        <v>1035</v>
      </c>
      <c r="H1813" s="2948" t="s">
        <v>1453</v>
      </c>
      <c r="I1813" s="2948" t="s">
        <v>2248</v>
      </c>
      <c r="J1813" s="2948" t="s">
        <v>643</v>
      </c>
      <c r="K1813" s="2950">
        <v>33.6</v>
      </c>
      <c r="L1813" s="2950">
        <v>13.4</v>
      </c>
      <c r="M1813" s="2951">
        <v>1008000</v>
      </c>
      <c r="N1813" s="2951">
        <v>1008000</v>
      </c>
      <c r="O1813" s="2955"/>
      <c r="P1813" s="2948"/>
      <c r="Q1813" s="2951">
        <v>0</v>
      </c>
      <c r="R1813" s="2948"/>
      <c r="S1813" s="2948"/>
      <c r="T1813" s="2948"/>
      <c r="U1813" s="2948"/>
      <c r="V1813" s="2948"/>
      <c r="W1813" s="2944">
        <f t="shared" si="12"/>
        <v>0</v>
      </c>
    </row>
    <row r="1814" spans="1:23" s="2944" customFormat="1" ht="93.6" hidden="1">
      <c r="A1814" s="2948">
        <v>1813</v>
      </c>
      <c r="B1814" s="2948" t="s">
        <v>635</v>
      </c>
      <c r="C1814" s="2948" t="s">
        <v>636</v>
      </c>
      <c r="D1814" s="2948" t="s">
        <v>2246</v>
      </c>
      <c r="E1814" s="2948" t="s">
        <v>1461</v>
      </c>
      <c r="F1814" s="2948" t="s">
        <v>2259</v>
      </c>
      <c r="G1814" s="2948" t="s">
        <v>1035</v>
      </c>
      <c r="H1814" s="2948" t="s">
        <v>1453</v>
      </c>
      <c r="I1814" s="2948" t="s">
        <v>2248</v>
      </c>
      <c r="J1814" s="2948" t="s">
        <v>643</v>
      </c>
      <c r="K1814" s="2950">
        <v>30.02</v>
      </c>
      <c r="L1814" s="2950">
        <v>11.97</v>
      </c>
      <c r="M1814" s="2951">
        <v>900600</v>
      </c>
      <c r="N1814" s="2951">
        <v>900600</v>
      </c>
      <c r="O1814" s="2955"/>
      <c r="P1814" s="2948"/>
      <c r="Q1814" s="2951">
        <v>0</v>
      </c>
      <c r="R1814" s="2948"/>
      <c r="S1814" s="2948"/>
      <c r="T1814" s="2948"/>
      <c r="U1814" s="2948"/>
      <c r="V1814" s="2948"/>
      <c r="W1814" s="2944">
        <f t="shared" si="12"/>
        <v>0</v>
      </c>
    </row>
    <row r="1815" spans="1:23" s="2944" customFormat="1" ht="93.6" hidden="1">
      <c r="A1815" s="2948">
        <v>1814</v>
      </c>
      <c r="B1815" s="2948" t="s">
        <v>635</v>
      </c>
      <c r="C1815" s="2948" t="s">
        <v>636</v>
      </c>
      <c r="D1815" s="2948" t="s">
        <v>2246</v>
      </c>
      <c r="E1815" s="2948" t="s">
        <v>1461</v>
      </c>
      <c r="F1815" s="2948" t="s">
        <v>2257</v>
      </c>
      <c r="G1815" s="2948" t="s">
        <v>1035</v>
      </c>
      <c r="H1815" s="2948" t="s">
        <v>1453</v>
      </c>
      <c r="I1815" s="2948" t="s">
        <v>2248</v>
      </c>
      <c r="J1815" s="2948" t="s">
        <v>643</v>
      </c>
      <c r="K1815" s="2950">
        <v>23.1</v>
      </c>
      <c r="L1815" s="2950">
        <v>9.2100000000000009</v>
      </c>
      <c r="M1815" s="2951">
        <v>693000</v>
      </c>
      <c r="N1815" s="2951">
        <v>693000</v>
      </c>
      <c r="O1815" s="2955"/>
      <c r="P1815" s="2948"/>
      <c r="Q1815" s="2951">
        <v>0</v>
      </c>
      <c r="R1815" s="2948"/>
      <c r="S1815" s="2948"/>
      <c r="T1815" s="2948"/>
      <c r="U1815" s="2948"/>
      <c r="V1815" s="2948"/>
      <c r="W1815" s="2944">
        <f t="shared" si="12"/>
        <v>0</v>
      </c>
    </row>
    <row r="1816" spans="1:23" s="2944" customFormat="1" ht="93.6">
      <c r="A1816" s="2948">
        <v>1815</v>
      </c>
      <c r="B1816" s="2948" t="s">
        <v>635</v>
      </c>
      <c r="C1816" s="2948" t="s">
        <v>636</v>
      </c>
      <c r="D1816" s="2948" t="s">
        <v>2246</v>
      </c>
      <c r="E1816" s="2948" t="s">
        <v>1461</v>
      </c>
      <c r="F1816" s="2948" t="s">
        <v>653</v>
      </c>
      <c r="G1816" s="2948" t="s">
        <v>640</v>
      </c>
      <c r="H1816" s="2948" t="s">
        <v>1453</v>
      </c>
      <c r="I1816" s="2948" t="s">
        <v>2248</v>
      </c>
      <c r="J1816" s="2948" t="s">
        <v>643</v>
      </c>
      <c r="K1816" s="2950">
        <v>22.89</v>
      </c>
      <c r="L1816" s="2950">
        <v>9.1300000000000008</v>
      </c>
      <c r="M1816" s="2951">
        <v>686700</v>
      </c>
      <c r="N1816" s="2951">
        <v>686700</v>
      </c>
      <c r="O1816" s="2952">
        <v>686700</v>
      </c>
      <c r="P1816" s="2953">
        <v>686700</v>
      </c>
      <c r="Q1816" s="2951">
        <v>686700</v>
      </c>
      <c r="R1816" s="2954">
        <v>44551</v>
      </c>
      <c r="S1816" s="2954">
        <v>44559</v>
      </c>
      <c r="T1816" s="2954">
        <v>44559</v>
      </c>
      <c r="U1816" s="2954">
        <v>44559</v>
      </c>
      <c r="V1816" s="2948" t="s">
        <v>909</v>
      </c>
      <c r="W1816" s="2944">
        <f t="shared" si="12"/>
        <v>30000</v>
      </c>
    </row>
    <row r="1817" spans="1:23" s="2944" customFormat="1" ht="93.6" hidden="1">
      <c r="A1817" s="2948">
        <v>1816</v>
      </c>
      <c r="B1817" s="2948" t="s">
        <v>635</v>
      </c>
      <c r="C1817" s="2948" t="s">
        <v>636</v>
      </c>
      <c r="D1817" s="2948" t="s">
        <v>2246</v>
      </c>
      <c r="E1817" s="2948" t="s">
        <v>1461</v>
      </c>
      <c r="F1817" s="2948" t="s">
        <v>655</v>
      </c>
      <c r="G1817" s="2948" t="s">
        <v>1035</v>
      </c>
      <c r="H1817" s="2948" t="s">
        <v>1453</v>
      </c>
      <c r="I1817" s="2948" t="s">
        <v>2248</v>
      </c>
      <c r="J1817" s="2948" t="s">
        <v>643</v>
      </c>
      <c r="K1817" s="2950">
        <v>46.09</v>
      </c>
      <c r="L1817" s="2950">
        <v>18.38</v>
      </c>
      <c r="M1817" s="2951">
        <v>1382700</v>
      </c>
      <c r="N1817" s="2951">
        <v>1382700</v>
      </c>
      <c r="O1817" s="2955"/>
      <c r="P1817" s="2948"/>
      <c r="Q1817" s="2951">
        <v>0</v>
      </c>
      <c r="R1817" s="2948"/>
      <c r="S1817" s="2948"/>
      <c r="T1817" s="2948"/>
      <c r="U1817" s="2948"/>
      <c r="V1817" s="2948"/>
      <c r="W1817" s="2944">
        <f t="shared" si="12"/>
        <v>0</v>
      </c>
    </row>
    <row r="1818" spans="1:23" s="2944" customFormat="1" ht="93.6">
      <c r="A1818" s="2948">
        <v>1817</v>
      </c>
      <c r="B1818" s="2948" t="s">
        <v>635</v>
      </c>
      <c r="C1818" s="2948" t="s">
        <v>636</v>
      </c>
      <c r="D1818" s="2948" t="s">
        <v>2286</v>
      </c>
      <c r="E1818" s="2948" t="s">
        <v>2229</v>
      </c>
      <c r="F1818" s="2948" t="s">
        <v>645</v>
      </c>
      <c r="G1818" s="2948" t="s">
        <v>640</v>
      </c>
      <c r="H1818" s="2948" t="s">
        <v>2287</v>
      </c>
      <c r="I1818" s="2948" t="s">
        <v>2248</v>
      </c>
      <c r="J1818" s="2948" t="s">
        <v>643</v>
      </c>
      <c r="K1818" s="2950">
        <v>20.329999999999998</v>
      </c>
      <c r="L1818" s="2950">
        <v>8.68</v>
      </c>
      <c r="M1818" s="2951">
        <v>609900</v>
      </c>
      <c r="N1818" s="2951">
        <v>609900</v>
      </c>
      <c r="O1818" s="2952">
        <v>609900</v>
      </c>
      <c r="P1818" s="2953">
        <v>609900</v>
      </c>
      <c r="Q1818" s="2951">
        <v>609900</v>
      </c>
      <c r="R1818" s="2954">
        <v>44694</v>
      </c>
      <c r="S1818" s="2954">
        <v>44694</v>
      </c>
      <c r="T1818" s="2954">
        <v>44735</v>
      </c>
      <c r="U1818" s="2954">
        <v>44735</v>
      </c>
      <c r="V1818" s="2948" t="s">
        <v>1837</v>
      </c>
      <c r="W1818" s="2944">
        <f t="shared" si="12"/>
        <v>30000</v>
      </c>
    </row>
    <row r="1819" spans="1:23" s="2944" customFormat="1" ht="93.6">
      <c r="A1819" s="2948">
        <v>1818</v>
      </c>
      <c r="B1819" s="2948" t="s">
        <v>635</v>
      </c>
      <c r="C1819" s="2948" t="s">
        <v>636</v>
      </c>
      <c r="D1819" s="2948" t="s">
        <v>2286</v>
      </c>
      <c r="E1819" s="2948" t="s">
        <v>2229</v>
      </c>
      <c r="F1819" s="2948" t="s">
        <v>1458</v>
      </c>
      <c r="G1819" s="2948" t="s">
        <v>640</v>
      </c>
      <c r="H1819" s="2948" t="s">
        <v>2288</v>
      </c>
      <c r="I1819" s="2948" t="s">
        <v>2248</v>
      </c>
      <c r="J1819" s="2948" t="s">
        <v>643</v>
      </c>
      <c r="K1819" s="2950">
        <v>14.17</v>
      </c>
      <c r="L1819" s="2950">
        <v>6.05</v>
      </c>
      <c r="M1819" s="2951">
        <v>425100</v>
      </c>
      <c r="N1819" s="2951">
        <v>425100</v>
      </c>
      <c r="O1819" s="2952">
        <v>425100</v>
      </c>
      <c r="P1819" s="2953">
        <v>425100</v>
      </c>
      <c r="Q1819" s="2951">
        <v>425100</v>
      </c>
      <c r="R1819" s="2954">
        <v>45077</v>
      </c>
      <c r="S1819" s="2954">
        <v>45086</v>
      </c>
      <c r="T1819" s="2954">
        <v>45142</v>
      </c>
      <c r="U1819" s="2954">
        <v>45142</v>
      </c>
      <c r="V1819" s="2948" t="s">
        <v>1830</v>
      </c>
      <c r="W1819" s="2944">
        <f t="shared" si="12"/>
        <v>30000</v>
      </c>
    </row>
    <row r="1820" spans="1:23" s="2944" customFormat="1" ht="93.6">
      <c r="A1820" s="2948">
        <v>1819</v>
      </c>
      <c r="B1820" s="2948" t="s">
        <v>635</v>
      </c>
      <c r="C1820" s="2948" t="s">
        <v>636</v>
      </c>
      <c r="D1820" s="2948" t="s">
        <v>2286</v>
      </c>
      <c r="E1820" s="2948" t="s">
        <v>2229</v>
      </c>
      <c r="F1820" s="2948" t="s">
        <v>1457</v>
      </c>
      <c r="G1820" s="2948" t="s">
        <v>640</v>
      </c>
      <c r="H1820" s="2948" t="s">
        <v>2289</v>
      </c>
      <c r="I1820" s="2948" t="s">
        <v>2248</v>
      </c>
      <c r="J1820" s="2948" t="s">
        <v>643</v>
      </c>
      <c r="K1820" s="2950">
        <v>29.6</v>
      </c>
      <c r="L1820" s="2950">
        <v>12.64</v>
      </c>
      <c r="M1820" s="2951">
        <v>888000</v>
      </c>
      <c r="N1820" s="2951">
        <v>888000</v>
      </c>
      <c r="O1820" s="2952">
        <v>888000</v>
      </c>
      <c r="P1820" s="2953">
        <v>888000</v>
      </c>
      <c r="Q1820" s="2951">
        <v>888000</v>
      </c>
      <c r="R1820" s="2954">
        <v>44551</v>
      </c>
      <c r="S1820" s="2954">
        <v>44561</v>
      </c>
      <c r="T1820" s="2954">
        <v>44639</v>
      </c>
      <c r="U1820" s="2954">
        <v>44639</v>
      </c>
      <c r="V1820" s="2948" t="s">
        <v>1832</v>
      </c>
      <c r="W1820" s="2944">
        <f t="shared" si="12"/>
        <v>30000</v>
      </c>
    </row>
    <row r="1821" spans="1:23" s="2944" customFormat="1" ht="93.6" hidden="1">
      <c r="A1821" s="2948">
        <v>1820</v>
      </c>
      <c r="B1821" s="2948" t="s">
        <v>635</v>
      </c>
      <c r="C1821" s="2948" t="s">
        <v>636</v>
      </c>
      <c r="D1821" s="2948" t="s">
        <v>2286</v>
      </c>
      <c r="E1821" s="2948" t="s">
        <v>2229</v>
      </c>
      <c r="F1821" s="2948" t="s">
        <v>2250</v>
      </c>
      <c r="G1821" s="2948" t="s">
        <v>1035</v>
      </c>
      <c r="H1821" s="2948" t="s">
        <v>2290</v>
      </c>
      <c r="I1821" s="2948" t="s">
        <v>2248</v>
      </c>
      <c r="J1821" s="2948" t="s">
        <v>643</v>
      </c>
      <c r="K1821" s="2950">
        <v>24.73</v>
      </c>
      <c r="L1821" s="2950">
        <v>10.56</v>
      </c>
      <c r="M1821" s="2951">
        <v>741900</v>
      </c>
      <c r="N1821" s="2951">
        <v>741900</v>
      </c>
      <c r="O1821" s="2955"/>
      <c r="P1821" s="2948"/>
      <c r="Q1821" s="2951">
        <v>0</v>
      </c>
      <c r="R1821" s="2948"/>
      <c r="S1821" s="2948"/>
      <c r="T1821" s="2948"/>
      <c r="U1821" s="2948"/>
      <c r="V1821" s="2948"/>
      <c r="W1821" s="2944">
        <f t="shared" si="12"/>
        <v>0</v>
      </c>
    </row>
    <row r="1822" spans="1:23" s="2944" customFormat="1" ht="93.6" hidden="1">
      <c r="A1822" s="2948">
        <v>1821</v>
      </c>
      <c r="B1822" s="2948" t="s">
        <v>635</v>
      </c>
      <c r="C1822" s="2948" t="s">
        <v>636</v>
      </c>
      <c r="D1822" s="2948" t="s">
        <v>2286</v>
      </c>
      <c r="E1822" s="2948" t="s">
        <v>2229</v>
      </c>
      <c r="F1822" s="2948" t="s">
        <v>2249</v>
      </c>
      <c r="G1822" s="2948" t="s">
        <v>1035</v>
      </c>
      <c r="H1822" s="2948" t="s">
        <v>2291</v>
      </c>
      <c r="I1822" s="2948" t="s">
        <v>2248</v>
      </c>
      <c r="J1822" s="2948" t="s">
        <v>643</v>
      </c>
      <c r="K1822" s="2950">
        <v>20.98</v>
      </c>
      <c r="L1822" s="2950">
        <v>8.9600000000000009</v>
      </c>
      <c r="M1822" s="2951">
        <v>629400</v>
      </c>
      <c r="N1822" s="2951">
        <v>629400</v>
      </c>
      <c r="O1822" s="2955"/>
      <c r="P1822" s="2948"/>
      <c r="Q1822" s="2951">
        <v>0</v>
      </c>
      <c r="R1822" s="2948"/>
      <c r="S1822" s="2948"/>
      <c r="T1822" s="2948"/>
      <c r="U1822" s="2948"/>
      <c r="V1822" s="2948"/>
      <c r="W1822" s="2944">
        <f t="shared" si="12"/>
        <v>0</v>
      </c>
    </row>
    <row r="1823" spans="1:23" s="2944" customFormat="1" ht="93.6">
      <c r="A1823" s="2948">
        <v>1822</v>
      </c>
      <c r="B1823" s="2948" t="s">
        <v>635</v>
      </c>
      <c r="C1823" s="2948" t="s">
        <v>636</v>
      </c>
      <c r="D1823" s="2948" t="s">
        <v>2286</v>
      </c>
      <c r="E1823" s="2948" t="s">
        <v>2229</v>
      </c>
      <c r="F1823" s="2948" t="s">
        <v>2247</v>
      </c>
      <c r="G1823" s="2948" t="s">
        <v>640</v>
      </c>
      <c r="H1823" s="2948" t="s">
        <v>2292</v>
      </c>
      <c r="I1823" s="2948" t="s">
        <v>2248</v>
      </c>
      <c r="J1823" s="2948" t="s">
        <v>643</v>
      </c>
      <c r="K1823" s="2950">
        <v>23.96</v>
      </c>
      <c r="L1823" s="2950">
        <v>10.23</v>
      </c>
      <c r="M1823" s="2951">
        <v>718800</v>
      </c>
      <c r="N1823" s="2951">
        <v>718800</v>
      </c>
      <c r="O1823" s="2952">
        <v>718800</v>
      </c>
      <c r="P1823" s="2953">
        <v>718800</v>
      </c>
      <c r="Q1823" s="2951">
        <v>718800</v>
      </c>
      <c r="R1823" s="2954">
        <v>45046</v>
      </c>
      <c r="S1823" s="2954">
        <v>45046</v>
      </c>
      <c r="T1823" s="2954">
        <v>45050</v>
      </c>
      <c r="U1823" s="2954">
        <v>45050</v>
      </c>
      <c r="V1823" s="2948" t="s">
        <v>1812</v>
      </c>
      <c r="W1823" s="2944">
        <f t="shared" si="12"/>
        <v>30000</v>
      </c>
    </row>
    <row r="1824" spans="1:23" s="2944" customFormat="1" ht="93.6" hidden="1">
      <c r="A1824" s="2948">
        <v>1823</v>
      </c>
      <c r="B1824" s="2948" t="s">
        <v>635</v>
      </c>
      <c r="C1824" s="2948" t="s">
        <v>636</v>
      </c>
      <c r="D1824" s="2948" t="s">
        <v>2286</v>
      </c>
      <c r="E1824" s="2948" t="s">
        <v>2229</v>
      </c>
      <c r="F1824" s="2948" t="s">
        <v>651</v>
      </c>
      <c r="G1824" s="2948" t="s">
        <v>1035</v>
      </c>
      <c r="H1824" s="2948" t="s">
        <v>2293</v>
      </c>
      <c r="I1824" s="2948" t="s">
        <v>2248</v>
      </c>
      <c r="J1824" s="2948" t="s">
        <v>643</v>
      </c>
      <c r="K1824" s="2950">
        <v>27.54</v>
      </c>
      <c r="L1824" s="2950">
        <v>11.76</v>
      </c>
      <c r="M1824" s="2951">
        <v>826200</v>
      </c>
      <c r="N1824" s="2951">
        <v>826200</v>
      </c>
      <c r="O1824" s="2955"/>
      <c r="P1824" s="2948"/>
      <c r="Q1824" s="2951">
        <v>0</v>
      </c>
      <c r="R1824" s="2948"/>
      <c r="S1824" s="2948"/>
      <c r="T1824" s="2948"/>
      <c r="U1824" s="2948"/>
      <c r="V1824" s="2948"/>
      <c r="W1824" s="2944">
        <f t="shared" si="12"/>
        <v>0</v>
      </c>
    </row>
    <row r="1825" spans="1:23" s="2944" customFormat="1" ht="93.6" hidden="1">
      <c r="A1825" s="2948">
        <v>1824</v>
      </c>
      <c r="B1825" s="2948" t="s">
        <v>635</v>
      </c>
      <c r="C1825" s="2948" t="s">
        <v>636</v>
      </c>
      <c r="D1825" s="2948" t="s">
        <v>2286</v>
      </c>
      <c r="E1825" s="2948" t="s">
        <v>2229</v>
      </c>
      <c r="F1825" s="2948" t="s">
        <v>648</v>
      </c>
      <c r="G1825" s="2948" t="s">
        <v>1035</v>
      </c>
      <c r="H1825" s="2948" t="s">
        <v>2294</v>
      </c>
      <c r="I1825" s="2948" t="s">
        <v>2248</v>
      </c>
      <c r="J1825" s="2948" t="s">
        <v>643</v>
      </c>
      <c r="K1825" s="2950">
        <v>14.33</v>
      </c>
      <c r="L1825" s="2950">
        <v>6.12</v>
      </c>
      <c r="M1825" s="2951">
        <v>429900</v>
      </c>
      <c r="N1825" s="2951">
        <v>429900</v>
      </c>
      <c r="O1825" s="2955"/>
      <c r="P1825" s="2948"/>
      <c r="Q1825" s="2951">
        <v>0</v>
      </c>
      <c r="R1825" s="2948"/>
      <c r="S1825" s="2948"/>
      <c r="T1825" s="2948"/>
      <c r="U1825" s="2948"/>
      <c r="V1825" s="2948"/>
      <c r="W1825" s="2944">
        <f t="shared" si="12"/>
        <v>0</v>
      </c>
    </row>
    <row r="1826" spans="1:23" s="2944" customFormat="1" ht="93.6">
      <c r="A1826" s="2948">
        <v>1825</v>
      </c>
      <c r="B1826" s="2948" t="s">
        <v>635</v>
      </c>
      <c r="C1826" s="2948" t="s">
        <v>636</v>
      </c>
      <c r="D1826" s="2948" t="s">
        <v>2286</v>
      </c>
      <c r="E1826" s="2948" t="s">
        <v>2229</v>
      </c>
      <c r="F1826" s="2948" t="s">
        <v>2256</v>
      </c>
      <c r="G1826" s="2948" t="s">
        <v>640</v>
      </c>
      <c r="H1826" s="2948" t="s">
        <v>2295</v>
      </c>
      <c r="I1826" s="2948" t="s">
        <v>2248</v>
      </c>
      <c r="J1826" s="2948" t="s">
        <v>643</v>
      </c>
      <c r="K1826" s="2950">
        <v>22.88</v>
      </c>
      <c r="L1826" s="2950">
        <v>9.77</v>
      </c>
      <c r="M1826" s="2951">
        <v>686400</v>
      </c>
      <c r="N1826" s="2951">
        <v>686400</v>
      </c>
      <c r="O1826" s="2952">
        <v>686400</v>
      </c>
      <c r="P1826" s="2953">
        <v>686400</v>
      </c>
      <c r="Q1826" s="2951">
        <v>686400</v>
      </c>
      <c r="R1826" s="2954">
        <v>45194</v>
      </c>
      <c r="S1826" s="2954">
        <v>45197</v>
      </c>
      <c r="T1826" s="2954">
        <v>45212</v>
      </c>
      <c r="U1826" s="2954">
        <v>45212</v>
      </c>
      <c r="V1826" s="2948" t="s">
        <v>1821</v>
      </c>
      <c r="W1826" s="2944">
        <f t="shared" si="12"/>
        <v>30000</v>
      </c>
    </row>
    <row r="1827" spans="1:23" s="2944" customFormat="1" ht="93.6" hidden="1">
      <c r="A1827" s="2948">
        <v>1826</v>
      </c>
      <c r="B1827" s="2948" t="s">
        <v>635</v>
      </c>
      <c r="C1827" s="2948" t="s">
        <v>636</v>
      </c>
      <c r="D1827" s="2948" t="s">
        <v>2286</v>
      </c>
      <c r="E1827" s="2948" t="s">
        <v>2229</v>
      </c>
      <c r="F1827" s="2948" t="s">
        <v>2255</v>
      </c>
      <c r="G1827" s="2948" t="s">
        <v>1035</v>
      </c>
      <c r="H1827" s="2948" t="s">
        <v>2296</v>
      </c>
      <c r="I1827" s="2948" t="s">
        <v>2248</v>
      </c>
      <c r="J1827" s="2948" t="s">
        <v>643</v>
      </c>
      <c r="K1827" s="2950">
        <v>27.07</v>
      </c>
      <c r="L1827" s="2950">
        <v>11.56</v>
      </c>
      <c r="M1827" s="2951">
        <v>812100</v>
      </c>
      <c r="N1827" s="2951">
        <v>812100</v>
      </c>
      <c r="O1827" s="2955"/>
      <c r="P1827" s="2948"/>
      <c r="Q1827" s="2951">
        <v>0</v>
      </c>
      <c r="R1827" s="2948"/>
      <c r="S1827" s="2948"/>
      <c r="T1827" s="2948"/>
      <c r="U1827" s="2948"/>
      <c r="V1827" s="2948"/>
      <c r="W1827" s="2944">
        <f t="shared" si="12"/>
        <v>0</v>
      </c>
    </row>
    <row r="1828" spans="1:23" s="2944" customFormat="1" ht="93.6" hidden="1">
      <c r="A1828" s="2948">
        <v>1827</v>
      </c>
      <c r="B1828" s="2948" t="s">
        <v>635</v>
      </c>
      <c r="C1828" s="2948" t="s">
        <v>636</v>
      </c>
      <c r="D1828" s="2948" t="s">
        <v>2286</v>
      </c>
      <c r="E1828" s="2948" t="s">
        <v>2229</v>
      </c>
      <c r="F1828" s="2948" t="s">
        <v>2254</v>
      </c>
      <c r="G1828" s="2948" t="s">
        <v>1035</v>
      </c>
      <c r="H1828" s="2948" t="s">
        <v>2297</v>
      </c>
      <c r="I1828" s="2948" t="s">
        <v>2248</v>
      </c>
      <c r="J1828" s="2948" t="s">
        <v>643</v>
      </c>
      <c r="K1828" s="2950">
        <v>42.13</v>
      </c>
      <c r="L1828" s="2950">
        <v>17.989999999999998</v>
      </c>
      <c r="M1828" s="2951">
        <v>1263900</v>
      </c>
      <c r="N1828" s="2951">
        <v>1263900</v>
      </c>
      <c r="O1828" s="2955"/>
      <c r="P1828" s="2948"/>
      <c r="Q1828" s="2951">
        <v>0</v>
      </c>
      <c r="R1828" s="2948"/>
      <c r="S1828" s="2948"/>
      <c r="T1828" s="2948"/>
      <c r="U1828" s="2948"/>
      <c r="V1828" s="2948"/>
      <c r="W1828" s="2944">
        <f t="shared" si="12"/>
        <v>0</v>
      </c>
    </row>
    <row r="1829" spans="1:23" s="2944" customFormat="1" ht="93.6" hidden="1">
      <c r="A1829" s="2948">
        <v>1828</v>
      </c>
      <c r="B1829" s="2948" t="s">
        <v>635</v>
      </c>
      <c r="C1829" s="2948" t="s">
        <v>636</v>
      </c>
      <c r="D1829" s="2948" t="s">
        <v>2286</v>
      </c>
      <c r="E1829" s="2948" t="s">
        <v>2229</v>
      </c>
      <c r="F1829" s="2948" t="s">
        <v>2253</v>
      </c>
      <c r="G1829" s="2948" t="s">
        <v>1035</v>
      </c>
      <c r="H1829" s="2948" t="s">
        <v>2298</v>
      </c>
      <c r="I1829" s="2948" t="s">
        <v>2248</v>
      </c>
      <c r="J1829" s="2948" t="s">
        <v>643</v>
      </c>
      <c r="K1829" s="2950">
        <v>39.25</v>
      </c>
      <c r="L1829" s="2950">
        <v>16.760000000000002</v>
      </c>
      <c r="M1829" s="2951">
        <v>1177500</v>
      </c>
      <c r="N1829" s="2951">
        <v>1177500</v>
      </c>
      <c r="O1829" s="2955"/>
      <c r="P1829" s="2948"/>
      <c r="Q1829" s="2951">
        <v>0</v>
      </c>
      <c r="R1829" s="2948"/>
      <c r="S1829" s="2948"/>
      <c r="T1829" s="2948"/>
      <c r="U1829" s="2948"/>
      <c r="V1829" s="2948"/>
      <c r="W1829" s="2944">
        <f t="shared" si="12"/>
        <v>0</v>
      </c>
    </row>
    <row r="1830" spans="1:23" s="2944" customFormat="1" ht="93.6" hidden="1">
      <c r="A1830" s="2948">
        <v>1829</v>
      </c>
      <c r="B1830" s="2948" t="s">
        <v>635</v>
      </c>
      <c r="C1830" s="2948" t="s">
        <v>636</v>
      </c>
      <c r="D1830" s="2948" t="s">
        <v>2286</v>
      </c>
      <c r="E1830" s="2948" t="s">
        <v>2229</v>
      </c>
      <c r="F1830" s="2948" t="s">
        <v>2252</v>
      </c>
      <c r="G1830" s="2948" t="s">
        <v>1035</v>
      </c>
      <c r="H1830" s="2948" t="s">
        <v>2299</v>
      </c>
      <c r="I1830" s="2948" t="s">
        <v>2248</v>
      </c>
      <c r="J1830" s="2948" t="s">
        <v>643</v>
      </c>
      <c r="K1830" s="2950">
        <v>77.52</v>
      </c>
      <c r="L1830" s="2950">
        <v>33.1</v>
      </c>
      <c r="M1830" s="2951">
        <v>2325600</v>
      </c>
      <c r="N1830" s="2951">
        <v>2325600</v>
      </c>
      <c r="O1830" s="2955"/>
      <c r="P1830" s="2948"/>
      <c r="Q1830" s="2951">
        <v>0</v>
      </c>
      <c r="R1830" s="2948"/>
      <c r="S1830" s="2948"/>
      <c r="T1830" s="2948"/>
      <c r="U1830" s="2948"/>
      <c r="V1830" s="2948"/>
      <c r="W1830" s="2944">
        <f t="shared" si="12"/>
        <v>0</v>
      </c>
    </row>
    <row r="1831" spans="1:23" s="2944" customFormat="1" ht="93.6" hidden="1">
      <c r="A1831" s="2948">
        <v>1830</v>
      </c>
      <c r="B1831" s="2948" t="s">
        <v>635</v>
      </c>
      <c r="C1831" s="2948" t="s">
        <v>636</v>
      </c>
      <c r="D1831" s="2948" t="s">
        <v>2286</v>
      </c>
      <c r="E1831" s="2948" t="s">
        <v>2229</v>
      </c>
      <c r="F1831" s="2948" t="s">
        <v>2251</v>
      </c>
      <c r="G1831" s="2948" t="s">
        <v>1035</v>
      </c>
      <c r="H1831" s="2948" t="s">
        <v>2300</v>
      </c>
      <c r="I1831" s="2948" t="s">
        <v>2248</v>
      </c>
      <c r="J1831" s="2948" t="s">
        <v>643</v>
      </c>
      <c r="K1831" s="2950">
        <v>22.95</v>
      </c>
      <c r="L1831" s="2950">
        <v>9.8000000000000007</v>
      </c>
      <c r="M1831" s="2951">
        <v>688500</v>
      </c>
      <c r="N1831" s="2951">
        <v>688500</v>
      </c>
      <c r="O1831" s="2955"/>
      <c r="P1831" s="2948"/>
      <c r="Q1831" s="2951">
        <v>0</v>
      </c>
      <c r="R1831" s="2948"/>
      <c r="S1831" s="2948"/>
      <c r="T1831" s="2948"/>
      <c r="U1831" s="2948"/>
      <c r="V1831" s="2948"/>
      <c r="W1831" s="2944">
        <f t="shared" si="12"/>
        <v>0</v>
      </c>
    </row>
    <row r="1832" spans="1:23" s="2944" customFormat="1" ht="93.6">
      <c r="A1832" s="2948">
        <v>1831</v>
      </c>
      <c r="B1832" s="2948" t="s">
        <v>635</v>
      </c>
      <c r="C1832" s="2948" t="s">
        <v>636</v>
      </c>
      <c r="D1832" s="2948" t="s">
        <v>2286</v>
      </c>
      <c r="E1832" s="2948" t="s">
        <v>2229</v>
      </c>
      <c r="F1832" s="2948" t="s">
        <v>655</v>
      </c>
      <c r="G1832" s="2948" t="s">
        <v>640</v>
      </c>
      <c r="H1832" s="2948" t="s">
        <v>2301</v>
      </c>
      <c r="I1832" s="2948" t="s">
        <v>2248</v>
      </c>
      <c r="J1832" s="2948" t="s">
        <v>643</v>
      </c>
      <c r="K1832" s="2950">
        <v>27.24</v>
      </c>
      <c r="L1832" s="2950">
        <v>11.63</v>
      </c>
      <c r="M1832" s="2951">
        <v>817200</v>
      </c>
      <c r="N1832" s="2951">
        <v>817200</v>
      </c>
      <c r="O1832" s="2952">
        <v>817200</v>
      </c>
      <c r="P1832" s="2953">
        <v>817200</v>
      </c>
      <c r="Q1832" s="2951">
        <v>817200</v>
      </c>
      <c r="R1832" s="2954">
        <v>45076</v>
      </c>
      <c r="S1832" s="2954">
        <v>45077</v>
      </c>
      <c r="T1832" s="2954">
        <v>45190</v>
      </c>
      <c r="U1832" s="2954">
        <v>45190</v>
      </c>
      <c r="V1832" s="2948" t="s">
        <v>1852</v>
      </c>
      <c r="W1832" s="2944">
        <f t="shared" si="12"/>
        <v>30000</v>
      </c>
    </row>
    <row r="1833" spans="1:23" s="2944" customFormat="1" ht="93.6" hidden="1">
      <c r="A1833" s="2948">
        <v>1832</v>
      </c>
      <c r="B1833" s="2948" t="s">
        <v>635</v>
      </c>
      <c r="C1833" s="2948" t="s">
        <v>636</v>
      </c>
      <c r="D1833" s="2948" t="s">
        <v>2286</v>
      </c>
      <c r="E1833" s="2948" t="s">
        <v>2229</v>
      </c>
      <c r="F1833" s="2948" t="s">
        <v>653</v>
      </c>
      <c r="G1833" s="2948" t="s">
        <v>1035</v>
      </c>
      <c r="H1833" s="2948" t="s">
        <v>2302</v>
      </c>
      <c r="I1833" s="2948" t="s">
        <v>2248</v>
      </c>
      <c r="J1833" s="2948" t="s">
        <v>643</v>
      </c>
      <c r="K1833" s="2950">
        <v>39.369999999999997</v>
      </c>
      <c r="L1833" s="2950">
        <v>16.809999999999999</v>
      </c>
      <c r="M1833" s="2951">
        <v>1181100</v>
      </c>
      <c r="N1833" s="2951">
        <v>1181100</v>
      </c>
      <c r="O1833" s="2955"/>
      <c r="P1833" s="2948"/>
      <c r="Q1833" s="2951">
        <v>0</v>
      </c>
      <c r="R1833" s="2948"/>
      <c r="S1833" s="2948"/>
      <c r="T1833" s="2948"/>
      <c r="U1833" s="2948"/>
      <c r="V1833" s="2948"/>
      <c r="W1833" s="2944">
        <f t="shared" si="12"/>
        <v>0</v>
      </c>
    </row>
    <row r="1834" spans="1:23" s="2944" customFormat="1" ht="93.6" hidden="1">
      <c r="A1834" s="2948">
        <v>1833</v>
      </c>
      <c r="B1834" s="2948" t="s">
        <v>635</v>
      </c>
      <c r="C1834" s="2948" t="s">
        <v>636</v>
      </c>
      <c r="D1834" s="2948" t="s">
        <v>2286</v>
      </c>
      <c r="E1834" s="2948" t="s">
        <v>2229</v>
      </c>
      <c r="F1834" s="2948" t="s">
        <v>2257</v>
      </c>
      <c r="G1834" s="2948" t="s">
        <v>1035</v>
      </c>
      <c r="H1834" s="2948" t="s">
        <v>2301</v>
      </c>
      <c r="I1834" s="2948" t="s">
        <v>2248</v>
      </c>
      <c r="J1834" s="2948" t="s">
        <v>643</v>
      </c>
      <c r="K1834" s="2950">
        <v>27.24</v>
      </c>
      <c r="L1834" s="2950">
        <v>11.63</v>
      </c>
      <c r="M1834" s="2951">
        <v>817200</v>
      </c>
      <c r="N1834" s="2951">
        <v>817200</v>
      </c>
      <c r="O1834" s="2955"/>
      <c r="P1834" s="2948"/>
      <c r="Q1834" s="2951">
        <v>0</v>
      </c>
      <c r="R1834" s="2948"/>
      <c r="S1834" s="2948"/>
      <c r="T1834" s="2948"/>
      <c r="U1834" s="2948"/>
      <c r="V1834" s="2948"/>
      <c r="W1834" s="2944">
        <f t="shared" si="12"/>
        <v>0</v>
      </c>
    </row>
    <row r="1835" spans="1:23" s="2944" customFormat="1" ht="93.6">
      <c r="A1835" s="2948">
        <v>1834</v>
      </c>
      <c r="B1835" s="2948" t="s">
        <v>635</v>
      </c>
      <c r="C1835" s="2948" t="s">
        <v>636</v>
      </c>
      <c r="D1835" s="2948" t="s">
        <v>2286</v>
      </c>
      <c r="E1835" s="2948" t="s">
        <v>1451</v>
      </c>
      <c r="F1835" s="2948" t="s">
        <v>645</v>
      </c>
      <c r="G1835" s="2948" t="s">
        <v>640</v>
      </c>
      <c r="H1835" s="2948" t="s">
        <v>2303</v>
      </c>
      <c r="I1835" s="2948" t="s">
        <v>2248</v>
      </c>
      <c r="J1835" s="2948" t="s">
        <v>643</v>
      </c>
      <c r="K1835" s="2950">
        <v>24.07</v>
      </c>
      <c r="L1835" s="2950">
        <v>9.66</v>
      </c>
      <c r="M1835" s="2951">
        <v>722100</v>
      </c>
      <c r="N1835" s="2951">
        <v>722100</v>
      </c>
      <c r="O1835" s="2952">
        <v>722100</v>
      </c>
      <c r="P1835" s="2953">
        <v>722100</v>
      </c>
      <c r="Q1835" s="2951">
        <v>722100</v>
      </c>
      <c r="R1835" s="2954">
        <v>45197</v>
      </c>
      <c r="S1835" s="2954">
        <v>45197</v>
      </c>
      <c r="T1835" s="2948"/>
      <c r="U1835" s="2948"/>
      <c r="V1835" s="2948" t="s">
        <v>1760</v>
      </c>
      <c r="W1835" s="2944">
        <f t="shared" si="12"/>
        <v>30000</v>
      </c>
    </row>
    <row r="1836" spans="1:23" s="2944" customFormat="1" ht="93.6">
      <c r="A1836" s="2948">
        <v>1835</v>
      </c>
      <c r="B1836" s="2948" t="s">
        <v>635</v>
      </c>
      <c r="C1836" s="2948" t="s">
        <v>636</v>
      </c>
      <c r="D1836" s="2948" t="s">
        <v>2286</v>
      </c>
      <c r="E1836" s="2948" t="s">
        <v>1451</v>
      </c>
      <c r="F1836" s="2948" t="s">
        <v>1458</v>
      </c>
      <c r="G1836" s="2948" t="s">
        <v>640</v>
      </c>
      <c r="H1836" s="2948" t="s">
        <v>2304</v>
      </c>
      <c r="I1836" s="2948" t="s">
        <v>2248</v>
      </c>
      <c r="J1836" s="2948" t="s">
        <v>643</v>
      </c>
      <c r="K1836" s="2956">
        <v>35.58</v>
      </c>
      <c r="L1836" s="2950">
        <v>14.28</v>
      </c>
      <c r="M1836" s="2951">
        <v>1067400</v>
      </c>
      <c r="N1836" s="2951">
        <v>1067400</v>
      </c>
      <c r="O1836" s="2952">
        <v>1067400</v>
      </c>
      <c r="P1836" s="2953">
        <v>1067400</v>
      </c>
      <c r="Q1836" s="2951">
        <v>1067400</v>
      </c>
      <c r="R1836" s="2954">
        <v>45197</v>
      </c>
      <c r="S1836" s="2954">
        <v>45197</v>
      </c>
      <c r="T1836" s="2954">
        <v>45286</v>
      </c>
      <c r="U1836" s="2954">
        <v>45286</v>
      </c>
      <c r="V1836" s="2948" t="s">
        <v>1775</v>
      </c>
      <c r="W1836" s="2944">
        <f t="shared" si="12"/>
        <v>30000</v>
      </c>
    </row>
    <row r="1837" spans="1:23" s="2944" customFormat="1" ht="93.6">
      <c r="A1837" s="2948">
        <v>1836</v>
      </c>
      <c r="B1837" s="2948" t="s">
        <v>635</v>
      </c>
      <c r="C1837" s="2948" t="s">
        <v>636</v>
      </c>
      <c r="D1837" s="2948" t="s">
        <v>2286</v>
      </c>
      <c r="E1837" s="2948" t="s">
        <v>1451</v>
      </c>
      <c r="F1837" s="2948" t="s">
        <v>1457</v>
      </c>
      <c r="G1837" s="2948" t="s">
        <v>640</v>
      </c>
      <c r="H1837" s="2948" t="s">
        <v>2305</v>
      </c>
      <c r="I1837" s="2948" t="s">
        <v>2248</v>
      </c>
      <c r="J1837" s="2948" t="s">
        <v>643</v>
      </c>
      <c r="K1837" s="2950">
        <v>31.59</v>
      </c>
      <c r="L1837" s="2950">
        <v>12.68</v>
      </c>
      <c r="M1837" s="2951">
        <v>947700</v>
      </c>
      <c r="N1837" s="2951">
        <v>947700</v>
      </c>
      <c r="O1837" s="2952">
        <v>900315</v>
      </c>
      <c r="P1837" s="2953">
        <v>900315</v>
      </c>
      <c r="Q1837" s="2951">
        <v>900315</v>
      </c>
      <c r="R1837" s="2954">
        <v>45197</v>
      </c>
      <c r="S1837" s="2954">
        <v>45197</v>
      </c>
      <c r="T1837" s="2948"/>
      <c r="U1837" s="2948"/>
      <c r="V1837" s="2948" t="s">
        <v>1758</v>
      </c>
      <c r="W1837" s="2944">
        <f t="shared" si="12"/>
        <v>28500</v>
      </c>
    </row>
    <row r="1838" spans="1:23" s="2944" customFormat="1" ht="93.6" hidden="1">
      <c r="A1838" s="2948">
        <v>1837</v>
      </c>
      <c r="B1838" s="2948" t="s">
        <v>635</v>
      </c>
      <c r="C1838" s="2948" t="s">
        <v>636</v>
      </c>
      <c r="D1838" s="2948" t="s">
        <v>2286</v>
      </c>
      <c r="E1838" s="2948" t="s">
        <v>1451</v>
      </c>
      <c r="F1838" s="2948" t="s">
        <v>2250</v>
      </c>
      <c r="G1838" s="2948" t="s">
        <v>1035</v>
      </c>
      <c r="H1838" s="2948" t="s">
        <v>2306</v>
      </c>
      <c r="I1838" s="2948" t="s">
        <v>2248</v>
      </c>
      <c r="J1838" s="2948" t="s">
        <v>643</v>
      </c>
      <c r="K1838" s="2950">
        <v>27.06</v>
      </c>
      <c r="L1838" s="2950">
        <v>10.86</v>
      </c>
      <c r="M1838" s="2951">
        <v>811800</v>
      </c>
      <c r="N1838" s="2951">
        <v>811800</v>
      </c>
      <c r="O1838" s="2955"/>
      <c r="P1838" s="2948"/>
      <c r="Q1838" s="2951">
        <v>0</v>
      </c>
      <c r="R1838" s="2948"/>
      <c r="S1838" s="2948"/>
      <c r="T1838" s="2948"/>
      <c r="U1838" s="2948"/>
      <c r="V1838" s="2948"/>
      <c r="W1838" s="2944">
        <f t="shared" si="12"/>
        <v>0</v>
      </c>
    </row>
    <row r="1839" spans="1:23" s="2944" customFormat="1" ht="93.6" hidden="1">
      <c r="A1839" s="2948">
        <v>1838</v>
      </c>
      <c r="B1839" s="2948" t="s">
        <v>635</v>
      </c>
      <c r="C1839" s="2948" t="s">
        <v>636</v>
      </c>
      <c r="D1839" s="2948" t="s">
        <v>2286</v>
      </c>
      <c r="E1839" s="2948" t="s">
        <v>1451</v>
      </c>
      <c r="F1839" s="2948" t="s">
        <v>2249</v>
      </c>
      <c r="G1839" s="2948" t="s">
        <v>1035</v>
      </c>
      <c r="H1839" s="2948" t="s">
        <v>2307</v>
      </c>
      <c r="I1839" s="2948" t="s">
        <v>2248</v>
      </c>
      <c r="J1839" s="2948" t="s">
        <v>643</v>
      </c>
      <c r="K1839" s="2950">
        <v>7.7</v>
      </c>
      <c r="L1839" s="2950">
        <v>3.09</v>
      </c>
      <c r="M1839" s="2951">
        <v>231000</v>
      </c>
      <c r="N1839" s="2951">
        <v>231000</v>
      </c>
      <c r="O1839" s="2955"/>
      <c r="P1839" s="2948"/>
      <c r="Q1839" s="2951">
        <v>0</v>
      </c>
      <c r="R1839" s="2948"/>
      <c r="S1839" s="2948"/>
      <c r="T1839" s="2948"/>
      <c r="U1839" s="2948"/>
      <c r="V1839" s="2948"/>
      <c r="W1839" s="2944">
        <f t="shared" si="12"/>
        <v>0</v>
      </c>
    </row>
    <row r="1840" spans="1:23" s="2944" customFormat="1" ht="93.6" hidden="1">
      <c r="A1840" s="2948">
        <v>1839</v>
      </c>
      <c r="B1840" s="2948" t="s">
        <v>635</v>
      </c>
      <c r="C1840" s="2948" t="s">
        <v>636</v>
      </c>
      <c r="D1840" s="2948" t="s">
        <v>2286</v>
      </c>
      <c r="E1840" s="2948" t="s">
        <v>1451</v>
      </c>
      <c r="F1840" s="2948" t="s">
        <v>651</v>
      </c>
      <c r="G1840" s="2948" t="s">
        <v>1035</v>
      </c>
      <c r="H1840" s="2948" t="s">
        <v>2308</v>
      </c>
      <c r="I1840" s="2948" t="s">
        <v>2248</v>
      </c>
      <c r="J1840" s="2948" t="s">
        <v>643</v>
      </c>
      <c r="K1840" s="2950">
        <v>43.85</v>
      </c>
      <c r="L1840" s="2950">
        <v>17.600000000000001</v>
      </c>
      <c r="M1840" s="2951">
        <v>1315500</v>
      </c>
      <c r="N1840" s="2951">
        <v>1315500</v>
      </c>
      <c r="O1840" s="2955"/>
      <c r="P1840" s="2948"/>
      <c r="Q1840" s="2951">
        <v>0</v>
      </c>
      <c r="R1840" s="2948"/>
      <c r="S1840" s="2948"/>
      <c r="T1840" s="2948"/>
      <c r="U1840" s="2948"/>
      <c r="V1840" s="2948"/>
      <c r="W1840" s="2944">
        <f t="shared" si="12"/>
        <v>0</v>
      </c>
    </row>
    <row r="1841" spans="1:23" s="2944" customFormat="1" ht="93.6">
      <c r="A1841" s="2948">
        <v>1840</v>
      </c>
      <c r="B1841" s="2948" t="s">
        <v>635</v>
      </c>
      <c r="C1841" s="2948" t="s">
        <v>636</v>
      </c>
      <c r="D1841" s="2948" t="s">
        <v>2286</v>
      </c>
      <c r="E1841" s="2948" t="s">
        <v>1451</v>
      </c>
      <c r="F1841" s="2948" t="s">
        <v>648</v>
      </c>
      <c r="G1841" s="2948" t="s">
        <v>640</v>
      </c>
      <c r="H1841" s="2948" t="s">
        <v>2309</v>
      </c>
      <c r="I1841" s="2948" t="s">
        <v>2248</v>
      </c>
      <c r="J1841" s="2948" t="s">
        <v>643</v>
      </c>
      <c r="K1841" s="2956">
        <v>31.02</v>
      </c>
      <c r="L1841" s="2950">
        <v>12.45</v>
      </c>
      <c r="M1841" s="2951">
        <v>930600</v>
      </c>
      <c r="N1841" s="2951">
        <v>930600</v>
      </c>
      <c r="O1841" s="2952">
        <v>930600</v>
      </c>
      <c r="P1841" s="2953">
        <v>930600</v>
      </c>
      <c r="Q1841" s="2951">
        <v>930600</v>
      </c>
      <c r="R1841" s="2954">
        <v>44551</v>
      </c>
      <c r="S1841" s="2954">
        <v>44561</v>
      </c>
      <c r="T1841" s="2954">
        <v>44640</v>
      </c>
      <c r="U1841" s="2954">
        <v>44640</v>
      </c>
      <c r="V1841" s="2948" t="s">
        <v>1791</v>
      </c>
      <c r="W1841" s="2944">
        <f t="shared" si="12"/>
        <v>30000</v>
      </c>
    </row>
    <row r="1842" spans="1:23" s="2944" customFormat="1" ht="93.6">
      <c r="A1842" s="2948">
        <v>1841</v>
      </c>
      <c r="B1842" s="2948" t="s">
        <v>635</v>
      </c>
      <c r="C1842" s="2948" t="s">
        <v>636</v>
      </c>
      <c r="D1842" s="2948" t="s">
        <v>2286</v>
      </c>
      <c r="E1842" s="2948" t="s">
        <v>1451</v>
      </c>
      <c r="F1842" s="2948" t="s">
        <v>2256</v>
      </c>
      <c r="G1842" s="2948" t="s">
        <v>640</v>
      </c>
      <c r="H1842" s="2948" t="s">
        <v>2310</v>
      </c>
      <c r="I1842" s="2948" t="s">
        <v>2248</v>
      </c>
      <c r="J1842" s="2948" t="s">
        <v>643</v>
      </c>
      <c r="K1842" s="2956">
        <v>40.01</v>
      </c>
      <c r="L1842" s="2950">
        <v>16.059999999999999</v>
      </c>
      <c r="M1842" s="2951">
        <v>1200300</v>
      </c>
      <c r="N1842" s="2951">
        <v>1200300</v>
      </c>
      <c r="O1842" s="2952">
        <v>1200300</v>
      </c>
      <c r="P1842" s="2953">
        <v>1200300</v>
      </c>
      <c r="Q1842" s="2951">
        <v>1200300</v>
      </c>
      <c r="R1842" s="2954">
        <v>44557</v>
      </c>
      <c r="S1842" s="2954">
        <v>44561</v>
      </c>
      <c r="T1842" s="2954">
        <v>44640</v>
      </c>
      <c r="U1842" s="2954">
        <v>44640</v>
      </c>
      <c r="V1842" s="2948" t="s">
        <v>1781</v>
      </c>
      <c r="W1842" s="2944">
        <f t="shared" ref="W1842:W1905" si="13">O1842/K1842</f>
        <v>30000</v>
      </c>
    </row>
    <row r="1843" spans="1:23" s="2944" customFormat="1" ht="93.6">
      <c r="A1843" s="2948">
        <v>1842</v>
      </c>
      <c r="B1843" s="2948" t="s">
        <v>635</v>
      </c>
      <c r="C1843" s="2948" t="s">
        <v>636</v>
      </c>
      <c r="D1843" s="2948" t="s">
        <v>2286</v>
      </c>
      <c r="E1843" s="2948" t="s">
        <v>1451</v>
      </c>
      <c r="F1843" s="2948" t="s">
        <v>2255</v>
      </c>
      <c r="G1843" s="2948" t="s">
        <v>640</v>
      </c>
      <c r="H1843" s="2948" t="s">
        <v>2311</v>
      </c>
      <c r="I1843" s="2948" t="s">
        <v>2248</v>
      </c>
      <c r="J1843" s="2948" t="s">
        <v>643</v>
      </c>
      <c r="K1843" s="2950">
        <v>21.78</v>
      </c>
      <c r="L1843" s="2950">
        <v>8.74</v>
      </c>
      <c r="M1843" s="2951">
        <v>653400</v>
      </c>
      <c r="N1843" s="2951">
        <v>653400</v>
      </c>
      <c r="O1843" s="2952">
        <v>620730</v>
      </c>
      <c r="P1843" s="2953">
        <v>620730</v>
      </c>
      <c r="Q1843" s="2951">
        <v>620730</v>
      </c>
      <c r="R1843" s="2954">
        <v>44551</v>
      </c>
      <c r="S1843" s="2954">
        <v>44681</v>
      </c>
      <c r="T1843" s="2954">
        <v>44778</v>
      </c>
      <c r="U1843" s="2954">
        <v>44778</v>
      </c>
      <c r="V1843" s="2948" t="s">
        <v>1800</v>
      </c>
      <c r="W1843" s="2944">
        <f t="shared" si="13"/>
        <v>28500</v>
      </c>
    </row>
    <row r="1844" spans="1:23" s="2944" customFormat="1" ht="93.6">
      <c r="A1844" s="2948">
        <v>1843</v>
      </c>
      <c r="B1844" s="2948" t="s">
        <v>635</v>
      </c>
      <c r="C1844" s="2948" t="s">
        <v>636</v>
      </c>
      <c r="D1844" s="2948" t="s">
        <v>2286</v>
      </c>
      <c r="E1844" s="2948" t="s">
        <v>1451</v>
      </c>
      <c r="F1844" s="2948" t="s">
        <v>2254</v>
      </c>
      <c r="G1844" s="2948" t="s">
        <v>640</v>
      </c>
      <c r="H1844" s="2948" t="s">
        <v>2312</v>
      </c>
      <c r="I1844" s="2948" t="s">
        <v>2248</v>
      </c>
      <c r="J1844" s="2948" t="s">
        <v>643</v>
      </c>
      <c r="K1844" s="2950">
        <v>29.82</v>
      </c>
      <c r="L1844" s="2950">
        <v>11.97</v>
      </c>
      <c r="M1844" s="2951">
        <v>894600</v>
      </c>
      <c r="N1844" s="2951">
        <v>894600</v>
      </c>
      <c r="O1844" s="2952">
        <v>894600</v>
      </c>
      <c r="P1844" s="2953">
        <v>894600</v>
      </c>
      <c r="Q1844" s="2951">
        <v>894600</v>
      </c>
      <c r="R1844" s="2954">
        <v>44645</v>
      </c>
      <c r="S1844" s="2954">
        <v>44791</v>
      </c>
      <c r="T1844" s="2954">
        <v>44791</v>
      </c>
      <c r="U1844" s="2954">
        <v>44791</v>
      </c>
      <c r="V1844" s="2948" t="s">
        <v>1771</v>
      </c>
      <c r="W1844" s="2944">
        <f t="shared" si="13"/>
        <v>30000</v>
      </c>
    </row>
    <row r="1845" spans="1:23" s="2944" customFormat="1" ht="93.6">
      <c r="A1845" s="2948">
        <v>1844</v>
      </c>
      <c r="B1845" s="2948" t="s">
        <v>635</v>
      </c>
      <c r="C1845" s="2948" t="s">
        <v>636</v>
      </c>
      <c r="D1845" s="2948" t="s">
        <v>2286</v>
      </c>
      <c r="E1845" s="2948" t="s">
        <v>1451</v>
      </c>
      <c r="F1845" s="2948" t="s">
        <v>2253</v>
      </c>
      <c r="G1845" s="2948" t="s">
        <v>640</v>
      </c>
      <c r="H1845" s="2948" t="s">
        <v>2313</v>
      </c>
      <c r="I1845" s="2948" t="s">
        <v>2248</v>
      </c>
      <c r="J1845" s="2948" t="s">
        <v>643</v>
      </c>
      <c r="K1845" s="2950">
        <v>29.6</v>
      </c>
      <c r="L1845" s="2950">
        <v>11.88</v>
      </c>
      <c r="M1845" s="2951">
        <v>888000</v>
      </c>
      <c r="N1845" s="2951">
        <v>888000</v>
      </c>
      <c r="O1845" s="2952">
        <v>888000</v>
      </c>
      <c r="P1845" s="2953">
        <v>888000</v>
      </c>
      <c r="Q1845" s="2951">
        <v>888000</v>
      </c>
      <c r="R1845" s="2954">
        <v>44552</v>
      </c>
      <c r="S1845" s="2954">
        <v>44561</v>
      </c>
      <c r="T1845" s="2954">
        <v>44785</v>
      </c>
      <c r="U1845" s="2954">
        <v>44785</v>
      </c>
      <c r="V1845" s="2948" t="s">
        <v>1787</v>
      </c>
      <c r="W1845" s="2944">
        <f t="shared" si="13"/>
        <v>30000</v>
      </c>
    </row>
    <row r="1846" spans="1:23" s="2944" customFormat="1" ht="93.6">
      <c r="A1846" s="2948">
        <v>1845</v>
      </c>
      <c r="B1846" s="2948" t="s">
        <v>635</v>
      </c>
      <c r="C1846" s="2948" t="s">
        <v>636</v>
      </c>
      <c r="D1846" s="2948" t="s">
        <v>2286</v>
      </c>
      <c r="E1846" s="2948" t="s">
        <v>1451</v>
      </c>
      <c r="F1846" s="2948" t="s">
        <v>2252</v>
      </c>
      <c r="G1846" s="2948" t="s">
        <v>640</v>
      </c>
      <c r="H1846" s="2948" t="s">
        <v>2314</v>
      </c>
      <c r="I1846" s="2948" t="s">
        <v>2248</v>
      </c>
      <c r="J1846" s="2948" t="s">
        <v>643</v>
      </c>
      <c r="K1846" s="2956">
        <v>41.88</v>
      </c>
      <c r="L1846" s="2950">
        <v>16.809999999999999</v>
      </c>
      <c r="M1846" s="2951">
        <v>1256400</v>
      </c>
      <c r="N1846" s="2951">
        <v>1256400</v>
      </c>
      <c r="O1846" s="2952">
        <v>1256400</v>
      </c>
      <c r="P1846" s="2953">
        <v>1256400</v>
      </c>
      <c r="Q1846" s="2951">
        <v>1256400</v>
      </c>
      <c r="R1846" s="2954">
        <v>44581</v>
      </c>
      <c r="S1846" s="2954">
        <v>44640</v>
      </c>
      <c r="T1846" s="2954">
        <v>44640</v>
      </c>
      <c r="U1846" s="2954">
        <v>44640</v>
      </c>
      <c r="V1846" s="2948" t="s">
        <v>1789</v>
      </c>
      <c r="W1846" s="2944">
        <f t="shared" si="13"/>
        <v>30000</v>
      </c>
    </row>
    <row r="1847" spans="1:23" s="2944" customFormat="1" ht="93.6" hidden="1">
      <c r="A1847" s="2948">
        <v>1846</v>
      </c>
      <c r="B1847" s="2948" t="s">
        <v>635</v>
      </c>
      <c r="C1847" s="2948" t="s">
        <v>636</v>
      </c>
      <c r="D1847" s="2948" t="s">
        <v>2286</v>
      </c>
      <c r="E1847" s="2948" t="s">
        <v>1451</v>
      </c>
      <c r="F1847" s="2948" t="s">
        <v>2251</v>
      </c>
      <c r="G1847" s="2948" t="s">
        <v>1035</v>
      </c>
      <c r="H1847" s="2948" t="s">
        <v>2315</v>
      </c>
      <c r="I1847" s="2948" t="s">
        <v>2248</v>
      </c>
      <c r="J1847" s="2948" t="s">
        <v>643</v>
      </c>
      <c r="K1847" s="2950">
        <v>24.32</v>
      </c>
      <c r="L1847" s="2950">
        <v>9.76</v>
      </c>
      <c r="M1847" s="2951">
        <v>729600</v>
      </c>
      <c r="N1847" s="2951">
        <v>729600</v>
      </c>
      <c r="O1847" s="2955"/>
      <c r="P1847" s="2948"/>
      <c r="Q1847" s="2951">
        <v>0</v>
      </c>
      <c r="R1847" s="2948"/>
      <c r="S1847" s="2948"/>
      <c r="T1847" s="2948"/>
      <c r="U1847" s="2948"/>
      <c r="V1847" s="2948"/>
      <c r="W1847" s="2944">
        <f t="shared" si="13"/>
        <v>0</v>
      </c>
    </row>
    <row r="1848" spans="1:23" s="2944" customFormat="1" ht="93.6">
      <c r="A1848" s="2948">
        <v>1847</v>
      </c>
      <c r="B1848" s="2948" t="s">
        <v>635</v>
      </c>
      <c r="C1848" s="2948" t="s">
        <v>636</v>
      </c>
      <c r="D1848" s="2948" t="s">
        <v>2286</v>
      </c>
      <c r="E1848" s="2948" t="s">
        <v>1451</v>
      </c>
      <c r="F1848" s="2948" t="s">
        <v>2276</v>
      </c>
      <c r="G1848" s="2948" t="s">
        <v>640</v>
      </c>
      <c r="H1848" s="2948" t="s">
        <v>2316</v>
      </c>
      <c r="I1848" s="2948" t="s">
        <v>2248</v>
      </c>
      <c r="J1848" s="2948" t="s">
        <v>643</v>
      </c>
      <c r="K1848" s="2950">
        <v>12.61</v>
      </c>
      <c r="L1848" s="2950">
        <v>5.0599999999999996</v>
      </c>
      <c r="M1848" s="2951">
        <v>378300</v>
      </c>
      <c r="N1848" s="2951">
        <v>378300</v>
      </c>
      <c r="O1848" s="2952">
        <v>378300</v>
      </c>
      <c r="P1848" s="2953">
        <v>378300</v>
      </c>
      <c r="Q1848" s="2951">
        <v>378300</v>
      </c>
      <c r="R1848" s="2954">
        <v>44551</v>
      </c>
      <c r="S1848" s="2954">
        <v>44561</v>
      </c>
      <c r="T1848" s="2954">
        <v>44743</v>
      </c>
      <c r="U1848" s="2954">
        <v>44743</v>
      </c>
      <c r="V1848" s="2948" t="s">
        <v>1779</v>
      </c>
      <c r="W1848" s="2944">
        <f t="shared" si="13"/>
        <v>30000</v>
      </c>
    </row>
    <row r="1849" spans="1:23" s="2944" customFormat="1" ht="93.6">
      <c r="A1849" s="2948">
        <v>1848</v>
      </c>
      <c r="B1849" s="2948" t="s">
        <v>635</v>
      </c>
      <c r="C1849" s="2948" t="s">
        <v>636</v>
      </c>
      <c r="D1849" s="2948" t="s">
        <v>2286</v>
      </c>
      <c r="E1849" s="2948" t="s">
        <v>1451</v>
      </c>
      <c r="F1849" s="2948" t="s">
        <v>2275</v>
      </c>
      <c r="G1849" s="2948" t="s">
        <v>640</v>
      </c>
      <c r="H1849" s="2948" t="s">
        <v>2317</v>
      </c>
      <c r="I1849" s="2948" t="s">
        <v>2248</v>
      </c>
      <c r="J1849" s="2948" t="s">
        <v>643</v>
      </c>
      <c r="K1849" s="2950">
        <v>19.579999999999998</v>
      </c>
      <c r="L1849" s="2950">
        <v>7.86</v>
      </c>
      <c r="M1849" s="2951">
        <v>587400</v>
      </c>
      <c r="N1849" s="2951">
        <v>587400</v>
      </c>
      <c r="O1849" s="2952">
        <v>587400</v>
      </c>
      <c r="P1849" s="2953">
        <v>587400</v>
      </c>
      <c r="Q1849" s="2951">
        <v>587400</v>
      </c>
      <c r="R1849" s="2954">
        <v>44627</v>
      </c>
      <c r="S1849" s="2954">
        <v>44627</v>
      </c>
      <c r="T1849" s="2954">
        <v>44641</v>
      </c>
      <c r="U1849" s="2954">
        <v>44641</v>
      </c>
      <c r="V1849" s="2948" t="s">
        <v>1897</v>
      </c>
      <c r="W1849" s="2944">
        <f t="shared" si="13"/>
        <v>30000</v>
      </c>
    </row>
    <row r="1850" spans="1:23" s="2944" customFormat="1" ht="93.6">
      <c r="A1850" s="2948">
        <v>1849</v>
      </c>
      <c r="B1850" s="2948" t="s">
        <v>635</v>
      </c>
      <c r="C1850" s="2948" t="s">
        <v>636</v>
      </c>
      <c r="D1850" s="2948" t="s">
        <v>2286</v>
      </c>
      <c r="E1850" s="2948" t="s">
        <v>1451</v>
      </c>
      <c r="F1850" s="2948" t="s">
        <v>2274</v>
      </c>
      <c r="G1850" s="2948" t="s">
        <v>640</v>
      </c>
      <c r="H1850" s="2948" t="s">
        <v>2318</v>
      </c>
      <c r="I1850" s="2948" t="s">
        <v>2248</v>
      </c>
      <c r="J1850" s="2948" t="s">
        <v>643</v>
      </c>
      <c r="K1850" s="2950">
        <v>25.21</v>
      </c>
      <c r="L1850" s="2950">
        <v>10.119999999999999</v>
      </c>
      <c r="M1850" s="2951">
        <v>756300</v>
      </c>
      <c r="N1850" s="2951">
        <v>756300</v>
      </c>
      <c r="O1850" s="2952">
        <v>756300</v>
      </c>
      <c r="P1850" s="2953">
        <v>756300</v>
      </c>
      <c r="Q1850" s="2951">
        <v>756300</v>
      </c>
      <c r="R1850" s="2954">
        <v>44627</v>
      </c>
      <c r="S1850" s="2954">
        <v>44627</v>
      </c>
      <c r="T1850" s="2954">
        <v>44641</v>
      </c>
      <c r="U1850" s="2954">
        <v>44641</v>
      </c>
      <c r="V1850" s="2948" t="s">
        <v>1897</v>
      </c>
      <c r="W1850" s="2944">
        <f t="shared" si="13"/>
        <v>30000</v>
      </c>
    </row>
    <row r="1851" spans="1:23" s="2944" customFormat="1" ht="93.6" hidden="1">
      <c r="A1851" s="2948">
        <v>1850</v>
      </c>
      <c r="B1851" s="2948" t="s">
        <v>635</v>
      </c>
      <c r="C1851" s="2948" t="s">
        <v>636</v>
      </c>
      <c r="D1851" s="2948" t="s">
        <v>2286</v>
      </c>
      <c r="E1851" s="2948" t="s">
        <v>1451</v>
      </c>
      <c r="F1851" s="2948" t="s">
        <v>655</v>
      </c>
      <c r="G1851" s="2948" t="s">
        <v>1035</v>
      </c>
      <c r="H1851" s="2948" t="s">
        <v>2319</v>
      </c>
      <c r="I1851" s="2948" t="s">
        <v>2248</v>
      </c>
      <c r="J1851" s="2948" t="s">
        <v>643</v>
      </c>
      <c r="K1851" s="2950">
        <v>17.239999999999998</v>
      </c>
      <c r="L1851" s="2950">
        <v>6.92</v>
      </c>
      <c r="M1851" s="2951">
        <v>517200</v>
      </c>
      <c r="N1851" s="2951">
        <v>517200</v>
      </c>
      <c r="O1851" s="2955"/>
      <c r="P1851" s="2948"/>
      <c r="Q1851" s="2951">
        <v>0</v>
      </c>
      <c r="R1851" s="2948"/>
      <c r="S1851" s="2948"/>
      <c r="T1851" s="2948"/>
      <c r="U1851" s="2948"/>
      <c r="V1851" s="2948"/>
      <c r="W1851" s="2944">
        <f t="shared" si="13"/>
        <v>0</v>
      </c>
    </row>
    <row r="1852" spans="1:23" s="2944" customFormat="1" ht="93.6">
      <c r="A1852" s="2948">
        <v>1851</v>
      </c>
      <c r="B1852" s="2948" t="s">
        <v>635</v>
      </c>
      <c r="C1852" s="2948" t="s">
        <v>636</v>
      </c>
      <c r="D1852" s="2948" t="s">
        <v>2286</v>
      </c>
      <c r="E1852" s="2948" t="s">
        <v>1451</v>
      </c>
      <c r="F1852" s="2948" t="s">
        <v>653</v>
      </c>
      <c r="G1852" s="2948" t="s">
        <v>640</v>
      </c>
      <c r="H1852" s="2948" t="s">
        <v>2320</v>
      </c>
      <c r="I1852" s="2948" t="s">
        <v>2248</v>
      </c>
      <c r="J1852" s="2948" t="s">
        <v>643</v>
      </c>
      <c r="K1852" s="2950">
        <v>30.07</v>
      </c>
      <c r="L1852" s="2950">
        <v>12.07</v>
      </c>
      <c r="M1852" s="2951">
        <v>902100</v>
      </c>
      <c r="N1852" s="2951">
        <v>902100</v>
      </c>
      <c r="O1852" s="2952">
        <v>902100</v>
      </c>
      <c r="P1852" s="2953">
        <v>902100</v>
      </c>
      <c r="Q1852" s="2951">
        <v>902100</v>
      </c>
      <c r="R1852" s="2954">
        <v>44557</v>
      </c>
      <c r="S1852" s="2954">
        <v>44561</v>
      </c>
      <c r="T1852" s="2954">
        <v>44778</v>
      </c>
      <c r="U1852" s="2954">
        <v>44778</v>
      </c>
      <c r="V1852" s="2948" t="s">
        <v>1772</v>
      </c>
      <c r="W1852" s="2944">
        <f t="shared" si="13"/>
        <v>30000</v>
      </c>
    </row>
    <row r="1853" spans="1:23" s="2944" customFormat="1" ht="93.6" hidden="1">
      <c r="A1853" s="2948">
        <v>1852</v>
      </c>
      <c r="B1853" s="2948" t="s">
        <v>635</v>
      </c>
      <c r="C1853" s="2948" t="s">
        <v>636</v>
      </c>
      <c r="D1853" s="2948" t="s">
        <v>2286</v>
      </c>
      <c r="E1853" s="2948" t="s">
        <v>1451</v>
      </c>
      <c r="F1853" s="2948" t="s">
        <v>2257</v>
      </c>
      <c r="G1853" s="2948" t="s">
        <v>1035</v>
      </c>
      <c r="H1853" s="2948" t="s">
        <v>2321</v>
      </c>
      <c r="I1853" s="2948" t="s">
        <v>2248</v>
      </c>
      <c r="J1853" s="2948" t="s">
        <v>643</v>
      </c>
      <c r="K1853" s="2950">
        <v>40.04</v>
      </c>
      <c r="L1853" s="2950">
        <v>16.07</v>
      </c>
      <c r="M1853" s="2951">
        <v>1201200</v>
      </c>
      <c r="N1853" s="2951">
        <v>1201200</v>
      </c>
      <c r="O1853" s="2955"/>
      <c r="P1853" s="2948"/>
      <c r="Q1853" s="2951">
        <v>0</v>
      </c>
      <c r="R1853" s="2948"/>
      <c r="S1853" s="2948"/>
      <c r="T1853" s="2948"/>
      <c r="U1853" s="2948"/>
      <c r="V1853" s="2948"/>
      <c r="W1853" s="2944">
        <f t="shared" si="13"/>
        <v>0</v>
      </c>
    </row>
    <row r="1854" spans="1:23" s="2944" customFormat="1" ht="93.6" hidden="1">
      <c r="A1854" s="2948">
        <v>1853</v>
      </c>
      <c r="B1854" s="2948" t="s">
        <v>635</v>
      </c>
      <c r="C1854" s="2948" t="s">
        <v>636</v>
      </c>
      <c r="D1854" s="2948" t="s">
        <v>2286</v>
      </c>
      <c r="E1854" s="2948" t="s">
        <v>1451</v>
      </c>
      <c r="F1854" s="2948" t="s">
        <v>2259</v>
      </c>
      <c r="G1854" s="2948" t="s">
        <v>1035</v>
      </c>
      <c r="H1854" s="2948" t="s">
        <v>2322</v>
      </c>
      <c r="I1854" s="2948" t="s">
        <v>2248</v>
      </c>
      <c r="J1854" s="2948" t="s">
        <v>643</v>
      </c>
      <c r="K1854" s="2950">
        <v>26.34</v>
      </c>
      <c r="L1854" s="2950">
        <v>10.57</v>
      </c>
      <c r="M1854" s="2951">
        <v>790200</v>
      </c>
      <c r="N1854" s="2951">
        <v>790200</v>
      </c>
      <c r="O1854" s="2955"/>
      <c r="P1854" s="2948"/>
      <c r="Q1854" s="2951">
        <v>0</v>
      </c>
      <c r="R1854" s="2948"/>
      <c r="S1854" s="2948"/>
      <c r="T1854" s="2948"/>
      <c r="U1854" s="2948"/>
      <c r="V1854" s="2948"/>
      <c r="W1854" s="2944">
        <f t="shared" si="13"/>
        <v>0</v>
      </c>
    </row>
    <row r="1855" spans="1:23" s="2944" customFormat="1" ht="93.6">
      <c r="A1855" s="2948">
        <v>1854</v>
      </c>
      <c r="B1855" s="2948" t="s">
        <v>635</v>
      </c>
      <c r="C1855" s="2948" t="s">
        <v>636</v>
      </c>
      <c r="D1855" s="2948" t="s">
        <v>2286</v>
      </c>
      <c r="E1855" s="2948" t="s">
        <v>1451</v>
      </c>
      <c r="F1855" s="2948" t="s">
        <v>2258</v>
      </c>
      <c r="G1855" s="2948" t="s">
        <v>640</v>
      </c>
      <c r="H1855" s="2948" t="s">
        <v>2323</v>
      </c>
      <c r="I1855" s="2948" t="s">
        <v>2248</v>
      </c>
      <c r="J1855" s="2948" t="s">
        <v>643</v>
      </c>
      <c r="K1855" s="2950">
        <v>12.61</v>
      </c>
      <c r="L1855" s="2950">
        <v>5.0599999999999996</v>
      </c>
      <c r="M1855" s="2951">
        <v>378300</v>
      </c>
      <c r="N1855" s="2951">
        <v>378300</v>
      </c>
      <c r="O1855" s="2952">
        <v>378300</v>
      </c>
      <c r="P1855" s="2953">
        <v>378300</v>
      </c>
      <c r="Q1855" s="2951">
        <v>378300</v>
      </c>
      <c r="R1855" s="2954">
        <v>44551</v>
      </c>
      <c r="S1855" s="2954">
        <v>44561</v>
      </c>
      <c r="T1855" s="2954">
        <v>44757</v>
      </c>
      <c r="U1855" s="2954">
        <v>44757</v>
      </c>
      <c r="V1855" s="2948" t="s">
        <v>1796</v>
      </c>
      <c r="W1855" s="2944">
        <f t="shared" si="13"/>
        <v>30000</v>
      </c>
    </row>
    <row r="1856" spans="1:23" s="2944" customFormat="1" ht="93.6" hidden="1">
      <c r="A1856" s="2948">
        <v>1855</v>
      </c>
      <c r="B1856" s="2948" t="s">
        <v>635</v>
      </c>
      <c r="C1856" s="2948" t="s">
        <v>636</v>
      </c>
      <c r="D1856" s="2948" t="s">
        <v>2286</v>
      </c>
      <c r="E1856" s="2948" t="s">
        <v>1451</v>
      </c>
      <c r="F1856" s="2948" t="s">
        <v>2261</v>
      </c>
      <c r="G1856" s="2948" t="s">
        <v>1035</v>
      </c>
      <c r="H1856" s="2948" t="s">
        <v>2324</v>
      </c>
      <c r="I1856" s="2948" t="s">
        <v>2248</v>
      </c>
      <c r="J1856" s="2948" t="s">
        <v>643</v>
      </c>
      <c r="K1856" s="2950">
        <v>19.579999999999998</v>
      </c>
      <c r="L1856" s="2950">
        <v>7.86</v>
      </c>
      <c r="M1856" s="2951">
        <v>587400</v>
      </c>
      <c r="N1856" s="2951">
        <v>587400</v>
      </c>
      <c r="O1856" s="2955"/>
      <c r="P1856" s="2948"/>
      <c r="Q1856" s="2951">
        <v>0</v>
      </c>
      <c r="R1856" s="2948"/>
      <c r="S1856" s="2948"/>
      <c r="T1856" s="2948"/>
      <c r="U1856" s="2948"/>
      <c r="V1856" s="2948"/>
      <c r="W1856" s="2944">
        <f t="shared" si="13"/>
        <v>0</v>
      </c>
    </row>
    <row r="1857" spans="1:23" s="2944" customFormat="1" ht="93.6" hidden="1">
      <c r="A1857" s="2948">
        <v>1856</v>
      </c>
      <c r="B1857" s="2948" t="s">
        <v>635</v>
      </c>
      <c r="C1857" s="2948" t="s">
        <v>636</v>
      </c>
      <c r="D1857" s="2948" t="s">
        <v>2286</v>
      </c>
      <c r="E1857" s="2948" t="s">
        <v>1451</v>
      </c>
      <c r="F1857" s="2948" t="s">
        <v>2284</v>
      </c>
      <c r="G1857" s="2948" t="s">
        <v>1035</v>
      </c>
      <c r="H1857" s="2948" t="s">
        <v>2325</v>
      </c>
      <c r="I1857" s="2948" t="s">
        <v>2248</v>
      </c>
      <c r="J1857" s="2948" t="s">
        <v>643</v>
      </c>
      <c r="K1857" s="2950">
        <v>25.02</v>
      </c>
      <c r="L1857" s="2950">
        <v>10.039999999999999</v>
      </c>
      <c r="M1857" s="2951">
        <v>750600</v>
      </c>
      <c r="N1857" s="2951">
        <v>750600</v>
      </c>
      <c r="O1857" s="2955"/>
      <c r="P1857" s="2948"/>
      <c r="Q1857" s="2951">
        <v>0</v>
      </c>
      <c r="R1857" s="2948"/>
      <c r="S1857" s="2948"/>
      <c r="T1857" s="2948"/>
      <c r="U1857" s="2948"/>
      <c r="V1857" s="2948"/>
      <c r="W1857" s="2944">
        <f t="shared" si="13"/>
        <v>0</v>
      </c>
    </row>
    <row r="1858" spans="1:23" s="2944" customFormat="1" ht="93.6">
      <c r="A1858" s="2948">
        <v>1857</v>
      </c>
      <c r="B1858" s="2948" t="s">
        <v>635</v>
      </c>
      <c r="C1858" s="2948" t="s">
        <v>636</v>
      </c>
      <c r="D1858" s="2948" t="s">
        <v>2286</v>
      </c>
      <c r="E1858" s="2948" t="s">
        <v>1455</v>
      </c>
      <c r="F1858" s="2948" t="s">
        <v>645</v>
      </c>
      <c r="G1858" s="2948" t="s">
        <v>640</v>
      </c>
      <c r="H1858" s="2948" t="s">
        <v>2326</v>
      </c>
      <c r="I1858" s="2948" t="s">
        <v>2248</v>
      </c>
      <c r="J1858" s="2948" t="s">
        <v>643</v>
      </c>
      <c r="K1858" s="2950">
        <v>23.72</v>
      </c>
      <c r="L1858" s="2950">
        <v>11.22</v>
      </c>
      <c r="M1858" s="2951">
        <v>711600</v>
      </c>
      <c r="N1858" s="2951">
        <v>711600</v>
      </c>
      <c r="O1858" s="2952">
        <v>711600</v>
      </c>
      <c r="P1858" s="2953">
        <v>711600</v>
      </c>
      <c r="Q1858" s="2951">
        <v>711600</v>
      </c>
      <c r="R1858" s="2954">
        <v>44499</v>
      </c>
      <c r="S1858" s="2954">
        <v>44500</v>
      </c>
      <c r="T1858" s="2954">
        <v>44638</v>
      </c>
      <c r="U1858" s="2954">
        <v>44638</v>
      </c>
      <c r="V1858" s="2948" t="s">
        <v>1695</v>
      </c>
      <c r="W1858" s="2944">
        <f t="shared" si="13"/>
        <v>30000</v>
      </c>
    </row>
    <row r="1859" spans="1:23" s="2944" customFormat="1" ht="93.6">
      <c r="A1859" s="2948">
        <v>1858</v>
      </c>
      <c r="B1859" s="2948" t="s">
        <v>635</v>
      </c>
      <c r="C1859" s="2948" t="s">
        <v>636</v>
      </c>
      <c r="D1859" s="2948" t="s">
        <v>2286</v>
      </c>
      <c r="E1859" s="2948" t="s">
        <v>1455</v>
      </c>
      <c r="F1859" s="2948" t="s">
        <v>2250</v>
      </c>
      <c r="G1859" s="2948" t="s">
        <v>640</v>
      </c>
      <c r="H1859" s="2948" t="s">
        <v>2327</v>
      </c>
      <c r="I1859" s="2948" t="s">
        <v>2248</v>
      </c>
      <c r="J1859" s="2948" t="s">
        <v>643</v>
      </c>
      <c r="K1859" s="2950">
        <v>23.72</v>
      </c>
      <c r="L1859" s="2950">
        <v>11.22</v>
      </c>
      <c r="M1859" s="2951">
        <v>711600</v>
      </c>
      <c r="N1859" s="2951">
        <v>711600</v>
      </c>
      <c r="O1859" s="2952">
        <v>704484</v>
      </c>
      <c r="P1859" s="2953">
        <v>704484</v>
      </c>
      <c r="Q1859" s="2951">
        <v>704484</v>
      </c>
      <c r="R1859" s="2954">
        <v>44452</v>
      </c>
      <c r="S1859" s="2954">
        <v>44469</v>
      </c>
      <c r="T1859" s="2954">
        <v>44642</v>
      </c>
      <c r="U1859" s="2954">
        <v>44642</v>
      </c>
      <c r="V1859" s="2948" t="s">
        <v>1670</v>
      </c>
      <c r="W1859" s="2944">
        <f t="shared" si="13"/>
        <v>29700</v>
      </c>
    </row>
    <row r="1860" spans="1:23" s="2944" customFormat="1" ht="93.6" hidden="1">
      <c r="A1860" s="2948">
        <v>1859</v>
      </c>
      <c r="B1860" s="2948" t="s">
        <v>635</v>
      </c>
      <c r="C1860" s="2948" t="s">
        <v>636</v>
      </c>
      <c r="D1860" s="2948" t="s">
        <v>2286</v>
      </c>
      <c r="E1860" s="2948" t="s">
        <v>1455</v>
      </c>
      <c r="F1860" s="2948" t="s">
        <v>2249</v>
      </c>
      <c r="G1860" s="2948" t="s">
        <v>1035</v>
      </c>
      <c r="H1860" s="2948" t="s">
        <v>2328</v>
      </c>
      <c r="I1860" s="2948" t="s">
        <v>2248</v>
      </c>
      <c r="J1860" s="2948" t="s">
        <v>643</v>
      </c>
      <c r="K1860" s="2950">
        <v>18.059999999999999</v>
      </c>
      <c r="L1860" s="2950">
        <v>8.5399999999999991</v>
      </c>
      <c r="M1860" s="2951">
        <v>541800</v>
      </c>
      <c r="N1860" s="2951">
        <v>541800</v>
      </c>
      <c r="O1860" s="2955"/>
      <c r="P1860" s="2948"/>
      <c r="Q1860" s="2951">
        <v>0</v>
      </c>
      <c r="R1860" s="2948"/>
      <c r="S1860" s="2948"/>
      <c r="T1860" s="2948"/>
      <c r="U1860" s="2948"/>
      <c r="V1860" s="2948"/>
      <c r="W1860" s="2944">
        <f t="shared" si="13"/>
        <v>0</v>
      </c>
    </row>
    <row r="1861" spans="1:23" s="2944" customFormat="1" ht="93.6" hidden="1">
      <c r="A1861" s="2948">
        <v>1860</v>
      </c>
      <c r="B1861" s="2948" t="s">
        <v>635</v>
      </c>
      <c r="C1861" s="2948" t="s">
        <v>636</v>
      </c>
      <c r="D1861" s="2948" t="s">
        <v>2286</v>
      </c>
      <c r="E1861" s="2948" t="s">
        <v>1455</v>
      </c>
      <c r="F1861" s="2948" t="s">
        <v>2247</v>
      </c>
      <c r="G1861" s="2948" t="s">
        <v>1035</v>
      </c>
      <c r="H1861" s="2948" t="s">
        <v>2329</v>
      </c>
      <c r="I1861" s="2948" t="s">
        <v>2248</v>
      </c>
      <c r="J1861" s="2948" t="s">
        <v>643</v>
      </c>
      <c r="K1861" s="2950">
        <v>11.14</v>
      </c>
      <c r="L1861" s="2950">
        <v>5.27</v>
      </c>
      <c r="M1861" s="2951">
        <v>334200</v>
      </c>
      <c r="N1861" s="2951">
        <v>334200</v>
      </c>
      <c r="O1861" s="2955"/>
      <c r="P1861" s="2948"/>
      <c r="Q1861" s="2951">
        <v>0</v>
      </c>
      <c r="R1861" s="2948"/>
      <c r="S1861" s="2948"/>
      <c r="T1861" s="2948"/>
      <c r="U1861" s="2948"/>
      <c r="V1861" s="2948"/>
      <c r="W1861" s="2944">
        <f t="shared" si="13"/>
        <v>0</v>
      </c>
    </row>
    <row r="1862" spans="1:23" s="2944" customFormat="1" ht="93.6" hidden="1">
      <c r="A1862" s="2948">
        <v>1861</v>
      </c>
      <c r="B1862" s="2948" t="s">
        <v>635</v>
      </c>
      <c r="C1862" s="2948" t="s">
        <v>636</v>
      </c>
      <c r="D1862" s="2948" t="s">
        <v>2286</v>
      </c>
      <c r="E1862" s="2948" t="s">
        <v>1455</v>
      </c>
      <c r="F1862" s="2948" t="s">
        <v>2267</v>
      </c>
      <c r="G1862" s="2948" t="s">
        <v>1035</v>
      </c>
      <c r="H1862" s="2948" t="s">
        <v>2330</v>
      </c>
      <c r="I1862" s="2948" t="s">
        <v>2248</v>
      </c>
      <c r="J1862" s="2948" t="s">
        <v>643</v>
      </c>
      <c r="K1862" s="2950">
        <v>28.8</v>
      </c>
      <c r="L1862" s="2950">
        <v>13.62</v>
      </c>
      <c r="M1862" s="2951">
        <v>864000</v>
      </c>
      <c r="N1862" s="2951">
        <v>864000</v>
      </c>
      <c r="O1862" s="2955"/>
      <c r="P1862" s="2948"/>
      <c r="Q1862" s="2951">
        <v>0</v>
      </c>
      <c r="R1862" s="2948"/>
      <c r="S1862" s="2948"/>
      <c r="T1862" s="2948"/>
      <c r="U1862" s="2948"/>
      <c r="V1862" s="2948"/>
      <c r="W1862" s="2944">
        <f t="shared" si="13"/>
        <v>0</v>
      </c>
    </row>
    <row r="1863" spans="1:23" s="2944" customFormat="1" ht="93.6">
      <c r="A1863" s="2948">
        <v>1862</v>
      </c>
      <c r="B1863" s="2948" t="s">
        <v>635</v>
      </c>
      <c r="C1863" s="2948" t="s">
        <v>636</v>
      </c>
      <c r="D1863" s="2948" t="s">
        <v>2286</v>
      </c>
      <c r="E1863" s="2948" t="s">
        <v>1455</v>
      </c>
      <c r="F1863" s="2948" t="s">
        <v>2266</v>
      </c>
      <c r="G1863" s="2948" t="s">
        <v>640</v>
      </c>
      <c r="H1863" s="2948" t="s">
        <v>2331</v>
      </c>
      <c r="I1863" s="2948" t="s">
        <v>2248</v>
      </c>
      <c r="J1863" s="2948" t="s">
        <v>643</v>
      </c>
      <c r="K1863" s="2950">
        <v>24.46</v>
      </c>
      <c r="L1863" s="2950">
        <v>11.57</v>
      </c>
      <c r="M1863" s="2951">
        <v>733800</v>
      </c>
      <c r="N1863" s="2951">
        <v>733800</v>
      </c>
      <c r="O1863" s="2952">
        <v>733800</v>
      </c>
      <c r="P1863" s="2953">
        <v>733800</v>
      </c>
      <c r="Q1863" s="2951">
        <v>733800</v>
      </c>
      <c r="R1863" s="2954">
        <v>44453</v>
      </c>
      <c r="S1863" s="2954">
        <v>44459</v>
      </c>
      <c r="T1863" s="2954">
        <v>44502</v>
      </c>
      <c r="U1863" s="2954">
        <v>44502</v>
      </c>
      <c r="V1863" s="2948" t="s">
        <v>1664</v>
      </c>
      <c r="W1863" s="2944">
        <f t="shared" si="13"/>
        <v>30000</v>
      </c>
    </row>
    <row r="1864" spans="1:23" s="2944" customFormat="1" ht="93.6">
      <c r="A1864" s="2948">
        <v>1863</v>
      </c>
      <c r="B1864" s="2948" t="s">
        <v>635</v>
      </c>
      <c r="C1864" s="2948" t="s">
        <v>636</v>
      </c>
      <c r="D1864" s="2948" t="s">
        <v>2286</v>
      </c>
      <c r="E1864" s="2948" t="s">
        <v>1455</v>
      </c>
      <c r="F1864" s="2948" t="s">
        <v>2265</v>
      </c>
      <c r="G1864" s="2948" t="s">
        <v>640</v>
      </c>
      <c r="H1864" s="2948" t="s">
        <v>2331</v>
      </c>
      <c r="I1864" s="2948" t="s">
        <v>2248</v>
      </c>
      <c r="J1864" s="2948" t="s">
        <v>643</v>
      </c>
      <c r="K1864" s="2950">
        <v>24.46</v>
      </c>
      <c r="L1864" s="2950">
        <v>11.57</v>
      </c>
      <c r="M1864" s="2951">
        <v>733800</v>
      </c>
      <c r="N1864" s="2951">
        <v>733800</v>
      </c>
      <c r="O1864" s="2952">
        <v>733800</v>
      </c>
      <c r="P1864" s="2953">
        <v>733800</v>
      </c>
      <c r="Q1864" s="2951">
        <v>733800</v>
      </c>
      <c r="R1864" s="2954">
        <v>44481</v>
      </c>
      <c r="S1864" s="2954">
        <v>44485</v>
      </c>
      <c r="T1864" s="2954">
        <v>44515</v>
      </c>
      <c r="U1864" s="2954">
        <v>44515</v>
      </c>
      <c r="V1864" s="2948" t="s">
        <v>1699</v>
      </c>
      <c r="W1864" s="2944">
        <f t="shared" si="13"/>
        <v>30000</v>
      </c>
    </row>
    <row r="1865" spans="1:23" s="2944" customFormat="1" ht="93.6" hidden="1">
      <c r="A1865" s="2948">
        <v>1864</v>
      </c>
      <c r="B1865" s="2948" t="s">
        <v>635</v>
      </c>
      <c r="C1865" s="2948" t="s">
        <v>636</v>
      </c>
      <c r="D1865" s="2948" t="s">
        <v>2286</v>
      </c>
      <c r="E1865" s="2948" t="s">
        <v>1455</v>
      </c>
      <c r="F1865" s="2948" t="s">
        <v>2264</v>
      </c>
      <c r="G1865" s="2948" t="s">
        <v>1035</v>
      </c>
      <c r="H1865" s="2948" t="s">
        <v>2330</v>
      </c>
      <c r="I1865" s="2948" t="s">
        <v>2248</v>
      </c>
      <c r="J1865" s="2948" t="s">
        <v>643</v>
      </c>
      <c r="K1865" s="2950">
        <v>28.8</v>
      </c>
      <c r="L1865" s="2950">
        <v>13.62</v>
      </c>
      <c r="M1865" s="2951">
        <v>864000</v>
      </c>
      <c r="N1865" s="2951">
        <v>864000</v>
      </c>
      <c r="O1865" s="2955"/>
      <c r="P1865" s="2948"/>
      <c r="Q1865" s="2951">
        <v>0</v>
      </c>
      <c r="R1865" s="2948"/>
      <c r="S1865" s="2948"/>
      <c r="T1865" s="2948"/>
      <c r="U1865" s="2948"/>
      <c r="V1865" s="2948"/>
      <c r="W1865" s="2944">
        <f t="shared" si="13"/>
        <v>0</v>
      </c>
    </row>
    <row r="1866" spans="1:23" s="2944" customFormat="1" ht="93.6" hidden="1">
      <c r="A1866" s="2948">
        <v>1865</v>
      </c>
      <c r="B1866" s="2948" t="s">
        <v>635</v>
      </c>
      <c r="C1866" s="2948" t="s">
        <v>636</v>
      </c>
      <c r="D1866" s="2948" t="s">
        <v>2286</v>
      </c>
      <c r="E1866" s="2948" t="s">
        <v>1455</v>
      </c>
      <c r="F1866" s="2948" t="s">
        <v>2263</v>
      </c>
      <c r="G1866" s="2948" t="s">
        <v>1035</v>
      </c>
      <c r="H1866" s="2948" t="s">
        <v>2329</v>
      </c>
      <c r="I1866" s="2948" t="s">
        <v>2248</v>
      </c>
      <c r="J1866" s="2948" t="s">
        <v>643</v>
      </c>
      <c r="K1866" s="2950">
        <v>11.14</v>
      </c>
      <c r="L1866" s="2950">
        <v>5.27</v>
      </c>
      <c r="M1866" s="2951">
        <v>334200</v>
      </c>
      <c r="N1866" s="2951">
        <v>334200</v>
      </c>
      <c r="O1866" s="2955"/>
      <c r="P1866" s="2948"/>
      <c r="Q1866" s="2951">
        <v>0</v>
      </c>
      <c r="R1866" s="2948"/>
      <c r="S1866" s="2948"/>
      <c r="T1866" s="2948"/>
      <c r="U1866" s="2948"/>
      <c r="V1866" s="2948"/>
      <c r="W1866" s="2944">
        <f t="shared" si="13"/>
        <v>0</v>
      </c>
    </row>
    <row r="1867" spans="1:23" s="2944" customFormat="1" ht="93.6" hidden="1">
      <c r="A1867" s="2948">
        <v>1866</v>
      </c>
      <c r="B1867" s="2948" t="s">
        <v>635</v>
      </c>
      <c r="C1867" s="2948" t="s">
        <v>636</v>
      </c>
      <c r="D1867" s="2948" t="s">
        <v>2286</v>
      </c>
      <c r="E1867" s="2948" t="s">
        <v>1455</v>
      </c>
      <c r="F1867" s="2948" t="s">
        <v>2262</v>
      </c>
      <c r="G1867" s="2948" t="s">
        <v>1035</v>
      </c>
      <c r="H1867" s="2948" t="s">
        <v>2328</v>
      </c>
      <c r="I1867" s="2948" t="s">
        <v>2248</v>
      </c>
      <c r="J1867" s="2948" t="s">
        <v>643</v>
      </c>
      <c r="K1867" s="2950">
        <v>18.059999999999999</v>
      </c>
      <c r="L1867" s="2950">
        <v>8.5399999999999991</v>
      </c>
      <c r="M1867" s="2951">
        <v>541800</v>
      </c>
      <c r="N1867" s="2951">
        <v>541800</v>
      </c>
      <c r="O1867" s="2955"/>
      <c r="P1867" s="2948"/>
      <c r="Q1867" s="2951">
        <v>0</v>
      </c>
      <c r="R1867" s="2948"/>
      <c r="S1867" s="2948"/>
      <c r="T1867" s="2948"/>
      <c r="U1867" s="2948"/>
      <c r="V1867" s="2948"/>
      <c r="W1867" s="2944">
        <f t="shared" si="13"/>
        <v>0</v>
      </c>
    </row>
    <row r="1868" spans="1:23" s="2944" customFormat="1" ht="93.6">
      <c r="A1868" s="2948">
        <v>1867</v>
      </c>
      <c r="B1868" s="2948" t="s">
        <v>635</v>
      </c>
      <c r="C1868" s="2948" t="s">
        <v>636</v>
      </c>
      <c r="D1868" s="2948" t="s">
        <v>2286</v>
      </c>
      <c r="E1868" s="2948" t="s">
        <v>1455</v>
      </c>
      <c r="F1868" s="2948" t="s">
        <v>651</v>
      </c>
      <c r="G1868" s="2948" t="s">
        <v>640</v>
      </c>
      <c r="H1868" s="2948" t="s">
        <v>2332</v>
      </c>
      <c r="I1868" s="2948" t="s">
        <v>2248</v>
      </c>
      <c r="J1868" s="2948" t="s">
        <v>643</v>
      </c>
      <c r="K1868" s="2950">
        <v>23.62</v>
      </c>
      <c r="L1868" s="2950">
        <v>11.17</v>
      </c>
      <c r="M1868" s="2951">
        <v>708600</v>
      </c>
      <c r="N1868" s="2951">
        <v>708600</v>
      </c>
      <c r="O1868" s="2952">
        <v>708600</v>
      </c>
      <c r="P1868" s="2953">
        <v>708600</v>
      </c>
      <c r="Q1868" s="2951">
        <v>708600</v>
      </c>
      <c r="R1868" s="2954">
        <v>44494</v>
      </c>
      <c r="S1868" s="2954">
        <v>44496</v>
      </c>
      <c r="T1868" s="2954">
        <v>44517</v>
      </c>
      <c r="U1868" s="2954">
        <v>44517</v>
      </c>
      <c r="V1868" s="2948" t="s">
        <v>1693</v>
      </c>
      <c r="W1868" s="2944">
        <f t="shared" si="13"/>
        <v>30000</v>
      </c>
    </row>
    <row r="1869" spans="1:23" s="2944" customFormat="1" ht="93.6" hidden="1">
      <c r="A1869" s="2948">
        <v>1868</v>
      </c>
      <c r="B1869" s="2948" t="s">
        <v>635</v>
      </c>
      <c r="C1869" s="2948" t="s">
        <v>636</v>
      </c>
      <c r="D1869" s="2948" t="s">
        <v>2286</v>
      </c>
      <c r="E1869" s="2948" t="s">
        <v>1455</v>
      </c>
      <c r="F1869" s="2948" t="s">
        <v>648</v>
      </c>
      <c r="G1869" s="2948" t="s">
        <v>1035</v>
      </c>
      <c r="H1869" s="2948" t="s">
        <v>2333</v>
      </c>
      <c r="I1869" s="2948" t="s">
        <v>2248</v>
      </c>
      <c r="J1869" s="2948" t="s">
        <v>643</v>
      </c>
      <c r="K1869" s="2950">
        <v>60.64</v>
      </c>
      <c r="L1869" s="2950">
        <v>28.68</v>
      </c>
      <c r="M1869" s="2951">
        <v>1819200</v>
      </c>
      <c r="N1869" s="2951">
        <v>1819200</v>
      </c>
      <c r="O1869" s="2955"/>
      <c r="P1869" s="2948"/>
      <c r="Q1869" s="2951">
        <v>0</v>
      </c>
      <c r="R1869" s="2948"/>
      <c r="S1869" s="2948"/>
      <c r="T1869" s="2948"/>
      <c r="U1869" s="2948"/>
      <c r="V1869" s="2948"/>
      <c r="W1869" s="2944">
        <f t="shared" si="13"/>
        <v>0</v>
      </c>
    </row>
    <row r="1870" spans="1:23" s="2944" customFormat="1" ht="93.6">
      <c r="A1870" s="2948">
        <v>1869</v>
      </c>
      <c r="B1870" s="2948" t="s">
        <v>635</v>
      </c>
      <c r="C1870" s="2948" t="s">
        <v>636</v>
      </c>
      <c r="D1870" s="2948" t="s">
        <v>2286</v>
      </c>
      <c r="E1870" s="2948" t="s">
        <v>1455</v>
      </c>
      <c r="F1870" s="2948" t="s">
        <v>2256</v>
      </c>
      <c r="G1870" s="2948" t="s">
        <v>640</v>
      </c>
      <c r="H1870" s="2948" t="s">
        <v>2334</v>
      </c>
      <c r="I1870" s="2948" t="s">
        <v>2248</v>
      </c>
      <c r="J1870" s="2948" t="s">
        <v>643</v>
      </c>
      <c r="K1870" s="2950">
        <v>23.28</v>
      </c>
      <c r="L1870" s="2950">
        <v>11.01</v>
      </c>
      <c r="M1870" s="2951">
        <v>698400</v>
      </c>
      <c r="N1870" s="2951">
        <v>698400</v>
      </c>
      <c r="O1870" s="2952">
        <v>663480</v>
      </c>
      <c r="P1870" s="2953">
        <v>663480</v>
      </c>
      <c r="Q1870" s="2951">
        <v>663480</v>
      </c>
      <c r="R1870" s="2954">
        <v>44498</v>
      </c>
      <c r="S1870" s="2954">
        <v>44499</v>
      </c>
      <c r="T1870" s="2954">
        <v>44883</v>
      </c>
      <c r="U1870" s="2954">
        <v>44883</v>
      </c>
      <c r="V1870" s="2948" t="s">
        <v>1689</v>
      </c>
      <c r="W1870" s="2944">
        <f t="shared" si="13"/>
        <v>28500</v>
      </c>
    </row>
    <row r="1871" spans="1:23" s="2944" customFormat="1" ht="93.6">
      <c r="A1871" s="2948">
        <v>1870</v>
      </c>
      <c r="B1871" s="2948" t="s">
        <v>635</v>
      </c>
      <c r="C1871" s="2948" t="s">
        <v>636</v>
      </c>
      <c r="D1871" s="2948" t="s">
        <v>2286</v>
      </c>
      <c r="E1871" s="2948" t="s">
        <v>1455</v>
      </c>
      <c r="F1871" s="2948" t="s">
        <v>2255</v>
      </c>
      <c r="G1871" s="2948" t="s">
        <v>640</v>
      </c>
      <c r="H1871" s="2948" t="s">
        <v>2335</v>
      </c>
      <c r="I1871" s="2948" t="s">
        <v>2248</v>
      </c>
      <c r="J1871" s="2948" t="s">
        <v>643</v>
      </c>
      <c r="K1871" s="2950">
        <v>21.06</v>
      </c>
      <c r="L1871" s="2950">
        <v>9.9600000000000009</v>
      </c>
      <c r="M1871" s="2951">
        <v>631800</v>
      </c>
      <c r="N1871" s="2951">
        <v>631800</v>
      </c>
      <c r="O1871" s="2952">
        <v>631800</v>
      </c>
      <c r="P1871" s="2953">
        <v>631800</v>
      </c>
      <c r="Q1871" s="2951">
        <v>631800</v>
      </c>
      <c r="R1871" s="2954">
        <v>44491</v>
      </c>
      <c r="S1871" s="2954">
        <v>44561</v>
      </c>
      <c r="T1871" s="2954">
        <v>44726</v>
      </c>
      <c r="U1871" s="2954">
        <v>44726</v>
      </c>
      <c r="V1871" s="2948" t="s">
        <v>1681</v>
      </c>
      <c r="W1871" s="2944">
        <f t="shared" si="13"/>
        <v>30000</v>
      </c>
    </row>
    <row r="1872" spans="1:23" s="2944" customFormat="1" ht="93.6">
      <c r="A1872" s="2948">
        <v>1871</v>
      </c>
      <c r="B1872" s="2948" t="s">
        <v>635</v>
      </c>
      <c r="C1872" s="2948" t="s">
        <v>636</v>
      </c>
      <c r="D1872" s="2948" t="s">
        <v>2286</v>
      </c>
      <c r="E1872" s="2948" t="s">
        <v>1455</v>
      </c>
      <c r="F1872" s="2948" t="s">
        <v>2254</v>
      </c>
      <c r="G1872" s="2948" t="s">
        <v>640</v>
      </c>
      <c r="H1872" s="2948" t="s">
        <v>2336</v>
      </c>
      <c r="I1872" s="2948" t="s">
        <v>2248</v>
      </c>
      <c r="J1872" s="2948" t="s">
        <v>643</v>
      </c>
      <c r="K1872" s="2950">
        <v>16.37</v>
      </c>
      <c r="L1872" s="2950">
        <v>7.74</v>
      </c>
      <c r="M1872" s="2951">
        <v>491100</v>
      </c>
      <c r="N1872" s="2951">
        <v>491100</v>
      </c>
      <c r="O1872" s="2952">
        <v>491100</v>
      </c>
      <c r="P1872" s="2953">
        <v>491100</v>
      </c>
      <c r="Q1872" s="2951">
        <v>491100</v>
      </c>
      <c r="R1872" s="2954">
        <v>44525</v>
      </c>
      <c r="S1872" s="2954">
        <v>44528</v>
      </c>
      <c r="T1872" s="2954">
        <v>44639</v>
      </c>
      <c r="U1872" s="2954">
        <v>44639</v>
      </c>
      <c r="V1872" s="2948" t="s">
        <v>1685</v>
      </c>
      <c r="W1872" s="2944">
        <f t="shared" si="13"/>
        <v>30000</v>
      </c>
    </row>
    <row r="1873" spans="1:23" s="2944" customFormat="1" ht="93.6">
      <c r="A1873" s="2948">
        <v>1872</v>
      </c>
      <c r="B1873" s="2948" t="s">
        <v>635</v>
      </c>
      <c r="C1873" s="2948" t="s">
        <v>636</v>
      </c>
      <c r="D1873" s="2948" t="s">
        <v>2286</v>
      </c>
      <c r="E1873" s="2948" t="s">
        <v>1455</v>
      </c>
      <c r="F1873" s="2948" t="s">
        <v>2253</v>
      </c>
      <c r="G1873" s="2948" t="s">
        <v>640</v>
      </c>
      <c r="H1873" s="2948" t="s">
        <v>2337</v>
      </c>
      <c r="I1873" s="2948" t="s">
        <v>2248</v>
      </c>
      <c r="J1873" s="2948" t="s">
        <v>643</v>
      </c>
      <c r="K1873" s="2950">
        <v>15.35</v>
      </c>
      <c r="L1873" s="2950">
        <v>7.26</v>
      </c>
      <c r="M1873" s="2951">
        <v>460500</v>
      </c>
      <c r="N1873" s="2951">
        <v>460500</v>
      </c>
      <c r="O1873" s="2952">
        <v>460500</v>
      </c>
      <c r="P1873" s="2953">
        <v>460500</v>
      </c>
      <c r="Q1873" s="2951">
        <v>460500</v>
      </c>
      <c r="R1873" s="2954">
        <v>44517</v>
      </c>
      <c r="S1873" s="2954">
        <v>44620</v>
      </c>
      <c r="T1873" s="2954">
        <v>44785</v>
      </c>
      <c r="U1873" s="2954">
        <v>44785</v>
      </c>
      <c r="V1873" s="2948" t="s">
        <v>1688</v>
      </c>
      <c r="W1873" s="2944">
        <f t="shared" si="13"/>
        <v>30000</v>
      </c>
    </row>
    <row r="1874" spans="1:23" s="2944" customFormat="1" ht="93.6">
      <c r="A1874" s="2948">
        <v>1873</v>
      </c>
      <c r="B1874" s="2948" t="s">
        <v>635</v>
      </c>
      <c r="C1874" s="2948" t="s">
        <v>636</v>
      </c>
      <c r="D1874" s="2948" t="s">
        <v>2286</v>
      </c>
      <c r="E1874" s="2948" t="s">
        <v>1455</v>
      </c>
      <c r="F1874" s="2948" t="s">
        <v>2252</v>
      </c>
      <c r="G1874" s="2948" t="s">
        <v>640</v>
      </c>
      <c r="H1874" s="2948" t="s">
        <v>2338</v>
      </c>
      <c r="I1874" s="2948" t="s">
        <v>2248</v>
      </c>
      <c r="J1874" s="2948" t="s">
        <v>643</v>
      </c>
      <c r="K1874" s="2950">
        <v>19.79</v>
      </c>
      <c r="L1874" s="2950">
        <v>9.36</v>
      </c>
      <c r="M1874" s="2951">
        <v>593700</v>
      </c>
      <c r="N1874" s="2951">
        <v>593700</v>
      </c>
      <c r="O1874" s="2952">
        <v>593700</v>
      </c>
      <c r="P1874" s="2953">
        <v>593700</v>
      </c>
      <c r="Q1874" s="2951">
        <v>593700</v>
      </c>
      <c r="R1874" s="2954">
        <v>44453</v>
      </c>
      <c r="S1874" s="2954">
        <v>44459</v>
      </c>
      <c r="T1874" s="2954">
        <v>44524</v>
      </c>
      <c r="U1874" s="2954">
        <v>44524</v>
      </c>
      <c r="V1874" s="2948" t="s">
        <v>1648</v>
      </c>
      <c r="W1874" s="2944">
        <f t="shared" si="13"/>
        <v>30000</v>
      </c>
    </row>
    <row r="1875" spans="1:23" s="2944" customFormat="1" ht="93.6">
      <c r="A1875" s="2948">
        <v>1874</v>
      </c>
      <c r="B1875" s="2948" t="s">
        <v>635</v>
      </c>
      <c r="C1875" s="2948" t="s">
        <v>636</v>
      </c>
      <c r="D1875" s="2948" t="s">
        <v>2286</v>
      </c>
      <c r="E1875" s="2948" t="s">
        <v>1455</v>
      </c>
      <c r="F1875" s="2948" t="s">
        <v>2251</v>
      </c>
      <c r="G1875" s="2948" t="s">
        <v>640</v>
      </c>
      <c r="H1875" s="2948" t="s">
        <v>2337</v>
      </c>
      <c r="I1875" s="2948" t="s">
        <v>2248</v>
      </c>
      <c r="J1875" s="2948" t="s">
        <v>643</v>
      </c>
      <c r="K1875" s="2950">
        <v>15.35</v>
      </c>
      <c r="L1875" s="2950">
        <v>7.26</v>
      </c>
      <c r="M1875" s="2951">
        <v>460500</v>
      </c>
      <c r="N1875" s="2951">
        <v>460500</v>
      </c>
      <c r="O1875" s="2952">
        <v>460500</v>
      </c>
      <c r="P1875" s="2953">
        <v>460500</v>
      </c>
      <c r="Q1875" s="2951">
        <v>460500</v>
      </c>
      <c r="R1875" s="2954">
        <v>44530</v>
      </c>
      <c r="S1875" s="2954">
        <v>44530</v>
      </c>
      <c r="T1875" s="2954">
        <v>44637</v>
      </c>
      <c r="U1875" s="2954">
        <v>44637</v>
      </c>
      <c r="V1875" s="2948" t="s">
        <v>1691</v>
      </c>
      <c r="W1875" s="2944">
        <f t="shared" si="13"/>
        <v>30000</v>
      </c>
    </row>
    <row r="1876" spans="1:23" s="2944" customFormat="1" ht="93.6">
      <c r="A1876" s="2948">
        <v>1875</v>
      </c>
      <c r="B1876" s="2948" t="s">
        <v>635</v>
      </c>
      <c r="C1876" s="2948" t="s">
        <v>636</v>
      </c>
      <c r="D1876" s="2948" t="s">
        <v>2286</v>
      </c>
      <c r="E1876" s="2948" t="s">
        <v>1455</v>
      </c>
      <c r="F1876" s="2948" t="s">
        <v>2276</v>
      </c>
      <c r="G1876" s="2948" t="s">
        <v>640</v>
      </c>
      <c r="H1876" s="2948" t="s">
        <v>2339</v>
      </c>
      <c r="I1876" s="2948" t="s">
        <v>2248</v>
      </c>
      <c r="J1876" s="2948" t="s">
        <v>643</v>
      </c>
      <c r="K1876" s="2950">
        <v>16.37</v>
      </c>
      <c r="L1876" s="2950">
        <v>7.74</v>
      </c>
      <c r="M1876" s="2951">
        <v>491100</v>
      </c>
      <c r="N1876" s="2951">
        <v>491100</v>
      </c>
      <c r="O1876" s="2952">
        <v>491100</v>
      </c>
      <c r="P1876" s="2953">
        <v>491100</v>
      </c>
      <c r="Q1876" s="2951">
        <v>491100</v>
      </c>
      <c r="R1876" s="2954">
        <v>44453</v>
      </c>
      <c r="S1876" s="2954">
        <v>44457</v>
      </c>
      <c r="T1876" s="2954">
        <v>44502</v>
      </c>
      <c r="U1876" s="2954">
        <v>44502</v>
      </c>
      <c r="V1876" s="2948" t="s">
        <v>1646</v>
      </c>
      <c r="W1876" s="2944">
        <f t="shared" si="13"/>
        <v>30000</v>
      </c>
    </row>
    <row r="1877" spans="1:23" s="2944" customFormat="1" ht="93.6">
      <c r="A1877" s="2948">
        <v>1876</v>
      </c>
      <c r="B1877" s="2948" t="s">
        <v>635</v>
      </c>
      <c r="C1877" s="2948" t="s">
        <v>636</v>
      </c>
      <c r="D1877" s="2948" t="s">
        <v>2286</v>
      </c>
      <c r="E1877" s="2948" t="s">
        <v>1455</v>
      </c>
      <c r="F1877" s="2948" t="s">
        <v>2275</v>
      </c>
      <c r="G1877" s="2948" t="s">
        <v>640</v>
      </c>
      <c r="H1877" s="2948" t="s">
        <v>2335</v>
      </c>
      <c r="I1877" s="2948" t="s">
        <v>2248</v>
      </c>
      <c r="J1877" s="2948" t="s">
        <v>643</v>
      </c>
      <c r="K1877" s="2950">
        <v>21.06</v>
      </c>
      <c r="L1877" s="2950">
        <v>9.9600000000000009</v>
      </c>
      <c r="M1877" s="2951">
        <v>631800</v>
      </c>
      <c r="N1877" s="2951">
        <v>631800</v>
      </c>
      <c r="O1877" s="2952">
        <v>631800</v>
      </c>
      <c r="P1877" s="2953">
        <v>631800</v>
      </c>
      <c r="Q1877" s="2951">
        <v>631800</v>
      </c>
      <c r="R1877" s="2954">
        <v>44453</v>
      </c>
      <c r="S1877" s="2954">
        <v>44459</v>
      </c>
      <c r="T1877" s="2954">
        <v>44502</v>
      </c>
      <c r="U1877" s="2954">
        <v>44502</v>
      </c>
      <c r="V1877" s="2948" t="s">
        <v>1650</v>
      </c>
      <c r="W1877" s="2944">
        <f t="shared" si="13"/>
        <v>30000</v>
      </c>
    </row>
    <row r="1878" spans="1:23" s="2944" customFormat="1" ht="93.6">
      <c r="A1878" s="2948">
        <v>1877</v>
      </c>
      <c r="B1878" s="2948" t="s">
        <v>635</v>
      </c>
      <c r="C1878" s="2948" t="s">
        <v>636</v>
      </c>
      <c r="D1878" s="2948" t="s">
        <v>2286</v>
      </c>
      <c r="E1878" s="2948" t="s">
        <v>1455</v>
      </c>
      <c r="F1878" s="2948" t="s">
        <v>2274</v>
      </c>
      <c r="G1878" s="2948" t="s">
        <v>640</v>
      </c>
      <c r="H1878" s="2948" t="s">
        <v>2340</v>
      </c>
      <c r="I1878" s="2948" t="s">
        <v>2248</v>
      </c>
      <c r="J1878" s="2948" t="s">
        <v>643</v>
      </c>
      <c r="K1878" s="2950">
        <v>23.28</v>
      </c>
      <c r="L1878" s="2950">
        <v>11.01</v>
      </c>
      <c r="M1878" s="2951">
        <v>698400</v>
      </c>
      <c r="N1878" s="2951">
        <v>698400</v>
      </c>
      <c r="O1878" s="2952">
        <v>698400</v>
      </c>
      <c r="P1878" s="2953">
        <v>698400</v>
      </c>
      <c r="Q1878" s="2951">
        <v>698400</v>
      </c>
      <c r="R1878" s="2954">
        <v>44454</v>
      </c>
      <c r="S1878" s="2954">
        <v>44462</v>
      </c>
      <c r="T1878" s="2954">
        <v>44738</v>
      </c>
      <c r="U1878" s="2954">
        <v>44738</v>
      </c>
      <c r="V1878" s="2948" t="s">
        <v>1654</v>
      </c>
      <c r="W1878" s="2944">
        <f t="shared" si="13"/>
        <v>30000</v>
      </c>
    </row>
    <row r="1879" spans="1:23" s="2944" customFormat="1" ht="93.6" hidden="1">
      <c r="A1879" s="2948">
        <v>1878</v>
      </c>
      <c r="B1879" s="2948" t="s">
        <v>635</v>
      </c>
      <c r="C1879" s="2948" t="s">
        <v>636</v>
      </c>
      <c r="D1879" s="2948" t="s">
        <v>2286</v>
      </c>
      <c r="E1879" s="2948" t="s">
        <v>1455</v>
      </c>
      <c r="F1879" s="2948" t="s">
        <v>2273</v>
      </c>
      <c r="G1879" s="2948" t="s">
        <v>1035</v>
      </c>
      <c r="H1879" s="2948" t="s">
        <v>2333</v>
      </c>
      <c r="I1879" s="2948" t="s">
        <v>2248</v>
      </c>
      <c r="J1879" s="2948" t="s">
        <v>643</v>
      </c>
      <c r="K1879" s="2950">
        <v>60.64</v>
      </c>
      <c r="L1879" s="2950">
        <v>28.68</v>
      </c>
      <c r="M1879" s="2951">
        <v>1819200</v>
      </c>
      <c r="N1879" s="2951">
        <v>1819200</v>
      </c>
      <c r="O1879" s="2955"/>
      <c r="P1879" s="2948"/>
      <c r="Q1879" s="2951">
        <v>0</v>
      </c>
      <c r="R1879" s="2948"/>
      <c r="S1879" s="2948"/>
      <c r="T1879" s="2948"/>
      <c r="U1879" s="2948"/>
      <c r="V1879" s="2948"/>
      <c r="W1879" s="2944">
        <f t="shared" si="13"/>
        <v>0</v>
      </c>
    </row>
    <row r="1880" spans="1:23" s="2944" customFormat="1" ht="93.6">
      <c r="A1880" s="2948">
        <v>1879</v>
      </c>
      <c r="B1880" s="2948" t="s">
        <v>635</v>
      </c>
      <c r="C1880" s="2948" t="s">
        <v>636</v>
      </c>
      <c r="D1880" s="2948" t="s">
        <v>2286</v>
      </c>
      <c r="E1880" s="2948" t="s">
        <v>1455</v>
      </c>
      <c r="F1880" s="2948" t="s">
        <v>2272</v>
      </c>
      <c r="G1880" s="2948" t="s">
        <v>640</v>
      </c>
      <c r="H1880" s="2948" t="s">
        <v>2332</v>
      </c>
      <c r="I1880" s="2948" t="s">
        <v>2248</v>
      </c>
      <c r="J1880" s="2948" t="s">
        <v>643</v>
      </c>
      <c r="K1880" s="2950">
        <v>23.62</v>
      </c>
      <c r="L1880" s="2950">
        <v>11.17</v>
      </c>
      <c r="M1880" s="2951">
        <v>708600</v>
      </c>
      <c r="N1880" s="2951">
        <v>708600</v>
      </c>
      <c r="O1880" s="2952">
        <v>708600</v>
      </c>
      <c r="P1880" s="2953">
        <v>708600</v>
      </c>
      <c r="Q1880" s="2951">
        <v>708600</v>
      </c>
      <c r="R1880" s="2954">
        <v>44450</v>
      </c>
      <c r="S1880" s="2954">
        <v>44463</v>
      </c>
      <c r="T1880" s="2954">
        <v>44652</v>
      </c>
      <c r="U1880" s="2954">
        <v>44640</v>
      </c>
      <c r="V1880" s="2948" t="s">
        <v>1672</v>
      </c>
      <c r="W1880" s="2944">
        <f t="shared" si="13"/>
        <v>30000</v>
      </c>
    </row>
    <row r="1881" spans="1:23" s="2944" customFormat="1" ht="93.6">
      <c r="A1881" s="2948">
        <v>1880</v>
      </c>
      <c r="B1881" s="2948" t="s">
        <v>635</v>
      </c>
      <c r="C1881" s="2948" t="s">
        <v>636</v>
      </c>
      <c r="D1881" s="2948" t="s">
        <v>2286</v>
      </c>
      <c r="E1881" s="2948" t="s">
        <v>1455</v>
      </c>
      <c r="F1881" s="2948" t="s">
        <v>2271</v>
      </c>
      <c r="G1881" s="2948" t="s">
        <v>640</v>
      </c>
      <c r="H1881" s="2948" t="s">
        <v>2341</v>
      </c>
      <c r="I1881" s="2948" t="s">
        <v>2248</v>
      </c>
      <c r="J1881" s="2948" t="s">
        <v>643</v>
      </c>
      <c r="K1881" s="2950">
        <v>22.29</v>
      </c>
      <c r="L1881" s="2950">
        <v>10.54</v>
      </c>
      <c r="M1881" s="2951">
        <v>668700</v>
      </c>
      <c r="N1881" s="2951">
        <v>668700</v>
      </c>
      <c r="O1881" s="2952">
        <v>668700</v>
      </c>
      <c r="P1881" s="2953">
        <v>668700</v>
      </c>
      <c r="Q1881" s="2951">
        <v>668700</v>
      </c>
      <c r="R1881" s="2954">
        <v>44454</v>
      </c>
      <c r="S1881" s="2954">
        <v>44458</v>
      </c>
      <c r="T1881" s="2954">
        <v>44504</v>
      </c>
      <c r="U1881" s="2954">
        <v>44504</v>
      </c>
      <c r="V1881" s="2948" t="s">
        <v>1656</v>
      </c>
      <c r="W1881" s="2944">
        <f t="shared" si="13"/>
        <v>30000</v>
      </c>
    </row>
    <row r="1882" spans="1:23" s="2944" customFormat="1" ht="93.6">
      <c r="A1882" s="2948">
        <v>1881</v>
      </c>
      <c r="B1882" s="2948" t="s">
        <v>635</v>
      </c>
      <c r="C1882" s="2948" t="s">
        <v>636</v>
      </c>
      <c r="D1882" s="2948" t="s">
        <v>2286</v>
      </c>
      <c r="E1882" s="2948" t="s">
        <v>1455</v>
      </c>
      <c r="F1882" s="2948" t="s">
        <v>2270</v>
      </c>
      <c r="G1882" s="2948" t="s">
        <v>640</v>
      </c>
      <c r="H1882" s="2948" t="s">
        <v>2342</v>
      </c>
      <c r="I1882" s="2948" t="s">
        <v>2248</v>
      </c>
      <c r="J1882" s="2948" t="s">
        <v>643</v>
      </c>
      <c r="K1882" s="2950">
        <v>20.72</v>
      </c>
      <c r="L1882" s="2950">
        <v>9.8000000000000007</v>
      </c>
      <c r="M1882" s="2951">
        <v>621600</v>
      </c>
      <c r="N1882" s="2951">
        <v>621600</v>
      </c>
      <c r="O1882" s="2952">
        <v>621600</v>
      </c>
      <c r="P1882" s="2953">
        <v>621600</v>
      </c>
      <c r="Q1882" s="2951">
        <v>621600</v>
      </c>
      <c r="R1882" s="2954">
        <v>44453</v>
      </c>
      <c r="S1882" s="2954">
        <v>44459</v>
      </c>
      <c r="T1882" s="2954">
        <v>44658</v>
      </c>
      <c r="U1882" s="2954">
        <v>44658</v>
      </c>
      <c r="V1882" s="2948" t="s">
        <v>1652</v>
      </c>
      <c r="W1882" s="2944">
        <f t="shared" si="13"/>
        <v>30000</v>
      </c>
    </row>
    <row r="1883" spans="1:23" s="2944" customFormat="1" ht="93.6">
      <c r="A1883" s="2948">
        <v>1882</v>
      </c>
      <c r="B1883" s="2948" t="s">
        <v>635</v>
      </c>
      <c r="C1883" s="2948" t="s">
        <v>636</v>
      </c>
      <c r="D1883" s="2948" t="s">
        <v>2286</v>
      </c>
      <c r="E1883" s="2948" t="s">
        <v>1455</v>
      </c>
      <c r="F1883" s="2948" t="s">
        <v>2269</v>
      </c>
      <c r="G1883" s="2948" t="s">
        <v>640</v>
      </c>
      <c r="H1883" s="2948" t="s">
        <v>2342</v>
      </c>
      <c r="I1883" s="2948" t="s">
        <v>2248</v>
      </c>
      <c r="J1883" s="2948" t="s">
        <v>643</v>
      </c>
      <c r="K1883" s="2950">
        <v>20.72</v>
      </c>
      <c r="L1883" s="2950">
        <v>9.8000000000000007</v>
      </c>
      <c r="M1883" s="2951">
        <v>621600</v>
      </c>
      <c r="N1883" s="2951">
        <v>621600</v>
      </c>
      <c r="O1883" s="2952">
        <v>621600</v>
      </c>
      <c r="P1883" s="2953">
        <v>621600</v>
      </c>
      <c r="Q1883" s="2951">
        <v>621600</v>
      </c>
      <c r="R1883" s="2954">
        <v>44525</v>
      </c>
      <c r="S1883" s="2954">
        <v>44525</v>
      </c>
      <c r="T1883" s="2954">
        <v>44637</v>
      </c>
      <c r="U1883" s="2954">
        <v>44637</v>
      </c>
      <c r="V1883" s="2948" t="s">
        <v>1701</v>
      </c>
      <c r="W1883" s="2944">
        <f t="shared" si="13"/>
        <v>30000</v>
      </c>
    </row>
    <row r="1884" spans="1:23" s="2944" customFormat="1" ht="93.6">
      <c r="A1884" s="2948">
        <v>1883</v>
      </c>
      <c r="B1884" s="2948" t="s">
        <v>635</v>
      </c>
      <c r="C1884" s="2948" t="s">
        <v>636</v>
      </c>
      <c r="D1884" s="2948" t="s">
        <v>2286</v>
      </c>
      <c r="E1884" s="2948" t="s">
        <v>1455</v>
      </c>
      <c r="F1884" s="2948" t="s">
        <v>2268</v>
      </c>
      <c r="G1884" s="2948" t="s">
        <v>640</v>
      </c>
      <c r="H1884" s="2948" t="s">
        <v>2341</v>
      </c>
      <c r="I1884" s="2948" t="s">
        <v>2248</v>
      </c>
      <c r="J1884" s="2948" t="s">
        <v>643</v>
      </c>
      <c r="K1884" s="2950">
        <v>22.29</v>
      </c>
      <c r="L1884" s="2950">
        <v>10.54</v>
      </c>
      <c r="M1884" s="2951">
        <v>668700</v>
      </c>
      <c r="N1884" s="2951">
        <v>668700</v>
      </c>
      <c r="O1884" s="2952">
        <v>668700</v>
      </c>
      <c r="P1884" s="2953">
        <v>668700</v>
      </c>
      <c r="Q1884" s="2951">
        <v>668700</v>
      </c>
      <c r="R1884" s="2954">
        <v>44498</v>
      </c>
      <c r="S1884" s="2954">
        <v>44498</v>
      </c>
      <c r="T1884" s="2954">
        <v>44524</v>
      </c>
      <c r="U1884" s="2954">
        <v>44524</v>
      </c>
      <c r="V1884" s="2948" t="s">
        <v>1687</v>
      </c>
      <c r="W1884" s="2944">
        <f t="shared" si="13"/>
        <v>30000</v>
      </c>
    </row>
    <row r="1885" spans="1:23" s="2944" customFormat="1" ht="93.6" hidden="1">
      <c r="A1885" s="2948">
        <v>1884</v>
      </c>
      <c r="B1885" s="2948" t="s">
        <v>635</v>
      </c>
      <c r="C1885" s="2948" t="s">
        <v>636</v>
      </c>
      <c r="D1885" s="2948" t="s">
        <v>2286</v>
      </c>
      <c r="E1885" s="2948" t="s">
        <v>1455</v>
      </c>
      <c r="F1885" s="2948" t="s">
        <v>655</v>
      </c>
      <c r="G1885" s="2948" t="s">
        <v>1035</v>
      </c>
      <c r="H1885" s="2948" t="s">
        <v>2343</v>
      </c>
      <c r="I1885" s="2948" t="s">
        <v>2248</v>
      </c>
      <c r="J1885" s="2948" t="s">
        <v>643</v>
      </c>
      <c r="K1885" s="2950">
        <v>50.11</v>
      </c>
      <c r="L1885" s="2950">
        <v>23.7</v>
      </c>
      <c r="M1885" s="2951">
        <v>1503300</v>
      </c>
      <c r="N1885" s="2951">
        <v>1503300</v>
      </c>
      <c r="O1885" s="2955"/>
      <c r="P1885" s="2948"/>
      <c r="Q1885" s="2951">
        <v>0</v>
      </c>
      <c r="R1885" s="2948"/>
      <c r="S1885" s="2948"/>
      <c r="T1885" s="2948"/>
      <c r="U1885" s="2948"/>
      <c r="V1885" s="2948"/>
      <c r="W1885" s="2944">
        <f t="shared" si="13"/>
        <v>0</v>
      </c>
    </row>
    <row r="1886" spans="1:23" s="2944" customFormat="1" ht="93.6">
      <c r="A1886" s="2948">
        <v>1885</v>
      </c>
      <c r="B1886" s="2948" t="s">
        <v>635</v>
      </c>
      <c r="C1886" s="2948" t="s">
        <v>636</v>
      </c>
      <c r="D1886" s="2948" t="s">
        <v>2286</v>
      </c>
      <c r="E1886" s="2948" t="s">
        <v>1455</v>
      </c>
      <c r="F1886" s="2948" t="s">
        <v>653</v>
      </c>
      <c r="G1886" s="2948" t="s">
        <v>640</v>
      </c>
      <c r="H1886" s="2948" t="s">
        <v>2344</v>
      </c>
      <c r="I1886" s="2948" t="s">
        <v>2248</v>
      </c>
      <c r="J1886" s="2948" t="s">
        <v>643</v>
      </c>
      <c r="K1886" s="2950">
        <v>23.28</v>
      </c>
      <c r="L1886" s="2950">
        <v>11.01</v>
      </c>
      <c r="M1886" s="2951">
        <v>698400</v>
      </c>
      <c r="N1886" s="2951">
        <v>698400</v>
      </c>
      <c r="O1886" s="2952">
        <v>698400</v>
      </c>
      <c r="P1886" s="2953">
        <v>698400</v>
      </c>
      <c r="Q1886" s="2951">
        <v>698400</v>
      </c>
      <c r="R1886" s="2954">
        <v>44530</v>
      </c>
      <c r="S1886" s="2954">
        <v>44530</v>
      </c>
      <c r="T1886" s="2954">
        <v>44532</v>
      </c>
      <c r="U1886" s="2954">
        <v>44532</v>
      </c>
      <c r="V1886" s="2948" t="s">
        <v>1668</v>
      </c>
      <c r="W1886" s="2944">
        <f t="shared" si="13"/>
        <v>30000</v>
      </c>
    </row>
    <row r="1887" spans="1:23" s="2944" customFormat="1" ht="93.6">
      <c r="A1887" s="2948">
        <v>1886</v>
      </c>
      <c r="B1887" s="2948" t="s">
        <v>635</v>
      </c>
      <c r="C1887" s="2948" t="s">
        <v>636</v>
      </c>
      <c r="D1887" s="2948" t="s">
        <v>2286</v>
      </c>
      <c r="E1887" s="2948" t="s">
        <v>1455</v>
      </c>
      <c r="F1887" s="2948" t="s">
        <v>2257</v>
      </c>
      <c r="G1887" s="2948" t="s">
        <v>640</v>
      </c>
      <c r="H1887" s="2948" t="s">
        <v>2345</v>
      </c>
      <c r="I1887" s="2948" t="s">
        <v>2248</v>
      </c>
      <c r="J1887" s="2948" t="s">
        <v>643</v>
      </c>
      <c r="K1887" s="2950">
        <v>21.06</v>
      </c>
      <c r="L1887" s="2950">
        <v>9.9600000000000009</v>
      </c>
      <c r="M1887" s="2951">
        <v>631800</v>
      </c>
      <c r="N1887" s="2951">
        <v>631800</v>
      </c>
      <c r="O1887" s="2952">
        <v>631800</v>
      </c>
      <c r="P1887" s="2953">
        <v>631800</v>
      </c>
      <c r="Q1887" s="2951">
        <v>631800</v>
      </c>
      <c r="R1887" s="2954">
        <v>44490</v>
      </c>
      <c r="S1887" s="2954">
        <v>44491</v>
      </c>
      <c r="T1887" s="2954">
        <v>44502</v>
      </c>
      <c r="U1887" s="2954">
        <v>44502</v>
      </c>
      <c r="V1887" s="2948" t="s">
        <v>1683</v>
      </c>
      <c r="W1887" s="2944">
        <f t="shared" si="13"/>
        <v>30000</v>
      </c>
    </row>
    <row r="1888" spans="1:23" s="2944" customFormat="1" ht="93.6">
      <c r="A1888" s="2948">
        <v>1887</v>
      </c>
      <c r="B1888" s="2948" t="s">
        <v>635</v>
      </c>
      <c r="C1888" s="2948" t="s">
        <v>636</v>
      </c>
      <c r="D1888" s="2948" t="s">
        <v>2286</v>
      </c>
      <c r="E1888" s="2948" t="s">
        <v>1455</v>
      </c>
      <c r="F1888" s="2948" t="s">
        <v>2259</v>
      </c>
      <c r="G1888" s="2948" t="s">
        <v>640</v>
      </c>
      <c r="H1888" s="2948" t="s">
        <v>2336</v>
      </c>
      <c r="I1888" s="2948" t="s">
        <v>2248</v>
      </c>
      <c r="J1888" s="2948" t="s">
        <v>643</v>
      </c>
      <c r="K1888" s="2950">
        <v>16.37</v>
      </c>
      <c r="L1888" s="2950">
        <v>7.74</v>
      </c>
      <c r="M1888" s="2951">
        <v>491100</v>
      </c>
      <c r="N1888" s="2951">
        <v>491100</v>
      </c>
      <c r="O1888" s="2952">
        <v>491100</v>
      </c>
      <c r="P1888" s="2953">
        <v>491100</v>
      </c>
      <c r="Q1888" s="2951">
        <v>491100</v>
      </c>
      <c r="R1888" s="2954">
        <v>44516</v>
      </c>
      <c r="S1888" s="2954">
        <v>44557</v>
      </c>
      <c r="T1888" s="2954">
        <v>44799</v>
      </c>
      <c r="U1888" s="2954">
        <v>44799</v>
      </c>
      <c r="V1888" s="2948" t="s">
        <v>1679</v>
      </c>
      <c r="W1888" s="2944">
        <f t="shared" si="13"/>
        <v>30000</v>
      </c>
    </row>
    <row r="1889" spans="1:23" s="2944" customFormat="1" ht="93.6">
      <c r="A1889" s="2948">
        <v>1888</v>
      </c>
      <c r="B1889" s="2948" t="s">
        <v>635</v>
      </c>
      <c r="C1889" s="2948" t="s">
        <v>636</v>
      </c>
      <c r="D1889" s="2948" t="s">
        <v>2286</v>
      </c>
      <c r="E1889" s="2948" t="s">
        <v>1455</v>
      </c>
      <c r="F1889" s="2948" t="s">
        <v>2258</v>
      </c>
      <c r="G1889" s="2948" t="s">
        <v>640</v>
      </c>
      <c r="H1889" s="2948" t="s">
        <v>2337</v>
      </c>
      <c r="I1889" s="2948" t="s">
        <v>2248</v>
      </c>
      <c r="J1889" s="2948" t="s">
        <v>643</v>
      </c>
      <c r="K1889" s="2950">
        <v>15.35</v>
      </c>
      <c r="L1889" s="2950">
        <v>7.26</v>
      </c>
      <c r="M1889" s="2951">
        <v>460500</v>
      </c>
      <c r="N1889" s="2951">
        <v>460500</v>
      </c>
      <c r="O1889" s="2952">
        <v>460500</v>
      </c>
      <c r="P1889" s="2953">
        <v>460500</v>
      </c>
      <c r="Q1889" s="2951">
        <v>460500</v>
      </c>
      <c r="R1889" s="2954">
        <v>44551</v>
      </c>
      <c r="S1889" s="2954">
        <v>44561</v>
      </c>
      <c r="T1889" s="2954">
        <v>44778</v>
      </c>
      <c r="U1889" s="2954">
        <v>44778</v>
      </c>
      <c r="V1889" s="2948" t="s">
        <v>1661</v>
      </c>
      <c r="W1889" s="2944">
        <f t="shared" si="13"/>
        <v>30000</v>
      </c>
    </row>
    <row r="1890" spans="1:23" s="2944" customFormat="1" ht="93.6">
      <c r="A1890" s="2948">
        <v>1889</v>
      </c>
      <c r="B1890" s="2948" t="s">
        <v>635</v>
      </c>
      <c r="C1890" s="2948" t="s">
        <v>636</v>
      </c>
      <c r="D1890" s="2948" t="s">
        <v>2286</v>
      </c>
      <c r="E1890" s="2948" t="s">
        <v>1455</v>
      </c>
      <c r="F1890" s="2948" t="s">
        <v>2261</v>
      </c>
      <c r="G1890" s="2948" t="s">
        <v>640</v>
      </c>
      <c r="H1890" s="2948" t="s">
        <v>2346</v>
      </c>
      <c r="I1890" s="2948" t="s">
        <v>2248</v>
      </c>
      <c r="J1890" s="2948" t="s">
        <v>643</v>
      </c>
      <c r="K1890" s="2950">
        <v>19.79</v>
      </c>
      <c r="L1890" s="2950">
        <v>9.36</v>
      </c>
      <c r="M1890" s="2951">
        <v>593700</v>
      </c>
      <c r="N1890" s="2951">
        <v>593700</v>
      </c>
      <c r="O1890" s="2952">
        <v>593700</v>
      </c>
      <c r="P1890" s="2953">
        <v>593700</v>
      </c>
      <c r="Q1890" s="2951">
        <v>593700</v>
      </c>
      <c r="R1890" s="2954">
        <v>44454</v>
      </c>
      <c r="S1890" s="2954">
        <v>44464</v>
      </c>
      <c r="T1890" s="2954">
        <v>44510</v>
      </c>
      <c r="U1890" s="2954">
        <v>44510</v>
      </c>
      <c r="V1890" s="2948" t="s">
        <v>1658</v>
      </c>
      <c r="W1890" s="2944">
        <f t="shared" si="13"/>
        <v>30000</v>
      </c>
    </row>
    <row r="1891" spans="1:23" s="2944" customFormat="1" ht="93.6">
      <c r="A1891" s="2948">
        <v>1890</v>
      </c>
      <c r="B1891" s="2948" t="s">
        <v>635</v>
      </c>
      <c r="C1891" s="2948" t="s">
        <v>636</v>
      </c>
      <c r="D1891" s="2948" t="s">
        <v>2286</v>
      </c>
      <c r="E1891" s="2948" t="s">
        <v>1455</v>
      </c>
      <c r="F1891" s="2948" t="s">
        <v>2284</v>
      </c>
      <c r="G1891" s="2948" t="s">
        <v>640</v>
      </c>
      <c r="H1891" s="2948" t="s">
        <v>2347</v>
      </c>
      <c r="I1891" s="2948" t="s">
        <v>2248</v>
      </c>
      <c r="J1891" s="2948" t="s">
        <v>643</v>
      </c>
      <c r="K1891" s="2950">
        <v>25.35</v>
      </c>
      <c r="L1891" s="2950">
        <v>11.99</v>
      </c>
      <c r="M1891" s="2951">
        <v>760500</v>
      </c>
      <c r="N1891" s="2951">
        <v>760500</v>
      </c>
      <c r="O1891" s="2952">
        <v>760500</v>
      </c>
      <c r="P1891" s="2953">
        <v>760500</v>
      </c>
      <c r="Q1891" s="2951">
        <v>760500</v>
      </c>
      <c r="R1891" s="2954">
        <v>44453</v>
      </c>
      <c r="S1891" s="2954">
        <v>44459</v>
      </c>
      <c r="T1891" s="2954">
        <v>44505</v>
      </c>
      <c r="U1891" s="2954">
        <v>44505</v>
      </c>
      <c r="V1891" s="2948" t="s">
        <v>1666</v>
      </c>
      <c r="W1891" s="2944">
        <f t="shared" si="13"/>
        <v>30000</v>
      </c>
    </row>
    <row r="1892" spans="1:23" s="2944" customFormat="1" ht="93.6">
      <c r="A1892" s="2948">
        <v>1891</v>
      </c>
      <c r="B1892" s="2948" t="s">
        <v>635</v>
      </c>
      <c r="C1892" s="2948" t="s">
        <v>636</v>
      </c>
      <c r="D1892" s="2948" t="s">
        <v>2286</v>
      </c>
      <c r="E1892" s="2948" t="s">
        <v>1455</v>
      </c>
      <c r="F1892" s="2948" t="s">
        <v>2283</v>
      </c>
      <c r="G1892" s="2948" t="s">
        <v>640</v>
      </c>
      <c r="H1892" s="2948" t="s">
        <v>2347</v>
      </c>
      <c r="I1892" s="2948" t="s">
        <v>2248</v>
      </c>
      <c r="J1892" s="2948" t="s">
        <v>643</v>
      </c>
      <c r="K1892" s="2950">
        <v>25.35</v>
      </c>
      <c r="L1892" s="2950">
        <v>11.99</v>
      </c>
      <c r="M1892" s="2951">
        <v>760500</v>
      </c>
      <c r="N1892" s="2951">
        <v>760500</v>
      </c>
      <c r="O1892" s="2952">
        <v>760500</v>
      </c>
      <c r="P1892" s="2953">
        <v>760500</v>
      </c>
      <c r="Q1892" s="2951">
        <v>760500</v>
      </c>
      <c r="R1892" s="2954">
        <v>44601</v>
      </c>
      <c r="S1892" s="2954">
        <v>44601</v>
      </c>
      <c r="T1892" s="2954">
        <v>44740</v>
      </c>
      <c r="U1892" s="2954">
        <v>44740</v>
      </c>
      <c r="V1892" s="2948" t="s">
        <v>1697</v>
      </c>
      <c r="W1892" s="2944">
        <f t="shared" si="13"/>
        <v>30000</v>
      </c>
    </row>
    <row r="1893" spans="1:23" s="2944" customFormat="1" ht="93.6" hidden="1">
      <c r="A1893" s="2948">
        <v>1892</v>
      </c>
      <c r="B1893" s="2948" t="s">
        <v>635</v>
      </c>
      <c r="C1893" s="2948" t="s">
        <v>636</v>
      </c>
      <c r="D1893" s="2948" t="s">
        <v>2286</v>
      </c>
      <c r="E1893" s="2948" t="s">
        <v>1455</v>
      </c>
      <c r="F1893" s="2948" t="s">
        <v>2282</v>
      </c>
      <c r="G1893" s="2948" t="s">
        <v>1035</v>
      </c>
      <c r="H1893" s="2948" t="s">
        <v>2346</v>
      </c>
      <c r="I1893" s="2948" t="s">
        <v>2248</v>
      </c>
      <c r="J1893" s="2948" t="s">
        <v>643</v>
      </c>
      <c r="K1893" s="2950">
        <v>19.79</v>
      </c>
      <c r="L1893" s="2950">
        <v>9.36</v>
      </c>
      <c r="M1893" s="2951">
        <v>593700</v>
      </c>
      <c r="N1893" s="2951">
        <v>593700</v>
      </c>
      <c r="O1893" s="2955"/>
      <c r="P1893" s="2948"/>
      <c r="Q1893" s="2951">
        <v>0</v>
      </c>
      <c r="R1893" s="2948"/>
      <c r="S1893" s="2948"/>
      <c r="T1893" s="2948"/>
      <c r="U1893" s="2948"/>
      <c r="V1893" s="2948"/>
      <c r="W1893" s="2944">
        <f t="shared" si="13"/>
        <v>0</v>
      </c>
    </row>
    <row r="1894" spans="1:23" s="2944" customFormat="1" ht="93.6">
      <c r="A1894" s="2948">
        <v>1893</v>
      </c>
      <c r="B1894" s="2948" t="s">
        <v>635</v>
      </c>
      <c r="C1894" s="2948" t="s">
        <v>636</v>
      </c>
      <c r="D1894" s="2948" t="s">
        <v>2286</v>
      </c>
      <c r="E1894" s="2948" t="s">
        <v>1455</v>
      </c>
      <c r="F1894" s="2948" t="s">
        <v>2281</v>
      </c>
      <c r="G1894" s="2948" t="s">
        <v>640</v>
      </c>
      <c r="H1894" s="2948" t="s">
        <v>2348</v>
      </c>
      <c r="I1894" s="2948" t="s">
        <v>2248</v>
      </c>
      <c r="J1894" s="2948" t="s">
        <v>643</v>
      </c>
      <c r="K1894" s="2950">
        <v>18.86</v>
      </c>
      <c r="L1894" s="2950">
        <v>8.92</v>
      </c>
      <c r="M1894" s="2951">
        <v>565800</v>
      </c>
      <c r="N1894" s="2951">
        <v>565800</v>
      </c>
      <c r="O1894" s="2952">
        <v>565800</v>
      </c>
      <c r="P1894" s="2953">
        <v>565800</v>
      </c>
      <c r="Q1894" s="2951">
        <v>565800</v>
      </c>
      <c r="R1894" s="2954">
        <v>44455</v>
      </c>
      <c r="S1894" s="2954">
        <v>44460</v>
      </c>
      <c r="T1894" s="2954">
        <v>44496</v>
      </c>
      <c r="U1894" s="2954">
        <v>44496</v>
      </c>
      <c r="V1894" s="2948" t="s">
        <v>1660</v>
      </c>
      <c r="W1894" s="2944">
        <f t="shared" si="13"/>
        <v>30000</v>
      </c>
    </row>
    <row r="1895" spans="1:23" s="2944" customFormat="1" ht="93.6">
      <c r="A1895" s="2948">
        <v>1894</v>
      </c>
      <c r="B1895" s="2948" t="s">
        <v>635</v>
      </c>
      <c r="C1895" s="2948" t="s">
        <v>636</v>
      </c>
      <c r="D1895" s="2948" t="s">
        <v>2286</v>
      </c>
      <c r="E1895" s="2948" t="s">
        <v>1455</v>
      </c>
      <c r="F1895" s="2948" t="s">
        <v>2280</v>
      </c>
      <c r="G1895" s="2948" t="s">
        <v>640</v>
      </c>
      <c r="H1895" s="2948" t="s">
        <v>2348</v>
      </c>
      <c r="I1895" s="2948" t="s">
        <v>2248</v>
      </c>
      <c r="J1895" s="2948" t="s">
        <v>643</v>
      </c>
      <c r="K1895" s="2950">
        <v>18.86</v>
      </c>
      <c r="L1895" s="2950">
        <v>8.92</v>
      </c>
      <c r="M1895" s="2951">
        <v>565800</v>
      </c>
      <c r="N1895" s="2951">
        <v>565800</v>
      </c>
      <c r="O1895" s="2952">
        <v>565800</v>
      </c>
      <c r="P1895" s="2953">
        <v>565800</v>
      </c>
      <c r="Q1895" s="2951">
        <v>565800</v>
      </c>
      <c r="R1895" s="2954">
        <v>44454</v>
      </c>
      <c r="S1895" s="2954">
        <v>44457</v>
      </c>
      <c r="T1895" s="2954">
        <v>44509</v>
      </c>
      <c r="U1895" s="2954">
        <v>44509</v>
      </c>
      <c r="V1895" s="2948" t="s">
        <v>1662</v>
      </c>
      <c r="W1895" s="2944">
        <f t="shared" si="13"/>
        <v>30000</v>
      </c>
    </row>
    <row r="1896" spans="1:23" s="2944" customFormat="1" ht="93.6" hidden="1">
      <c r="A1896" s="2948">
        <v>1895</v>
      </c>
      <c r="B1896" s="2948" t="s">
        <v>635</v>
      </c>
      <c r="C1896" s="2948" t="s">
        <v>636</v>
      </c>
      <c r="D1896" s="2948" t="s">
        <v>2286</v>
      </c>
      <c r="E1896" s="2948" t="s">
        <v>822</v>
      </c>
      <c r="F1896" s="2948" t="s">
        <v>645</v>
      </c>
      <c r="G1896" s="2948" t="s">
        <v>1035</v>
      </c>
      <c r="H1896" s="2948" t="s">
        <v>2349</v>
      </c>
      <c r="I1896" s="2948" t="s">
        <v>2248</v>
      </c>
      <c r="J1896" s="2948" t="s">
        <v>643</v>
      </c>
      <c r="K1896" s="2950">
        <v>23.51</v>
      </c>
      <c r="L1896" s="2950">
        <v>11.22</v>
      </c>
      <c r="M1896" s="2951">
        <v>705300</v>
      </c>
      <c r="N1896" s="2951">
        <v>705300</v>
      </c>
      <c r="O1896" s="2955"/>
      <c r="P1896" s="2948"/>
      <c r="Q1896" s="2951">
        <v>0</v>
      </c>
      <c r="R1896" s="2948"/>
      <c r="S1896" s="2948"/>
      <c r="T1896" s="2948"/>
      <c r="U1896" s="2948"/>
      <c r="V1896" s="2948"/>
      <c r="W1896" s="2944">
        <f t="shared" si="13"/>
        <v>0</v>
      </c>
    </row>
    <row r="1897" spans="1:23" s="2944" customFormat="1" ht="93.6" hidden="1">
      <c r="A1897" s="2948">
        <v>1896</v>
      </c>
      <c r="B1897" s="2948" t="s">
        <v>635</v>
      </c>
      <c r="C1897" s="2948" t="s">
        <v>636</v>
      </c>
      <c r="D1897" s="2948" t="s">
        <v>2286</v>
      </c>
      <c r="E1897" s="2948" t="s">
        <v>822</v>
      </c>
      <c r="F1897" s="2948" t="s">
        <v>2250</v>
      </c>
      <c r="G1897" s="2948" t="s">
        <v>1035</v>
      </c>
      <c r="H1897" s="2948" t="s">
        <v>2349</v>
      </c>
      <c r="I1897" s="2948" t="s">
        <v>2248</v>
      </c>
      <c r="J1897" s="2948" t="s">
        <v>643</v>
      </c>
      <c r="K1897" s="2950">
        <v>23.51</v>
      </c>
      <c r="L1897" s="2950">
        <v>11.22</v>
      </c>
      <c r="M1897" s="2951">
        <v>705300</v>
      </c>
      <c r="N1897" s="2951">
        <v>705300</v>
      </c>
      <c r="O1897" s="2955"/>
      <c r="P1897" s="2948"/>
      <c r="Q1897" s="2951">
        <v>0</v>
      </c>
      <c r="R1897" s="2948"/>
      <c r="S1897" s="2948"/>
      <c r="T1897" s="2948"/>
      <c r="U1897" s="2948"/>
      <c r="V1897" s="2948"/>
      <c r="W1897" s="2944">
        <f t="shared" si="13"/>
        <v>0</v>
      </c>
    </row>
    <row r="1898" spans="1:23" s="2944" customFormat="1" ht="93.6" hidden="1">
      <c r="A1898" s="2948">
        <v>1897</v>
      </c>
      <c r="B1898" s="2948" t="s">
        <v>635</v>
      </c>
      <c r="C1898" s="2948" t="s">
        <v>636</v>
      </c>
      <c r="D1898" s="2948" t="s">
        <v>2286</v>
      </c>
      <c r="E1898" s="2948" t="s">
        <v>822</v>
      </c>
      <c r="F1898" s="2948" t="s">
        <v>2249</v>
      </c>
      <c r="G1898" s="2948" t="s">
        <v>1035</v>
      </c>
      <c r="H1898" s="2948" t="s">
        <v>2350</v>
      </c>
      <c r="I1898" s="2948" t="s">
        <v>2248</v>
      </c>
      <c r="J1898" s="2948" t="s">
        <v>643</v>
      </c>
      <c r="K1898" s="2950">
        <v>17.89</v>
      </c>
      <c r="L1898" s="2950">
        <v>8.5399999999999991</v>
      </c>
      <c r="M1898" s="2951">
        <v>536700</v>
      </c>
      <c r="N1898" s="2951">
        <v>536700</v>
      </c>
      <c r="O1898" s="2955"/>
      <c r="P1898" s="2948"/>
      <c r="Q1898" s="2951">
        <v>0</v>
      </c>
      <c r="R1898" s="2948"/>
      <c r="S1898" s="2948"/>
      <c r="T1898" s="2948"/>
      <c r="U1898" s="2948"/>
      <c r="V1898" s="2948"/>
      <c r="W1898" s="2944">
        <f t="shared" si="13"/>
        <v>0</v>
      </c>
    </row>
    <row r="1899" spans="1:23" s="2944" customFormat="1" ht="93.6" hidden="1">
      <c r="A1899" s="2948">
        <v>1898</v>
      </c>
      <c r="B1899" s="2948" t="s">
        <v>635</v>
      </c>
      <c r="C1899" s="2948" t="s">
        <v>636</v>
      </c>
      <c r="D1899" s="2948" t="s">
        <v>2286</v>
      </c>
      <c r="E1899" s="2948" t="s">
        <v>822</v>
      </c>
      <c r="F1899" s="2948" t="s">
        <v>2247</v>
      </c>
      <c r="G1899" s="2948" t="s">
        <v>1035</v>
      </c>
      <c r="H1899" s="2948" t="s">
        <v>2351</v>
      </c>
      <c r="I1899" s="2948" t="s">
        <v>2248</v>
      </c>
      <c r="J1899" s="2948" t="s">
        <v>643</v>
      </c>
      <c r="K1899" s="2950">
        <v>11.04</v>
      </c>
      <c r="L1899" s="2950">
        <v>5.27</v>
      </c>
      <c r="M1899" s="2951">
        <v>331200</v>
      </c>
      <c r="N1899" s="2951">
        <v>331200</v>
      </c>
      <c r="O1899" s="2955"/>
      <c r="P1899" s="2948"/>
      <c r="Q1899" s="2951">
        <v>0</v>
      </c>
      <c r="R1899" s="2948"/>
      <c r="S1899" s="2948"/>
      <c r="T1899" s="2948"/>
      <c r="U1899" s="2948"/>
      <c r="V1899" s="2948"/>
      <c r="W1899" s="2944">
        <f t="shared" si="13"/>
        <v>0</v>
      </c>
    </row>
    <row r="1900" spans="1:23" s="2944" customFormat="1" ht="93.6" hidden="1">
      <c r="A1900" s="2948">
        <v>1899</v>
      </c>
      <c r="B1900" s="2948" t="s">
        <v>635</v>
      </c>
      <c r="C1900" s="2948" t="s">
        <v>636</v>
      </c>
      <c r="D1900" s="2948" t="s">
        <v>2286</v>
      </c>
      <c r="E1900" s="2948" t="s">
        <v>822</v>
      </c>
      <c r="F1900" s="2948" t="s">
        <v>2267</v>
      </c>
      <c r="G1900" s="2948" t="s">
        <v>1035</v>
      </c>
      <c r="H1900" s="2948" t="s">
        <v>2352</v>
      </c>
      <c r="I1900" s="2948" t="s">
        <v>2248</v>
      </c>
      <c r="J1900" s="2948" t="s">
        <v>643</v>
      </c>
      <c r="K1900" s="2950">
        <v>28.54</v>
      </c>
      <c r="L1900" s="2950">
        <v>13.62</v>
      </c>
      <c r="M1900" s="2951">
        <v>856200</v>
      </c>
      <c r="N1900" s="2951">
        <v>856200</v>
      </c>
      <c r="O1900" s="2955"/>
      <c r="P1900" s="2948"/>
      <c r="Q1900" s="2951">
        <v>0</v>
      </c>
      <c r="R1900" s="2948"/>
      <c r="S1900" s="2948"/>
      <c r="T1900" s="2948"/>
      <c r="U1900" s="2948"/>
      <c r="V1900" s="2948"/>
      <c r="W1900" s="2944">
        <f t="shared" si="13"/>
        <v>0</v>
      </c>
    </row>
    <row r="1901" spans="1:23" s="2944" customFormat="1" ht="93.6" hidden="1">
      <c r="A1901" s="2948">
        <v>1900</v>
      </c>
      <c r="B1901" s="2948" t="s">
        <v>635</v>
      </c>
      <c r="C1901" s="2948" t="s">
        <v>636</v>
      </c>
      <c r="D1901" s="2948" t="s">
        <v>2286</v>
      </c>
      <c r="E1901" s="2948" t="s">
        <v>822</v>
      </c>
      <c r="F1901" s="2948" t="s">
        <v>2266</v>
      </c>
      <c r="G1901" s="2948" t="s">
        <v>1035</v>
      </c>
      <c r="H1901" s="2948" t="s">
        <v>2353</v>
      </c>
      <c r="I1901" s="2948" t="s">
        <v>2248</v>
      </c>
      <c r="J1901" s="2948" t="s">
        <v>643</v>
      </c>
      <c r="K1901" s="2950">
        <v>24.24</v>
      </c>
      <c r="L1901" s="2950">
        <v>11.57</v>
      </c>
      <c r="M1901" s="2951">
        <v>727200</v>
      </c>
      <c r="N1901" s="2951">
        <v>727200</v>
      </c>
      <c r="O1901" s="2955"/>
      <c r="P1901" s="2948"/>
      <c r="Q1901" s="2951">
        <v>0</v>
      </c>
      <c r="R1901" s="2948"/>
      <c r="S1901" s="2948"/>
      <c r="T1901" s="2948"/>
      <c r="U1901" s="2948"/>
      <c r="V1901" s="2948"/>
      <c r="W1901" s="2944">
        <f t="shared" si="13"/>
        <v>0</v>
      </c>
    </row>
    <row r="1902" spans="1:23" s="2944" customFormat="1" ht="93.6">
      <c r="A1902" s="2948">
        <v>1901</v>
      </c>
      <c r="B1902" s="2948" t="s">
        <v>635</v>
      </c>
      <c r="C1902" s="2948" t="s">
        <v>636</v>
      </c>
      <c r="D1902" s="2948" t="s">
        <v>2286</v>
      </c>
      <c r="E1902" s="2948" t="s">
        <v>822</v>
      </c>
      <c r="F1902" s="2948" t="s">
        <v>2265</v>
      </c>
      <c r="G1902" s="2948" t="s">
        <v>640</v>
      </c>
      <c r="H1902" s="2948" t="s">
        <v>2353</v>
      </c>
      <c r="I1902" s="2948" t="s">
        <v>2248</v>
      </c>
      <c r="J1902" s="2948" t="s">
        <v>643</v>
      </c>
      <c r="K1902" s="2950">
        <v>24.24</v>
      </c>
      <c r="L1902" s="2950">
        <v>11.57</v>
      </c>
      <c r="M1902" s="2951">
        <v>727200</v>
      </c>
      <c r="N1902" s="2951">
        <v>727200</v>
      </c>
      <c r="O1902" s="2952">
        <v>690840</v>
      </c>
      <c r="P1902" s="2953">
        <v>690840</v>
      </c>
      <c r="Q1902" s="2951">
        <v>690840</v>
      </c>
      <c r="R1902" s="2954">
        <v>44696.561435185198</v>
      </c>
      <c r="S1902" s="2954">
        <v>44707</v>
      </c>
      <c r="T1902" s="2954">
        <v>44738</v>
      </c>
      <c r="U1902" s="2954">
        <v>44738</v>
      </c>
      <c r="V1902" s="2948" t="s">
        <v>1604</v>
      </c>
      <c r="W1902" s="2944">
        <f t="shared" si="13"/>
        <v>28500</v>
      </c>
    </row>
    <row r="1903" spans="1:23" s="2944" customFormat="1" ht="93.6" hidden="1">
      <c r="A1903" s="2948">
        <v>1902</v>
      </c>
      <c r="B1903" s="2948" t="s">
        <v>635</v>
      </c>
      <c r="C1903" s="2948" t="s">
        <v>636</v>
      </c>
      <c r="D1903" s="2948" t="s">
        <v>2286</v>
      </c>
      <c r="E1903" s="2948" t="s">
        <v>822</v>
      </c>
      <c r="F1903" s="2948" t="s">
        <v>2264</v>
      </c>
      <c r="G1903" s="2948" t="s">
        <v>1035</v>
      </c>
      <c r="H1903" s="2948" t="s">
        <v>2352</v>
      </c>
      <c r="I1903" s="2948" t="s">
        <v>2248</v>
      </c>
      <c r="J1903" s="2948" t="s">
        <v>643</v>
      </c>
      <c r="K1903" s="2950">
        <v>28.54</v>
      </c>
      <c r="L1903" s="2950">
        <v>13.62</v>
      </c>
      <c r="M1903" s="2951">
        <v>856200</v>
      </c>
      <c r="N1903" s="2951">
        <v>856200</v>
      </c>
      <c r="O1903" s="2955"/>
      <c r="P1903" s="2948"/>
      <c r="Q1903" s="2951">
        <v>0</v>
      </c>
      <c r="R1903" s="2948"/>
      <c r="S1903" s="2948"/>
      <c r="T1903" s="2948"/>
      <c r="U1903" s="2948"/>
      <c r="V1903" s="2948"/>
      <c r="W1903" s="2944">
        <f t="shared" si="13"/>
        <v>0</v>
      </c>
    </row>
    <row r="1904" spans="1:23" s="2944" customFormat="1" ht="93.6" hidden="1">
      <c r="A1904" s="2948">
        <v>1903</v>
      </c>
      <c r="B1904" s="2948" t="s">
        <v>635</v>
      </c>
      <c r="C1904" s="2948" t="s">
        <v>636</v>
      </c>
      <c r="D1904" s="2948" t="s">
        <v>2286</v>
      </c>
      <c r="E1904" s="2948" t="s">
        <v>822</v>
      </c>
      <c r="F1904" s="2948" t="s">
        <v>2263</v>
      </c>
      <c r="G1904" s="2948" t="s">
        <v>1035</v>
      </c>
      <c r="H1904" s="2948" t="s">
        <v>2354</v>
      </c>
      <c r="I1904" s="2948" t="s">
        <v>2248</v>
      </c>
      <c r="J1904" s="2948" t="s">
        <v>643</v>
      </c>
      <c r="K1904" s="2950">
        <v>11.04</v>
      </c>
      <c r="L1904" s="2950">
        <v>5.27</v>
      </c>
      <c r="M1904" s="2951">
        <v>331200</v>
      </c>
      <c r="N1904" s="2951">
        <v>331200</v>
      </c>
      <c r="O1904" s="2955"/>
      <c r="P1904" s="2948"/>
      <c r="Q1904" s="2951">
        <v>0</v>
      </c>
      <c r="R1904" s="2948"/>
      <c r="S1904" s="2948"/>
      <c r="T1904" s="2948"/>
      <c r="U1904" s="2948"/>
      <c r="V1904" s="2948"/>
      <c r="W1904" s="2944">
        <f t="shared" si="13"/>
        <v>0</v>
      </c>
    </row>
    <row r="1905" spans="1:23" s="2944" customFormat="1" ht="93.6" hidden="1">
      <c r="A1905" s="2948">
        <v>1904</v>
      </c>
      <c r="B1905" s="2948" t="s">
        <v>635</v>
      </c>
      <c r="C1905" s="2948" t="s">
        <v>636</v>
      </c>
      <c r="D1905" s="2948" t="s">
        <v>2286</v>
      </c>
      <c r="E1905" s="2948" t="s">
        <v>822</v>
      </c>
      <c r="F1905" s="2948" t="s">
        <v>2262</v>
      </c>
      <c r="G1905" s="2948" t="s">
        <v>1035</v>
      </c>
      <c r="H1905" s="2948" t="s">
        <v>2355</v>
      </c>
      <c r="I1905" s="2948" t="s">
        <v>2248</v>
      </c>
      <c r="J1905" s="2948" t="s">
        <v>643</v>
      </c>
      <c r="K1905" s="2950">
        <v>17.89</v>
      </c>
      <c r="L1905" s="2950">
        <v>8.5399999999999991</v>
      </c>
      <c r="M1905" s="2951">
        <v>536700</v>
      </c>
      <c r="N1905" s="2951">
        <v>536700</v>
      </c>
      <c r="O1905" s="2955"/>
      <c r="P1905" s="2948"/>
      <c r="Q1905" s="2951">
        <v>0</v>
      </c>
      <c r="R1905" s="2948"/>
      <c r="S1905" s="2948"/>
      <c r="T1905" s="2948"/>
      <c r="U1905" s="2948"/>
      <c r="V1905" s="2948"/>
      <c r="W1905" s="2944">
        <f t="shared" si="13"/>
        <v>0</v>
      </c>
    </row>
    <row r="1906" spans="1:23" s="2944" customFormat="1" ht="93.6">
      <c r="A1906" s="2948">
        <v>1905</v>
      </c>
      <c r="B1906" s="2948" t="s">
        <v>635</v>
      </c>
      <c r="C1906" s="2948" t="s">
        <v>636</v>
      </c>
      <c r="D1906" s="2948" t="s">
        <v>2286</v>
      </c>
      <c r="E1906" s="2948" t="s">
        <v>822</v>
      </c>
      <c r="F1906" s="2948" t="s">
        <v>651</v>
      </c>
      <c r="G1906" s="2948" t="s">
        <v>640</v>
      </c>
      <c r="H1906" s="2948" t="s">
        <v>2356</v>
      </c>
      <c r="I1906" s="2948" t="s">
        <v>2248</v>
      </c>
      <c r="J1906" s="2948" t="s">
        <v>643</v>
      </c>
      <c r="K1906" s="2950">
        <v>23.4</v>
      </c>
      <c r="L1906" s="2950">
        <v>11.17</v>
      </c>
      <c r="M1906" s="2951">
        <v>702000</v>
      </c>
      <c r="N1906" s="2951">
        <v>702000</v>
      </c>
      <c r="O1906" s="2952">
        <v>702000</v>
      </c>
      <c r="P1906" s="2953">
        <v>702000</v>
      </c>
      <c r="Q1906" s="2951">
        <v>702000</v>
      </c>
      <c r="R1906" s="2954">
        <v>44452</v>
      </c>
      <c r="S1906" s="2954">
        <v>44459</v>
      </c>
      <c r="T1906" s="2954">
        <v>44502</v>
      </c>
      <c r="U1906" s="2954">
        <v>44502</v>
      </c>
      <c r="V1906" s="2948" t="s">
        <v>1619</v>
      </c>
      <c r="W1906" s="2944">
        <f t="shared" ref="W1906:W1969" si="14">O1906/K1906</f>
        <v>30000</v>
      </c>
    </row>
    <row r="1907" spans="1:23" s="2944" customFormat="1" ht="93.6" hidden="1">
      <c r="A1907" s="2948">
        <v>1906</v>
      </c>
      <c r="B1907" s="2948" t="s">
        <v>635</v>
      </c>
      <c r="C1907" s="2948" t="s">
        <v>636</v>
      </c>
      <c r="D1907" s="2948" t="s">
        <v>2286</v>
      </c>
      <c r="E1907" s="2948" t="s">
        <v>822</v>
      </c>
      <c r="F1907" s="2948" t="s">
        <v>648</v>
      </c>
      <c r="G1907" s="2948" t="s">
        <v>1035</v>
      </c>
      <c r="H1907" s="2948" t="s">
        <v>2357</v>
      </c>
      <c r="I1907" s="2948" t="s">
        <v>2248</v>
      </c>
      <c r="J1907" s="2948" t="s">
        <v>643</v>
      </c>
      <c r="K1907" s="2950">
        <v>60.09</v>
      </c>
      <c r="L1907" s="2950">
        <v>28.68</v>
      </c>
      <c r="M1907" s="2951">
        <v>1802700</v>
      </c>
      <c r="N1907" s="2951">
        <v>1802700</v>
      </c>
      <c r="O1907" s="2955"/>
      <c r="P1907" s="2948"/>
      <c r="Q1907" s="2951">
        <v>0</v>
      </c>
      <c r="R1907" s="2948"/>
      <c r="S1907" s="2948"/>
      <c r="T1907" s="2948"/>
      <c r="U1907" s="2948"/>
      <c r="V1907" s="2948"/>
      <c r="W1907" s="2944">
        <f t="shared" si="14"/>
        <v>0</v>
      </c>
    </row>
    <row r="1908" spans="1:23" s="2944" customFormat="1" ht="93.6">
      <c r="A1908" s="2948">
        <v>1907</v>
      </c>
      <c r="B1908" s="2948" t="s">
        <v>635</v>
      </c>
      <c r="C1908" s="2948" t="s">
        <v>636</v>
      </c>
      <c r="D1908" s="2948" t="s">
        <v>2286</v>
      </c>
      <c r="E1908" s="2948" t="s">
        <v>822</v>
      </c>
      <c r="F1908" s="2948" t="s">
        <v>2256</v>
      </c>
      <c r="G1908" s="2948" t="s">
        <v>640</v>
      </c>
      <c r="H1908" s="2948" t="s">
        <v>2358</v>
      </c>
      <c r="I1908" s="2948" t="s">
        <v>2248</v>
      </c>
      <c r="J1908" s="2948" t="s">
        <v>643</v>
      </c>
      <c r="K1908" s="2950">
        <v>23.07</v>
      </c>
      <c r="L1908" s="2950">
        <v>11.01</v>
      </c>
      <c r="M1908" s="2951">
        <v>692100</v>
      </c>
      <c r="N1908" s="2951">
        <v>692100</v>
      </c>
      <c r="O1908" s="2952">
        <v>692100</v>
      </c>
      <c r="P1908" s="2953">
        <v>692100</v>
      </c>
      <c r="Q1908" s="2951">
        <v>692100</v>
      </c>
      <c r="R1908" s="2954">
        <v>44457</v>
      </c>
      <c r="S1908" s="2954">
        <v>44459</v>
      </c>
      <c r="T1908" s="2954">
        <v>44502</v>
      </c>
      <c r="U1908" s="2954">
        <v>44502</v>
      </c>
      <c r="V1908" s="2948" t="s">
        <v>1634</v>
      </c>
      <c r="W1908" s="2944">
        <f t="shared" si="14"/>
        <v>30000</v>
      </c>
    </row>
    <row r="1909" spans="1:23" s="2944" customFormat="1" ht="93.6">
      <c r="A1909" s="2948">
        <v>1908</v>
      </c>
      <c r="B1909" s="2948" t="s">
        <v>635</v>
      </c>
      <c r="C1909" s="2948" t="s">
        <v>636</v>
      </c>
      <c r="D1909" s="2948" t="s">
        <v>2286</v>
      </c>
      <c r="E1909" s="2948" t="s">
        <v>822</v>
      </c>
      <c r="F1909" s="2948" t="s">
        <v>2255</v>
      </c>
      <c r="G1909" s="2948" t="s">
        <v>640</v>
      </c>
      <c r="H1909" s="2948" t="s">
        <v>2359</v>
      </c>
      <c r="I1909" s="2948" t="s">
        <v>2248</v>
      </c>
      <c r="J1909" s="2948" t="s">
        <v>643</v>
      </c>
      <c r="K1909" s="2950">
        <v>20.87</v>
      </c>
      <c r="L1909" s="2950">
        <v>9.9600000000000009</v>
      </c>
      <c r="M1909" s="2951">
        <v>626100</v>
      </c>
      <c r="N1909" s="2951">
        <v>626100</v>
      </c>
      <c r="O1909" s="2952">
        <v>594795</v>
      </c>
      <c r="P1909" s="2953">
        <v>594795</v>
      </c>
      <c r="Q1909" s="2951">
        <v>594795</v>
      </c>
      <c r="R1909" s="2954">
        <v>44449</v>
      </c>
      <c r="S1909" s="2954">
        <v>44465</v>
      </c>
      <c r="T1909" s="2954">
        <v>44498</v>
      </c>
      <c r="U1909" s="2954">
        <v>44498</v>
      </c>
      <c r="V1909" s="2948" t="s">
        <v>1615</v>
      </c>
      <c r="W1909" s="2944">
        <f t="shared" si="14"/>
        <v>28500</v>
      </c>
    </row>
    <row r="1910" spans="1:23" s="2944" customFormat="1" ht="93.6">
      <c r="A1910" s="2948">
        <v>1909</v>
      </c>
      <c r="B1910" s="2948" t="s">
        <v>635</v>
      </c>
      <c r="C1910" s="2948" t="s">
        <v>636</v>
      </c>
      <c r="D1910" s="2948" t="s">
        <v>2286</v>
      </c>
      <c r="E1910" s="2948" t="s">
        <v>822</v>
      </c>
      <c r="F1910" s="2948" t="s">
        <v>2254</v>
      </c>
      <c r="G1910" s="2948" t="s">
        <v>640</v>
      </c>
      <c r="H1910" s="2948" t="s">
        <v>2360</v>
      </c>
      <c r="I1910" s="2948" t="s">
        <v>2248</v>
      </c>
      <c r="J1910" s="2948" t="s">
        <v>643</v>
      </c>
      <c r="K1910" s="2950">
        <v>16.22</v>
      </c>
      <c r="L1910" s="2950">
        <v>7.74</v>
      </c>
      <c r="M1910" s="2951">
        <v>486600</v>
      </c>
      <c r="N1910" s="2951">
        <v>486600</v>
      </c>
      <c r="O1910" s="2952">
        <v>486600</v>
      </c>
      <c r="P1910" s="2953">
        <v>486600</v>
      </c>
      <c r="Q1910" s="2951">
        <v>486600</v>
      </c>
      <c r="R1910" s="2954">
        <v>44454</v>
      </c>
      <c r="S1910" s="2954">
        <v>44460</v>
      </c>
      <c r="T1910" s="2954">
        <v>44509</v>
      </c>
      <c r="U1910" s="2954">
        <v>44508</v>
      </c>
      <c r="V1910" s="2948" t="s">
        <v>1613</v>
      </c>
      <c r="W1910" s="2944">
        <f t="shared" si="14"/>
        <v>30000</v>
      </c>
    </row>
    <row r="1911" spans="1:23" s="2944" customFormat="1" ht="93.6">
      <c r="A1911" s="2948">
        <v>1910</v>
      </c>
      <c r="B1911" s="2948" t="s">
        <v>635</v>
      </c>
      <c r="C1911" s="2948" t="s">
        <v>636</v>
      </c>
      <c r="D1911" s="2948" t="s">
        <v>2286</v>
      </c>
      <c r="E1911" s="2948" t="s">
        <v>822</v>
      </c>
      <c r="F1911" s="2948" t="s">
        <v>2253</v>
      </c>
      <c r="G1911" s="2948" t="s">
        <v>640</v>
      </c>
      <c r="H1911" s="2948" t="s">
        <v>2361</v>
      </c>
      <c r="I1911" s="2948" t="s">
        <v>2248</v>
      </c>
      <c r="J1911" s="2948" t="s">
        <v>643</v>
      </c>
      <c r="K1911" s="2950">
        <v>15.21</v>
      </c>
      <c r="L1911" s="2950">
        <v>7.26</v>
      </c>
      <c r="M1911" s="2951">
        <v>456300</v>
      </c>
      <c r="N1911" s="2951">
        <v>456300</v>
      </c>
      <c r="O1911" s="2952">
        <v>456300</v>
      </c>
      <c r="P1911" s="2953">
        <v>456300</v>
      </c>
      <c r="Q1911" s="2951">
        <v>456300</v>
      </c>
      <c r="R1911" s="2954">
        <v>44454</v>
      </c>
      <c r="S1911" s="2954">
        <v>44458</v>
      </c>
      <c r="T1911" s="2954">
        <v>44502</v>
      </c>
      <c r="U1911" s="2954">
        <v>44502</v>
      </c>
      <c r="V1911" s="2948" t="s">
        <v>1611</v>
      </c>
      <c r="W1911" s="2944">
        <f t="shared" si="14"/>
        <v>30000</v>
      </c>
    </row>
    <row r="1912" spans="1:23" s="2944" customFormat="1" ht="93.6">
      <c r="A1912" s="2948">
        <v>1911</v>
      </c>
      <c r="B1912" s="2948" t="s">
        <v>635</v>
      </c>
      <c r="C1912" s="2948" t="s">
        <v>636</v>
      </c>
      <c r="D1912" s="2948" t="s">
        <v>2286</v>
      </c>
      <c r="E1912" s="2948" t="s">
        <v>822</v>
      </c>
      <c r="F1912" s="2948" t="s">
        <v>2252</v>
      </c>
      <c r="G1912" s="2948" t="s">
        <v>640</v>
      </c>
      <c r="H1912" s="2948" t="s">
        <v>2362</v>
      </c>
      <c r="I1912" s="2948" t="s">
        <v>2248</v>
      </c>
      <c r="J1912" s="2948" t="s">
        <v>643</v>
      </c>
      <c r="K1912" s="2950">
        <v>19.61</v>
      </c>
      <c r="L1912" s="2950">
        <v>9.36</v>
      </c>
      <c r="M1912" s="2951">
        <v>588300</v>
      </c>
      <c r="N1912" s="2951">
        <v>588300</v>
      </c>
      <c r="O1912" s="2952">
        <v>588300</v>
      </c>
      <c r="P1912" s="2953">
        <v>588300</v>
      </c>
      <c r="Q1912" s="2951">
        <v>588300</v>
      </c>
      <c r="R1912" s="2954">
        <v>44590</v>
      </c>
      <c r="S1912" s="2954">
        <v>44651</v>
      </c>
      <c r="T1912" s="2954">
        <v>44738</v>
      </c>
      <c r="U1912" s="2954">
        <v>44738</v>
      </c>
      <c r="V1912" s="2948" t="s">
        <v>1588</v>
      </c>
      <c r="W1912" s="2944">
        <f t="shared" si="14"/>
        <v>30000</v>
      </c>
    </row>
    <row r="1913" spans="1:23" s="2944" customFormat="1" ht="93.6" hidden="1">
      <c r="A1913" s="2948">
        <v>1912</v>
      </c>
      <c r="B1913" s="2948" t="s">
        <v>635</v>
      </c>
      <c r="C1913" s="2948" t="s">
        <v>636</v>
      </c>
      <c r="D1913" s="2948" t="s">
        <v>2286</v>
      </c>
      <c r="E1913" s="2948" t="s">
        <v>822</v>
      </c>
      <c r="F1913" s="2948" t="s">
        <v>2251</v>
      </c>
      <c r="G1913" s="2948" t="s">
        <v>1035</v>
      </c>
      <c r="H1913" s="2948" t="s">
        <v>2363</v>
      </c>
      <c r="I1913" s="2948" t="s">
        <v>2248</v>
      </c>
      <c r="J1913" s="2948" t="s">
        <v>643</v>
      </c>
      <c r="K1913" s="2950">
        <v>15.21</v>
      </c>
      <c r="L1913" s="2950">
        <v>7.26</v>
      </c>
      <c r="M1913" s="2951">
        <v>456300</v>
      </c>
      <c r="N1913" s="2951">
        <v>456300</v>
      </c>
      <c r="O1913" s="2955"/>
      <c r="P1913" s="2948"/>
      <c r="Q1913" s="2951">
        <v>0</v>
      </c>
      <c r="R1913" s="2948"/>
      <c r="S1913" s="2948"/>
      <c r="T1913" s="2948"/>
      <c r="U1913" s="2948"/>
      <c r="V1913" s="2948"/>
      <c r="W1913" s="2944">
        <f t="shared" si="14"/>
        <v>0</v>
      </c>
    </row>
    <row r="1914" spans="1:23" s="2944" customFormat="1" ht="93.6">
      <c r="A1914" s="2948">
        <v>1913</v>
      </c>
      <c r="B1914" s="2948" t="s">
        <v>635</v>
      </c>
      <c r="C1914" s="2948" t="s">
        <v>636</v>
      </c>
      <c r="D1914" s="2948" t="s">
        <v>2286</v>
      </c>
      <c r="E1914" s="2948" t="s">
        <v>822</v>
      </c>
      <c r="F1914" s="2948" t="s">
        <v>2276</v>
      </c>
      <c r="G1914" s="2948" t="s">
        <v>640</v>
      </c>
      <c r="H1914" s="2948" t="s">
        <v>2360</v>
      </c>
      <c r="I1914" s="2948" t="s">
        <v>2248</v>
      </c>
      <c r="J1914" s="2948" t="s">
        <v>643</v>
      </c>
      <c r="K1914" s="2950">
        <v>16.22</v>
      </c>
      <c r="L1914" s="2950">
        <v>7.74</v>
      </c>
      <c r="M1914" s="2951">
        <v>486600</v>
      </c>
      <c r="N1914" s="2951">
        <v>486600</v>
      </c>
      <c r="O1914" s="2952">
        <v>486600</v>
      </c>
      <c r="P1914" s="2953">
        <v>486600</v>
      </c>
      <c r="Q1914" s="2951">
        <v>486600</v>
      </c>
      <c r="R1914" s="2954">
        <v>44697</v>
      </c>
      <c r="S1914" s="2954">
        <v>44707</v>
      </c>
      <c r="T1914" s="2954">
        <v>44738</v>
      </c>
      <c r="U1914" s="2954">
        <v>44738</v>
      </c>
      <c r="V1914" s="2948" t="s">
        <v>1586</v>
      </c>
      <c r="W1914" s="2944">
        <f t="shared" si="14"/>
        <v>30000</v>
      </c>
    </row>
    <row r="1915" spans="1:23" s="2944" customFormat="1" ht="93.6">
      <c r="A1915" s="2948">
        <v>1914</v>
      </c>
      <c r="B1915" s="2948" t="s">
        <v>635</v>
      </c>
      <c r="C1915" s="2948" t="s">
        <v>636</v>
      </c>
      <c r="D1915" s="2948" t="s">
        <v>2286</v>
      </c>
      <c r="E1915" s="2948" t="s">
        <v>822</v>
      </c>
      <c r="F1915" s="2948" t="s">
        <v>2275</v>
      </c>
      <c r="G1915" s="2948" t="s">
        <v>640</v>
      </c>
      <c r="H1915" s="2948" t="s">
        <v>2364</v>
      </c>
      <c r="I1915" s="2948" t="s">
        <v>2248</v>
      </c>
      <c r="J1915" s="2948" t="s">
        <v>643</v>
      </c>
      <c r="K1915" s="2950">
        <v>20.87</v>
      </c>
      <c r="L1915" s="2950">
        <v>9.9600000000000009</v>
      </c>
      <c r="M1915" s="2951">
        <v>626100</v>
      </c>
      <c r="N1915" s="2951">
        <v>626100</v>
      </c>
      <c r="O1915" s="2952">
        <v>626100</v>
      </c>
      <c r="P1915" s="2953">
        <v>626100</v>
      </c>
      <c r="Q1915" s="2951">
        <v>626100</v>
      </c>
      <c r="R1915" s="2954">
        <v>44456</v>
      </c>
      <c r="S1915" s="2954">
        <v>44460</v>
      </c>
      <c r="T1915" s="2954">
        <v>44506</v>
      </c>
      <c r="U1915" s="2954">
        <v>44506</v>
      </c>
      <c r="V1915" s="2948" t="s">
        <v>1590</v>
      </c>
      <c r="W1915" s="2944">
        <f t="shared" si="14"/>
        <v>30000</v>
      </c>
    </row>
    <row r="1916" spans="1:23" s="2944" customFormat="1" ht="93.6">
      <c r="A1916" s="2948">
        <v>1915</v>
      </c>
      <c r="B1916" s="2948" t="s">
        <v>635</v>
      </c>
      <c r="C1916" s="2948" t="s">
        <v>636</v>
      </c>
      <c r="D1916" s="2948" t="s">
        <v>2286</v>
      </c>
      <c r="E1916" s="2948" t="s">
        <v>822</v>
      </c>
      <c r="F1916" s="2948" t="s">
        <v>2274</v>
      </c>
      <c r="G1916" s="2948" t="s">
        <v>640</v>
      </c>
      <c r="H1916" s="2948" t="s">
        <v>2365</v>
      </c>
      <c r="I1916" s="2948" t="s">
        <v>2248</v>
      </c>
      <c r="J1916" s="2948" t="s">
        <v>643</v>
      </c>
      <c r="K1916" s="2950">
        <v>21.37</v>
      </c>
      <c r="L1916" s="2950">
        <v>10.199999999999999</v>
      </c>
      <c r="M1916" s="2951">
        <v>641100</v>
      </c>
      <c r="N1916" s="2951">
        <v>641100</v>
      </c>
      <c r="O1916" s="2952">
        <v>641100</v>
      </c>
      <c r="P1916" s="2953">
        <v>641100</v>
      </c>
      <c r="Q1916" s="2951">
        <v>641100</v>
      </c>
      <c r="R1916" s="2954">
        <v>44453</v>
      </c>
      <c r="S1916" s="2954">
        <v>44463</v>
      </c>
      <c r="T1916" s="2954">
        <v>44532</v>
      </c>
      <c r="U1916" s="2954">
        <v>44532</v>
      </c>
      <c r="V1916" s="2948" t="s">
        <v>1608</v>
      </c>
      <c r="W1916" s="2944">
        <f t="shared" si="14"/>
        <v>30000</v>
      </c>
    </row>
    <row r="1917" spans="1:23" s="2944" customFormat="1" ht="93.6" hidden="1">
      <c r="A1917" s="2948">
        <v>1916</v>
      </c>
      <c r="B1917" s="2948" t="s">
        <v>635</v>
      </c>
      <c r="C1917" s="2948" t="s">
        <v>636</v>
      </c>
      <c r="D1917" s="2948" t="s">
        <v>2286</v>
      </c>
      <c r="E1917" s="2948" t="s">
        <v>822</v>
      </c>
      <c r="F1917" s="2948" t="s">
        <v>2273</v>
      </c>
      <c r="G1917" s="2948" t="s">
        <v>1035</v>
      </c>
      <c r="H1917" s="2948" t="s">
        <v>2366</v>
      </c>
      <c r="I1917" s="2948" t="s">
        <v>2248</v>
      </c>
      <c r="J1917" s="2948" t="s">
        <v>643</v>
      </c>
      <c r="K1917" s="2950">
        <v>51.14</v>
      </c>
      <c r="L1917" s="2950">
        <v>24.41</v>
      </c>
      <c r="M1917" s="2951">
        <v>1534200</v>
      </c>
      <c r="N1917" s="2951">
        <v>1534200</v>
      </c>
      <c r="O1917" s="2955"/>
      <c r="P1917" s="2948"/>
      <c r="Q1917" s="2951">
        <v>0</v>
      </c>
      <c r="R1917" s="2948"/>
      <c r="S1917" s="2948"/>
      <c r="T1917" s="2948"/>
      <c r="U1917" s="2948"/>
      <c r="V1917" s="2948"/>
      <c r="W1917" s="2944">
        <f t="shared" si="14"/>
        <v>0</v>
      </c>
    </row>
    <row r="1918" spans="1:23" s="2944" customFormat="1" ht="93.6">
      <c r="A1918" s="2948">
        <v>1917</v>
      </c>
      <c r="B1918" s="2948" t="s">
        <v>635</v>
      </c>
      <c r="C1918" s="2948" t="s">
        <v>636</v>
      </c>
      <c r="D1918" s="2948" t="s">
        <v>2286</v>
      </c>
      <c r="E1918" s="2948" t="s">
        <v>822</v>
      </c>
      <c r="F1918" s="2948" t="s">
        <v>2272</v>
      </c>
      <c r="G1918" s="2948" t="s">
        <v>640</v>
      </c>
      <c r="H1918" s="2948" t="s">
        <v>2367</v>
      </c>
      <c r="I1918" s="2948" t="s">
        <v>2248</v>
      </c>
      <c r="J1918" s="2948" t="s">
        <v>643</v>
      </c>
      <c r="K1918" s="2950">
        <v>23.4</v>
      </c>
      <c r="L1918" s="2950">
        <v>11.17</v>
      </c>
      <c r="M1918" s="2951">
        <v>702000</v>
      </c>
      <c r="N1918" s="2951">
        <v>702000</v>
      </c>
      <c r="O1918" s="2952">
        <v>702000</v>
      </c>
      <c r="P1918" s="2953">
        <v>702000</v>
      </c>
      <c r="Q1918" s="2951">
        <v>702000</v>
      </c>
      <c r="R1918" s="2954">
        <v>44452</v>
      </c>
      <c r="S1918" s="2954">
        <v>44461</v>
      </c>
      <c r="T1918" s="2954">
        <v>44502</v>
      </c>
      <c r="U1918" s="2954">
        <v>44502</v>
      </c>
      <c r="V1918" s="2948" t="s">
        <v>1623</v>
      </c>
      <c r="W1918" s="2944">
        <f t="shared" si="14"/>
        <v>30000</v>
      </c>
    </row>
    <row r="1919" spans="1:23" s="2944" customFormat="1" ht="93.6">
      <c r="A1919" s="2948">
        <v>1918</v>
      </c>
      <c r="B1919" s="2948" t="s">
        <v>635</v>
      </c>
      <c r="C1919" s="2948" t="s">
        <v>636</v>
      </c>
      <c r="D1919" s="2948" t="s">
        <v>2286</v>
      </c>
      <c r="E1919" s="2948" t="s">
        <v>822</v>
      </c>
      <c r="F1919" s="2948" t="s">
        <v>2271</v>
      </c>
      <c r="G1919" s="2948" t="s">
        <v>640</v>
      </c>
      <c r="H1919" s="2948" t="s">
        <v>2368</v>
      </c>
      <c r="I1919" s="2948" t="s">
        <v>2248</v>
      </c>
      <c r="J1919" s="2948" t="s">
        <v>643</v>
      </c>
      <c r="K1919" s="2950">
        <v>22.08</v>
      </c>
      <c r="L1919" s="2950">
        <v>10.54</v>
      </c>
      <c r="M1919" s="2951">
        <v>662400</v>
      </c>
      <c r="N1919" s="2951">
        <v>662400</v>
      </c>
      <c r="O1919" s="2952">
        <v>662400</v>
      </c>
      <c r="P1919" s="2953">
        <v>662400</v>
      </c>
      <c r="Q1919" s="2951">
        <v>662400</v>
      </c>
      <c r="R1919" s="2954">
        <v>44453</v>
      </c>
      <c r="S1919" s="2954">
        <v>44459</v>
      </c>
      <c r="T1919" s="2954">
        <v>44501</v>
      </c>
      <c r="U1919" s="2954">
        <v>44501</v>
      </c>
      <c r="V1919" s="2948" t="s">
        <v>1592</v>
      </c>
      <c r="W1919" s="2944">
        <f t="shared" si="14"/>
        <v>30000</v>
      </c>
    </row>
    <row r="1920" spans="1:23" s="2944" customFormat="1" ht="93.6">
      <c r="A1920" s="2948">
        <v>1919</v>
      </c>
      <c r="B1920" s="2948" t="s">
        <v>635</v>
      </c>
      <c r="C1920" s="2948" t="s">
        <v>636</v>
      </c>
      <c r="D1920" s="2948" t="s">
        <v>2286</v>
      </c>
      <c r="E1920" s="2948" t="s">
        <v>822</v>
      </c>
      <c r="F1920" s="2948" t="s">
        <v>2270</v>
      </c>
      <c r="G1920" s="2948" t="s">
        <v>640</v>
      </c>
      <c r="H1920" s="2948" t="s">
        <v>2369</v>
      </c>
      <c r="I1920" s="2948" t="s">
        <v>2248</v>
      </c>
      <c r="J1920" s="2948" t="s">
        <v>643</v>
      </c>
      <c r="K1920" s="2950">
        <v>20.53</v>
      </c>
      <c r="L1920" s="2950">
        <v>9.8000000000000007</v>
      </c>
      <c r="M1920" s="2951">
        <v>615900</v>
      </c>
      <c r="N1920" s="2951">
        <v>615900</v>
      </c>
      <c r="O1920" s="2952">
        <v>615900</v>
      </c>
      <c r="P1920" s="2953">
        <v>615900</v>
      </c>
      <c r="Q1920" s="2951">
        <v>615900</v>
      </c>
      <c r="R1920" s="2954">
        <v>44618</v>
      </c>
      <c r="S1920" s="2954">
        <v>44620</v>
      </c>
      <c r="T1920" s="2954">
        <v>44737</v>
      </c>
      <c r="U1920" s="2954">
        <v>44737</v>
      </c>
      <c r="V1920" s="2948" t="s">
        <v>1628</v>
      </c>
      <c r="W1920" s="2944">
        <f t="shared" si="14"/>
        <v>30000</v>
      </c>
    </row>
    <row r="1921" spans="1:23" s="2944" customFormat="1" ht="93.6">
      <c r="A1921" s="2948">
        <v>1920</v>
      </c>
      <c r="B1921" s="2948" t="s">
        <v>635</v>
      </c>
      <c r="C1921" s="2948" t="s">
        <v>636</v>
      </c>
      <c r="D1921" s="2948" t="s">
        <v>2286</v>
      </c>
      <c r="E1921" s="2948" t="s">
        <v>822</v>
      </c>
      <c r="F1921" s="2948" t="s">
        <v>2269</v>
      </c>
      <c r="G1921" s="2948" t="s">
        <v>640</v>
      </c>
      <c r="H1921" s="2948" t="s">
        <v>2369</v>
      </c>
      <c r="I1921" s="2948" t="s">
        <v>2248</v>
      </c>
      <c r="J1921" s="2948" t="s">
        <v>643</v>
      </c>
      <c r="K1921" s="2950">
        <v>20.53</v>
      </c>
      <c r="L1921" s="2950">
        <v>9.8000000000000007</v>
      </c>
      <c r="M1921" s="2951">
        <v>615900</v>
      </c>
      <c r="N1921" s="2951">
        <v>615900</v>
      </c>
      <c r="O1921" s="2952">
        <v>585105</v>
      </c>
      <c r="P1921" s="2953">
        <v>585105</v>
      </c>
      <c r="Q1921" s="2951">
        <v>585105</v>
      </c>
      <c r="R1921" s="2954">
        <v>44698</v>
      </c>
      <c r="S1921" s="2954">
        <v>44785</v>
      </c>
      <c r="T1921" s="2954">
        <v>44785</v>
      </c>
      <c r="U1921" s="2954">
        <v>44785</v>
      </c>
      <c r="V1921" s="2948" t="s">
        <v>1584</v>
      </c>
      <c r="W1921" s="2944">
        <f t="shared" si="14"/>
        <v>28500</v>
      </c>
    </row>
    <row r="1922" spans="1:23" s="2944" customFormat="1" ht="93.6">
      <c r="A1922" s="2948">
        <v>1921</v>
      </c>
      <c r="B1922" s="2948" t="s">
        <v>635</v>
      </c>
      <c r="C1922" s="2948" t="s">
        <v>636</v>
      </c>
      <c r="D1922" s="2948" t="s">
        <v>2286</v>
      </c>
      <c r="E1922" s="2948" t="s">
        <v>822</v>
      </c>
      <c r="F1922" s="2948" t="s">
        <v>2268</v>
      </c>
      <c r="G1922" s="2948" t="s">
        <v>640</v>
      </c>
      <c r="H1922" s="2948" t="s">
        <v>2370</v>
      </c>
      <c r="I1922" s="2948" t="s">
        <v>2248</v>
      </c>
      <c r="J1922" s="2948" t="s">
        <v>643</v>
      </c>
      <c r="K1922" s="2950">
        <v>22.08</v>
      </c>
      <c r="L1922" s="2950">
        <v>10.54</v>
      </c>
      <c r="M1922" s="2951">
        <v>662400</v>
      </c>
      <c r="N1922" s="2951">
        <v>662400</v>
      </c>
      <c r="O1922" s="2952">
        <v>629280</v>
      </c>
      <c r="P1922" s="2953">
        <v>629280</v>
      </c>
      <c r="Q1922" s="2951">
        <v>629280</v>
      </c>
      <c r="R1922" s="2954">
        <v>44454</v>
      </c>
      <c r="S1922" s="2954">
        <v>44463</v>
      </c>
      <c r="T1922" s="2954">
        <v>44502</v>
      </c>
      <c r="U1922" s="2954">
        <v>44502</v>
      </c>
      <c r="V1922" s="2948" t="s">
        <v>1617</v>
      </c>
      <c r="W1922" s="2944">
        <f t="shared" si="14"/>
        <v>28500</v>
      </c>
    </row>
    <row r="1923" spans="1:23" s="2944" customFormat="1" ht="93.6">
      <c r="A1923" s="2948">
        <v>1922</v>
      </c>
      <c r="B1923" s="2948" t="s">
        <v>635</v>
      </c>
      <c r="C1923" s="2948" t="s">
        <v>636</v>
      </c>
      <c r="D1923" s="2948" t="s">
        <v>2286</v>
      </c>
      <c r="E1923" s="2948" t="s">
        <v>822</v>
      </c>
      <c r="F1923" s="2948" t="s">
        <v>655</v>
      </c>
      <c r="G1923" s="2948" t="s">
        <v>640</v>
      </c>
      <c r="H1923" s="2948" t="s">
        <v>2371</v>
      </c>
      <c r="I1923" s="2948" t="s">
        <v>2248</v>
      </c>
      <c r="J1923" s="2948" t="s">
        <v>643</v>
      </c>
      <c r="K1923" s="2950">
        <v>23.4</v>
      </c>
      <c r="L1923" s="2950">
        <v>11.17</v>
      </c>
      <c r="M1923" s="2951">
        <v>702000</v>
      </c>
      <c r="N1923" s="2951">
        <v>702000</v>
      </c>
      <c r="O1923" s="2952">
        <v>702000</v>
      </c>
      <c r="P1923" s="2953">
        <v>702000</v>
      </c>
      <c r="Q1923" s="2951">
        <v>702000</v>
      </c>
      <c r="R1923" s="2954">
        <v>44456</v>
      </c>
      <c r="S1923" s="2954">
        <v>44459</v>
      </c>
      <c r="T1923" s="2954">
        <v>44778</v>
      </c>
      <c r="U1923" s="2954">
        <v>44778</v>
      </c>
      <c r="V1923" s="2948" t="s">
        <v>1602</v>
      </c>
      <c r="W1923" s="2944">
        <f t="shared" si="14"/>
        <v>30000</v>
      </c>
    </row>
    <row r="1924" spans="1:23" s="2944" customFormat="1" ht="93.6" hidden="1">
      <c r="A1924" s="2948">
        <v>1923</v>
      </c>
      <c r="B1924" s="2948" t="s">
        <v>635</v>
      </c>
      <c r="C1924" s="2948" t="s">
        <v>636</v>
      </c>
      <c r="D1924" s="2948" t="s">
        <v>2286</v>
      </c>
      <c r="E1924" s="2948" t="s">
        <v>822</v>
      </c>
      <c r="F1924" s="2948" t="s">
        <v>653</v>
      </c>
      <c r="G1924" s="2948" t="s">
        <v>1035</v>
      </c>
      <c r="H1924" s="2948" t="s">
        <v>2372</v>
      </c>
      <c r="I1924" s="2948" t="s">
        <v>2248</v>
      </c>
      <c r="J1924" s="2948" t="s">
        <v>643</v>
      </c>
      <c r="K1924" s="2950">
        <v>60.09</v>
      </c>
      <c r="L1924" s="2950">
        <v>28.68</v>
      </c>
      <c r="M1924" s="2951">
        <v>1802700</v>
      </c>
      <c r="N1924" s="2951">
        <v>1802700</v>
      </c>
      <c r="O1924" s="2955"/>
      <c r="P1924" s="2948"/>
      <c r="Q1924" s="2951">
        <v>0</v>
      </c>
      <c r="R1924" s="2948"/>
      <c r="S1924" s="2948"/>
      <c r="T1924" s="2948"/>
      <c r="U1924" s="2948"/>
      <c r="V1924" s="2948"/>
      <c r="W1924" s="2944">
        <f t="shared" si="14"/>
        <v>0</v>
      </c>
    </row>
    <row r="1925" spans="1:23" s="2944" customFormat="1" ht="93.6">
      <c r="A1925" s="2948">
        <v>1924</v>
      </c>
      <c r="B1925" s="2948" t="s">
        <v>635</v>
      </c>
      <c r="C1925" s="2948" t="s">
        <v>636</v>
      </c>
      <c r="D1925" s="2948" t="s">
        <v>2286</v>
      </c>
      <c r="E1925" s="2948" t="s">
        <v>822</v>
      </c>
      <c r="F1925" s="2948" t="s">
        <v>2257</v>
      </c>
      <c r="G1925" s="2948" t="s">
        <v>640</v>
      </c>
      <c r="H1925" s="2948" t="s">
        <v>2373</v>
      </c>
      <c r="I1925" s="2948" t="s">
        <v>2248</v>
      </c>
      <c r="J1925" s="2948" t="s">
        <v>643</v>
      </c>
      <c r="K1925" s="2950">
        <v>23.07</v>
      </c>
      <c r="L1925" s="2950">
        <v>11.01</v>
      </c>
      <c r="M1925" s="2951">
        <v>692100</v>
      </c>
      <c r="N1925" s="2951">
        <v>692100</v>
      </c>
      <c r="O1925" s="2952">
        <v>692100</v>
      </c>
      <c r="P1925" s="2953">
        <v>692100</v>
      </c>
      <c r="Q1925" s="2951">
        <v>692100</v>
      </c>
      <c r="R1925" s="2954">
        <v>44452</v>
      </c>
      <c r="S1925" s="2954">
        <v>44457</v>
      </c>
      <c r="T1925" s="2954">
        <v>44503</v>
      </c>
      <c r="U1925" s="2954">
        <v>44503</v>
      </c>
      <c r="V1925" s="2948" t="s">
        <v>1625</v>
      </c>
      <c r="W1925" s="2944">
        <f t="shared" si="14"/>
        <v>30000</v>
      </c>
    </row>
    <row r="1926" spans="1:23" s="2944" customFormat="1" ht="93.6">
      <c r="A1926" s="2948">
        <v>1925</v>
      </c>
      <c r="B1926" s="2948" t="s">
        <v>635</v>
      </c>
      <c r="C1926" s="2948" t="s">
        <v>636</v>
      </c>
      <c r="D1926" s="2948" t="s">
        <v>2286</v>
      </c>
      <c r="E1926" s="2948" t="s">
        <v>822</v>
      </c>
      <c r="F1926" s="2948" t="s">
        <v>2259</v>
      </c>
      <c r="G1926" s="2948" t="s">
        <v>640</v>
      </c>
      <c r="H1926" s="2948" t="s">
        <v>2374</v>
      </c>
      <c r="I1926" s="2948" t="s">
        <v>2248</v>
      </c>
      <c r="J1926" s="2948" t="s">
        <v>643</v>
      </c>
      <c r="K1926" s="2950">
        <v>20.87</v>
      </c>
      <c r="L1926" s="2950">
        <v>9.9600000000000009</v>
      </c>
      <c r="M1926" s="2951">
        <v>626100</v>
      </c>
      <c r="N1926" s="2951">
        <v>626100</v>
      </c>
      <c r="O1926" s="2952">
        <v>626100</v>
      </c>
      <c r="P1926" s="2953">
        <v>626100</v>
      </c>
      <c r="Q1926" s="2951">
        <v>626100</v>
      </c>
      <c r="R1926" s="2954">
        <v>44452</v>
      </c>
      <c r="S1926" s="2954">
        <v>44457</v>
      </c>
      <c r="T1926" s="2954">
        <v>44502</v>
      </c>
      <c r="U1926" s="2954">
        <v>44502</v>
      </c>
      <c r="V1926" s="2948" t="s">
        <v>1626</v>
      </c>
      <c r="W1926" s="2944">
        <f t="shared" si="14"/>
        <v>30000</v>
      </c>
    </row>
    <row r="1927" spans="1:23" s="2944" customFormat="1" ht="93.6">
      <c r="A1927" s="2948">
        <v>1926</v>
      </c>
      <c r="B1927" s="2948" t="s">
        <v>635</v>
      </c>
      <c r="C1927" s="2948" t="s">
        <v>636</v>
      </c>
      <c r="D1927" s="2948" t="s">
        <v>2286</v>
      </c>
      <c r="E1927" s="2948" t="s">
        <v>822</v>
      </c>
      <c r="F1927" s="2948" t="s">
        <v>2258</v>
      </c>
      <c r="G1927" s="2948" t="s">
        <v>640</v>
      </c>
      <c r="H1927" s="2948" t="s">
        <v>2375</v>
      </c>
      <c r="I1927" s="2948" t="s">
        <v>2248</v>
      </c>
      <c r="J1927" s="2948" t="s">
        <v>643</v>
      </c>
      <c r="K1927" s="2950">
        <v>16.22</v>
      </c>
      <c r="L1927" s="2950">
        <v>7.74</v>
      </c>
      <c r="M1927" s="2951">
        <v>486600</v>
      </c>
      <c r="N1927" s="2951">
        <v>486600</v>
      </c>
      <c r="O1927" s="2952">
        <v>486600</v>
      </c>
      <c r="P1927" s="2953">
        <v>486600</v>
      </c>
      <c r="Q1927" s="2951">
        <v>486600</v>
      </c>
      <c r="R1927" s="2954">
        <v>44454</v>
      </c>
      <c r="S1927" s="2954">
        <v>44459</v>
      </c>
      <c r="T1927" s="2954">
        <v>44515</v>
      </c>
      <c r="U1927" s="2954">
        <v>44515</v>
      </c>
      <c r="V1927" s="2948" t="s">
        <v>1594</v>
      </c>
      <c r="W1927" s="2944">
        <f t="shared" si="14"/>
        <v>30000</v>
      </c>
    </row>
    <row r="1928" spans="1:23" s="2944" customFormat="1" ht="93.6">
      <c r="A1928" s="2948">
        <v>1927</v>
      </c>
      <c r="B1928" s="2948" t="s">
        <v>635</v>
      </c>
      <c r="C1928" s="2948" t="s">
        <v>636</v>
      </c>
      <c r="D1928" s="2948" t="s">
        <v>2286</v>
      </c>
      <c r="E1928" s="2948" t="s">
        <v>822</v>
      </c>
      <c r="F1928" s="2948" t="s">
        <v>2261</v>
      </c>
      <c r="G1928" s="2948" t="s">
        <v>640</v>
      </c>
      <c r="H1928" s="2948" t="s">
        <v>2376</v>
      </c>
      <c r="I1928" s="2948" t="s">
        <v>2248</v>
      </c>
      <c r="J1928" s="2948" t="s">
        <v>643</v>
      </c>
      <c r="K1928" s="2950">
        <v>15.21</v>
      </c>
      <c r="L1928" s="2950">
        <v>7.26</v>
      </c>
      <c r="M1928" s="2951">
        <v>456300</v>
      </c>
      <c r="N1928" s="2951">
        <v>456300</v>
      </c>
      <c r="O1928" s="2952">
        <v>456300</v>
      </c>
      <c r="P1928" s="2953">
        <v>456300</v>
      </c>
      <c r="Q1928" s="2951">
        <v>456300</v>
      </c>
      <c r="R1928" s="2954">
        <v>44454</v>
      </c>
      <c r="S1928" s="2954">
        <v>44461</v>
      </c>
      <c r="T1928" s="2954">
        <v>44525</v>
      </c>
      <c r="U1928" s="2954">
        <v>44525</v>
      </c>
      <c r="V1928" s="2948" t="s">
        <v>1621</v>
      </c>
      <c r="W1928" s="2944">
        <f t="shared" si="14"/>
        <v>30000</v>
      </c>
    </row>
    <row r="1929" spans="1:23" s="2944" customFormat="1" ht="93.6">
      <c r="A1929" s="2948">
        <v>1928</v>
      </c>
      <c r="B1929" s="2948" t="s">
        <v>635</v>
      </c>
      <c r="C1929" s="2948" t="s">
        <v>636</v>
      </c>
      <c r="D1929" s="2948" t="s">
        <v>2286</v>
      </c>
      <c r="E1929" s="2948" t="s">
        <v>822</v>
      </c>
      <c r="F1929" s="2948" t="s">
        <v>2284</v>
      </c>
      <c r="G1929" s="2948" t="s">
        <v>640</v>
      </c>
      <c r="H1929" s="2948" t="s">
        <v>2377</v>
      </c>
      <c r="I1929" s="2948" t="s">
        <v>2248</v>
      </c>
      <c r="J1929" s="2948" t="s">
        <v>643</v>
      </c>
      <c r="K1929" s="2950">
        <v>19.61</v>
      </c>
      <c r="L1929" s="2950">
        <v>9.36</v>
      </c>
      <c r="M1929" s="2951">
        <v>588300</v>
      </c>
      <c r="N1929" s="2951">
        <v>588300</v>
      </c>
      <c r="O1929" s="2952">
        <v>588300</v>
      </c>
      <c r="P1929" s="2953">
        <v>588300</v>
      </c>
      <c r="Q1929" s="2951">
        <v>588300</v>
      </c>
      <c r="R1929" s="2954">
        <v>44452</v>
      </c>
      <c r="S1929" s="2954">
        <v>44458</v>
      </c>
      <c r="T1929" s="2954">
        <v>44777</v>
      </c>
      <c r="U1929" s="2954">
        <v>44777</v>
      </c>
      <c r="V1929" s="2948" t="s">
        <v>1600</v>
      </c>
      <c r="W1929" s="2944">
        <f t="shared" si="14"/>
        <v>30000</v>
      </c>
    </row>
    <row r="1930" spans="1:23" s="2944" customFormat="1" ht="93.6">
      <c r="A1930" s="2948">
        <v>1929</v>
      </c>
      <c r="B1930" s="2948" t="s">
        <v>635</v>
      </c>
      <c r="C1930" s="2948" t="s">
        <v>636</v>
      </c>
      <c r="D1930" s="2948" t="s">
        <v>2286</v>
      </c>
      <c r="E1930" s="2948" t="s">
        <v>822</v>
      </c>
      <c r="F1930" s="2948" t="s">
        <v>2283</v>
      </c>
      <c r="G1930" s="2948" t="s">
        <v>640</v>
      </c>
      <c r="H1930" s="2948" t="s">
        <v>2378</v>
      </c>
      <c r="I1930" s="2948" t="s">
        <v>2248</v>
      </c>
      <c r="J1930" s="2948" t="s">
        <v>643</v>
      </c>
      <c r="K1930" s="2950">
        <v>25.12</v>
      </c>
      <c r="L1930" s="2950">
        <v>11.99</v>
      </c>
      <c r="M1930" s="2951">
        <v>753600</v>
      </c>
      <c r="N1930" s="2951">
        <v>753600</v>
      </c>
      <c r="O1930" s="2952">
        <v>753600</v>
      </c>
      <c r="P1930" s="2953">
        <v>753600</v>
      </c>
      <c r="Q1930" s="2951">
        <v>753600</v>
      </c>
      <c r="R1930" s="2954">
        <v>44453</v>
      </c>
      <c r="S1930" s="2954">
        <v>44458</v>
      </c>
      <c r="T1930" s="2954">
        <v>44505</v>
      </c>
      <c r="U1930" s="2954">
        <v>44505</v>
      </c>
      <c r="V1930" s="2948" t="s">
        <v>1598</v>
      </c>
      <c r="W1930" s="2944">
        <f t="shared" si="14"/>
        <v>30000</v>
      </c>
    </row>
    <row r="1931" spans="1:23" s="2944" customFormat="1" ht="93.6">
      <c r="A1931" s="2948">
        <v>1930</v>
      </c>
      <c r="B1931" s="2948" t="s">
        <v>635</v>
      </c>
      <c r="C1931" s="2948" t="s">
        <v>636</v>
      </c>
      <c r="D1931" s="2948" t="s">
        <v>2286</v>
      </c>
      <c r="E1931" s="2948" t="s">
        <v>822</v>
      </c>
      <c r="F1931" s="2948" t="s">
        <v>2282</v>
      </c>
      <c r="G1931" s="2948" t="s">
        <v>640</v>
      </c>
      <c r="H1931" s="2948" t="s">
        <v>2378</v>
      </c>
      <c r="I1931" s="2948" t="s">
        <v>2248</v>
      </c>
      <c r="J1931" s="2948" t="s">
        <v>643</v>
      </c>
      <c r="K1931" s="2950">
        <v>25.12</v>
      </c>
      <c r="L1931" s="2950">
        <v>11.99</v>
      </c>
      <c r="M1931" s="2951">
        <v>753600</v>
      </c>
      <c r="N1931" s="2951">
        <v>753600</v>
      </c>
      <c r="O1931" s="2952">
        <v>753600</v>
      </c>
      <c r="P1931" s="2953">
        <v>753600</v>
      </c>
      <c r="Q1931" s="2951">
        <v>753600</v>
      </c>
      <c r="R1931" s="2954">
        <v>44454</v>
      </c>
      <c r="S1931" s="2954">
        <v>44462</v>
      </c>
      <c r="T1931" s="2954">
        <v>44519</v>
      </c>
      <c r="U1931" s="2954">
        <v>44519</v>
      </c>
      <c r="V1931" s="2948" t="s">
        <v>1596</v>
      </c>
      <c r="W1931" s="2944">
        <f t="shared" si="14"/>
        <v>30000</v>
      </c>
    </row>
    <row r="1932" spans="1:23" s="2944" customFormat="1" ht="93.6" hidden="1">
      <c r="A1932" s="2948">
        <v>1931</v>
      </c>
      <c r="B1932" s="2948" t="s">
        <v>635</v>
      </c>
      <c r="C1932" s="2948" t="s">
        <v>636</v>
      </c>
      <c r="D1932" s="2948" t="s">
        <v>2286</v>
      </c>
      <c r="E1932" s="2948" t="s">
        <v>822</v>
      </c>
      <c r="F1932" s="2948" t="s">
        <v>2281</v>
      </c>
      <c r="G1932" s="2948" t="s">
        <v>1035</v>
      </c>
      <c r="H1932" s="2948" t="s">
        <v>2379</v>
      </c>
      <c r="I1932" s="2948" t="s">
        <v>2248</v>
      </c>
      <c r="J1932" s="2948" t="s">
        <v>643</v>
      </c>
      <c r="K1932" s="2950">
        <v>19.61</v>
      </c>
      <c r="L1932" s="2950">
        <v>9.36</v>
      </c>
      <c r="M1932" s="2951">
        <v>588300</v>
      </c>
      <c r="N1932" s="2951">
        <v>588300</v>
      </c>
      <c r="O1932" s="2955"/>
      <c r="P1932" s="2948"/>
      <c r="Q1932" s="2951">
        <v>0</v>
      </c>
      <c r="R1932" s="2948"/>
      <c r="S1932" s="2948"/>
      <c r="T1932" s="2948"/>
      <c r="U1932" s="2948"/>
      <c r="V1932" s="2948"/>
      <c r="W1932" s="2944">
        <f t="shared" si="14"/>
        <v>0</v>
      </c>
    </row>
    <row r="1933" spans="1:23" s="2944" customFormat="1" ht="93.6">
      <c r="A1933" s="2948">
        <v>1932</v>
      </c>
      <c r="B1933" s="2948" t="s">
        <v>635</v>
      </c>
      <c r="C1933" s="2948" t="s">
        <v>636</v>
      </c>
      <c r="D1933" s="2948" t="s">
        <v>2286</v>
      </c>
      <c r="E1933" s="2948" t="s">
        <v>822</v>
      </c>
      <c r="F1933" s="2948" t="s">
        <v>2280</v>
      </c>
      <c r="G1933" s="2948" t="s">
        <v>640</v>
      </c>
      <c r="H1933" s="2948" t="s">
        <v>2380</v>
      </c>
      <c r="I1933" s="2948" t="s">
        <v>2248</v>
      </c>
      <c r="J1933" s="2948" t="s">
        <v>643</v>
      </c>
      <c r="K1933" s="2950">
        <v>23.72</v>
      </c>
      <c r="L1933" s="2950">
        <v>11.32</v>
      </c>
      <c r="M1933" s="2951">
        <v>711600</v>
      </c>
      <c r="N1933" s="2951">
        <v>711600</v>
      </c>
      <c r="O1933" s="2952">
        <v>711600</v>
      </c>
      <c r="P1933" s="2953">
        <v>711600</v>
      </c>
      <c r="Q1933" s="2951">
        <v>711600</v>
      </c>
      <c r="R1933" s="2954">
        <v>44453</v>
      </c>
      <c r="S1933" s="2954">
        <v>44462</v>
      </c>
      <c r="T1933" s="2954">
        <v>44504</v>
      </c>
      <c r="U1933" s="2954">
        <v>44504</v>
      </c>
      <c r="V1933" s="2948" t="s">
        <v>1606</v>
      </c>
      <c r="W1933" s="2944">
        <f t="shared" si="14"/>
        <v>30000</v>
      </c>
    </row>
    <row r="1934" spans="1:23" s="2944" customFormat="1" ht="93.6">
      <c r="A1934" s="2948">
        <v>1933</v>
      </c>
      <c r="B1934" s="2948" t="s">
        <v>635</v>
      </c>
      <c r="C1934" s="2948" t="s">
        <v>636</v>
      </c>
      <c r="D1934" s="2948" t="s">
        <v>2286</v>
      </c>
      <c r="E1934" s="2948" t="s">
        <v>822</v>
      </c>
      <c r="F1934" s="2948" t="s">
        <v>2279</v>
      </c>
      <c r="G1934" s="2948" t="s">
        <v>640</v>
      </c>
      <c r="H1934" s="2948" t="s">
        <v>2381</v>
      </c>
      <c r="I1934" s="2948" t="s">
        <v>2248</v>
      </c>
      <c r="J1934" s="2948" t="s">
        <v>643</v>
      </c>
      <c r="K1934" s="2950">
        <v>18.690000000000001</v>
      </c>
      <c r="L1934" s="2950">
        <v>8.92</v>
      </c>
      <c r="M1934" s="2951">
        <v>560700</v>
      </c>
      <c r="N1934" s="2951">
        <v>560700</v>
      </c>
      <c r="O1934" s="2952">
        <v>560700</v>
      </c>
      <c r="P1934" s="2953">
        <v>560700</v>
      </c>
      <c r="Q1934" s="2951">
        <v>560700</v>
      </c>
      <c r="R1934" s="2954">
        <v>44552</v>
      </c>
      <c r="S1934" s="2954">
        <v>44561</v>
      </c>
      <c r="T1934" s="2954">
        <v>44738</v>
      </c>
      <c r="U1934" s="2954">
        <v>44738</v>
      </c>
      <c r="V1934" s="2948" t="s">
        <v>1593</v>
      </c>
      <c r="W1934" s="2944">
        <f t="shared" si="14"/>
        <v>30000</v>
      </c>
    </row>
    <row r="1935" spans="1:23" s="2944" customFormat="1" ht="93.6">
      <c r="A1935" s="2948">
        <v>1934</v>
      </c>
      <c r="B1935" s="2948" t="s">
        <v>635</v>
      </c>
      <c r="C1935" s="2948" t="s">
        <v>636</v>
      </c>
      <c r="D1935" s="2948" t="s">
        <v>2286</v>
      </c>
      <c r="E1935" s="2948" t="s">
        <v>822</v>
      </c>
      <c r="F1935" s="2948" t="s">
        <v>2278</v>
      </c>
      <c r="G1935" s="2948" t="s">
        <v>640</v>
      </c>
      <c r="H1935" s="2948" t="s">
        <v>2381</v>
      </c>
      <c r="I1935" s="2948" t="s">
        <v>2248</v>
      </c>
      <c r="J1935" s="2948" t="s">
        <v>643</v>
      </c>
      <c r="K1935" s="2950">
        <v>18.690000000000001</v>
      </c>
      <c r="L1935" s="2950">
        <v>8.92</v>
      </c>
      <c r="M1935" s="2951">
        <v>560700</v>
      </c>
      <c r="N1935" s="2951">
        <v>560700</v>
      </c>
      <c r="O1935" s="2952">
        <v>560700</v>
      </c>
      <c r="P1935" s="2953">
        <v>560700</v>
      </c>
      <c r="Q1935" s="2951">
        <v>560700</v>
      </c>
      <c r="R1935" s="2954">
        <v>44452</v>
      </c>
      <c r="S1935" s="2954">
        <v>44462</v>
      </c>
      <c r="T1935" s="2954">
        <v>44501</v>
      </c>
      <c r="U1935" s="2954">
        <v>44501</v>
      </c>
      <c r="V1935" s="2948" t="s">
        <v>1630</v>
      </c>
      <c r="W1935" s="2944">
        <f t="shared" si="14"/>
        <v>30000</v>
      </c>
    </row>
    <row r="1936" spans="1:23" s="2944" customFormat="1" ht="93.6">
      <c r="A1936" s="2948">
        <v>1935</v>
      </c>
      <c r="B1936" s="2948" t="s">
        <v>635</v>
      </c>
      <c r="C1936" s="2948" t="s">
        <v>636</v>
      </c>
      <c r="D1936" s="2948" t="s">
        <v>2286</v>
      </c>
      <c r="E1936" s="2948" t="s">
        <v>1456</v>
      </c>
      <c r="F1936" s="2948" t="s">
        <v>645</v>
      </c>
      <c r="G1936" s="2948" t="s">
        <v>640</v>
      </c>
      <c r="H1936" s="2948" t="s">
        <v>2382</v>
      </c>
      <c r="I1936" s="2948" t="s">
        <v>2248</v>
      </c>
      <c r="J1936" s="2948" t="s">
        <v>643</v>
      </c>
      <c r="K1936" s="2956">
        <v>30.05</v>
      </c>
      <c r="L1936" s="2950">
        <v>11.89</v>
      </c>
      <c r="M1936" s="2951">
        <v>901500</v>
      </c>
      <c r="N1936" s="2951">
        <v>901500</v>
      </c>
      <c r="O1936" s="2952">
        <v>901500</v>
      </c>
      <c r="P1936" s="2953">
        <v>901500</v>
      </c>
      <c r="Q1936" s="2951">
        <v>901500</v>
      </c>
      <c r="R1936" s="2954">
        <v>44450</v>
      </c>
      <c r="S1936" s="2954">
        <v>44458</v>
      </c>
      <c r="T1936" s="2954">
        <v>44506</v>
      </c>
      <c r="U1936" s="2954">
        <v>44506</v>
      </c>
      <c r="V1936" s="2948" t="s">
        <v>1569</v>
      </c>
      <c r="W1936" s="2944">
        <f t="shared" si="14"/>
        <v>30000</v>
      </c>
    </row>
    <row r="1937" spans="1:23" s="2944" customFormat="1" ht="93.6">
      <c r="A1937" s="2948">
        <v>1936</v>
      </c>
      <c r="B1937" s="2948" t="s">
        <v>635</v>
      </c>
      <c r="C1937" s="2948" t="s">
        <v>636</v>
      </c>
      <c r="D1937" s="2948" t="s">
        <v>2286</v>
      </c>
      <c r="E1937" s="2948" t="s">
        <v>1456</v>
      </c>
      <c r="F1937" s="2948" t="s">
        <v>1458</v>
      </c>
      <c r="G1937" s="2948" t="s">
        <v>640</v>
      </c>
      <c r="H1937" s="2948" t="s">
        <v>2383</v>
      </c>
      <c r="I1937" s="2948" t="s">
        <v>2248</v>
      </c>
      <c r="J1937" s="2948" t="s">
        <v>643</v>
      </c>
      <c r="K1937" s="2950">
        <v>29.37</v>
      </c>
      <c r="L1937" s="2950">
        <v>11.62</v>
      </c>
      <c r="M1937" s="2951">
        <v>881100</v>
      </c>
      <c r="N1937" s="2951">
        <v>881100</v>
      </c>
      <c r="O1937" s="2952">
        <v>881100</v>
      </c>
      <c r="P1937" s="2953">
        <v>881100</v>
      </c>
      <c r="Q1937" s="2951">
        <v>881100</v>
      </c>
      <c r="R1937" s="2954">
        <v>44455</v>
      </c>
      <c r="S1937" s="2954">
        <v>44459</v>
      </c>
      <c r="T1937" s="2954">
        <v>44859</v>
      </c>
      <c r="U1937" s="2954">
        <v>44859</v>
      </c>
      <c r="V1937" s="2948" t="s">
        <v>1567</v>
      </c>
      <c r="W1937" s="2944">
        <f t="shared" si="14"/>
        <v>30000</v>
      </c>
    </row>
    <row r="1938" spans="1:23" s="2944" customFormat="1" ht="93.6">
      <c r="A1938" s="2948">
        <v>1937</v>
      </c>
      <c r="B1938" s="2948" t="s">
        <v>635</v>
      </c>
      <c r="C1938" s="2948" t="s">
        <v>636</v>
      </c>
      <c r="D1938" s="2948" t="s">
        <v>2286</v>
      </c>
      <c r="E1938" s="2948" t="s">
        <v>1456</v>
      </c>
      <c r="F1938" s="2948" t="s">
        <v>1457</v>
      </c>
      <c r="G1938" s="2948" t="s">
        <v>640</v>
      </c>
      <c r="H1938" s="2948" t="s">
        <v>2384</v>
      </c>
      <c r="I1938" s="2948" t="s">
        <v>2248</v>
      </c>
      <c r="J1938" s="2948" t="s">
        <v>643</v>
      </c>
      <c r="K1938" s="2956">
        <v>34.42</v>
      </c>
      <c r="L1938" s="2950">
        <v>13.62</v>
      </c>
      <c r="M1938" s="2951">
        <v>1032600</v>
      </c>
      <c r="N1938" s="2951">
        <v>1032600</v>
      </c>
      <c r="O1938" s="2952">
        <v>1032600</v>
      </c>
      <c r="P1938" s="2953">
        <v>1032600</v>
      </c>
      <c r="Q1938" s="2951">
        <v>1032600</v>
      </c>
      <c r="R1938" s="2954">
        <v>44453</v>
      </c>
      <c r="S1938" s="2954">
        <v>44461</v>
      </c>
      <c r="T1938" s="2954">
        <v>44496</v>
      </c>
      <c r="U1938" s="2954">
        <v>44496</v>
      </c>
      <c r="V1938" s="2948" t="s">
        <v>1571</v>
      </c>
      <c r="W1938" s="2944">
        <f t="shared" si="14"/>
        <v>30000</v>
      </c>
    </row>
    <row r="1939" spans="1:23" s="2944" customFormat="1" ht="93.6" hidden="1">
      <c r="A1939" s="2948">
        <v>1938</v>
      </c>
      <c r="B1939" s="2948" t="s">
        <v>635</v>
      </c>
      <c r="C1939" s="2948" t="s">
        <v>636</v>
      </c>
      <c r="D1939" s="2948" t="s">
        <v>2286</v>
      </c>
      <c r="E1939" s="2948" t="s">
        <v>1456</v>
      </c>
      <c r="F1939" s="2948" t="s">
        <v>2250</v>
      </c>
      <c r="G1939" s="2948" t="s">
        <v>1035</v>
      </c>
      <c r="H1939" s="2948" t="s">
        <v>2385</v>
      </c>
      <c r="I1939" s="2948" t="s">
        <v>2248</v>
      </c>
      <c r="J1939" s="2948" t="s">
        <v>643</v>
      </c>
      <c r="K1939" s="2950">
        <v>37.53</v>
      </c>
      <c r="L1939" s="2950">
        <v>14.85</v>
      </c>
      <c r="M1939" s="2951">
        <v>1125900</v>
      </c>
      <c r="N1939" s="2951">
        <v>1125900</v>
      </c>
      <c r="O1939" s="2955"/>
      <c r="P1939" s="2948"/>
      <c r="Q1939" s="2951">
        <v>0</v>
      </c>
      <c r="R1939" s="2948"/>
      <c r="S1939" s="2948"/>
      <c r="T1939" s="2948"/>
      <c r="U1939" s="2948"/>
      <c r="V1939" s="2948"/>
      <c r="W1939" s="2944">
        <f t="shared" si="14"/>
        <v>0</v>
      </c>
    </row>
    <row r="1940" spans="1:23" s="2944" customFormat="1" ht="93.6">
      <c r="A1940" s="2948">
        <v>1939</v>
      </c>
      <c r="B1940" s="2948" t="s">
        <v>635</v>
      </c>
      <c r="C1940" s="2948" t="s">
        <v>636</v>
      </c>
      <c r="D1940" s="2948" t="s">
        <v>2286</v>
      </c>
      <c r="E1940" s="2948" t="s">
        <v>1456</v>
      </c>
      <c r="F1940" s="2948" t="s">
        <v>651</v>
      </c>
      <c r="G1940" s="2948" t="s">
        <v>640</v>
      </c>
      <c r="H1940" s="2948" t="s">
        <v>2386</v>
      </c>
      <c r="I1940" s="2948" t="s">
        <v>2248</v>
      </c>
      <c r="J1940" s="2948" t="s">
        <v>643</v>
      </c>
      <c r="K1940" s="2950">
        <v>12.74</v>
      </c>
      <c r="L1940" s="2950">
        <v>5.04</v>
      </c>
      <c r="M1940" s="2951">
        <v>382200</v>
      </c>
      <c r="N1940" s="2951">
        <v>382200</v>
      </c>
      <c r="O1940" s="2952">
        <v>382200</v>
      </c>
      <c r="P1940" s="2953">
        <v>382200</v>
      </c>
      <c r="Q1940" s="2951">
        <v>382200</v>
      </c>
      <c r="R1940" s="2954">
        <v>44453</v>
      </c>
      <c r="S1940" s="2954">
        <v>44457</v>
      </c>
      <c r="T1940" s="2954">
        <v>44496</v>
      </c>
      <c r="U1940" s="2954">
        <v>44496</v>
      </c>
      <c r="V1940" s="2948" t="s">
        <v>1561</v>
      </c>
      <c r="W1940" s="2944">
        <f t="shared" si="14"/>
        <v>30000</v>
      </c>
    </row>
    <row r="1941" spans="1:23" s="2944" customFormat="1" ht="93.6">
      <c r="A1941" s="2948">
        <v>1940</v>
      </c>
      <c r="B1941" s="2948" t="s">
        <v>635</v>
      </c>
      <c r="C1941" s="2948" t="s">
        <v>636</v>
      </c>
      <c r="D1941" s="2948" t="s">
        <v>2286</v>
      </c>
      <c r="E1941" s="2948" t="s">
        <v>1456</v>
      </c>
      <c r="F1941" s="2948" t="s">
        <v>648</v>
      </c>
      <c r="G1941" s="2948" t="s">
        <v>640</v>
      </c>
      <c r="H1941" s="2948" t="s">
        <v>2387</v>
      </c>
      <c r="I1941" s="2948" t="s">
        <v>2248</v>
      </c>
      <c r="J1941" s="2948" t="s">
        <v>643</v>
      </c>
      <c r="K1941" s="2950">
        <v>11.68</v>
      </c>
      <c r="L1941" s="2950">
        <v>4.62</v>
      </c>
      <c r="M1941" s="2951">
        <v>350400</v>
      </c>
      <c r="N1941" s="2951">
        <v>350400</v>
      </c>
      <c r="O1941" s="2952">
        <v>350400</v>
      </c>
      <c r="P1941" s="2953">
        <v>350400</v>
      </c>
      <c r="Q1941" s="2951">
        <v>350400</v>
      </c>
      <c r="R1941" s="2954">
        <v>44554</v>
      </c>
      <c r="S1941" s="2954">
        <v>44557</v>
      </c>
      <c r="T1941" s="2954">
        <v>44739</v>
      </c>
      <c r="U1941" s="2954">
        <v>44739</v>
      </c>
      <c r="V1941" s="2948" t="s">
        <v>1566</v>
      </c>
      <c r="W1941" s="2944">
        <f t="shared" si="14"/>
        <v>30000</v>
      </c>
    </row>
    <row r="1942" spans="1:23" s="2944" customFormat="1" ht="93.6">
      <c r="A1942" s="2948">
        <v>1941</v>
      </c>
      <c r="B1942" s="2948" t="s">
        <v>635</v>
      </c>
      <c r="C1942" s="2948" t="s">
        <v>636</v>
      </c>
      <c r="D1942" s="2948" t="s">
        <v>2286</v>
      </c>
      <c r="E1942" s="2948" t="s">
        <v>1456</v>
      </c>
      <c r="F1942" s="2948" t="s">
        <v>2256</v>
      </c>
      <c r="G1942" s="2948" t="s">
        <v>640</v>
      </c>
      <c r="H1942" s="2948" t="s">
        <v>2388</v>
      </c>
      <c r="I1942" s="2948" t="s">
        <v>2248</v>
      </c>
      <c r="J1942" s="2948" t="s">
        <v>643</v>
      </c>
      <c r="K1942" s="2950">
        <v>17.82</v>
      </c>
      <c r="L1942" s="2950">
        <v>7.05</v>
      </c>
      <c r="M1942" s="2951">
        <v>534600</v>
      </c>
      <c r="N1942" s="2951">
        <v>534600</v>
      </c>
      <c r="O1942" s="2952">
        <v>534600</v>
      </c>
      <c r="P1942" s="2953">
        <v>534600</v>
      </c>
      <c r="Q1942" s="2951">
        <v>534600</v>
      </c>
      <c r="R1942" s="2954">
        <v>44616</v>
      </c>
      <c r="S1942" s="2954">
        <v>44639</v>
      </c>
      <c r="T1942" s="2954">
        <v>44639</v>
      </c>
      <c r="U1942" s="2954">
        <v>44639</v>
      </c>
      <c r="V1942" s="2948" t="s">
        <v>1568</v>
      </c>
      <c r="W1942" s="2944">
        <f t="shared" si="14"/>
        <v>30000</v>
      </c>
    </row>
    <row r="1943" spans="1:23" s="2944" customFormat="1" ht="93.6">
      <c r="A1943" s="2948">
        <v>1942</v>
      </c>
      <c r="B1943" s="2948" t="s">
        <v>635</v>
      </c>
      <c r="C1943" s="2948" t="s">
        <v>636</v>
      </c>
      <c r="D1943" s="2948" t="s">
        <v>2286</v>
      </c>
      <c r="E1943" s="2948" t="s">
        <v>1456</v>
      </c>
      <c r="F1943" s="2948" t="s">
        <v>2255</v>
      </c>
      <c r="G1943" s="2948" t="s">
        <v>640</v>
      </c>
      <c r="H1943" s="2948" t="s">
        <v>2388</v>
      </c>
      <c r="I1943" s="2948" t="s">
        <v>2248</v>
      </c>
      <c r="J1943" s="2948" t="s">
        <v>643</v>
      </c>
      <c r="K1943" s="2950">
        <v>17.82</v>
      </c>
      <c r="L1943" s="2950">
        <v>7.05</v>
      </c>
      <c r="M1943" s="2951">
        <v>534600</v>
      </c>
      <c r="N1943" s="2951">
        <v>534600</v>
      </c>
      <c r="O1943" s="2952">
        <v>534600</v>
      </c>
      <c r="P1943" s="2953">
        <v>534600</v>
      </c>
      <c r="Q1943" s="2951">
        <v>534600</v>
      </c>
      <c r="R1943" s="2954">
        <v>44453</v>
      </c>
      <c r="S1943" s="2954">
        <v>44458</v>
      </c>
      <c r="T1943" s="2954">
        <v>44504</v>
      </c>
      <c r="U1943" s="2954">
        <v>44504</v>
      </c>
      <c r="V1943" s="2948" t="s">
        <v>1574</v>
      </c>
      <c r="W1943" s="2944">
        <f t="shared" si="14"/>
        <v>30000</v>
      </c>
    </row>
    <row r="1944" spans="1:23" s="2944" customFormat="1" ht="93.6" hidden="1">
      <c r="A1944" s="2948">
        <v>1943</v>
      </c>
      <c r="B1944" s="2948" t="s">
        <v>635</v>
      </c>
      <c r="C1944" s="2948" t="s">
        <v>636</v>
      </c>
      <c r="D1944" s="2948" t="s">
        <v>2286</v>
      </c>
      <c r="E1944" s="2948" t="s">
        <v>1456</v>
      </c>
      <c r="F1944" s="2948" t="s">
        <v>2254</v>
      </c>
      <c r="G1944" s="2948" t="s">
        <v>1035</v>
      </c>
      <c r="H1944" s="2948" t="s">
        <v>2389</v>
      </c>
      <c r="I1944" s="2948" t="s">
        <v>2248</v>
      </c>
      <c r="J1944" s="2948" t="s">
        <v>643</v>
      </c>
      <c r="K1944" s="2950">
        <v>34.22</v>
      </c>
      <c r="L1944" s="2950">
        <v>13.54</v>
      </c>
      <c r="M1944" s="2951">
        <v>1026600</v>
      </c>
      <c r="N1944" s="2951">
        <v>1026600</v>
      </c>
      <c r="O1944" s="2955"/>
      <c r="P1944" s="2948"/>
      <c r="Q1944" s="2951">
        <v>0</v>
      </c>
      <c r="R1944" s="2948"/>
      <c r="S1944" s="2948"/>
      <c r="T1944" s="2948"/>
      <c r="U1944" s="2948"/>
      <c r="V1944" s="2948"/>
      <c r="W1944" s="2944">
        <f t="shared" si="14"/>
        <v>0</v>
      </c>
    </row>
    <row r="1945" spans="1:23" s="2944" customFormat="1" ht="93.6" hidden="1">
      <c r="A1945" s="2948">
        <v>1944</v>
      </c>
      <c r="B1945" s="2948" t="s">
        <v>635</v>
      </c>
      <c r="C1945" s="2948" t="s">
        <v>636</v>
      </c>
      <c r="D1945" s="2948" t="s">
        <v>2286</v>
      </c>
      <c r="E1945" s="2948" t="s">
        <v>1456</v>
      </c>
      <c r="F1945" s="2948" t="s">
        <v>2253</v>
      </c>
      <c r="G1945" s="2948" t="s">
        <v>1035</v>
      </c>
      <c r="H1945" s="2948" t="s">
        <v>2390</v>
      </c>
      <c r="I1945" s="2948" t="s">
        <v>2248</v>
      </c>
      <c r="J1945" s="2948" t="s">
        <v>643</v>
      </c>
      <c r="K1945" s="2950">
        <v>68.95</v>
      </c>
      <c r="L1945" s="2950">
        <v>27.28</v>
      </c>
      <c r="M1945" s="2951">
        <v>2068500</v>
      </c>
      <c r="N1945" s="2951">
        <v>2068500</v>
      </c>
      <c r="O1945" s="2955"/>
      <c r="P1945" s="2948"/>
      <c r="Q1945" s="2951">
        <v>0</v>
      </c>
      <c r="R1945" s="2948"/>
      <c r="S1945" s="2948"/>
      <c r="T1945" s="2948"/>
      <c r="U1945" s="2948"/>
      <c r="V1945" s="2948"/>
      <c r="W1945" s="2944">
        <f t="shared" si="14"/>
        <v>0</v>
      </c>
    </row>
    <row r="1946" spans="1:23" s="2944" customFormat="1" ht="93.6">
      <c r="A1946" s="2948">
        <v>1945</v>
      </c>
      <c r="B1946" s="2948" t="s">
        <v>635</v>
      </c>
      <c r="C1946" s="2948" t="s">
        <v>636</v>
      </c>
      <c r="D1946" s="2948" t="s">
        <v>2286</v>
      </c>
      <c r="E1946" s="2948" t="s">
        <v>1456</v>
      </c>
      <c r="F1946" s="2948" t="s">
        <v>2252</v>
      </c>
      <c r="G1946" s="2948" t="s">
        <v>640</v>
      </c>
      <c r="H1946" s="2948" t="s">
        <v>2391</v>
      </c>
      <c r="I1946" s="2948" t="s">
        <v>2248</v>
      </c>
      <c r="J1946" s="2948" t="s">
        <v>643</v>
      </c>
      <c r="K1946" s="2950">
        <v>9.68</v>
      </c>
      <c r="L1946" s="2950">
        <v>3.83</v>
      </c>
      <c r="M1946" s="2951">
        <v>290400</v>
      </c>
      <c r="N1946" s="2951">
        <v>290400</v>
      </c>
      <c r="O1946" s="2952">
        <v>290400</v>
      </c>
      <c r="P1946" s="2953">
        <v>290400</v>
      </c>
      <c r="Q1946" s="2951">
        <v>290400</v>
      </c>
      <c r="R1946" s="2954">
        <v>44453</v>
      </c>
      <c r="S1946" s="2954">
        <v>44459</v>
      </c>
      <c r="T1946" s="2954">
        <v>44658</v>
      </c>
      <c r="U1946" s="2954">
        <v>44658</v>
      </c>
      <c r="V1946" s="2948" t="s">
        <v>1560</v>
      </c>
      <c r="W1946" s="2944">
        <f t="shared" si="14"/>
        <v>30000</v>
      </c>
    </row>
    <row r="1947" spans="1:23" s="2944" customFormat="1" ht="93.6">
      <c r="A1947" s="2948">
        <v>1946</v>
      </c>
      <c r="B1947" s="2948" t="s">
        <v>635</v>
      </c>
      <c r="C1947" s="2948" t="s">
        <v>636</v>
      </c>
      <c r="D1947" s="2948" t="s">
        <v>2286</v>
      </c>
      <c r="E1947" s="2948" t="s">
        <v>1456</v>
      </c>
      <c r="F1947" s="2948" t="s">
        <v>2251</v>
      </c>
      <c r="G1947" s="2948" t="s">
        <v>640</v>
      </c>
      <c r="H1947" s="2948" t="s">
        <v>2392</v>
      </c>
      <c r="I1947" s="2948" t="s">
        <v>2248</v>
      </c>
      <c r="J1947" s="2948" t="s">
        <v>643</v>
      </c>
      <c r="K1947" s="2950">
        <v>8.34</v>
      </c>
      <c r="L1947" s="2950">
        <v>3.3</v>
      </c>
      <c r="M1947" s="2951">
        <v>250200</v>
      </c>
      <c r="N1947" s="2951">
        <v>250200</v>
      </c>
      <c r="O1947" s="2952">
        <v>250200</v>
      </c>
      <c r="P1947" s="2953">
        <v>250200</v>
      </c>
      <c r="Q1947" s="2951">
        <v>250200</v>
      </c>
      <c r="R1947" s="2954">
        <v>44644</v>
      </c>
      <c r="S1947" s="2954">
        <v>44651</v>
      </c>
      <c r="T1947" s="2954">
        <v>44851</v>
      </c>
      <c r="U1947" s="2954">
        <v>44851</v>
      </c>
      <c r="V1947" s="2948" t="s">
        <v>1556</v>
      </c>
      <c r="W1947" s="2944">
        <f t="shared" si="14"/>
        <v>30000</v>
      </c>
    </row>
    <row r="1948" spans="1:23" s="2944" customFormat="1" ht="93.6">
      <c r="A1948" s="2948">
        <v>1947</v>
      </c>
      <c r="B1948" s="2948" t="s">
        <v>635</v>
      </c>
      <c r="C1948" s="2948" t="s">
        <v>636</v>
      </c>
      <c r="D1948" s="2948" t="s">
        <v>2286</v>
      </c>
      <c r="E1948" s="2948" t="s">
        <v>1456</v>
      </c>
      <c r="F1948" s="2948" t="s">
        <v>2276</v>
      </c>
      <c r="G1948" s="2948" t="s">
        <v>640</v>
      </c>
      <c r="H1948" s="2948" t="s">
        <v>2393</v>
      </c>
      <c r="I1948" s="2948" t="s">
        <v>2248</v>
      </c>
      <c r="J1948" s="2948" t="s">
        <v>643</v>
      </c>
      <c r="K1948" s="2950">
        <v>10.11</v>
      </c>
      <c r="L1948" s="2950">
        <v>4</v>
      </c>
      <c r="M1948" s="2951">
        <v>303300</v>
      </c>
      <c r="N1948" s="2951">
        <v>303300</v>
      </c>
      <c r="O1948" s="2952">
        <v>303300</v>
      </c>
      <c r="P1948" s="2953">
        <v>303300</v>
      </c>
      <c r="Q1948" s="2951">
        <v>303300</v>
      </c>
      <c r="R1948" s="2948"/>
      <c r="S1948" s="2954">
        <v>44580.714027777802</v>
      </c>
      <c r="T1948" s="2954">
        <v>44639</v>
      </c>
      <c r="U1948" s="2954">
        <v>44639</v>
      </c>
      <c r="V1948" s="2948" t="s">
        <v>1575</v>
      </c>
      <c r="W1948" s="2944">
        <f t="shared" si="14"/>
        <v>30000</v>
      </c>
    </row>
    <row r="1949" spans="1:23" s="2944" customFormat="1" ht="93.6">
      <c r="A1949" s="2948">
        <v>1948</v>
      </c>
      <c r="B1949" s="2948" t="s">
        <v>635</v>
      </c>
      <c r="C1949" s="2948" t="s">
        <v>636</v>
      </c>
      <c r="D1949" s="2948" t="s">
        <v>2286</v>
      </c>
      <c r="E1949" s="2948" t="s">
        <v>1456</v>
      </c>
      <c r="F1949" s="2948" t="s">
        <v>2275</v>
      </c>
      <c r="G1949" s="2948" t="s">
        <v>640</v>
      </c>
      <c r="H1949" s="2948" t="s">
        <v>2394</v>
      </c>
      <c r="I1949" s="2948" t="s">
        <v>2248</v>
      </c>
      <c r="J1949" s="2948" t="s">
        <v>643</v>
      </c>
      <c r="K1949" s="2950">
        <v>15.92</v>
      </c>
      <c r="L1949" s="2950">
        <v>6.3</v>
      </c>
      <c r="M1949" s="2951">
        <v>477600</v>
      </c>
      <c r="N1949" s="2951">
        <v>477600</v>
      </c>
      <c r="O1949" s="2952">
        <v>477600</v>
      </c>
      <c r="P1949" s="2953">
        <v>477600</v>
      </c>
      <c r="Q1949" s="2951">
        <v>477600</v>
      </c>
      <c r="R1949" s="2954">
        <v>44453</v>
      </c>
      <c r="S1949" s="2954">
        <v>44458</v>
      </c>
      <c r="T1949" s="2954">
        <v>44505</v>
      </c>
      <c r="U1949" s="2954">
        <v>44505</v>
      </c>
      <c r="V1949" s="2948" t="s">
        <v>1559</v>
      </c>
      <c r="W1949" s="2944">
        <f t="shared" si="14"/>
        <v>30000</v>
      </c>
    </row>
    <row r="1950" spans="1:23" s="2944" customFormat="1" ht="93.6">
      <c r="A1950" s="2948">
        <v>1949</v>
      </c>
      <c r="B1950" s="2948" t="s">
        <v>635</v>
      </c>
      <c r="C1950" s="2948" t="s">
        <v>636</v>
      </c>
      <c r="D1950" s="2948" t="s">
        <v>2286</v>
      </c>
      <c r="E1950" s="2948" t="s">
        <v>1456</v>
      </c>
      <c r="F1950" s="2948" t="s">
        <v>655</v>
      </c>
      <c r="G1950" s="2948" t="s">
        <v>640</v>
      </c>
      <c r="H1950" s="2948" t="s">
        <v>2395</v>
      </c>
      <c r="I1950" s="2948" t="s">
        <v>2248</v>
      </c>
      <c r="J1950" s="2948" t="s">
        <v>643</v>
      </c>
      <c r="K1950" s="2950">
        <v>10.08</v>
      </c>
      <c r="L1950" s="2950">
        <v>3.99</v>
      </c>
      <c r="M1950" s="2951">
        <v>302400</v>
      </c>
      <c r="N1950" s="2951">
        <v>302400</v>
      </c>
      <c r="O1950" s="2952">
        <v>302400</v>
      </c>
      <c r="P1950" s="2953">
        <v>302400</v>
      </c>
      <c r="Q1950" s="2951">
        <v>302400</v>
      </c>
      <c r="R1950" s="2954">
        <v>44453</v>
      </c>
      <c r="S1950" s="2954">
        <v>44458</v>
      </c>
      <c r="T1950" s="2954">
        <v>44502</v>
      </c>
      <c r="U1950" s="2954">
        <v>44502</v>
      </c>
      <c r="V1950" s="2948" t="s">
        <v>1563</v>
      </c>
      <c r="W1950" s="2944">
        <f t="shared" si="14"/>
        <v>30000</v>
      </c>
    </row>
    <row r="1951" spans="1:23" s="2944" customFormat="1" ht="93.6" hidden="1">
      <c r="A1951" s="2948">
        <v>1950</v>
      </c>
      <c r="B1951" s="2948" t="s">
        <v>635</v>
      </c>
      <c r="C1951" s="2948" t="s">
        <v>636</v>
      </c>
      <c r="D1951" s="2948" t="s">
        <v>2286</v>
      </c>
      <c r="E1951" s="2948" t="s">
        <v>1456</v>
      </c>
      <c r="F1951" s="2948" t="s">
        <v>653</v>
      </c>
      <c r="G1951" s="2948" t="s">
        <v>1035</v>
      </c>
      <c r="H1951" s="2948" t="s">
        <v>2396</v>
      </c>
      <c r="I1951" s="2948" t="s">
        <v>2248</v>
      </c>
      <c r="J1951" s="2948" t="s">
        <v>643</v>
      </c>
      <c r="K1951" s="2950">
        <v>54.34</v>
      </c>
      <c r="L1951" s="2950">
        <v>21.5</v>
      </c>
      <c r="M1951" s="2951">
        <v>1630200</v>
      </c>
      <c r="N1951" s="2951">
        <v>1630200</v>
      </c>
      <c r="O1951" s="2955"/>
      <c r="P1951" s="2948"/>
      <c r="Q1951" s="2951">
        <v>0</v>
      </c>
      <c r="R1951" s="2948"/>
      <c r="S1951" s="2948"/>
      <c r="T1951" s="2948"/>
      <c r="U1951" s="2948"/>
      <c r="V1951" s="2948"/>
      <c r="W1951" s="2944">
        <f t="shared" si="14"/>
        <v>0</v>
      </c>
    </row>
    <row r="1952" spans="1:23" s="2944" customFormat="1" ht="93.6">
      <c r="A1952" s="2948">
        <v>1951</v>
      </c>
      <c r="B1952" s="2948" t="s">
        <v>635</v>
      </c>
      <c r="C1952" s="2948" t="s">
        <v>636</v>
      </c>
      <c r="D1952" s="2948" t="s">
        <v>2286</v>
      </c>
      <c r="E1952" s="2948" t="s">
        <v>1456</v>
      </c>
      <c r="F1952" s="2948" t="s">
        <v>2257</v>
      </c>
      <c r="G1952" s="2948" t="s">
        <v>640</v>
      </c>
      <c r="H1952" s="2948" t="s">
        <v>2397</v>
      </c>
      <c r="I1952" s="2948" t="s">
        <v>2248</v>
      </c>
      <c r="J1952" s="2948" t="s">
        <v>643</v>
      </c>
      <c r="K1952" s="2950">
        <v>17.54</v>
      </c>
      <c r="L1952" s="2950">
        <v>6.94</v>
      </c>
      <c r="M1952" s="2951">
        <v>526200</v>
      </c>
      <c r="N1952" s="2951">
        <v>526200</v>
      </c>
      <c r="O1952" s="2952">
        <v>526200</v>
      </c>
      <c r="P1952" s="2953">
        <v>526200</v>
      </c>
      <c r="Q1952" s="2951">
        <v>526200</v>
      </c>
      <c r="R1952" s="2954">
        <v>44455</v>
      </c>
      <c r="S1952" s="2954">
        <v>44462</v>
      </c>
      <c r="T1952" s="2954">
        <v>44524</v>
      </c>
      <c r="U1952" s="2954">
        <v>44524</v>
      </c>
      <c r="V1952" s="2948" t="s">
        <v>1572</v>
      </c>
      <c r="W1952" s="2944">
        <f t="shared" si="14"/>
        <v>30000</v>
      </c>
    </row>
    <row r="1953" spans="1:23" s="2944" customFormat="1" ht="93.6" hidden="1">
      <c r="A1953" s="2948">
        <v>1952</v>
      </c>
      <c r="B1953" s="2948" t="s">
        <v>635</v>
      </c>
      <c r="C1953" s="2948" t="s">
        <v>636</v>
      </c>
      <c r="D1953" s="2948" t="s">
        <v>2286</v>
      </c>
      <c r="E1953" s="2948" t="s">
        <v>1456</v>
      </c>
      <c r="F1953" s="2948" t="s">
        <v>2259</v>
      </c>
      <c r="G1953" s="2948" t="s">
        <v>1035</v>
      </c>
      <c r="H1953" s="2948" t="s">
        <v>2398</v>
      </c>
      <c r="I1953" s="2948" t="s">
        <v>2248</v>
      </c>
      <c r="J1953" s="2948" t="s">
        <v>643</v>
      </c>
      <c r="K1953" s="2950">
        <v>23.03</v>
      </c>
      <c r="L1953" s="2950">
        <v>9.11</v>
      </c>
      <c r="M1953" s="2951">
        <v>690900</v>
      </c>
      <c r="N1953" s="2951">
        <v>690900</v>
      </c>
      <c r="O1953" s="2955"/>
      <c r="P1953" s="2948"/>
      <c r="Q1953" s="2951">
        <v>0</v>
      </c>
      <c r="R1953" s="2948"/>
      <c r="S1953" s="2948"/>
      <c r="T1953" s="2948"/>
      <c r="U1953" s="2948"/>
      <c r="V1953" s="2948"/>
      <c r="W1953" s="2944">
        <f t="shared" si="14"/>
        <v>0</v>
      </c>
    </row>
    <row r="1954" spans="1:23" s="2944" customFormat="1" ht="93.6">
      <c r="A1954" s="2948">
        <v>1953</v>
      </c>
      <c r="B1954" s="2948" t="s">
        <v>635</v>
      </c>
      <c r="C1954" s="2948" t="s">
        <v>636</v>
      </c>
      <c r="D1954" s="2948" t="s">
        <v>2286</v>
      </c>
      <c r="E1954" s="2948" t="s">
        <v>1456</v>
      </c>
      <c r="F1954" s="2948" t="s">
        <v>2258</v>
      </c>
      <c r="G1954" s="2948" t="s">
        <v>640</v>
      </c>
      <c r="H1954" s="2948" t="s">
        <v>2399</v>
      </c>
      <c r="I1954" s="2948" t="s">
        <v>2248</v>
      </c>
      <c r="J1954" s="2948" t="s">
        <v>643</v>
      </c>
      <c r="K1954" s="2950">
        <v>17.82</v>
      </c>
      <c r="L1954" s="2950">
        <v>7.05</v>
      </c>
      <c r="M1954" s="2951">
        <v>534600</v>
      </c>
      <c r="N1954" s="2951">
        <v>534600</v>
      </c>
      <c r="O1954" s="2952">
        <v>534600</v>
      </c>
      <c r="P1954" s="2953">
        <v>534600</v>
      </c>
      <c r="Q1954" s="2951">
        <v>534600</v>
      </c>
      <c r="R1954" s="2954">
        <v>44648</v>
      </c>
      <c r="S1954" s="2954">
        <v>44651</v>
      </c>
      <c r="T1954" s="2954">
        <v>44726</v>
      </c>
      <c r="U1954" s="2954">
        <v>44726</v>
      </c>
      <c r="V1954" s="2948" t="s">
        <v>1557</v>
      </c>
      <c r="W1954" s="2944">
        <f t="shared" si="14"/>
        <v>30000</v>
      </c>
    </row>
    <row r="1955" spans="1:23" s="2944" customFormat="1" ht="93.6">
      <c r="A1955" s="2948">
        <v>1954</v>
      </c>
      <c r="B1955" s="2948" t="s">
        <v>635</v>
      </c>
      <c r="C1955" s="2948" t="s">
        <v>636</v>
      </c>
      <c r="D1955" s="2948" t="s">
        <v>2286</v>
      </c>
      <c r="E1955" s="2948" t="s">
        <v>1456</v>
      </c>
      <c r="F1955" s="2948" t="s">
        <v>2261</v>
      </c>
      <c r="G1955" s="2948" t="s">
        <v>640</v>
      </c>
      <c r="H1955" s="2948" t="s">
        <v>2399</v>
      </c>
      <c r="I1955" s="2948" t="s">
        <v>2248</v>
      </c>
      <c r="J1955" s="2948" t="s">
        <v>643</v>
      </c>
      <c r="K1955" s="2950">
        <v>17.82</v>
      </c>
      <c r="L1955" s="2950">
        <v>7.05</v>
      </c>
      <c r="M1955" s="2951">
        <v>534600</v>
      </c>
      <c r="N1955" s="2951">
        <v>534600</v>
      </c>
      <c r="O1955" s="2952">
        <v>534600</v>
      </c>
      <c r="P1955" s="2953">
        <v>534600</v>
      </c>
      <c r="Q1955" s="2951">
        <v>534600</v>
      </c>
      <c r="R1955" s="2954">
        <v>44454</v>
      </c>
      <c r="S1955" s="2954">
        <v>44459</v>
      </c>
      <c r="T1955" s="2954">
        <v>44496</v>
      </c>
      <c r="U1955" s="2954">
        <v>44496</v>
      </c>
      <c r="V1955" s="2948" t="s">
        <v>1564</v>
      </c>
      <c r="W1955" s="2944">
        <f t="shared" si="14"/>
        <v>30000</v>
      </c>
    </row>
    <row r="1956" spans="1:23" s="2944" customFormat="1" ht="93.6">
      <c r="A1956" s="2948">
        <v>1955</v>
      </c>
      <c r="B1956" s="2948" t="s">
        <v>635</v>
      </c>
      <c r="C1956" s="2948" t="s">
        <v>636</v>
      </c>
      <c r="D1956" s="2948" t="s">
        <v>2286</v>
      </c>
      <c r="E1956" s="2948" t="s">
        <v>1456</v>
      </c>
      <c r="F1956" s="2948" t="s">
        <v>2284</v>
      </c>
      <c r="G1956" s="2948" t="s">
        <v>640</v>
      </c>
      <c r="H1956" s="2948" t="s">
        <v>2391</v>
      </c>
      <c r="I1956" s="2948" t="s">
        <v>2248</v>
      </c>
      <c r="J1956" s="2948" t="s">
        <v>643</v>
      </c>
      <c r="K1956" s="2950">
        <v>9.68</v>
      </c>
      <c r="L1956" s="2950">
        <v>3.83</v>
      </c>
      <c r="M1956" s="2951">
        <v>290400</v>
      </c>
      <c r="N1956" s="2951">
        <v>290400</v>
      </c>
      <c r="O1956" s="2952">
        <v>290400</v>
      </c>
      <c r="P1956" s="2953">
        <v>290400</v>
      </c>
      <c r="Q1956" s="2951">
        <v>290400</v>
      </c>
      <c r="R1956" s="2954">
        <v>44453</v>
      </c>
      <c r="S1956" s="2954">
        <v>44458</v>
      </c>
      <c r="T1956" s="2954">
        <v>44496</v>
      </c>
      <c r="U1956" s="2954">
        <v>44496</v>
      </c>
      <c r="V1956" s="2948" t="s">
        <v>1562</v>
      </c>
      <c r="W1956" s="2944">
        <f t="shared" si="14"/>
        <v>30000</v>
      </c>
    </row>
    <row r="1957" spans="1:23" s="2944" customFormat="1" ht="93.6" hidden="1">
      <c r="A1957" s="2948">
        <v>1956</v>
      </c>
      <c r="B1957" s="2948" t="s">
        <v>635</v>
      </c>
      <c r="C1957" s="2948" t="s">
        <v>636</v>
      </c>
      <c r="D1957" s="2948" t="s">
        <v>2286</v>
      </c>
      <c r="E1957" s="2948" t="s">
        <v>1459</v>
      </c>
      <c r="F1957" s="2948" t="s">
        <v>645</v>
      </c>
      <c r="G1957" s="2948" t="s">
        <v>1035</v>
      </c>
      <c r="H1957" s="2948" t="s">
        <v>2400</v>
      </c>
      <c r="I1957" s="2948" t="s">
        <v>2248</v>
      </c>
      <c r="J1957" s="2948" t="s">
        <v>643</v>
      </c>
      <c r="K1957" s="2950">
        <v>20.95</v>
      </c>
      <c r="L1957" s="2950">
        <v>10.89</v>
      </c>
      <c r="M1957" s="2951">
        <v>628500</v>
      </c>
      <c r="N1957" s="2951">
        <v>628500</v>
      </c>
      <c r="O1957" s="2955"/>
      <c r="P1957" s="2948"/>
      <c r="Q1957" s="2951">
        <v>0</v>
      </c>
      <c r="R1957" s="2948"/>
      <c r="S1957" s="2948"/>
      <c r="T1957" s="2948"/>
      <c r="U1957" s="2948"/>
      <c r="V1957" s="2948"/>
      <c r="W1957" s="2944">
        <f t="shared" si="14"/>
        <v>0</v>
      </c>
    </row>
    <row r="1958" spans="1:23" s="2944" customFormat="1" ht="93.6" hidden="1">
      <c r="A1958" s="2948">
        <v>1957</v>
      </c>
      <c r="B1958" s="2948" t="s">
        <v>635</v>
      </c>
      <c r="C1958" s="2948" t="s">
        <v>636</v>
      </c>
      <c r="D1958" s="2948" t="s">
        <v>2286</v>
      </c>
      <c r="E1958" s="2948" t="s">
        <v>1459</v>
      </c>
      <c r="F1958" s="2948" t="s">
        <v>2250</v>
      </c>
      <c r="G1958" s="2948" t="s">
        <v>1035</v>
      </c>
      <c r="H1958" s="2948" t="s">
        <v>2401</v>
      </c>
      <c r="I1958" s="2948" t="s">
        <v>2248</v>
      </c>
      <c r="J1958" s="2948" t="s">
        <v>643</v>
      </c>
      <c r="K1958" s="2950">
        <v>20.95</v>
      </c>
      <c r="L1958" s="2950">
        <v>10.89</v>
      </c>
      <c r="M1958" s="2951">
        <v>628500</v>
      </c>
      <c r="N1958" s="2951">
        <v>628500</v>
      </c>
      <c r="O1958" s="2955"/>
      <c r="P1958" s="2948"/>
      <c r="Q1958" s="2951">
        <v>0</v>
      </c>
      <c r="R1958" s="2948"/>
      <c r="S1958" s="2948"/>
      <c r="T1958" s="2948"/>
      <c r="U1958" s="2948"/>
      <c r="V1958" s="2948"/>
      <c r="W1958" s="2944">
        <f t="shared" si="14"/>
        <v>0</v>
      </c>
    </row>
    <row r="1959" spans="1:23" s="2944" customFormat="1" ht="93.6" hidden="1">
      <c r="A1959" s="2948">
        <v>1958</v>
      </c>
      <c r="B1959" s="2948" t="s">
        <v>635</v>
      </c>
      <c r="C1959" s="2948" t="s">
        <v>636</v>
      </c>
      <c r="D1959" s="2948" t="s">
        <v>2286</v>
      </c>
      <c r="E1959" s="2948" t="s">
        <v>1459</v>
      </c>
      <c r="F1959" s="2948" t="s">
        <v>2249</v>
      </c>
      <c r="G1959" s="2948" t="s">
        <v>1035</v>
      </c>
      <c r="H1959" s="2948" t="s">
        <v>2402</v>
      </c>
      <c r="I1959" s="2948" t="s">
        <v>2248</v>
      </c>
      <c r="J1959" s="2948" t="s">
        <v>643</v>
      </c>
      <c r="K1959" s="2950">
        <v>16.39</v>
      </c>
      <c r="L1959" s="2950">
        <v>8.52</v>
      </c>
      <c r="M1959" s="2951">
        <v>491700</v>
      </c>
      <c r="N1959" s="2951">
        <v>491700</v>
      </c>
      <c r="O1959" s="2955"/>
      <c r="P1959" s="2948"/>
      <c r="Q1959" s="2951">
        <v>0</v>
      </c>
      <c r="R1959" s="2948"/>
      <c r="S1959" s="2948"/>
      <c r="T1959" s="2948"/>
      <c r="U1959" s="2948"/>
      <c r="V1959" s="2948"/>
      <c r="W1959" s="2944">
        <f t="shared" si="14"/>
        <v>0</v>
      </c>
    </row>
    <row r="1960" spans="1:23" s="2944" customFormat="1" ht="93.6" hidden="1">
      <c r="A1960" s="2948">
        <v>1959</v>
      </c>
      <c r="B1960" s="2948" t="s">
        <v>635</v>
      </c>
      <c r="C1960" s="2948" t="s">
        <v>636</v>
      </c>
      <c r="D1960" s="2948" t="s">
        <v>2286</v>
      </c>
      <c r="E1960" s="2948" t="s">
        <v>1459</v>
      </c>
      <c r="F1960" s="2948" t="s">
        <v>2247</v>
      </c>
      <c r="G1960" s="2948" t="s">
        <v>1035</v>
      </c>
      <c r="H1960" s="2948" t="s">
        <v>2403</v>
      </c>
      <c r="I1960" s="2948" t="s">
        <v>2248</v>
      </c>
      <c r="J1960" s="2948" t="s">
        <v>643</v>
      </c>
      <c r="K1960" s="2950">
        <v>10.14</v>
      </c>
      <c r="L1960" s="2950">
        <v>5.27</v>
      </c>
      <c r="M1960" s="2951">
        <v>304200</v>
      </c>
      <c r="N1960" s="2951">
        <v>304200</v>
      </c>
      <c r="O1960" s="2955"/>
      <c r="P1960" s="2948"/>
      <c r="Q1960" s="2951">
        <v>0</v>
      </c>
      <c r="R1960" s="2948"/>
      <c r="S1960" s="2948"/>
      <c r="T1960" s="2948"/>
      <c r="U1960" s="2948"/>
      <c r="V1960" s="2948"/>
      <c r="W1960" s="2944">
        <f t="shared" si="14"/>
        <v>0</v>
      </c>
    </row>
    <row r="1961" spans="1:23" s="2944" customFormat="1" ht="93.6" hidden="1">
      <c r="A1961" s="2948">
        <v>1960</v>
      </c>
      <c r="B1961" s="2948" t="s">
        <v>635</v>
      </c>
      <c r="C1961" s="2948" t="s">
        <v>636</v>
      </c>
      <c r="D1961" s="2948" t="s">
        <v>2286</v>
      </c>
      <c r="E1961" s="2948" t="s">
        <v>1459</v>
      </c>
      <c r="F1961" s="2948" t="s">
        <v>2267</v>
      </c>
      <c r="G1961" s="2948" t="s">
        <v>1035</v>
      </c>
      <c r="H1961" s="2948" t="s">
        <v>2404</v>
      </c>
      <c r="I1961" s="2948" t="s">
        <v>2248</v>
      </c>
      <c r="J1961" s="2948" t="s">
        <v>643</v>
      </c>
      <c r="K1961" s="2950">
        <v>26.2</v>
      </c>
      <c r="L1961" s="2950">
        <v>13.62</v>
      </c>
      <c r="M1961" s="2951">
        <v>786000</v>
      </c>
      <c r="N1961" s="2951">
        <v>786000</v>
      </c>
      <c r="O1961" s="2955"/>
      <c r="P1961" s="2948"/>
      <c r="Q1961" s="2951">
        <v>0</v>
      </c>
      <c r="R1961" s="2948"/>
      <c r="S1961" s="2948"/>
      <c r="T1961" s="2948"/>
      <c r="U1961" s="2948"/>
      <c r="V1961" s="2948"/>
      <c r="W1961" s="2944">
        <f t="shared" si="14"/>
        <v>0</v>
      </c>
    </row>
    <row r="1962" spans="1:23" s="2944" customFormat="1" ht="93.6" hidden="1">
      <c r="A1962" s="2948">
        <v>1961</v>
      </c>
      <c r="B1962" s="2948" t="s">
        <v>635</v>
      </c>
      <c r="C1962" s="2948" t="s">
        <v>636</v>
      </c>
      <c r="D1962" s="2948" t="s">
        <v>2286</v>
      </c>
      <c r="E1962" s="2948" t="s">
        <v>1459</v>
      </c>
      <c r="F1962" s="2948" t="s">
        <v>2266</v>
      </c>
      <c r="G1962" s="2948" t="s">
        <v>1035</v>
      </c>
      <c r="H1962" s="2948" t="s">
        <v>2405</v>
      </c>
      <c r="I1962" s="2948" t="s">
        <v>2248</v>
      </c>
      <c r="J1962" s="2948" t="s">
        <v>643</v>
      </c>
      <c r="K1962" s="2950">
        <v>22.26</v>
      </c>
      <c r="L1962" s="2950">
        <v>11.57</v>
      </c>
      <c r="M1962" s="2951">
        <v>667800</v>
      </c>
      <c r="N1962" s="2951">
        <v>667800</v>
      </c>
      <c r="O1962" s="2955"/>
      <c r="P1962" s="2948"/>
      <c r="Q1962" s="2951">
        <v>0</v>
      </c>
      <c r="R1962" s="2948"/>
      <c r="S1962" s="2948"/>
      <c r="T1962" s="2948"/>
      <c r="U1962" s="2948"/>
      <c r="V1962" s="2948"/>
      <c r="W1962" s="2944">
        <f t="shared" si="14"/>
        <v>0</v>
      </c>
    </row>
    <row r="1963" spans="1:23" s="2944" customFormat="1" ht="93.6" hidden="1">
      <c r="A1963" s="2948">
        <v>1962</v>
      </c>
      <c r="B1963" s="2948" t="s">
        <v>635</v>
      </c>
      <c r="C1963" s="2948" t="s">
        <v>636</v>
      </c>
      <c r="D1963" s="2948" t="s">
        <v>2286</v>
      </c>
      <c r="E1963" s="2948" t="s">
        <v>1459</v>
      </c>
      <c r="F1963" s="2948" t="s">
        <v>2265</v>
      </c>
      <c r="G1963" s="2948" t="s">
        <v>1035</v>
      </c>
      <c r="H1963" s="2948" t="s">
        <v>2405</v>
      </c>
      <c r="I1963" s="2948" t="s">
        <v>2248</v>
      </c>
      <c r="J1963" s="2948" t="s">
        <v>643</v>
      </c>
      <c r="K1963" s="2950">
        <v>22.26</v>
      </c>
      <c r="L1963" s="2950">
        <v>11.57</v>
      </c>
      <c r="M1963" s="2951">
        <v>667800</v>
      </c>
      <c r="N1963" s="2951">
        <v>667800</v>
      </c>
      <c r="O1963" s="2955"/>
      <c r="P1963" s="2948"/>
      <c r="Q1963" s="2951">
        <v>0</v>
      </c>
      <c r="R1963" s="2948"/>
      <c r="S1963" s="2948"/>
      <c r="T1963" s="2948"/>
      <c r="U1963" s="2948"/>
      <c r="V1963" s="2948"/>
      <c r="W1963" s="2944">
        <f t="shared" si="14"/>
        <v>0</v>
      </c>
    </row>
    <row r="1964" spans="1:23" s="2944" customFormat="1" ht="93.6" hidden="1">
      <c r="A1964" s="2948">
        <v>1963</v>
      </c>
      <c r="B1964" s="2948" t="s">
        <v>635</v>
      </c>
      <c r="C1964" s="2948" t="s">
        <v>636</v>
      </c>
      <c r="D1964" s="2948" t="s">
        <v>2286</v>
      </c>
      <c r="E1964" s="2948" t="s">
        <v>1459</v>
      </c>
      <c r="F1964" s="2948" t="s">
        <v>2264</v>
      </c>
      <c r="G1964" s="2948" t="s">
        <v>1035</v>
      </c>
      <c r="H1964" s="2948" t="s">
        <v>2404</v>
      </c>
      <c r="I1964" s="2948" t="s">
        <v>2248</v>
      </c>
      <c r="J1964" s="2948" t="s">
        <v>643</v>
      </c>
      <c r="K1964" s="2950">
        <v>26.2</v>
      </c>
      <c r="L1964" s="2950">
        <v>13.62</v>
      </c>
      <c r="M1964" s="2951">
        <v>786000</v>
      </c>
      <c r="N1964" s="2951">
        <v>786000</v>
      </c>
      <c r="O1964" s="2955"/>
      <c r="P1964" s="2948"/>
      <c r="Q1964" s="2951">
        <v>0</v>
      </c>
      <c r="R1964" s="2948"/>
      <c r="S1964" s="2948"/>
      <c r="T1964" s="2948"/>
      <c r="U1964" s="2948"/>
      <c r="V1964" s="2948"/>
      <c r="W1964" s="2944">
        <f t="shared" si="14"/>
        <v>0</v>
      </c>
    </row>
    <row r="1965" spans="1:23" s="2944" customFormat="1" ht="93.6">
      <c r="A1965" s="2948">
        <v>1964</v>
      </c>
      <c r="B1965" s="2948" t="s">
        <v>635</v>
      </c>
      <c r="C1965" s="2948" t="s">
        <v>636</v>
      </c>
      <c r="D1965" s="2948" t="s">
        <v>2286</v>
      </c>
      <c r="E1965" s="2948" t="s">
        <v>1459</v>
      </c>
      <c r="F1965" s="2948" t="s">
        <v>2263</v>
      </c>
      <c r="G1965" s="2948" t="s">
        <v>640</v>
      </c>
      <c r="H1965" s="2948" t="s">
        <v>2403</v>
      </c>
      <c r="I1965" s="2948" t="s">
        <v>2248</v>
      </c>
      <c r="J1965" s="2948" t="s">
        <v>643</v>
      </c>
      <c r="K1965" s="2950">
        <v>10.14</v>
      </c>
      <c r="L1965" s="2950">
        <v>5.27</v>
      </c>
      <c r="M1965" s="2951">
        <v>304200</v>
      </c>
      <c r="N1965" s="2951">
        <v>304200</v>
      </c>
      <c r="O1965" s="2952">
        <v>304200</v>
      </c>
      <c r="P1965" s="2953">
        <v>304200</v>
      </c>
      <c r="Q1965" s="2951">
        <v>304200</v>
      </c>
      <c r="R1965" s="2954">
        <v>44551</v>
      </c>
      <c r="S1965" s="2954">
        <v>44561</v>
      </c>
      <c r="T1965" s="2954">
        <v>44753</v>
      </c>
      <c r="U1965" s="2954">
        <v>44753</v>
      </c>
      <c r="V1965" s="2948" t="s">
        <v>1538</v>
      </c>
      <c r="W1965" s="2944">
        <f t="shared" si="14"/>
        <v>30000</v>
      </c>
    </row>
    <row r="1966" spans="1:23" s="2944" customFormat="1" ht="93.6" hidden="1">
      <c r="A1966" s="2948">
        <v>1965</v>
      </c>
      <c r="B1966" s="2948" t="s">
        <v>635</v>
      </c>
      <c r="C1966" s="2948" t="s">
        <v>636</v>
      </c>
      <c r="D1966" s="2948" t="s">
        <v>2286</v>
      </c>
      <c r="E1966" s="2948" t="s">
        <v>1459</v>
      </c>
      <c r="F1966" s="2948" t="s">
        <v>2262</v>
      </c>
      <c r="G1966" s="2948" t="s">
        <v>1035</v>
      </c>
      <c r="H1966" s="2948" t="s">
        <v>2401</v>
      </c>
      <c r="I1966" s="2948" t="s">
        <v>2248</v>
      </c>
      <c r="J1966" s="2948" t="s">
        <v>643</v>
      </c>
      <c r="K1966" s="2950">
        <v>16.39</v>
      </c>
      <c r="L1966" s="2950">
        <v>8.52</v>
      </c>
      <c r="M1966" s="2951">
        <v>491700</v>
      </c>
      <c r="N1966" s="2951">
        <v>491700</v>
      </c>
      <c r="O1966" s="2955"/>
      <c r="P1966" s="2948"/>
      <c r="Q1966" s="2951">
        <v>0</v>
      </c>
      <c r="R1966" s="2948"/>
      <c r="S1966" s="2948"/>
      <c r="T1966" s="2948"/>
      <c r="U1966" s="2948"/>
      <c r="V1966" s="2948"/>
      <c r="W1966" s="2944">
        <f t="shared" si="14"/>
        <v>0</v>
      </c>
    </row>
    <row r="1967" spans="1:23" s="2944" customFormat="1" ht="93.6" hidden="1">
      <c r="A1967" s="2948">
        <v>1966</v>
      </c>
      <c r="B1967" s="2948" t="s">
        <v>635</v>
      </c>
      <c r="C1967" s="2948" t="s">
        <v>636</v>
      </c>
      <c r="D1967" s="2948" t="s">
        <v>2286</v>
      </c>
      <c r="E1967" s="2948" t="s">
        <v>1459</v>
      </c>
      <c r="F1967" s="2948" t="s">
        <v>651</v>
      </c>
      <c r="G1967" s="2948" t="s">
        <v>1035</v>
      </c>
      <c r="H1967" s="2948" t="s">
        <v>2406</v>
      </c>
      <c r="I1967" s="2948" t="s">
        <v>2248</v>
      </c>
      <c r="J1967" s="2948" t="s">
        <v>643</v>
      </c>
      <c r="K1967" s="2950">
        <v>20.82</v>
      </c>
      <c r="L1967" s="2950">
        <v>10.82</v>
      </c>
      <c r="M1967" s="2951">
        <v>624600</v>
      </c>
      <c r="N1967" s="2951">
        <v>624600</v>
      </c>
      <c r="O1967" s="2955"/>
      <c r="P1967" s="2948"/>
      <c r="Q1967" s="2951">
        <v>0</v>
      </c>
      <c r="R1967" s="2948"/>
      <c r="S1967" s="2948"/>
      <c r="T1967" s="2948"/>
      <c r="U1967" s="2948"/>
      <c r="V1967" s="2948"/>
      <c r="W1967" s="2944">
        <f t="shared" si="14"/>
        <v>0</v>
      </c>
    </row>
    <row r="1968" spans="1:23" s="2944" customFormat="1" ht="93.6" hidden="1">
      <c r="A1968" s="2948">
        <v>1967</v>
      </c>
      <c r="B1968" s="2948" t="s">
        <v>635</v>
      </c>
      <c r="C1968" s="2948" t="s">
        <v>636</v>
      </c>
      <c r="D1968" s="2948" t="s">
        <v>2286</v>
      </c>
      <c r="E1968" s="2948" t="s">
        <v>1459</v>
      </c>
      <c r="F1968" s="2948" t="s">
        <v>648</v>
      </c>
      <c r="G1968" s="2948" t="s">
        <v>1035</v>
      </c>
      <c r="H1968" s="2948" t="s">
        <v>2407</v>
      </c>
      <c r="I1968" s="2948" t="s">
        <v>2248</v>
      </c>
      <c r="J1968" s="2948" t="s">
        <v>643</v>
      </c>
      <c r="K1968" s="2950">
        <v>54.04</v>
      </c>
      <c r="L1968" s="2950">
        <v>28.09</v>
      </c>
      <c r="M1968" s="2951">
        <v>1621200</v>
      </c>
      <c r="N1968" s="2951">
        <v>1621200</v>
      </c>
      <c r="O1968" s="2955"/>
      <c r="P1968" s="2948"/>
      <c r="Q1968" s="2951">
        <v>0</v>
      </c>
      <c r="R1968" s="2948"/>
      <c r="S1968" s="2948"/>
      <c r="T1968" s="2948"/>
      <c r="U1968" s="2948"/>
      <c r="V1968" s="2948"/>
      <c r="W1968" s="2944">
        <f t="shared" si="14"/>
        <v>0</v>
      </c>
    </row>
    <row r="1969" spans="1:23" s="2944" customFormat="1" ht="93.6" hidden="1">
      <c r="A1969" s="2948">
        <v>1968</v>
      </c>
      <c r="B1969" s="2948" t="s">
        <v>635</v>
      </c>
      <c r="C1969" s="2948" t="s">
        <v>636</v>
      </c>
      <c r="D1969" s="2948" t="s">
        <v>2286</v>
      </c>
      <c r="E1969" s="2948" t="s">
        <v>1459</v>
      </c>
      <c r="F1969" s="2948" t="s">
        <v>2256</v>
      </c>
      <c r="G1969" s="2948" t="s">
        <v>1035</v>
      </c>
      <c r="H1969" s="2948" t="s">
        <v>2408</v>
      </c>
      <c r="I1969" s="2948" t="s">
        <v>2248</v>
      </c>
      <c r="J1969" s="2948" t="s">
        <v>643</v>
      </c>
      <c r="K1969" s="2950">
        <v>21.18</v>
      </c>
      <c r="L1969" s="2950">
        <v>11.01</v>
      </c>
      <c r="M1969" s="2951">
        <v>635400</v>
      </c>
      <c r="N1969" s="2951">
        <v>635400</v>
      </c>
      <c r="O1969" s="2955"/>
      <c r="P1969" s="2948"/>
      <c r="Q1969" s="2951">
        <v>0</v>
      </c>
      <c r="R1969" s="2948"/>
      <c r="S1969" s="2948"/>
      <c r="T1969" s="2948"/>
      <c r="U1969" s="2948"/>
      <c r="V1969" s="2948"/>
      <c r="W1969" s="2944">
        <f t="shared" si="14"/>
        <v>0</v>
      </c>
    </row>
    <row r="1970" spans="1:23" s="2944" customFormat="1" ht="93.6" hidden="1">
      <c r="A1970" s="2948">
        <v>1969</v>
      </c>
      <c r="B1970" s="2948" t="s">
        <v>635</v>
      </c>
      <c r="C1970" s="2948" t="s">
        <v>636</v>
      </c>
      <c r="D1970" s="2948" t="s">
        <v>2286</v>
      </c>
      <c r="E1970" s="2948" t="s">
        <v>1459</v>
      </c>
      <c r="F1970" s="2948" t="s">
        <v>2255</v>
      </c>
      <c r="G1970" s="2948" t="s">
        <v>1035</v>
      </c>
      <c r="H1970" s="2948" t="s">
        <v>2409</v>
      </c>
      <c r="I1970" s="2948" t="s">
        <v>2248</v>
      </c>
      <c r="J1970" s="2948" t="s">
        <v>643</v>
      </c>
      <c r="K1970" s="2950">
        <v>19.16</v>
      </c>
      <c r="L1970" s="2950">
        <v>9.9600000000000009</v>
      </c>
      <c r="M1970" s="2951">
        <v>574800</v>
      </c>
      <c r="N1970" s="2951">
        <v>574800</v>
      </c>
      <c r="O1970" s="2955"/>
      <c r="P1970" s="2948"/>
      <c r="Q1970" s="2951">
        <v>0</v>
      </c>
      <c r="R1970" s="2948"/>
      <c r="S1970" s="2948"/>
      <c r="T1970" s="2948"/>
      <c r="U1970" s="2948"/>
      <c r="V1970" s="2948"/>
      <c r="W1970" s="2944">
        <f t="shared" ref="W1970:W2033" si="15">O1970/K1970</f>
        <v>0</v>
      </c>
    </row>
    <row r="1971" spans="1:23" s="2944" customFormat="1" ht="93.6" hidden="1">
      <c r="A1971" s="2948">
        <v>1970</v>
      </c>
      <c r="B1971" s="2948" t="s">
        <v>635</v>
      </c>
      <c r="C1971" s="2948" t="s">
        <v>636</v>
      </c>
      <c r="D1971" s="2948" t="s">
        <v>2286</v>
      </c>
      <c r="E1971" s="2948" t="s">
        <v>1459</v>
      </c>
      <c r="F1971" s="2948" t="s">
        <v>2254</v>
      </c>
      <c r="G1971" s="2948" t="s">
        <v>1035</v>
      </c>
      <c r="H1971" s="2948" t="s">
        <v>2410</v>
      </c>
      <c r="I1971" s="2948" t="s">
        <v>2248</v>
      </c>
      <c r="J1971" s="2948" t="s">
        <v>643</v>
      </c>
      <c r="K1971" s="2950">
        <v>14.89</v>
      </c>
      <c r="L1971" s="2950">
        <v>7.74</v>
      </c>
      <c r="M1971" s="2951">
        <v>446700</v>
      </c>
      <c r="N1971" s="2951">
        <v>446700</v>
      </c>
      <c r="O1971" s="2955"/>
      <c r="P1971" s="2948"/>
      <c r="Q1971" s="2951">
        <v>0</v>
      </c>
      <c r="R1971" s="2948"/>
      <c r="S1971" s="2948"/>
      <c r="T1971" s="2948"/>
      <c r="U1971" s="2948"/>
      <c r="V1971" s="2948"/>
      <c r="W1971" s="2944">
        <f t="shared" si="15"/>
        <v>0</v>
      </c>
    </row>
    <row r="1972" spans="1:23" s="2944" customFormat="1" ht="93.6" hidden="1">
      <c r="A1972" s="2948">
        <v>1971</v>
      </c>
      <c r="B1972" s="2948" t="s">
        <v>635</v>
      </c>
      <c r="C1972" s="2948" t="s">
        <v>636</v>
      </c>
      <c r="D1972" s="2948" t="s">
        <v>2286</v>
      </c>
      <c r="E1972" s="2948" t="s">
        <v>1459</v>
      </c>
      <c r="F1972" s="2948" t="s">
        <v>2253</v>
      </c>
      <c r="G1972" s="2948" t="s">
        <v>1035</v>
      </c>
      <c r="H1972" s="2948" t="s">
        <v>2411</v>
      </c>
      <c r="I1972" s="2948" t="s">
        <v>2248</v>
      </c>
      <c r="J1972" s="2948" t="s">
        <v>643</v>
      </c>
      <c r="K1972" s="2950">
        <v>13.97</v>
      </c>
      <c r="L1972" s="2950">
        <v>7.26</v>
      </c>
      <c r="M1972" s="2951">
        <v>419100</v>
      </c>
      <c r="N1972" s="2951">
        <v>419100</v>
      </c>
      <c r="O1972" s="2955"/>
      <c r="P1972" s="2948"/>
      <c r="Q1972" s="2951">
        <v>0</v>
      </c>
      <c r="R1972" s="2948"/>
      <c r="S1972" s="2948"/>
      <c r="T1972" s="2948"/>
      <c r="U1972" s="2948"/>
      <c r="V1972" s="2948"/>
      <c r="W1972" s="2944">
        <f t="shared" si="15"/>
        <v>0</v>
      </c>
    </row>
    <row r="1973" spans="1:23" s="2944" customFormat="1" ht="93.6" hidden="1">
      <c r="A1973" s="2948">
        <v>1972</v>
      </c>
      <c r="B1973" s="2948" t="s">
        <v>635</v>
      </c>
      <c r="C1973" s="2948" t="s">
        <v>636</v>
      </c>
      <c r="D1973" s="2948" t="s">
        <v>2286</v>
      </c>
      <c r="E1973" s="2948" t="s">
        <v>1459</v>
      </c>
      <c r="F1973" s="2948" t="s">
        <v>2252</v>
      </c>
      <c r="G1973" s="2948" t="s">
        <v>1035</v>
      </c>
      <c r="H1973" s="2948" t="s">
        <v>2412</v>
      </c>
      <c r="I1973" s="2948" t="s">
        <v>2248</v>
      </c>
      <c r="J1973" s="2948" t="s">
        <v>643</v>
      </c>
      <c r="K1973" s="2950">
        <v>14.89</v>
      </c>
      <c r="L1973" s="2950">
        <v>7.74</v>
      </c>
      <c r="M1973" s="2951">
        <v>446700</v>
      </c>
      <c r="N1973" s="2951">
        <v>446700</v>
      </c>
      <c r="O1973" s="2955"/>
      <c r="P1973" s="2948"/>
      <c r="Q1973" s="2951">
        <v>0</v>
      </c>
      <c r="R1973" s="2948"/>
      <c r="S1973" s="2948"/>
      <c r="T1973" s="2948"/>
      <c r="U1973" s="2948"/>
      <c r="V1973" s="2948"/>
      <c r="W1973" s="2944">
        <f t="shared" si="15"/>
        <v>0</v>
      </c>
    </row>
    <row r="1974" spans="1:23" s="2944" customFormat="1" ht="93.6">
      <c r="A1974" s="2948">
        <v>1973</v>
      </c>
      <c r="B1974" s="2948" t="s">
        <v>635</v>
      </c>
      <c r="C1974" s="2948" t="s">
        <v>636</v>
      </c>
      <c r="D1974" s="2948" t="s">
        <v>2286</v>
      </c>
      <c r="E1974" s="2948" t="s">
        <v>1459</v>
      </c>
      <c r="F1974" s="2948" t="s">
        <v>2251</v>
      </c>
      <c r="G1974" s="2948" t="s">
        <v>640</v>
      </c>
      <c r="H1974" s="2948" t="s">
        <v>2413</v>
      </c>
      <c r="I1974" s="2948" t="s">
        <v>2248</v>
      </c>
      <c r="J1974" s="2948" t="s">
        <v>643</v>
      </c>
      <c r="K1974" s="2950">
        <v>19.16</v>
      </c>
      <c r="L1974" s="2950">
        <v>9.9600000000000009</v>
      </c>
      <c r="M1974" s="2951">
        <v>574800</v>
      </c>
      <c r="N1974" s="2951">
        <v>574800</v>
      </c>
      <c r="O1974" s="2952">
        <v>574800</v>
      </c>
      <c r="P1974" s="2953">
        <v>574800</v>
      </c>
      <c r="Q1974" s="2951">
        <v>574800</v>
      </c>
      <c r="R1974" s="2954">
        <v>44560</v>
      </c>
      <c r="S1974" s="2954">
        <v>44561</v>
      </c>
      <c r="T1974" s="2954">
        <v>44642</v>
      </c>
      <c r="U1974" s="2954">
        <v>44642</v>
      </c>
      <c r="V1974" s="2948" t="s">
        <v>1506</v>
      </c>
      <c r="W1974" s="2944">
        <f t="shared" si="15"/>
        <v>30000</v>
      </c>
    </row>
    <row r="1975" spans="1:23" s="2944" customFormat="1" ht="93.6" hidden="1">
      <c r="A1975" s="2948">
        <v>1974</v>
      </c>
      <c r="B1975" s="2948" t="s">
        <v>635</v>
      </c>
      <c r="C1975" s="2948" t="s">
        <v>636</v>
      </c>
      <c r="D1975" s="2948" t="s">
        <v>2286</v>
      </c>
      <c r="E1975" s="2948" t="s">
        <v>1459</v>
      </c>
      <c r="F1975" s="2948" t="s">
        <v>2276</v>
      </c>
      <c r="G1975" s="2948" t="s">
        <v>1035</v>
      </c>
      <c r="H1975" s="2948" t="s">
        <v>2408</v>
      </c>
      <c r="I1975" s="2948" t="s">
        <v>2248</v>
      </c>
      <c r="J1975" s="2948" t="s">
        <v>643</v>
      </c>
      <c r="K1975" s="2950">
        <v>21.18</v>
      </c>
      <c r="L1975" s="2950">
        <v>11.01</v>
      </c>
      <c r="M1975" s="2951">
        <v>635400</v>
      </c>
      <c r="N1975" s="2951">
        <v>635400</v>
      </c>
      <c r="O1975" s="2955"/>
      <c r="P1975" s="2948"/>
      <c r="Q1975" s="2951">
        <v>0</v>
      </c>
      <c r="R1975" s="2948"/>
      <c r="S1975" s="2948"/>
      <c r="T1975" s="2948"/>
      <c r="U1975" s="2948"/>
      <c r="V1975" s="2948"/>
      <c r="W1975" s="2944">
        <f t="shared" si="15"/>
        <v>0</v>
      </c>
    </row>
    <row r="1976" spans="1:23" s="2944" customFormat="1" ht="93.6" hidden="1">
      <c r="A1976" s="2948">
        <v>1975</v>
      </c>
      <c r="B1976" s="2948" t="s">
        <v>635</v>
      </c>
      <c r="C1976" s="2948" t="s">
        <v>636</v>
      </c>
      <c r="D1976" s="2948" t="s">
        <v>2286</v>
      </c>
      <c r="E1976" s="2948" t="s">
        <v>1459</v>
      </c>
      <c r="F1976" s="2948" t="s">
        <v>2275</v>
      </c>
      <c r="G1976" s="2948" t="s">
        <v>1035</v>
      </c>
      <c r="H1976" s="2948" t="s">
        <v>2414</v>
      </c>
      <c r="I1976" s="2948" t="s">
        <v>2248</v>
      </c>
      <c r="J1976" s="2948" t="s">
        <v>643</v>
      </c>
      <c r="K1976" s="2950">
        <v>55.17</v>
      </c>
      <c r="L1976" s="2950">
        <v>28.68</v>
      </c>
      <c r="M1976" s="2951">
        <v>1655100</v>
      </c>
      <c r="N1976" s="2951">
        <v>1655100</v>
      </c>
      <c r="O1976" s="2955"/>
      <c r="P1976" s="2948"/>
      <c r="Q1976" s="2951">
        <v>0</v>
      </c>
      <c r="R1976" s="2948"/>
      <c r="S1976" s="2948"/>
      <c r="T1976" s="2948"/>
      <c r="U1976" s="2948"/>
      <c r="V1976" s="2948"/>
      <c r="W1976" s="2944">
        <f t="shared" si="15"/>
        <v>0</v>
      </c>
    </row>
    <row r="1977" spans="1:23" s="2944" customFormat="1" ht="93.6" hidden="1">
      <c r="A1977" s="2948">
        <v>1976</v>
      </c>
      <c r="B1977" s="2948" t="s">
        <v>635</v>
      </c>
      <c r="C1977" s="2948" t="s">
        <v>636</v>
      </c>
      <c r="D1977" s="2948" t="s">
        <v>2286</v>
      </c>
      <c r="E1977" s="2948" t="s">
        <v>1459</v>
      </c>
      <c r="F1977" s="2948" t="s">
        <v>2274</v>
      </c>
      <c r="G1977" s="2948" t="s">
        <v>1035</v>
      </c>
      <c r="H1977" s="2948" t="s">
        <v>2415</v>
      </c>
      <c r="I1977" s="2948" t="s">
        <v>2248</v>
      </c>
      <c r="J1977" s="2948" t="s">
        <v>643</v>
      </c>
      <c r="K1977" s="2950">
        <v>20.83</v>
      </c>
      <c r="L1977" s="2950">
        <v>10.83</v>
      </c>
      <c r="M1977" s="2951">
        <v>624900</v>
      </c>
      <c r="N1977" s="2951">
        <v>624900</v>
      </c>
      <c r="O1977" s="2955"/>
      <c r="P1977" s="2948"/>
      <c r="Q1977" s="2951">
        <v>0</v>
      </c>
      <c r="R1977" s="2948"/>
      <c r="S1977" s="2948"/>
      <c r="T1977" s="2948"/>
      <c r="U1977" s="2948"/>
      <c r="V1977" s="2948"/>
      <c r="W1977" s="2944">
        <f t="shared" si="15"/>
        <v>0</v>
      </c>
    </row>
    <row r="1978" spans="1:23" s="2944" customFormat="1" ht="93.6" hidden="1">
      <c r="A1978" s="2948">
        <v>1977</v>
      </c>
      <c r="B1978" s="2948" t="s">
        <v>635</v>
      </c>
      <c r="C1978" s="2948" t="s">
        <v>636</v>
      </c>
      <c r="D1978" s="2948" t="s">
        <v>2286</v>
      </c>
      <c r="E1978" s="2948" t="s">
        <v>1459</v>
      </c>
      <c r="F1978" s="2948" t="s">
        <v>2273</v>
      </c>
      <c r="G1978" s="2948" t="s">
        <v>1035</v>
      </c>
      <c r="H1978" s="2948" t="s">
        <v>2416</v>
      </c>
      <c r="I1978" s="2948" t="s">
        <v>2248</v>
      </c>
      <c r="J1978" s="2948" t="s">
        <v>643</v>
      </c>
      <c r="K1978" s="2950">
        <v>20.28</v>
      </c>
      <c r="L1978" s="2950">
        <v>10.54</v>
      </c>
      <c r="M1978" s="2951">
        <v>608400</v>
      </c>
      <c r="N1978" s="2951">
        <v>608400</v>
      </c>
      <c r="O1978" s="2955"/>
      <c r="P1978" s="2948"/>
      <c r="Q1978" s="2951">
        <v>0</v>
      </c>
      <c r="R1978" s="2948"/>
      <c r="S1978" s="2948"/>
      <c r="T1978" s="2948"/>
      <c r="U1978" s="2948"/>
      <c r="V1978" s="2948"/>
      <c r="W1978" s="2944">
        <f t="shared" si="15"/>
        <v>0</v>
      </c>
    </row>
    <row r="1979" spans="1:23" s="2944" customFormat="1" ht="93.6" hidden="1">
      <c r="A1979" s="2948">
        <v>1978</v>
      </c>
      <c r="B1979" s="2948" t="s">
        <v>635</v>
      </c>
      <c r="C1979" s="2948" t="s">
        <v>636</v>
      </c>
      <c r="D1979" s="2948" t="s">
        <v>2286</v>
      </c>
      <c r="E1979" s="2948" t="s">
        <v>1459</v>
      </c>
      <c r="F1979" s="2948" t="s">
        <v>2272</v>
      </c>
      <c r="G1979" s="2948" t="s">
        <v>1035</v>
      </c>
      <c r="H1979" s="2948" t="s">
        <v>2417</v>
      </c>
      <c r="I1979" s="2948" t="s">
        <v>2248</v>
      </c>
      <c r="J1979" s="2948" t="s">
        <v>643</v>
      </c>
      <c r="K1979" s="2950">
        <v>19.43</v>
      </c>
      <c r="L1979" s="2950">
        <v>10.1</v>
      </c>
      <c r="M1979" s="2951">
        <v>582900</v>
      </c>
      <c r="N1979" s="2951">
        <v>582900</v>
      </c>
      <c r="O1979" s="2955"/>
      <c r="P1979" s="2948"/>
      <c r="Q1979" s="2951">
        <v>0</v>
      </c>
      <c r="R1979" s="2948"/>
      <c r="S1979" s="2948"/>
      <c r="T1979" s="2948"/>
      <c r="U1979" s="2948"/>
      <c r="V1979" s="2948"/>
      <c r="W1979" s="2944">
        <f t="shared" si="15"/>
        <v>0</v>
      </c>
    </row>
    <row r="1980" spans="1:23" s="2944" customFormat="1" ht="93.6" hidden="1">
      <c r="A1980" s="2948">
        <v>1979</v>
      </c>
      <c r="B1980" s="2948" t="s">
        <v>635</v>
      </c>
      <c r="C1980" s="2948" t="s">
        <v>636</v>
      </c>
      <c r="D1980" s="2948" t="s">
        <v>2286</v>
      </c>
      <c r="E1980" s="2948" t="s">
        <v>1459</v>
      </c>
      <c r="F1980" s="2948" t="s">
        <v>2271</v>
      </c>
      <c r="G1980" s="2948" t="s">
        <v>1035</v>
      </c>
      <c r="H1980" s="2948" t="s">
        <v>2418</v>
      </c>
      <c r="I1980" s="2948" t="s">
        <v>2248</v>
      </c>
      <c r="J1980" s="2948" t="s">
        <v>643</v>
      </c>
      <c r="K1980" s="2950">
        <v>22.16</v>
      </c>
      <c r="L1980" s="2950">
        <v>11.52</v>
      </c>
      <c r="M1980" s="2951">
        <v>664800</v>
      </c>
      <c r="N1980" s="2951">
        <v>664800</v>
      </c>
      <c r="O1980" s="2955"/>
      <c r="P1980" s="2948"/>
      <c r="Q1980" s="2951">
        <v>0</v>
      </c>
      <c r="R1980" s="2948"/>
      <c r="S1980" s="2948"/>
      <c r="T1980" s="2948"/>
      <c r="U1980" s="2948"/>
      <c r="V1980" s="2948"/>
      <c r="W1980" s="2944">
        <f t="shared" si="15"/>
        <v>0</v>
      </c>
    </row>
    <row r="1981" spans="1:23" s="2944" customFormat="1" ht="93.6" hidden="1">
      <c r="A1981" s="2948">
        <v>1980</v>
      </c>
      <c r="B1981" s="2948" t="s">
        <v>635</v>
      </c>
      <c r="C1981" s="2948" t="s">
        <v>636</v>
      </c>
      <c r="D1981" s="2948" t="s">
        <v>2286</v>
      </c>
      <c r="E1981" s="2948" t="s">
        <v>1459</v>
      </c>
      <c r="F1981" s="2948" t="s">
        <v>2270</v>
      </c>
      <c r="G1981" s="2948" t="s">
        <v>1035</v>
      </c>
      <c r="H1981" s="2948" t="s">
        <v>2418</v>
      </c>
      <c r="I1981" s="2948" t="s">
        <v>2248</v>
      </c>
      <c r="J1981" s="2948" t="s">
        <v>643</v>
      </c>
      <c r="K1981" s="2950">
        <v>22.16</v>
      </c>
      <c r="L1981" s="2950">
        <v>11.52</v>
      </c>
      <c r="M1981" s="2951">
        <v>664800</v>
      </c>
      <c r="N1981" s="2951">
        <v>664800</v>
      </c>
      <c r="O1981" s="2955"/>
      <c r="P1981" s="2948"/>
      <c r="Q1981" s="2951">
        <v>0</v>
      </c>
      <c r="R1981" s="2948"/>
      <c r="S1981" s="2948"/>
      <c r="T1981" s="2948"/>
      <c r="U1981" s="2948"/>
      <c r="V1981" s="2948"/>
      <c r="W1981" s="2944">
        <f t="shared" si="15"/>
        <v>0</v>
      </c>
    </row>
    <row r="1982" spans="1:23" s="2944" customFormat="1" ht="93.6" hidden="1">
      <c r="A1982" s="2948">
        <v>1981</v>
      </c>
      <c r="B1982" s="2948" t="s">
        <v>635</v>
      </c>
      <c r="C1982" s="2948" t="s">
        <v>636</v>
      </c>
      <c r="D1982" s="2948" t="s">
        <v>2286</v>
      </c>
      <c r="E1982" s="2948" t="s">
        <v>1459</v>
      </c>
      <c r="F1982" s="2948" t="s">
        <v>2269</v>
      </c>
      <c r="G1982" s="2948" t="s">
        <v>1035</v>
      </c>
      <c r="H1982" s="2948" t="s">
        <v>2419</v>
      </c>
      <c r="I1982" s="2948" t="s">
        <v>2248</v>
      </c>
      <c r="J1982" s="2948" t="s">
        <v>643</v>
      </c>
      <c r="K1982" s="2950">
        <v>20.28</v>
      </c>
      <c r="L1982" s="2950">
        <v>10.54</v>
      </c>
      <c r="M1982" s="2951">
        <v>608400</v>
      </c>
      <c r="N1982" s="2951">
        <v>608400</v>
      </c>
      <c r="O1982" s="2955"/>
      <c r="P1982" s="2948"/>
      <c r="Q1982" s="2951">
        <v>0</v>
      </c>
      <c r="R1982" s="2948"/>
      <c r="S1982" s="2948"/>
      <c r="T1982" s="2948"/>
      <c r="U1982" s="2948"/>
      <c r="V1982" s="2948"/>
      <c r="W1982" s="2944">
        <f t="shared" si="15"/>
        <v>0</v>
      </c>
    </row>
    <row r="1983" spans="1:23" s="2944" customFormat="1" ht="93.6" hidden="1">
      <c r="A1983" s="2948">
        <v>1982</v>
      </c>
      <c r="B1983" s="2948" t="s">
        <v>635</v>
      </c>
      <c r="C1983" s="2948" t="s">
        <v>636</v>
      </c>
      <c r="D1983" s="2948" t="s">
        <v>2286</v>
      </c>
      <c r="E1983" s="2948" t="s">
        <v>1459</v>
      </c>
      <c r="F1983" s="2948" t="s">
        <v>655</v>
      </c>
      <c r="G1983" s="2948" t="s">
        <v>1035</v>
      </c>
      <c r="H1983" s="2948" t="s">
        <v>2420</v>
      </c>
      <c r="I1983" s="2948" t="s">
        <v>2248</v>
      </c>
      <c r="J1983" s="2948" t="s">
        <v>643</v>
      </c>
      <c r="K1983" s="2950">
        <v>5.94</v>
      </c>
      <c r="L1983" s="2950">
        <v>3.09</v>
      </c>
      <c r="M1983" s="2951">
        <v>178200</v>
      </c>
      <c r="N1983" s="2951">
        <v>178200</v>
      </c>
      <c r="O1983" s="2955"/>
      <c r="P1983" s="2948"/>
      <c r="Q1983" s="2951">
        <v>0</v>
      </c>
      <c r="R1983" s="2948"/>
      <c r="S1983" s="2948"/>
      <c r="T1983" s="2948"/>
      <c r="U1983" s="2948"/>
      <c r="V1983" s="2948"/>
      <c r="W1983" s="2944">
        <f t="shared" si="15"/>
        <v>0</v>
      </c>
    </row>
    <row r="1984" spans="1:23" s="2944" customFormat="1" ht="93.6" hidden="1">
      <c r="A1984" s="2948">
        <v>1983</v>
      </c>
      <c r="B1984" s="2948" t="s">
        <v>635</v>
      </c>
      <c r="C1984" s="2948" t="s">
        <v>636</v>
      </c>
      <c r="D1984" s="2948" t="s">
        <v>2286</v>
      </c>
      <c r="E1984" s="2948" t="s">
        <v>1459</v>
      </c>
      <c r="F1984" s="2948" t="s">
        <v>653</v>
      </c>
      <c r="G1984" s="2948" t="s">
        <v>1035</v>
      </c>
      <c r="H1984" s="2948" t="s">
        <v>2421</v>
      </c>
      <c r="I1984" s="2948" t="s">
        <v>2248</v>
      </c>
      <c r="J1984" s="2948" t="s">
        <v>643</v>
      </c>
      <c r="K1984" s="2950">
        <v>54.04</v>
      </c>
      <c r="L1984" s="2950">
        <v>28.09</v>
      </c>
      <c r="M1984" s="2951">
        <v>1621200</v>
      </c>
      <c r="N1984" s="2951">
        <v>1621200</v>
      </c>
      <c r="O1984" s="2955"/>
      <c r="P1984" s="2948"/>
      <c r="Q1984" s="2951">
        <v>0</v>
      </c>
      <c r="R1984" s="2948"/>
      <c r="S1984" s="2948"/>
      <c r="T1984" s="2948"/>
      <c r="U1984" s="2948"/>
      <c r="V1984" s="2948"/>
      <c r="W1984" s="2944">
        <f t="shared" si="15"/>
        <v>0</v>
      </c>
    </row>
    <row r="1985" spans="1:23" s="2944" customFormat="1" ht="93.6" hidden="1">
      <c r="A1985" s="2948">
        <v>1984</v>
      </c>
      <c r="B1985" s="2948" t="s">
        <v>635</v>
      </c>
      <c r="C1985" s="2948" t="s">
        <v>636</v>
      </c>
      <c r="D1985" s="2948" t="s">
        <v>2286</v>
      </c>
      <c r="E1985" s="2948" t="s">
        <v>1459</v>
      </c>
      <c r="F1985" s="2948" t="s">
        <v>2257</v>
      </c>
      <c r="G1985" s="2948" t="s">
        <v>1035</v>
      </c>
      <c r="H1985" s="2948" t="s">
        <v>2422</v>
      </c>
      <c r="I1985" s="2948" t="s">
        <v>2248</v>
      </c>
      <c r="J1985" s="2948" t="s">
        <v>643</v>
      </c>
      <c r="K1985" s="2950">
        <v>21.18</v>
      </c>
      <c r="L1985" s="2950">
        <v>11.01</v>
      </c>
      <c r="M1985" s="2951">
        <v>635400</v>
      </c>
      <c r="N1985" s="2951">
        <v>635400</v>
      </c>
      <c r="O1985" s="2955"/>
      <c r="P1985" s="2948"/>
      <c r="Q1985" s="2951">
        <v>0</v>
      </c>
      <c r="R1985" s="2948"/>
      <c r="S1985" s="2948"/>
      <c r="T1985" s="2948"/>
      <c r="U1985" s="2948"/>
      <c r="V1985" s="2948"/>
      <c r="W1985" s="2944">
        <f t="shared" si="15"/>
        <v>0</v>
      </c>
    </row>
    <row r="1986" spans="1:23" s="2944" customFormat="1" ht="93.6" hidden="1">
      <c r="A1986" s="2948">
        <v>1985</v>
      </c>
      <c r="B1986" s="2948" t="s">
        <v>635</v>
      </c>
      <c r="C1986" s="2948" t="s">
        <v>636</v>
      </c>
      <c r="D1986" s="2948" t="s">
        <v>2286</v>
      </c>
      <c r="E1986" s="2948" t="s">
        <v>1459</v>
      </c>
      <c r="F1986" s="2948" t="s">
        <v>2259</v>
      </c>
      <c r="G1986" s="2948" t="s">
        <v>1035</v>
      </c>
      <c r="H1986" s="2948" t="s">
        <v>2423</v>
      </c>
      <c r="I1986" s="2948" t="s">
        <v>2248</v>
      </c>
      <c r="J1986" s="2948" t="s">
        <v>643</v>
      </c>
      <c r="K1986" s="2950">
        <v>19.16</v>
      </c>
      <c r="L1986" s="2950">
        <v>9.9600000000000009</v>
      </c>
      <c r="M1986" s="2951">
        <v>574800</v>
      </c>
      <c r="N1986" s="2951">
        <v>574800</v>
      </c>
      <c r="O1986" s="2955"/>
      <c r="P1986" s="2948"/>
      <c r="Q1986" s="2951">
        <v>0</v>
      </c>
      <c r="R1986" s="2948"/>
      <c r="S1986" s="2948"/>
      <c r="T1986" s="2948"/>
      <c r="U1986" s="2948"/>
      <c r="V1986" s="2948"/>
      <c r="W1986" s="2944">
        <f t="shared" si="15"/>
        <v>0</v>
      </c>
    </row>
    <row r="1987" spans="1:23" s="2944" customFormat="1" ht="93.6">
      <c r="A1987" s="2948">
        <v>1986</v>
      </c>
      <c r="B1987" s="2948" t="s">
        <v>635</v>
      </c>
      <c r="C1987" s="2948" t="s">
        <v>636</v>
      </c>
      <c r="D1987" s="2948" t="s">
        <v>2286</v>
      </c>
      <c r="E1987" s="2948" t="s">
        <v>1459</v>
      </c>
      <c r="F1987" s="2948" t="s">
        <v>2258</v>
      </c>
      <c r="G1987" s="2948" t="s">
        <v>640</v>
      </c>
      <c r="H1987" s="2948" t="s">
        <v>2424</v>
      </c>
      <c r="I1987" s="2948" t="s">
        <v>2248</v>
      </c>
      <c r="J1987" s="2948" t="s">
        <v>643</v>
      </c>
      <c r="K1987" s="2950">
        <v>14.89</v>
      </c>
      <c r="L1987" s="2950">
        <v>7.74</v>
      </c>
      <c r="M1987" s="2951">
        <v>446700</v>
      </c>
      <c r="N1987" s="2951">
        <v>446700</v>
      </c>
      <c r="O1987" s="2952">
        <v>446700</v>
      </c>
      <c r="P1987" s="2953">
        <v>446700</v>
      </c>
      <c r="Q1987" s="2951">
        <v>446700</v>
      </c>
      <c r="R1987" s="2954">
        <v>44551</v>
      </c>
      <c r="S1987" s="2954">
        <v>44561</v>
      </c>
      <c r="T1987" s="2954">
        <v>44661</v>
      </c>
      <c r="U1987" s="2954">
        <v>44661</v>
      </c>
      <c r="V1987" s="2948" t="s">
        <v>1509</v>
      </c>
      <c r="W1987" s="2944">
        <f t="shared" si="15"/>
        <v>30000</v>
      </c>
    </row>
    <row r="1988" spans="1:23" s="2944" customFormat="1" ht="93.6">
      <c r="A1988" s="2948">
        <v>1987</v>
      </c>
      <c r="B1988" s="2948" t="s">
        <v>635</v>
      </c>
      <c r="C1988" s="2948" t="s">
        <v>636</v>
      </c>
      <c r="D1988" s="2948" t="s">
        <v>2286</v>
      </c>
      <c r="E1988" s="2948" t="s">
        <v>1459</v>
      </c>
      <c r="F1988" s="2948" t="s">
        <v>2261</v>
      </c>
      <c r="G1988" s="2948" t="s">
        <v>640</v>
      </c>
      <c r="H1988" s="2948" t="s">
        <v>2425</v>
      </c>
      <c r="I1988" s="2948" t="s">
        <v>2248</v>
      </c>
      <c r="J1988" s="2948" t="s">
        <v>643</v>
      </c>
      <c r="K1988" s="2950">
        <v>23.07</v>
      </c>
      <c r="L1988" s="2950">
        <v>11.99</v>
      </c>
      <c r="M1988" s="2951">
        <v>692100</v>
      </c>
      <c r="N1988" s="2951">
        <v>692100</v>
      </c>
      <c r="O1988" s="2952">
        <v>692100</v>
      </c>
      <c r="P1988" s="2953">
        <v>692100</v>
      </c>
      <c r="Q1988" s="2951">
        <v>692100</v>
      </c>
      <c r="R1988" s="2954">
        <v>45046</v>
      </c>
      <c r="S1988" s="2954">
        <v>45046</v>
      </c>
      <c r="T1988" s="2954">
        <v>45050</v>
      </c>
      <c r="U1988" s="2954">
        <v>45050</v>
      </c>
      <c r="V1988" s="2948" t="s">
        <v>1525</v>
      </c>
      <c r="W1988" s="2944">
        <f t="shared" si="15"/>
        <v>30000</v>
      </c>
    </row>
    <row r="1989" spans="1:23" s="2944" customFormat="1" ht="93.6" hidden="1">
      <c r="A1989" s="2948">
        <v>1988</v>
      </c>
      <c r="B1989" s="2948" t="s">
        <v>635</v>
      </c>
      <c r="C1989" s="2948" t="s">
        <v>636</v>
      </c>
      <c r="D1989" s="2948" t="s">
        <v>2286</v>
      </c>
      <c r="E1989" s="2948" t="s">
        <v>1459</v>
      </c>
      <c r="F1989" s="2948" t="s">
        <v>2284</v>
      </c>
      <c r="G1989" s="2948" t="s">
        <v>1035</v>
      </c>
      <c r="H1989" s="2948" t="s">
        <v>2425</v>
      </c>
      <c r="I1989" s="2948" t="s">
        <v>2248</v>
      </c>
      <c r="J1989" s="2948" t="s">
        <v>643</v>
      </c>
      <c r="K1989" s="2950">
        <v>23.07</v>
      </c>
      <c r="L1989" s="2950">
        <v>11.99</v>
      </c>
      <c r="M1989" s="2951">
        <v>692100</v>
      </c>
      <c r="N1989" s="2951">
        <v>692100</v>
      </c>
      <c r="O1989" s="2955"/>
      <c r="P1989" s="2948"/>
      <c r="Q1989" s="2951">
        <v>0</v>
      </c>
      <c r="R1989" s="2948"/>
      <c r="S1989" s="2948"/>
      <c r="T1989" s="2948"/>
      <c r="U1989" s="2948"/>
      <c r="V1989" s="2948"/>
      <c r="W1989" s="2944">
        <f t="shared" si="15"/>
        <v>0</v>
      </c>
    </row>
    <row r="1990" spans="1:23" s="2944" customFormat="1" ht="93.6">
      <c r="A1990" s="2948">
        <v>1989</v>
      </c>
      <c r="B1990" s="2948" t="s">
        <v>635</v>
      </c>
      <c r="C1990" s="2948" t="s">
        <v>636</v>
      </c>
      <c r="D1990" s="2948" t="s">
        <v>2286</v>
      </c>
      <c r="E1990" s="2948" t="s">
        <v>1459</v>
      </c>
      <c r="F1990" s="2948" t="s">
        <v>2283</v>
      </c>
      <c r="G1990" s="2948" t="s">
        <v>640</v>
      </c>
      <c r="H1990" s="2948" t="s">
        <v>2426</v>
      </c>
      <c r="I1990" s="2948" t="s">
        <v>2248</v>
      </c>
      <c r="J1990" s="2948" t="s">
        <v>643</v>
      </c>
      <c r="K1990" s="2950">
        <v>13.39</v>
      </c>
      <c r="L1990" s="2950">
        <v>6.96</v>
      </c>
      <c r="M1990" s="2951">
        <v>401700</v>
      </c>
      <c r="N1990" s="2951">
        <v>401700</v>
      </c>
      <c r="O1990" s="2952">
        <v>401700</v>
      </c>
      <c r="P1990" s="2953">
        <v>401700</v>
      </c>
      <c r="Q1990" s="2951">
        <v>401700</v>
      </c>
      <c r="R1990" s="2954">
        <v>44551</v>
      </c>
      <c r="S1990" s="2954">
        <v>44559</v>
      </c>
      <c r="T1990" s="2954">
        <v>44636</v>
      </c>
      <c r="U1990" s="2954">
        <v>44636</v>
      </c>
      <c r="V1990" s="2948" t="s">
        <v>1511</v>
      </c>
      <c r="W1990" s="2944">
        <f t="shared" si="15"/>
        <v>30000</v>
      </c>
    </row>
    <row r="1991" spans="1:23" s="2944" customFormat="1" ht="93.6" hidden="1">
      <c r="A1991" s="2948">
        <v>1990</v>
      </c>
      <c r="B1991" s="2948" t="s">
        <v>635</v>
      </c>
      <c r="C1991" s="2948" t="s">
        <v>636</v>
      </c>
      <c r="D1991" s="2948" t="s">
        <v>2286</v>
      </c>
      <c r="E1991" s="2948" t="s">
        <v>1459</v>
      </c>
      <c r="F1991" s="2948" t="s">
        <v>2282</v>
      </c>
      <c r="G1991" s="2948" t="s">
        <v>1035</v>
      </c>
      <c r="H1991" s="2948" t="s">
        <v>2427</v>
      </c>
      <c r="I1991" s="2948" t="s">
        <v>2248</v>
      </c>
      <c r="J1991" s="2948" t="s">
        <v>643</v>
      </c>
      <c r="K1991" s="2950">
        <v>14.27</v>
      </c>
      <c r="L1991" s="2950">
        <v>7.42</v>
      </c>
      <c r="M1991" s="2951">
        <v>428100</v>
      </c>
      <c r="N1991" s="2951">
        <v>428100</v>
      </c>
      <c r="O1991" s="2955"/>
      <c r="P1991" s="2948"/>
      <c r="Q1991" s="2951">
        <v>0</v>
      </c>
      <c r="R1991" s="2948"/>
      <c r="S1991" s="2948"/>
      <c r="T1991" s="2948"/>
      <c r="U1991" s="2948"/>
      <c r="V1991" s="2948"/>
      <c r="W1991" s="2944">
        <f t="shared" si="15"/>
        <v>0</v>
      </c>
    </row>
    <row r="1992" spans="1:23" s="2944" customFormat="1" ht="93.6" hidden="1">
      <c r="A1992" s="2948">
        <v>1991</v>
      </c>
      <c r="B1992" s="2948" t="s">
        <v>635</v>
      </c>
      <c r="C1992" s="2948" t="s">
        <v>636</v>
      </c>
      <c r="D1992" s="2948" t="s">
        <v>2286</v>
      </c>
      <c r="E1992" s="2948" t="s">
        <v>1459</v>
      </c>
      <c r="F1992" s="2948" t="s">
        <v>2281</v>
      </c>
      <c r="G1992" s="2948" t="s">
        <v>1035</v>
      </c>
      <c r="H1992" s="2948" t="s">
        <v>2379</v>
      </c>
      <c r="I1992" s="2948" t="s">
        <v>2248</v>
      </c>
      <c r="J1992" s="2948" t="s">
        <v>643</v>
      </c>
      <c r="K1992" s="2950">
        <v>18.350000000000001</v>
      </c>
      <c r="L1992" s="2950">
        <v>9.5399999999999991</v>
      </c>
      <c r="M1992" s="2951">
        <v>550500</v>
      </c>
      <c r="N1992" s="2951">
        <v>550500</v>
      </c>
      <c r="O1992" s="2955"/>
      <c r="P1992" s="2948"/>
      <c r="Q1992" s="2951">
        <v>0</v>
      </c>
      <c r="R1992" s="2948"/>
      <c r="S1992" s="2948"/>
      <c r="T1992" s="2948"/>
      <c r="U1992" s="2948"/>
      <c r="V1992" s="2948"/>
      <c r="W1992" s="2944">
        <f t="shared" si="15"/>
        <v>0</v>
      </c>
    </row>
    <row r="1993" spans="1:23" s="2944" customFormat="1" ht="93.6" hidden="1">
      <c r="A1993" s="2948">
        <v>1992</v>
      </c>
      <c r="B1993" s="2948" t="s">
        <v>635</v>
      </c>
      <c r="C1993" s="2948" t="s">
        <v>636</v>
      </c>
      <c r="D1993" s="2948" t="s">
        <v>2286</v>
      </c>
      <c r="E1993" s="2948" t="s">
        <v>1459</v>
      </c>
      <c r="F1993" s="2948" t="s">
        <v>2280</v>
      </c>
      <c r="G1993" s="2948" t="s">
        <v>1035</v>
      </c>
      <c r="H1993" s="2948" t="s">
        <v>2428</v>
      </c>
      <c r="I1993" s="2948" t="s">
        <v>2248</v>
      </c>
      <c r="J1993" s="2948" t="s">
        <v>643</v>
      </c>
      <c r="K1993" s="2950">
        <v>21.62</v>
      </c>
      <c r="L1993" s="2950">
        <v>11.24</v>
      </c>
      <c r="M1993" s="2951">
        <v>648600</v>
      </c>
      <c r="N1993" s="2951">
        <v>648600</v>
      </c>
      <c r="O1993" s="2955"/>
      <c r="P1993" s="2948"/>
      <c r="Q1993" s="2951">
        <v>0</v>
      </c>
      <c r="R1993" s="2948"/>
      <c r="S1993" s="2948"/>
      <c r="T1993" s="2948"/>
      <c r="U1993" s="2948"/>
      <c r="V1993" s="2948"/>
      <c r="W1993" s="2944">
        <f t="shared" si="15"/>
        <v>0</v>
      </c>
    </row>
    <row r="1994" spans="1:23" s="2944" customFormat="1" ht="93.6" hidden="1">
      <c r="A1994" s="2948">
        <v>1993</v>
      </c>
      <c r="B1994" s="2948" t="s">
        <v>635</v>
      </c>
      <c r="C1994" s="2948" t="s">
        <v>636</v>
      </c>
      <c r="D1994" s="2948" t="s">
        <v>2286</v>
      </c>
      <c r="E1994" s="2948" t="s">
        <v>1459</v>
      </c>
      <c r="F1994" s="2948" t="s">
        <v>2279</v>
      </c>
      <c r="G1994" s="2948" t="s">
        <v>1035</v>
      </c>
      <c r="H1994" s="2948" t="s">
        <v>2429</v>
      </c>
      <c r="I1994" s="2948" t="s">
        <v>2248</v>
      </c>
      <c r="J1994" s="2948" t="s">
        <v>643</v>
      </c>
      <c r="K1994" s="2950">
        <v>59.43</v>
      </c>
      <c r="L1994" s="2950">
        <v>30.89</v>
      </c>
      <c r="M1994" s="2951">
        <v>1782900</v>
      </c>
      <c r="N1994" s="2951">
        <v>1782900</v>
      </c>
      <c r="O1994" s="2955"/>
      <c r="P1994" s="2948"/>
      <c r="Q1994" s="2951">
        <v>0</v>
      </c>
      <c r="R1994" s="2948"/>
      <c r="S1994" s="2948"/>
      <c r="T1994" s="2948"/>
      <c r="U1994" s="2948"/>
      <c r="V1994" s="2948"/>
      <c r="W1994" s="2944">
        <f t="shared" si="15"/>
        <v>0</v>
      </c>
    </row>
    <row r="1995" spans="1:23" s="2944" customFormat="1" ht="93.6" hidden="1">
      <c r="A1995" s="2948">
        <v>1994</v>
      </c>
      <c r="B1995" s="2948" t="s">
        <v>635</v>
      </c>
      <c r="C1995" s="2948" t="s">
        <v>636</v>
      </c>
      <c r="D1995" s="2948" t="s">
        <v>2286</v>
      </c>
      <c r="E1995" s="2948" t="s">
        <v>1459</v>
      </c>
      <c r="F1995" s="2948" t="s">
        <v>2278</v>
      </c>
      <c r="G1995" s="2948" t="s">
        <v>1035</v>
      </c>
      <c r="H1995" s="2948" t="s">
        <v>2430</v>
      </c>
      <c r="I1995" s="2948" t="s">
        <v>2248</v>
      </c>
      <c r="J1995" s="2948" t="s">
        <v>643</v>
      </c>
      <c r="K1995" s="2950">
        <v>21.49</v>
      </c>
      <c r="L1995" s="2950">
        <v>11.17</v>
      </c>
      <c r="M1995" s="2951">
        <v>644700</v>
      </c>
      <c r="N1995" s="2951">
        <v>644700</v>
      </c>
      <c r="O1995" s="2955"/>
      <c r="P1995" s="2948"/>
      <c r="Q1995" s="2951">
        <v>0</v>
      </c>
      <c r="R1995" s="2948"/>
      <c r="S1995" s="2948"/>
      <c r="T1995" s="2948"/>
      <c r="U1995" s="2948"/>
      <c r="V1995" s="2948"/>
      <c r="W1995" s="2944">
        <f t="shared" si="15"/>
        <v>0</v>
      </c>
    </row>
    <row r="1996" spans="1:23" s="2944" customFormat="1" ht="93.6" hidden="1">
      <c r="A1996" s="2948">
        <v>1995</v>
      </c>
      <c r="B1996" s="2948" t="s">
        <v>635</v>
      </c>
      <c r="C1996" s="2948" t="s">
        <v>636</v>
      </c>
      <c r="D1996" s="2948" t="s">
        <v>2286</v>
      </c>
      <c r="E1996" s="2948" t="s">
        <v>1459</v>
      </c>
      <c r="F1996" s="2948" t="s">
        <v>2277</v>
      </c>
      <c r="G1996" s="2948" t="s">
        <v>1035</v>
      </c>
      <c r="H1996" s="2948" t="s">
        <v>2431</v>
      </c>
      <c r="I1996" s="2948" t="s">
        <v>2248</v>
      </c>
      <c r="J1996" s="2948" t="s">
        <v>643</v>
      </c>
      <c r="K1996" s="2950">
        <v>23.84</v>
      </c>
      <c r="L1996" s="2950">
        <v>12.39</v>
      </c>
      <c r="M1996" s="2951">
        <v>715200</v>
      </c>
      <c r="N1996" s="2951">
        <v>715200</v>
      </c>
      <c r="O1996" s="2955"/>
      <c r="P1996" s="2948"/>
      <c r="Q1996" s="2951">
        <v>0</v>
      </c>
      <c r="R1996" s="2948"/>
      <c r="S1996" s="2948"/>
      <c r="T1996" s="2948"/>
      <c r="U1996" s="2948"/>
      <c r="V1996" s="2948"/>
      <c r="W1996" s="2944">
        <f t="shared" si="15"/>
        <v>0</v>
      </c>
    </row>
    <row r="1997" spans="1:23" s="2944" customFormat="1" ht="93.6" hidden="1">
      <c r="A1997" s="2948">
        <v>1996</v>
      </c>
      <c r="B1997" s="2948" t="s">
        <v>635</v>
      </c>
      <c r="C1997" s="2948" t="s">
        <v>636</v>
      </c>
      <c r="D1997" s="2948" t="s">
        <v>2286</v>
      </c>
      <c r="E1997" s="2948" t="s">
        <v>1459</v>
      </c>
      <c r="F1997" s="2948" t="s">
        <v>2432</v>
      </c>
      <c r="G1997" s="2948" t="s">
        <v>1035</v>
      </c>
      <c r="H1997" s="2948" t="s">
        <v>2433</v>
      </c>
      <c r="I1997" s="2948" t="s">
        <v>2248</v>
      </c>
      <c r="J1997" s="2948" t="s">
        <v>643</v>
      </c>
      <c r="K1997" s="2950">
        <v>19.489999999999998</v>
      </c>
      <c r="L1997" s="2950">
        <v>10.130000000000001</v>
      </c>
      <c r="M1997" s="2951">
        <v>584700</v>
      </c>
      <c r="N1997" s="2951">
        <v>584700</v>
      </c>
      <c r="O1997" s="2955"/>
      <c r="P1997" s="2948"/>
      <c r="Q1997" s="2951">
        <v>0</v>
      </c>
      <c r="R1997" s="2948"/>
      <c r="S1997" s="2948"/>
      <c r="T1997" s="2948"/>
      <c r="U1997" s="2948"/>
      <c r="V1997" s="2948"/>
      <c r="W1997" s="2944">
        <f t="shared" si="15"/>
        <v>0</v>
      </c>
    </row>
    <row r="1998" spans="1:23" s="2944" customFormat="1" ht="93.6" hidden="1">
      <c r="A1998" s="2948">
        <v>1997</v>
      </c>
      <c r="B1998" s="2948" t="s">
        <v>635</v>
      </c>
      <c r="C1998" s="2948" t="s">
        <v>636</v>
      </c>
      <c r="D1998" s="2948" t="s">
        <v>2286</v>
      </c>
      <c r="E1998" s="2948" t="s">
        <v>1459</v>
      </c>
      <c r="F1998" s="2948" t="s">
        <v>2434</v>
      </c>
      <c r="G1998" s="2948" t="s">
        <v>1035</v>
      </c>
      <c r="H1998" s="2948" t="s">
        <v>2433</v>
      </c>
      <c r="I1998" s="2948" t="s">
        <v>2248</v>
      </c>
      <c r="J1998" s="2948" t="s">
        <v>643</v>
      </c>
      <c r="K1998" s="2950">
        <v>19.489999999999998</v>
      </c>
      <c r="L1998" s="2950">
        <v>10.130000000000001</v>
      </c>
      <c r="M1998" s="2951">
        <v>584700</v>
      </c>
      <c r="N1998" s="2951">
        <v>584700</v>
      </c>
      <c r="O1998" s="2955"/>
      <c r="P1998" s="2948"/>
      <c r="Q1998" s="2951">
        <v>0</v>
      </c>
      <c r="R1998" s="2948"/>
      <c r="S1998" s="2948"/>
      <c r="T1998" s="2948"/>
      <c r="U1998" s="2948"/>
      <c r="V1998" s="2948"/>
      <c r="W1998" s="2944">
        <f t="shared" si="15"/>
        <v>0</v>
      </c>
    </row>
    <row r="1999" spans="1:23" s="2944" customFormat="1" ht="93.6" hidden="1">
      <c r="A1999" s="2948">
        <v>1998</v>
      </c>
      <c r="B1999" s="2948" t="s">
        <v>635</v>
      </c>
      <c r="C1999" s="2948" t="s">
        <v>636</v>
      </c>
      <c r="D1999" s="2948" t="s">
        <v>2286</v>
      </c>
      <c r="E1999" s="2948" t="s">
        <v>1459</v>
      </c>
      <c r="F1999" s="2948" t="s">
        <v>2435</v>
      </c>
      <c r="G1999" s="2948" t="s">
        <v>1035</v>
      </c>
      <c r="H1999" s="2948" t="s">
        <v>2431</v>
      </c>
      <c r="I1999" s="2948" t="s">
        <v>2248</v>
      </c>
      <c r="J1999" s="2948" t="s">
        <v>643</v>
      </c>
      <c r="K1999" s="2950">
        <v>23.84</v>
      </c>
      <c r="L1999" s="2950">
        <v>12.39</v>
      </c>
      <c r="M1999" s="2951">
        <v>715200</v>
      </c>
      <c r="N1999" s="2951">
        <v>715200</v>
      </c>
      <c r="O1999" s="2955"/>
      <c r="P1999" s="2948"/>
      <c r="Q1999" s="2951">
        <v>0</v>
      </c>
      <c r="R1999" s="2948"/>
      <c r="S1999" s="2948"/>
      <c r="T1999" s="2948"/>
      <c r="U1999" s="2948"/>
      <c r="V1999" s="2948"/>
      <c r="W1999" s="2944">
        <f t="shared" si="15"/>
        <v>0</v>
      </c>
    </row>
    <row r="2000" spans="1:23" s="2944" customFormat="1" ht="93.6" hidden="1">
      <c r="A2000" s="2948">
        <v>1999</v>
      </c>
      <c r="B2000" s="2948" t="s">
        <v>635</v>
      </c>
      <c r="C2000" s="2948" t="s">
        <v>636</v>
      </c>
      <c r="D2000" s="2948" t="s">
        <v>2286</v>
      </c>
      <c r="E2000" s="2948" t="s">
        <v>1460</v>
      </c>
      <c r="F2000" s="2948" t="s">
        <v>645</v>
      </c>
      <c r="G2000" s="2948" t="s">
        <v>1035</v>
      </c>
      <c r="H2000" s="2948" t="s">
        <v>2436</v>
      </c>
      <c r="I2000" s="2948" t="s">
        <v>2248</v>
      </c>
      <c r="J2000" s="2948" t="s">
        <v>643</v>
      </c>
      <c r="K2000" s="2950">
        <v>20.62</v>
      </c>
      <c r="L2000" s="2950">
        <v>11.33</v>
      </c>
      <c r="M2000" s="2951">
        <v>618600</v>
      </c>
      <c r="N2000" s="2951">
        <v>618600</v>
      </c>
      <c r="O2000" s="2955"/>
      <c r="P2000" s="2948"/>
      <c r="Q2000" s="2951">
        <v>0</v>
      </c>
      <c r="R2000" s="2948"/>
      <c r="S2000" s="2948"/>
      <c r="T2000" s="2948"/>
      <c r="U2000" s="2948"/>
      <c r="V2000" s="2948"/>
      <c r="W2000" s="2944">
        <f t="shared" si="15"/>
        <v>0</v>
      </c>
    </row>
    <row r="2001" spans="1:23" s="2944" customFormat="1" ht="93.6" hidden="1">
      <c r="A2001" s="2948">
        <v>2000</v>
      </c>
      <c r="B2001" s="2948" t="s">
        <v>635</v>
      </c>
      <c r="C2001" s="2948" t="s">
        <v>636</v>
      </c>
      <c r="D2001" s="2948" t="s">
        <v>2286</v>
      </c>
      <c r="E2001" s="2948" t="s">
        <v>1460</v>
      </c>
      <c r="F2001" s="2948" t="s">
        <v>1458</v>
      </c>
      <c r="G2001" s="2948" t="s">
        <v>1035</v>
      </c>
      <c r="H2001" s="2948" t="s">
        <v>2437</v>
      </c>
      <c r="I2001" s="2948" t="s">
        <v>2248</v>
      </c>
      <c r="J2001" s="2948" t="s">
        <v>643</v>
      </c>
      <c r="K2001" s="2950">
        <v>20.76</v>
      </c>
      <c r="L2001" s="2950">
        <v>11.41</v>
      </c>
      <c r="M2001" s="2951">
        <v>622800</v>
      </c>
      <c r="N2001" s="2951">
        <v>622800</v>
      </c>
      <c r="O2001" s="2955"/>
      <c r="P2001" s="2948"/>
      <c r="Q2001" s="2951">
        <v>0</v>
      </c>
      <c r="R2001" s="2948"/>
      <c r="S2001" s="2948"/>
      <c r="T2001" s="2948"/>
      <c r="U2001" s="2948"/>
      <c r="V2001" s="2948"/>
      <c r="W2001" s="2944">
        <f t="shared" si="15"/>
        <v>0</v>
      </c>
    </row>
    <row r="2002" spans="1:23" s="2944" customFormat="1" ht="93.6">
      <c r="A2002" s="2948">
        <v>2001</v>
      </c>
      <c r="B2002" s="2948" t="s">
        <v>635</v>
      </c>
      <c r="C2002" s="2948" t="s">
        <v>636</v>
      </c>
      <c r="D2002" s="2948" t="s">
        <v>2286</v>
      </c>
      <c r="E2002" s="2948" t="s">
        <v>1460</v>
      </c>
      <c r="F2002" s="2948" t="s">
        <v>1457</v>
      </c>
      <c r="G2002" s="2948" t="s">
        <v>640</v>
      </c>
      <c r="H2002" s="2948" t="s">
        <v>2438</v>
      </c>
      <c r="I2002" s="2948" t="s">
        <v>2248</v>
      </c>
      <c r="J2002" s="2948" t="s">
        <v>643</v>
      </c>
      <c r="K2002" s="2950">
        <v>18.21</v>
      </c>
      <c r="L2002" s="2950">
        <v>10.01</v>
      </c>
      <c r="M2002" s="2951">
        <v>546300</v>
      </c>
      <c r="N2002" s="2951">
        <v>546300</v>
      </c>
      <c r="O2002" s="2952">
        <v>546300</v>
      </c>
      <c r="P2002" s="2953">
        <v>546300</v>
      </c>
      <c r="Q2002" s="2951">
        <v>546300</v>
      </c>
      <c r="R2002" s="2954">
        <v>44551</v>
      </c>
      <c r="S2002" s="2954">
        <v>44680</v>
      </c>
      <c r="T2002" s="2954">
        <v>44778</v>
      </c>
      <c r="U2002" s="2954">
        <v>44778</v>
      </c>
      <c r="V2002" s="2948" t="s">
        <v>1474</v>
      </c>
      <c r="W2002" s="2944">
        <f t="shared" si="15"/>
        <v>30000</v>
      </c>
    </row>
    <row r="2003" spans="1:23" s="2944" customFormat="1" ht="93.6" hidden="1">
      <c r="A2003" s="2948">
        <v>2002</v>
      </c>
      <c r="B2003" s="2948" t="s">
        <v>635</v>
      </c>
      <c r="C2003" s="2948" t="s">
        <v>636</v>
      </c>
      <c r="D2003" s="2948" t="s">
        <v>2286</v>
      </c>
      <c r="E2003" s="2948" t="s">
        <v>1460</v>
      </c>
      <c r="F2003" s="2948" t="s">
        <v>2250</v>
      </c>
      <c r="G2003" s="2948" t="s">
        <v>1035</v>
      </c>
      <c r="H2003" s="2948" t="s">
        <v>2439</v>
      </c>
      <c r="I2003" s="2948" t="s">
        <v>2248</v>
      </c>
      <c r="J2003" s="2948" t="s">
        <v>643</v>
      </c>
      <c r="K2003" s="2950">
        <v>18.829999999999998</v>
      </c>
      <c r="L2003" s="2950">
        <v>10.35</v>
      </c>
      <c r="M2003" s="2951">
        <v>564900</v>
      </c>
      <c r="N2003" s="2951">
        <v>564900</v>
      </c>
      <c r="O2003" s="2955"/>
      <c r="P2003" s="2948"/>
      <c r="Q2003" s="2951">
        <v>0</v>
      </c>
      <c r="R2003" s="2948"/>
      <c r="S2003" s="2948"/>
      <c r="T2003" s="2948"/>
      <c r="U2003" s="2948"/>
      <c r="V2003" s="2948"/>
      <c r="W2003" s="2944">
        <f t="shared" si="15"/>
        <v>0</v>
      </c>
    </row>
    <row r="2004" spans="1:23" s="2944" customFormat="1" ht="93.6" hidden="1">
      <c r="A2004" s="2948">
        <v>2003</v>
      </c>
      <c r="B2004" s="2948" t="s">
        <v>635</v>
      </c>
      <c r="C2004" s="2948" t="s">
        <v>636</v>
      </c>
      <c r="D2004" s="2948" t="s">
        <v>2286</v>
      </c>
      <c r="E2004" s="2948" t="s">
        <v>1460</v>
      </c>
      <c r="F2004" s="2948" t="s">
        <v>2249</v>
      </c>
      <c r="G2004" s="2948" t="s">
        <v>1035</v>
      </c>
      <c r="H2004" s="2948" t="s">
        <v>2440</v>
      </c>
      <c r="I2004" s="2948" t="s">
        <v>2248</v>
      </c>
      <c r="J2004" s="2948" t="s">
        <v>643</v>
      </c>
      <c r="K2004" s="2950">
        <v>25.11</v>
      </c>
      <c r="L2004" s="2950">
        <v>13.8</v>
      </c>
      <c r="M2004" s="2951">
        <v>753300</v>
      </c>
      <c r="N2004" s="2951">
        <v>753300</v>
      </c>
      <c r="O2004" s="2955"/>
      <c r="P2004" s="2948"/>
      <c r="Q2004" s="2951">
        <v>0</v>
      </c>
      <c r="R2004" s="2948"/>
      <c r="S2004" s="2948"/>
      <c r="T2004" s="2948"/>
      <c r="U2004" s="2948"/>
      <c r="V2004" s="2948"/>
      <c r="W2004" s="2944">
        <f t="shared" si="15"/>
        <v>0</v>
      </c>
    </row>
    <row r="2005" spans="1:23" s="2944" customFormat="1" ht="93.6" hidden="1">
      <c r="A2005" s="2948">
        <v>2004</v>
      </c>
      <c r="B2005" s="2948" t="s">
        <v>635</v>
      </c>
      <c r="C2005" s="2948" t="s">
        <v>636</v>
      </c>
      <c r="D2005" s="2948" t="s">
        <v>2286</v>
      </c>
      <c r="E2005" s="2948" t="s">
        <v>1460</v>
      </c>
      <c r="F2005" s="2948" t="s">
        <v>2247</v>
      </c>
      <c r="G2005" s="2948" t="s">
        <v>1035</v>
      </c>
      <c r="H2005" s="2948" t="s">
        <v>2440</v>
      </c>
      <c r="I2005" s="2948" t="s">
        <v>2248</v>
      </c>
      <c r="J2005" s="2948" t="s">
        <v>643</v>
      </c>
      <c r="K2005" s="2950">
        <v>25.11</v>
      </c>
      <c r="L2005" s="2950">
        <v>13.8</v>
      </c>
      <c r="M2005" s="2951">
        <v>753300</v>
      </c>
      <c r="N2005" s="2951">
        <v>753300</v>
      </c>
      <c r="O2005" s="2955"/>
      <c r="P2005" s="2948"/>
      <c r="Q2005" s="2951">
        <v>0</v>
      </c>
      <c r="R2005" s="2948"/>
      <c r="S2005" s="2948"/>
      <c r="T2005" s="2948"/>
      <c r="U2005" s="2948"/>
      <c r="V2005" s="2948"/>
      <c r="W2005" s="2944">
        <f t="shared" si="15"/>
        <v>0</v>
      </c>
    </row>
    <row r="2006" spans="1:23" s="2944" customFormat="1" ht="93.6" hidden="1">
      <c r="A2006" s="2948">
        <v>2005</v>
      </c>
      <c r="B2006" s="2948" t="s">
        <v>635</v>
      </c>
      <c r="C2006" s="2948" t="s">
        <v>636</v>
      </c>
      <c r="D2006" s="2948" t="s">
        <v>2286</v>
      </c>
      <c r="E2006" s="2948" t="s">
        <v>1460</v>
      </c>
      <c r="F2006" s="2948" t="s">
        <v>2267</v>
      </c>
      <c r="G2006" s="2948" t="s">
        <v>1035</v>
      </c>
      <c r="H2006" s="2948" t="s">
        <v>2439</v>
      </c>
      <c r="I2006" s="2948" t="s">
        <v>2248</v>
      </c>
      <c r="J2006" s="2948" t="s">
        <v>643</v>
      </c>
      <c r="K2006" s="2950">
        <v>18.829999999999998</v>
      </c>
      <c r="L2006" s="2950">
        <v>10.35</v>
      </c>
      <c r="M2006" s="2951">
        <v>564900</v>
      </c>
      <c r="N2006" s="2951">
        <v>564900</v>
      </c>
      <c r="O2006" s="2955"/>
      <c r="P2006" s="2948"/>
      <c r="Q2006" s="2951">
        <v>0</v>
      </c>
      <c r="R2006" s="2948"/>
      <c r="S2006" s="2948"/>
      <c r="T2006" s="2948"/>
      <c r="U2006" s="2948"/>
      <c r="V2006" s="2948"/>
      <c r="W2006" s="2944">
        <f t="shared" si="15"/>
        <v>0</v>
      </c>
    </row>
    <row r="2007" spans="1:23" s="2944" customFormat="1" ht="93.6" hidden="1">
      <c r="A2007" s="2948">
        <v>2006</v>
      </c>
      <c r="B2007" s="2948" t="s">
        <v>635</v>
      </c>
      <c r="C2007" s="2948" t="s">
        <v>636</v>
      </c>
      <c r="D2007" s="2948" t="s">
        <v>2286</v>
      </c>
      <c r="E2007" s="2948" t="s">
        <v>1460</v>
      </c>
      <c r="F2007" s="2948" t="s">
        <v>2266</v>
      </c>
      <c r="G2007" s="2948" t="s">
        <v>1035</v>
      </c>
      <c r="H2007" s="2948" t="s">
        <v>2441</v>
      </c>
      <c r="I2007" s="2948" t="s">
        <v>2248</v>
      </c>
      <c r="J2007" s="2948" t="s">
        <v>643</v>
      </c>
      <c r="K2007" s="2950">
        <v>18.21</v>
      </c>
      <c r="L2007" s="2950">
        <v>10.01</v>
      </c>
      <c r="M2007" s="2951">
        <v>546300</v>
      </c>
      <c r="N2007" s="2951">
        <v>546300</v>
      </c>
      <c r="O2007" s="2955"/>
      <c r="P2007" s="2948"/>
      <c r="Q2007" s="2951">
        <v>0</v>
      </c>
      <c r="R2007" s="2948"/>
      <c r="S2007" s="2948"/>
      <c r="T2007" s="2948"/>
      <c r="U2007" s="2948"/>
      <c r="V2007" s="2948"/>
      <c r="W2007" s="2944">
        <f t="shared" si="15"/>
        <v>0</v>
      </c>
    </row>
    <row r="2008" spans="1:23" s="2944" customFormat="1" ht="93.6" hidden="1">
      <c r="A2008" s="2948">
        <v>2007</v>
      </c>
      <c r="B2008" s="2948" t="s">
        <v>635</v>
      </c>
      <c r="C2008" s="2948" t="s">
        <v>636</v>
      </c>
      <c r="D2008" s="2948" t="s">
        <v>2286</v>
      </c>
      <c r="E2008" s="2948" t="s">
        <v>1460</v>
      </c>
      <c r="F2008" s="2948" t="s">
        <v>651</v>
      </c>
      <c r="G2008" s="2948" t="s">
        <v>1035</v>
      </c>
      <c r="H2008" s="2948" t="s">
        <v>2442</v>
      </c>
      <c r="I2008" s="2948" t="s">
        <v>2248</v>
      </c>
      <c r="J2008" s="2948" t="s">
        <v>643</v>
      </c>
      <c r="K2008" s="2950">
        <v>18.29</v>
      </c>
      <c r="L2008" s="2950">
        <v>10.050000000000001</v>
      </c>
      <c r="M2008" s="2951">
        <v>548700</v>
      </c>
      <c r="N2008" s="2951">
        <v>548700</v>
      </c>
      <c r="O2008" s="2955"/>
      <c r="P2008" s="2948"/>
      <c r="Q2008" s="2951">
        <v>0</v>
      </c>
      <c r="R2008" s="2948"/>
      <c r="S2008" s="2948"/>
      <c r="T2008" s="2948"/>
      <c r="U2008" s="2948"/>
      <c r="V2008" s="2948"/>
      <c r="W2008" s="2944">
        <f t="shared" si="15"/>
        <v>0</v>
      </c>
    </row>
    <row r="2009" spans="1:23" s="2944" customFormat="1" ht="93.6" hidden="1">
      <c r="A2009" s="2948">
        <v>2008</v>
      </c>
      <c r="B2009" s="2948" t="s">
        <v>635</v>
      </c>
      <c r="C2009" s="2948" t="s">
        <v>636</v>
      </c>
      <c r="D2009" s="2948" t="s">
        <v>2286</v>
      </c>
      <c r="E2009" s="2948" t="s">
        <v>1460</v>
      </c>
      <c r="F2009" s="2948" t="s">
        <v>648</v>
      </c>
      <c r="G2009" s="2948" t="s">
        <v>1035</v>
      </c>
      <c r="H2009" s="2948" t="s">
        <v>2443</v>
      </c>
      <c r="I2009" s="2948" t="s">
        <v>2248</v>
      </c>
      <c r="J2009" s="2948" t="s">
        <v>643</v>
      </c>
      <c r="K2009" s="2950">
        <v>19.11</v>
      </c>
      <c r="L2009" s="2950">
        <v>10.5</v>
      </c>
      <c r="M2009" s="2951">
        <v>573300</v>
      </c>
      <c r="N2009" s="2951">
        <v>573300</v>
      </c>
      <c r="O2009" s="2955"/>
      <c r="P2009" s="2948"/>
      <c r="Q2009" s="2951">
        <v>0</v>
      </c>
      <c r="R2009" s="2948"/>
      <c r="S2009" s="2948"/>
      <c r="T2009" s="2948"/>
      <c r="U2009" s="2948"/>
      <c r="V2009" s="2948"/>
      <c r="W2009" s="2944">
        <f t="shared" si="15"/>
        <v>0</v>
      </c>
    </row>
    <row r="2010" spans="1:23" s="2944" customFormat="1" ht="93.6">
      <c r="A2010" s="2948">
        <v>2009</v>
      </c>
      <c r="B2010" s="2948" t="s">
        <v>635</v>
      </c>
      <c r="C2010" s="2948" t="s">
        <v>636</v>
      </c>
      <c r="D2010" s="2948" t="s">
        <v>2286</v>
      </c>
      <c r="E2010" s="2948" t="s">
        <v>1460</v>
      </c>
      <c r="F2010" s="2948" t="s">
        <v>2256</v>
      </c>
      <c r="G2010" s="2948" t="s">
        <v>640</v>
      </c>
      <c r="H2010" s="2948" t="s">
        <v>2444</v>
      </c>
      <c r="I2010" s="2948" t="s">
        <v>2248</v>
      </c>
      <c r="J2010" s="2948" t="s">
        <v>643</v>
      </c>
      <c r="K2010" s="2950">
        <v>16.47</v>
      </c>
      <c r="L2010" s="2950">
        <v>9.0500000000000007</v>
      </c>
      <c r="M2010" s="2951">
        <v>494100</v>
      </c>
      <c r="N2010" s="2951">
        <v>494100</v>
      </c>
      <c r="O2010" s="2952">
        <v>494100</v>
      </c>
      <c r="P2010" s="2953">
        <v>494100</v>
      </c>
      <c r="Q2010" s="2951">
        <v>494100</v>
      </c>
      <c r="R2010" s="2954">
        <v>44551</v>
      </c>
      <c r="S2010" s="2954">
        <v>44561</v>
      </c>
      <c r="T2010" s="2954">
        <v>44861</v>
      </c>
      <c r="U2010" s="2954">
        <v>44861</v>
      </c>
      <c r="V2010" s="2948" t="s">
        <v>1478</v>
      </c>
      <c r="W2010" s="2944">
        <f t="shared" si="15"/>
        <v>30000</v>
      </c>
    </row>
    <row r="2011" spans="1:23" s="2944" customFormat="1" ht="93.6" hidden="1">
      <c r="A2011" s="2948">
        <v>2010</v>
      </c>
      <c r="B2011" s="2948" t="s">
        <v>635</v>
      </c>
      <c r="C2011" s="2948" t="s">
        <v>636</v>
      </c>
      <c r="D2011" s="2948" t="s">
        <v>2286</v>
      </c>
      <c r="E2011" s="2948" t="s">
        <v>1460</v>
      </c>
      <c r="F2011" s="2948" t="s">
        <v>2255</v>
      </c>
      <c r="G2011" s="2948" t="s">
        <v>1035</v>
      </c>
      <c r="H2011" s="2948" t="s">
        <v>2445</v>
      </c>
      <c r="I2011" s="2948" t="s">
        <v>2248</v>
      </c>
      <c r="J2011" s="2948" t="s">
        <v>643</v>
      </c>
      <c r="K2011" s="2950">
        <v>25.4</v>
      </c>
      <c r="L2011" s="2950">
        <v>13.96</v>
      </c>
      <c r="M2011" s="2951">
        <v>762000</v>
      </c>
      <c r="N2011" s="2951">
        <v>762000</v>
      </c>
      <c r="O2011" s="2955"/>
      <c r="P2011" s="2948"/>
      <c r="Q2011" s="2951">
        <v>0</v>
      </c>
      <c r="R2011" s="2948"/>
      <c r="S2011" s="2948"/>
      <c r="T2011" s="2948"/>
      <c r="U2011" s="2948"/>
      <c r="V2011" s="2948"/>
      <c r="W2011" s="2944">
        <f t="shared" si="15"/>
        <v>0</v>
      </c>
    </row>
    <row r="2012" spans="1:23" s="2944" customFormat="1" ht="93.6">
      <c r="A2012" s="2948">
        <v>2011</v>
      </c>
      <c r="B2012" s="2948" t="s">
        <v>635</v>
      </c>
      <c r="C2012" s="2948" t="s">
        <v>636</v>
      </c>
      <c r="D2012" s="2948" t="s">
        <v>2286</v>
      </c>
      <c r="E2012" s="2948" t="s">
        <v>1460</v>
      </c>
      <c r="F2012" s="2948" t="s">
        <v>2254</v>
      </c>
      <c r="G2012" s="2948" t="s">
        <v>640</v>
      </c>
      <c r="H2012" s="2948" t="s">
        <v>2446</v>
      </c>
      <c r="I2012" s="2948" t="s">
        <v>2248</v>
      </c>
      <c r="J2012" s="2948" t="s">
        <v>643</v>
      </c>
      <c r="K2012" s="2950">
        <v>19.34</v>
      </c>
      <c r="L2012" s="2950">
        <v>10.63</v>
      </c>
      <c r="M2012" s="2951">
        <v>580200</v>
      </c>
      <c r="N2012" s="2951">
        <v>580200</v>
      </c>
      <c r="O2012" s="2952">
        <v>580200</v>
      </c>
      <c r="P2012" s="2953">
        <v>580200</v>
      </c>
      <c r="Q2012" s="2951">
        <v>580200</v>
      </c>
      <c r="R2012" s="2954">
        <v>44551</v>
      </c>
      <c r="S2012" s="2954">
        <v>44561</v>
      </c>
      <c r="T2012" s="2954">
        <v>44637</v>
      </c>
      <c r="U2012" s="2954">
        <v>44637</v>
      </c>
      <c r="V2012" s="2948" t="s">
        <v>1476</v>
      </c>
      <c r="W2012" s="2944">
        <f t="shared" si="15"/>
        <v>30000</v>
      </c>
    </row>
    <row r="2013" spans="1:23" s="2944" customFormat="1" ht="93.6" hidden="1">
      <c r="A2013" s="2948">
        <v>2012</v>
      </c>
      <c r="B2013" s="2948" t="s">
        <v>635</v>
      </c>
      <c r="C2013" s="2948" t="s">
        <v>636</v>
      </c>
      <c r="D2013" s="2948" t="s">
        <v>2286</v>
      </c>
      <c r="E2013" s="2948" t="s">
        <v>1460</v>
      </c>
      <c r="F2013" s="2948" t="s">
        <v>2253</v>
      </c>
      <c r="G2013" s="2948" t="s">
        <v>1035</v>
      </c>
      <c r="H2013" s="2948" t="s">
        <v>2447</v>
      </c>
      <c r="I2013" s="2948" t="s">
        <v>2248</v>
      </c>
      <c r="J2013" s="2948" t="s">
        <v>643</v>
      </c>
      <c r="K2013" s="2950">
        <v>12.63</v>
      </c>
      <c r="L2013" s="2950">
        <v>6.94</v>
      </c>
      <c r="M2013" s="2951">
        <v>378900</v>
      </c>
      <c r="N2013" s="2951">
        <v>378900</v>
      </c>
      <c r="O2013" s="2955"/>
      <c r="P2013" s="2948"/>
      <c r="Q2013" s="2951">
        <v>0</v>
      </c>
      <c r="R2013" s="2948"/>
      <c r="S2013" s="2948"/>
      <c r="T2013" s="2948"/>
      <c r="U2013" s="2948"/>
      <c r="V2013" s="2948"/>
      <c r="W2013" s="2944">
        <f t="shared" si="15"/>
        <v>0</v>
      </c>
    </row>
    <row r="2014" spans="1:23" s="2944" customFormat="1" ht="93.6">
      <c r="A2014" s="2948">
        <v>2013</v>
      </c>
      <c r="B2014" s="2948" t="s">
        <v>635</v>
      </c>
      <c r="C2014" s="2948" t="s">
        <v>636</v>
      </c>
      <c r="D2014" s="2948" t="s">
        <v>2286</v>
      </c>
      <c r="E2014" s="2948" t="s">
        <v>1460</v>
      </c>
      <c r="F2014" s="2948" t="s">
        <v>2252</v>
      </c>
      <c r="G2014" s="2948" t="s">
        <v>640</v>
      </c>
      <c r="H2014" s="2948" t="s">
        <v>2448</v>
      </c>
      <c r="I2014" s="2948" t="s">
        <v>2248</v>
      </c>
      <c r="J2014" s="2948" t="s">
        <v>643</v>
      </c>
      <c r="K2014" s="2950">
        <v>12.52</v>
      </c>
      <c r="L2014" s="2950">
        <v>6.88</v>
      </c>
      <c r="M2014" s="2951">
        <v>375600</v>
      </c>
      <c r="N2014" s="2951">
        <v>375600</v>
      </c>
      <c r="O2014" s="2952">
        <v>375600</v>
      </c>
      <c r="P2014" s="2953">
        <v>375600</v>
      </c>
      <c r="Q2014" s="2951">
        <v>375600</v>
      </c>
      <c r="R2014" s="2954">
        <v>44558</v>
      </c>
      <c r="S2014" s="2954">
        <v>44561</v>
      </c>
      <c r="T2014" s="2954">
        <v>44785</v>
      </c>
      <c r="U2014" s="2954">
        <v>44785</v>
      </c>
      <c r="V2014" s="2948" t="s">
        <v>1488</v>
      </c>
      <c r="W2014" s="2944">
        <f t="shared" si="15"/>
        <v>30000</v>
      </c>
    </row>
    <row r="2015" spans="1:23" s="2944" customFormat="1" ht="93.6">
      <c r="A2015" s="2948">
        <v>2014</v>
      </c>
      <c r="B2015" s="2948" t="s">
        <v>635</v>
      </c>
      <c r="C2015" s="2948" t="s">
        <v>636</v>
      </c>
      <c r="D2015" s="2948" t="s">
        <v>2286</v>
      </c>
      <c r="E2015" s="2948" t="s">
        <v>1460</v>
      </c>
      <c r="F2015" s="2948" t="s">
        <v>2251</v>
      </c>
      <c r="G2015" s="2948" t="s">
        <v>640</v>
      </c>
      <c r="H2015" s="2948" t="s">
        <v>2449</v>
      </c>
      <c r="I2015" s="2948" t="s">
        <v>2248</v>
      </c>
      <c r="J2015" s="2948" t="s">
        <v>643</v>
      </c>
      <c r="K2015" s="2950">
        <v>18.309999999999999</v>
      </c>
      <c r="L2015" s="2950">
        <v>10.06</v>
      </c>
      <c r="M2015" s="2951">
        <v>549300</v>
      </c>
      <c r="N2015" s="2951">
        <v>549300</v>
      </c>
      <c r="O2015" s="2952">
        <v>549300</v>
      </c>
      <c r="P2015" s="2953">
        <v>549300</v>
      </c>
      <c r="Q2015" s="2951">
        <v>549300</v>
      </c>
      <c r="R2015" s="2954">
        <v>44809</v>
      </c>
      <c r="S2015" s="2954">
        <v>44809</v>
      </c>
      <c r="T2015" s="2954">
        <v>44809</v>
      </c>
      <c r="U2015" s="2954">
        <v>44809</v>
      </c>
      <c r="V2015" s="2948" t="s">
        <v>1485</v>
      </c>
      <c r="W2015" s="2944">
        <f t="shared" si="15"/>
        <v>30000</v>
      </c>
    </row>
    <row r="2016" spans="1:23" s="2944" customFormat="1" ht="93.6">
      <c r="A2016" s="2948">
        <v>2015</v>
      </c>
      <c r="B2016" s="2948" t="s">
        <v>635</v>
      </c>
      <c r="C2016" s="2948" t="s">
        <v>636</v>
      </c>
      <c r="D2016" s="2948" t="s">
        <v>2286</v>
      </c>
      <c r="E2016" s="2948" t="s">
        <v>1460</v>
      </c>
      <c r="F2016" s="2948" t="s">
        <v>2276</v>
      </c>
      <c r="G2016" s="2948" t="s">
        <v>640</v>
      </c>
      <c r="H2016" s="2948" t="s">
        <v>2450</v>
      </c>
      <c r="I2016" s="2948" t="s">
        <v>2248</v>
      </c>
      <c r="J2016" s="2948" t="s">
        <v>643</v>
      </c>
      <c r="K2016" s="2950">
        <v>18.829999999999998</v>
      </c>
      <c r="L2016" s="2950">
        <v>10.35</v>
      </c>
      <c r="M2016" s="2951">
        <v>564900</v>
      </c>
      <c r="N2016" s="2951">
        <v>564900</v>
      </c>
      <c r="O2016" s="2952">
        <v>564900</v>
      </c>
      <c r="P2016" s="2953">
        <v>564900</v>
      </c>
      <c r="Q2016" s="2951">
        <v>564900</v>
      </c>
      <c r="R2016" s="2954">
        <v>44559</v>
      </c>
      <c r="S2016" s="2954">
        <v>44561</v>
      </c>
      <c r="T2016" s="2954">
        <v>44639</v>
      </c>
      <c r="U2016" s="2954">
        <v>44639</v>
      </c>
      <c r="V2016" s="2948" t="s">
        <v>1484</v>
      </c>
      <c r="W2016" s="2944">
        <f t="shared" si="15"/>
        <v>30000</v>
      </c>
    </row>
    <row r="2017" spans="1:23" s="2944" customFormat="1" ht="93.6" hidden="1">
      <c r="A2017" s="2948">
        <v>2016</v>
      </c>
      <c r="B2017" s="2948" t="s">
        <v>635</v>
      </c>
      <c r="C2017" s="2948" t="s">
        <v>636</v>
      </c>
      <c r="D2017" s="2948" t="s">
        <v>2286</v>
      </c>
      <c r="E2017" s="2948" t="s">
        <v>1460</v>
      </c>
      <c r="F2017" s="2948" t="s">
        <v>2275</v>
      </c>
      <c r="G2017" s="2948" t="s">
        <v>1035</v>
      </c>
      <c r="H2017" s="2948" t="s">
        <v>2451</v>
      </c>
      <c r="I2017" s="2948" t="s">
        <v>2248</v>
      </c>
      <c r="J2017" s="2948" t="s">
        <v>643</v>
      </c>
      <c r="K2017" s="2950">
        <v>25.11</v>
      </c>
      <c r="L2017" s="2950">
        <v>13.8</v>
      </c>
      <c r="M2017" s="2951">
        <v>753300</v>
      </c>
      <c r="N2017" s="2951">
        <v>753300</v>
      </c>
      <c r="O2017" s="2955"/>
      <c r="P2017" s="2948"/>
      <c r="Q2017" s="2951">
        <v>0</v>
      </c>
      <c r="R2017" s="2948"/>
      <c r="S2017" s="2948"/>
      <c r="T2017" s="2948"/>
      <c r="U2017" s="2948"/>
      <c r="V2017" s="2948"/>
      <c r="W2017" s="2944">
        <f t="shared" si="15"/>
        <v>0</v>
      </c>
    </row>
    <row r="2018" spans="1:23" s="2944" customFormat="1" ht="93.6" hidden="1">
      <c r="A2018" s="2948">
        <v>2017</v>
      </c>
      <c r="B2018" s="2948" t="s">
        <v>635</v>
      </c>
      <c r="C2018" s="2948" t="s">
        <v>636</v>
      </c>
      <c r="D2018" s="2948" t="s">
        <v>2286</v>
      </c>
      <c r="E2018" s="2948" t="s">
        <v>1460</v>
      </c>
      <c r="F2018" s="2948" t="s">
        <v>2274</v>
      </c>
      <c r="G2018" s="2948" t="s">
        <v>1035</v>
      </c>
      <c r="H2018" s="2948" t="s">
        <v>2451</v>
      </c>
      <c r="I2018" s="2948" t="s">
        <v>2248</v>
      </c>
      <c r="J2018" s="2948" t="s">
        <v>643</v>
      </c>
      <c r="K2018" s="2950">
        <v>25.11</v>
      </c>
      <c r="L2018" s="2950">
        <v>13.8</v>
      </c>
      <c r="M2018" s="2951">
        <v>753300</v>
      </c>
      <c r="N2018" s="2951">
        <v>753300</v>
      </c>
      <c r="O2018" s="2955"/>
      <c r="P2018" s="2948"/>
      <c r="Q2018" s="2951">
        <v>0</v>
      </c>
      <c r="R2018" s="2948"/>
      <c r="S2018" s="2948"/>
      <c r="T2018" s="2948"/>
      <c r="U2018" s="2948"/>
      <c r="V2018" s="2948"/>
      <c r="W2018" s="2944">
        <f t="shared" si="15"/>
        <v>0</v>
      </c>
    </row>
    <row r="2019" spans="1:23" s="2944" customFormat="1" ht="93.6">
      <c r="A2019" s="2948">
        <v>2018</v>
      </c>
      <c r="B2019" s="2948" t="s">
        <v>635</v>
      </c>
      <c r="C2019" s="2948" t="s">
        <v>636</v>
      </c>
      <c r="D2019" s="2948" t="s">
        <v>2286</v>
      </c>
      <c r="E2019" s="2948" t="s">
        <v>1460</v>
      </c>
      <c r="F2019" s="2948" t="s">
        <v>2273</v>
      </c>
      <c r="G2019" s="2948" t="s">
        <v>640</v>
      </c>
      <c r="H2019" s="2948" t="s">
        <v>2452</v>
      </c>
      <c r="I2019" s="2948" t="s">
        <v>2248</v>
      </c>
      <c r="J2019" s="2948" t="s">
        <v>643</v>
      </c>
      <c r="K2019" s="2950">
        <v>18.829999999999998</v>
      </c>
      <c r="L2019" s="2950">
        <v>10.35</v>
      </c>
      <c r="M2019" s="2951">
        <v>564900</v>
      </c>
      <c r="N2019" s="2951">
        <v>564900</v>
      </c>
      <c r="O2019" s="2952">
        <v>564900</v>
      </c>
      <c r="P2019" s="2953">
        <v>564900</v>
      </c>
      <c r="Q2019" s="2951">
        <v>564900</v>
      </c>
      <c r="R2019" s="2954">
        <v>44524</v>
      </c>
      <c r="S2019" s="2954">
        <v>44561</v>
      </c>
      <c r="T2019" s="2954">
        <v>44638</v>
      </c>
      <c r="U2019" s="2954">
        <v>44638</v>
      </c>
      <c r="V2019" s="2948" t="s">
        <v>1470</v>
      </c>
      <c r="W2019" s="2944">
        <f t="shared" si="15"/>
        <v>30000</v>
      </c>
    </row>
    <row r="2020" spans="1:23" s="2944" customFormat="1" ht="93.6" hidden="1">
      <c r="A2020" s="2948">
        <v>2019</v>
      </c>
      <c r="B2020" s="2948" t="s">
        <v>635</v>
      </c>
      <c r="C2020" s="2948" t="s">
        <v>636</v>
      </c>
      <c r="D2020" s="2948" t="s">
        <v>2286</v>
      </c>
      <c r="E2020" s="2948" t="s">
        <v>1460</v>
      </c>
      <c r="F2020" s="2948" t="s">
        <v>655</v>
      </c>
      <c r="G2020" s="2948" t="s">
        <v>1035</v>
      </c>
      <c r="H2020" s="2948" t="s">
        <v>2453</v>
      </c>
      <c r="I2020" s="2948" t="s">
        <v>2248</v>
      </c>
      <c r="J2020" s="2948" t="s">
        <v>643</v>
      </c>
      <c r="K2020" s="2950">
        <v>18.29</v>
      </c>
      <c r="L2020" s="2950">
        <v>10.050000000000001</v>
      </c>
      <c r="M2020" s="2951">
        <v>548700</v>
      </c>
      <c r="N2020" s="2951">
        <v>548700</v>
      </c>
      <c r="O2020" s="2955"/>
      <c r="P2020" s="2948"/>
      <c r="Q2020" s="2951">
        <v>0</v>
      </c>
      <c r="R2020" s="2948"/>
      <c r="S2020" s="2948"/>
      <c r="T2020" s="2948"/>
      <c r="U2020" s="2948"/>
      <c r="V2020" s="2948"/>
      <c r="W2020" s="2944">
        <f t="shared" si="15"/>
        <v>0</v>
      </c>
    </row>
    <row r="2021" spans="1:23" s="2944" customFormat="1" ht="93.6">
      <c r="A2021" s="2948">
        <v>2020</v>
      </c>
      <c r="B2021" s="2948" t="s">
        <v>635</v>
      </c>
      <c r="C2021" s="2948" t="s">
        <v>636</v>
      </c>
      <c r="D2021" s="2948" t="s">
        <v>2286</v>
      </c>
      <c r="E2021" s="2948" t="s">
        <v>1460</v>
      </c>
      <c r="F2021" s="2948" t="s">
        <v>653</v>
      </c>
      <c r="G2021" s="2948" t="s">
        <v>640</v>
      </c>
      <c r="H2021" s="2948" t="s">
        <v>2454</v>
      </c>
      <c r="I2021" s="2948" t="s">
        <v>2248</v>
      </c>
      <c r="J2021" s="2948" t="s">
        <v>643</v>
      </c>
      <c r="K2021" s="2950">
        <v>18.809999999999999</v>
      </c>
      <c r="L2021" s="2950">
        <v>10.34</v>
      </c>
      <c r="M2021" s="2951">
        <v>564300</v>
      </c>
      <c r="N2021" s="2951">
        <v>564300</v>
      </c>
      <c r="O2021" s="2952">
        <v>564300</v>
      </c>
      <c r="P2021" s="2953">
        <v>564300</v>
      </c>
      <c r="Q2021" s="2951">
        <v>564300</v>
      </c>
      <c r="R2021" s="2954">
        <v>44551</v>
      </c>
      <c r="S2021" s="2954">
        <v>44561</v>
      </c>
      <c r="T2021" s="2954">
        <v>44798</v>
      </c>
      <c r="U2021" s="2954">
        <v>44785</v>
      </c>
      <c r="V2021" s="2948" t="s">
        <v>1471</v>
      </c>
      <c r="W2021" s="2944">
        <f t="shared" si="15"/>
        <v>30000</v>
      </c>
    </row>
    <row r="2022" spans="1:23" s="2944" customFormat="1" ht="93.6" hidden="1">
      <c r="A2022" s="2948">
        <v>2021</v>
      </c>
      <c r="B2022" s="2948" t="s">
        <v>635</v>
      </c>
      <c r="C2022" s="2948" t="s">
        <v>636</v>
      </c>
      <c r="D2022" s="2948" t="s">
        <v>2286</v>
      </c>
      <c r="E2022" s="2948" t="s">
        <v>1460</v>
      </c>
      <c r="F2022" s="2948" t="s">
        <v>2257</v>
      </c>
      <c r="G2022" s="2948" t="s">
        <v>1035</v>
      </c>
      <c r="H2022" s="2948" t="s">
        <v>2455</v>
      </c>
      <c r="I2022" s="2948" t="s">
        <v>2248</v>
      </c>
      <c r="J2022" s="2948" t="s">
        <v>643</v>
      </c>
      <c r="K2022" s="2950">
        <v>34.659999999999997</v>
      </c>
      <c r="L2022" s="2950">
        <v>19.05</v>
      </c>
      <c r="M2022" s="2951">
        <v>1039800</v>
      </c>
      <c r="N2022" s="2951">
        <v>1039800</v>
      </c>
      <c r="O2022" s="2955"/>
      <c r="P2022" s="2948"/>
      <c r="Q2022" s="2951">
        <v>0</v>
      </c>
      <c r="R2022" s="2948"/>
      <c r="S2022" s="2948"/>
      <c r="T2022" s="2948"/>
      <c r="U2022" s="2948"/>
      <c r="V2022" s="2948"/>
      <c r="W2022" s="2944">
        <f t="shared" si="15"/>
        <v>0</v>
      </c>
    </row>
    <row r="2023" spans="1:23" s="2944" customFormat="1" ht="93.6">
      <c r="A2023" s="2948">
        <v>2022</v>
      </c>
      <c r="B2023" s="2948" t="s">
        <v>635</v>
      </c>
      <c r="C2023" s="2948" t="s">
        <v>636</v>
      </c>
      <c r="D2023" s="2948" t="s">
        <v>2286</v>
      </c>
      <c r="E2023" s="2948" t="s">
        <v>1460</v>
      </c>
      <c r="F2023" s="2948" t="s">
        <v>2259</v>
      </c>
      <c r="G2023" s="2948" t="s">
        <v>640</v>
      </c>
      <c r="H2023" s="2948" t="s">
        <v>2456</v>
      </c>
      <c r="I2023" s="2948" t="s">
        <v>2248</v>
      </c>
      <c r="J2023" s="2948" t="s">
        <v>643</v>
      </c>
      <c r="K2023" s="2950">
        <v>16.47</v>
      </c>
      <c r="L2023" s="2950">
        <v>9.0500000000000007</v>
      </c>
      <c r="M2023" s="2951">
        <v>494100</v>
      </c>
      <c r="N2023" s="2951">
        <v>494100</v>
      </c>
      <c r="O2023" s="2952">
        <v>494100</v>
      </c>
      <c r="P2023" s="2953">
        <v>494100</v>
      </c>
      <c r="Q2023" s="2951">
        <v>494100</v>
      </c>
      <c r="R2023" s="2954">
        <v>45209</v>
      </c>
      <c r="S2023" s="2954">
        <v>45212</v>
      </c>
      <c r="T2023" s="2954">
        <v>45212</v>
      </c>
      <c r="U2023" s="2954">
        <v>45212</v>
      </c>
      <c r="V2023" s="2948" t="s">
        <v>1801</v>
      </c>
      <c r="W2023" s="2944">
        <f t="shared" si="15"/>
        <v>30000</v>
      </c>
    </row>
    <row r="2024" spans="1:23" s="2944" customFormat="1" ht="93.6" hidden="1">
      <c r="A2024" s="2948">
        <v>2023</v>
      </c>
      <c r="B2024" s="2948" t="s">
        <v>635</v>
      </c>
      <c r="C2024" s="2948" t="s">
        <v>636</v>
      </c>
      <c r="D2024" s="2948" t="s">
        <v>2286</v>
      </c>
      <c r="E2024" s="2948" t="s">
        <v>1460</v>
      </c>
      <c r="F2024" s="2948" t="s">
        <v>2258</v>
      </c>
      <c r="G2024" s="2948" t="s">
        <v>1035</v>
      </c>
      <c r="H2024" s="2948" t="s">
        <v>2457</v>
      </c>
      <c r="I2024" s="2948" t="s">
        <v>2248</v>
      </c>
      <c r="J2024" s="2948" t="s">
        <v>643</v>
      </c>
      <c r="K2024" s="2950">
        <v>25.4</v>
      </c>
      <c r="L2024" s="2950">
        <v>13.96</v>
      </c>
      <c r="M2024" s="2951">
        <v>762000</v>
      </c>
      <c r="N2024" s="2951">
        <v>762000</v>
      </c>
      <c r="O2024" s="2955"/>
      <c r="P2024" s="2948"/>
      <c r="Q2024" s="2951">
        <v>0</v>
      </c>
      <c r="R2024" s="2948"/>
      <c r="S2024" s="2948"/>
      <c r="T2024" s="2948"/>
      <c r="U2024" s="2948"/>
      <c r="V2024" s="2948"/>
      <c r="W2024" s="2944">
        <f t="shared" si="15"/>
        <v>0</v>
      </c>
    </row>
    <row r="2025" spans="1:23" s="2944" customFormat="1" ht="93.6" hidden="1">
      <c r="A2025" s="2948">
        <v>2024</v>
      </c>
      <c r="B2025" s="2948" t="s">
        <v>635</v>
      </c>
      <c r="C2025" s="2948" t="s">
        <v>636</v>
      </c>
      <c r="D2025" s="2948" t="s">
        <v>2286</v>
      </c>
      <c r="E2025" s="2948" t="s">
        <v>1460</v>
      </c>
      <c r="F2025" s="2948" t="s">
        <v>2261</v>
      </c>
      <c r="G2025" s="2948" t="s">
        <v>1035</v>
      </c>
      <c r="H2025" s="2948" t="s">
        <v>2457</v>
      </c>
      <c r="I2025" s="2948" t="s">
        <v>2248</v>
      </c>
      <c r="J2025" s="2948" t="s">
        <v>643</v>
      </c>
      <c r="K2025" s="2950">
        <v>25.4</v>
      </c>
      <c r="L2025" s="2950">
        <v>13.96</v>
      </c>
      <c r="M2025" s="2951">
        <v>762000</v>
      </c>
      <c r="N2025" s="2951">
        <v>762000</v>
      </c>
      <c r="O2025" s="2955"/>
      <c r="P2025" s="2948"/>
      <c r="Q2025" s="2951">
        <v>0</v>
      </c>
      <c r="R2025" s="2948"/>
      <c r="S2025" s="2948"/>
      <c r="T2025" s="2948"/>
      <c r="U2025" s="2948"/>
      <c r="V2025" s="2948"/>
      <c r="W2025" s="2944">
        <f t="shared" si="15"/>
        <v>0</v>
      </c>
    </row>
    <row r="2026" spans="1:23" s="2944" customFormat="1" ht="93.6">
      <c r="A2026" s="2948">
        <v>2025</v>
      </c>
      <c r="B2026" s="2948" t="s">
        <v>635</v>
      </c>
      <c r="C2026" s="2948" t="s">
        <v>636</v>
      </c>
      <c r="D2026" s="2948" t="s">
        <v>2286</v>
      </c>
      <c r="E2026" s="2948" t="s">
        <v>1460</v>
      </c>
      <c r="F2026" s="2948" t="s">
        <v>2284</v>
      </c>
      <c r="G2026" s="2948" t="s">
        <v>640</v>
      </c>
      <c r="H2026" s="2948" t="s">
        <v>2453</v>
      </c>
      <c r="I2026" s="2948" t="s">
        <v>2248</v>
      </c>
      <c r="J2026" s="2948" t="s">
        <v>643</v>
      </c>
      <c r="K2026" s="2950">
        <v>18.29</v>
      </c>
      <c r="L2026" s="2950">
        <v>10.050000000000001</v>
      </c>
      <c r="M2026" s="2951">
        <v>548700</v>
      </c>
      <c r="N2026" s="2951">
        <v>548700</v>
      </c>
      <c r="O2026" s="2952">
        <v>548700</v>
      </c>
      <c r="P2026" s="2953">
        <v>548700</v>
      </c>
      <c r="Q2026" s="2951">
        <v>300000</v>
      </c>
      <c r="R2026" s="2954">
        <v>45279</v>
      </c>
      <c r="S2026" s="2954">
        <v>45279</v>
      </c>
      <c r="T2026" s="2948"/>
      <c r="U2026" s="2948"/>
      <c r="V2026" s="2948" t="s">
        <v>1861</v>
      </c>
      <c r="W2026" s="2944">
        <f t="shared" si="15"/>
        <v>30000</v>
      </c>
    </row>
    <row r="2027" spans="1:23" s="2944" customFormat="1" ht="93.6" hidden="1">
      <c r="A2027" s="2948">
        <v>2026</v>
      </c>
      <c r="B2027" s="2948" t="s">
        <v>635</v>
      </c>
      <c r="C2027" s="2948" t="s">
        <v>636</v>
      </c>
      <c r="D2027" s="2948" t="s">
        <v>2286</v>
      </c>
      <c r="E2027" s="2948" t="s">
        <v>1460</v>
      </c>
      <c r="F2027" s="2948" t="s">
        <v>2283</v>
      </c>
      <c r="G2027" s="2948" t="s">
        <v>1035</v>
      </c>
      <c r="H2027" s="2948" t="s">
        <v>2458</v>
      </c>
      <c r="I2027" s="2948" t="s">
        <v>2248</v>
      </c>
      <c r="J2027" s="2948" t="s">
        <v>643</v>
      </c>
      <c r="K2027" s="2950">
        <v>25.11</v>
      </c>
      <c r="L2027" s="2950">
        <v>13.8</v>
      </c>
      <c r="M2027" s="2951">
        <v>753300</v>
      </c>
      <c r="N2027" s="2951">
        <v>753300</v>
      </c>
      <c r="O2027" s="2955"/>
      <c r="P2027" s="2948"/>
      <c r="Q2027" s="2951">
        <v>0</v>
      </c>
      <c r="R2027" s="2948"/>
      <c r="S2027" s="2948"/>
      <c r="T2027" s="2948"/>
      <c r="U2027" s="2948"/>
      <c r="V2027" s="2948"/>
      <c r="W2027" s="2944">
        <f t="shared" si="15"/>
        <v>0</v>
      </c>
    </row>
    <row r="2028" spans="1:23" s="2944" customFormat="1" ht="93.6" hidden="1">
      <c r="A2028" s="2948">
        <v>2027</v>
      </c>
      <c r="B2028" s="2948" t="s">
        <v>635</v>
      </c>
      <c r="C2028" s="2948" t="s">
        <v>636</v>
      </c>
      <c r="D2028" s="2948" t="s">
        <v>2286</v>
      </c>
      <c r="E2028" s="2948" t="s">
        <v>1460</v>
      </c>
      <c r="F2028" s="2948" t="s">
        <v>2282</v>
      </c>
      <c r="G2028" s="2948" t="s">
        <v>1035</v>
      </c>
      <c r="H2028" s="2948" t="s">
        <v>2459</v>
      </c>
      <c r="I2028" s="2948" t="s">
        <v>2248</v>
      </c>
      <c r="J2028" s="2948" t="s">
        <v>643</v>
      </c>
      <c r="K2028" s="2950">
        <v>18.829999999999998</v>
      </c>
      <c r="L2028" s="2950">
        <v>10.35</v>
      </c>
      <c r="M2028" s="2951">
        <v>564900</v>
      </c>
      <c r="N2028" s="2951">
        <v>564900</v>
      </c>
      <c r="O2028" s="2955"/>
      <c r="P2028" s="2948"/>
      <c r="Q2028" s="2951">
        <v>0</v>
      </c>
      <c r="R2028" s="2948"/>
      <c r="S2028" s="2948"/>
      <c r="T2028" s="2948"/>
      <c r="U2028" s="2948"/>
      <c r="V2028" s="2948"/>
      <c r="W2028" s="2944">
        <f t="shared" si="15"/>
        <v>0</v>
      </c>
    </row>
    <row r="2029" spans="1:23" s="2944" customFormat="1" ht="93.6">
      <c r="A2029" s="2948">
        <v>2028</v>
      </c>
      <c r="B2029" s="2948" t="s">
        <v>635</v>
      </c>
      <c r="C2029" s="2948" t="s">
        <v>636</v>
      </c>
      <c r="D2029" s="2948" t="s">
        <v>2286</v>
      </c>
      <c r="E2029" s="2948" t="s">
        <v>1461</v>
      </c>
      <c r="F2029" s="2948" t="s">
        <v>645</v>
      </c>
      <c r="G2029" s="2948" t="s">
        <v>640</v>
      </c>
      <c r="H2029" s="2948" t="s">
        <v>2460</v>
      </c>
      <c r="I2029" s="2948" t="s">
        <v>2248</v>
      </c>
      <c r="J2029" s="2948" t="s">
        <v>643</v>
      </c>
      <c r="K2029" s="2950">
        <v>24.09</v>
      </c>
      <c r="L2029" s="2950">
        <v>8.56</v>
      </c>
      <c r="M2029" s="2951">
        <v>722700</v>
      </c>
      <c r="N2029" s="2951">
        <v>722700</v>
      </c>
      <c r="O2029" s="2952">
        <v>722700</v>
      </c>
      <c r="P2029" s="2953">
        <v>722700</v>
      </c>
      <c r="Q2029" s="2951">
        <v>722700</v>
      </c>
      <c r="R2029" s="2954">
        <v>45197</v>
      </c>
      <c r="S2029" s="2954">
        <v>45197</v>
      </c>
      <c r="T2029" s="2954">
        <v>45210</v>
      </c>
      <c r="U2029" s="2954">
        <v>45210</v>
      </c>
      <c r="V2029" s="2948" t="s">
        <v>1738</v>
      </c>
      <c r="W2029" s="2944">
        <f t="shared" si="15"/>
        <v>30000</v>
      </c>
    </row>
    <row r="2030" spans="1:23" s="2944" customFormat="1" ht="93.6" hidden="1">
      <c r="A2030" s="2948">
        <v>2029</v>
      </c>
      <c r="B2030" s="2948" t="s">
        <v>635</v>
      </c>
      <c r="C2030" s="2948" t="s">
        <v>636</v>
      </c>
      <c r="D2030" s="2948" t="s">
        <v>2286</v>
      </c>
      <c r="E2030" s="2948" t="s">
        <v>1461</v>
      </c>
      <c r="F2030" s="2948" t="s">
        <v>1458</v>
      </c>
      <c r="G2030" s="2948" t="s">
        <v>1035</v>
      </c>
      <c r="H2030" s="2948" t="s">
        <v>2461</v>
      </c>
      <c r="I2030" s="2948" t="s">
        <v>2248</v>
      </c>
      <c r="J2030" s="2948" t="s">
        <v>643</v>
      </c>
      <c r="K2030" s="2950">
        <v>31.47</v>
      </c>
      <c r="L2030" s="2950">
        <v>11.18</v>
      </c>
      <c r="M2030" s="2951">
        <v>944100</v>
      </c>
      <c r="N2030" s="2951">
        <v>944100</v>
      </c>
      <c r="O2030" s="2955"/>
      <c r="P2030" s="2948"/>
      <c r="Q2030" s="2951">
        <v>0</v>
      </c>
      <c r="R2030" s="2948"/>
      <c r="S2030" s="2948"/>
      <c r="T2030" s="2948"/>
      <c r="U2030" s="2948"/>
      <c r="V2030" s="2948"/>
      <c r="W2030" s="2944">
        <f t="shared" si="15"/>
        <v>0</v>
      </c>
    </row>
    <row r="2031" spans="1:23" s="2944" customFormat="1" ht="93.6" hidden="1">
      <c r="A2031" s="2948">
        <v>2030</v>
      </c>
      <c r="B2031" s="2948" t="s">
        <v>635</v>
      </c>
      <c r="C2031" s="2948" t="s">
        <v>636</v>
      </c>
      <c r="D2031" s="2948" t="s">
        <v>2286</v>
      </c>
      <c r="E2031" s="2948" t="s">
        <v>1461</v>
      </c>
      <c r="F2031" s="2948" t="s">
        <v>1457</v>
      </c>
      <c r="G2031" s="2948" t="s">
        <v>1035</v>
      </c>
      <c r="H2031" s="2948" t="s">
        <v>2462</v>
      </c>
      <c r="I2031" s="2948" t="s">
        <v>2248</v>
      </c>
      <c r="J2031" s="2948" t="s">
        <v>643</v>
      </c>
      <c r="K2031" s="2950">
        <v>29.27</v>
      </c>
      <c r="L2031" s="2950">
        <v>10.4</v>
      </c>
      <c r="M2031" s="2951">
        <v>878100</v>
      </c>
      <c r="N2031" s="2951">
        <v>878100</v>
      </c>
      <c r="O2031" s="2955"/>
      <c r="P2031" s="2948"/>
      <c r="Q2031" s="2951">
        <v>0</v>
      </c>
      <c r="R2031" s="2948"/>
      <c r="S2031" s="2948"/>
      <c r="T2031" s="2948"/>
      <c r="U2031" s="2948"/>
      <c r="V2031" s="2948"/>
      <c r="W2031" s="2944">
        <f t="shared" si="15"/>
        <v>0</v>
      </c>
    </row>
    <row r="2032" spans="1:23" s="2944" customFormat="1" ht="93.6" hidden="1">
      <c r="A2032" s="2948">
        <v>2031</v>
      </c>
      <c r="B2032" s="2948" t="s">
        <v>635</v>
      </c>
      <c r="C2032" s="2948" t="s">
        <v>636</v>
      </c>
      <c r="D2032" s="2948" t="s">
        <v>2286</v>
      </c>
      <c r="E2032" s="2948" t="s">
        <v>1461</v>
      </c>
      <c r="F2032" s="2948" t="s">
        <v>2250</v>
      </c>
      <c r="G2032" s="2948" t="s">
        <v>1035</v>
      </c>
      <c r="H2032" s="2948" t="s">
        <v>1453</v>
      </c>
      <c r="I2032" s="2948" t="s">
        <v>2248</v>
      </c>
      <c r="J2032" s="2948" t="s">
        <v>643</v>
      </c>
      <c r="K2032" s="2950">
        <v>30.88</v>
      </c>
      <c r="L2032" s="2950">
        <v>10.97</v>
      </c>
      <c r="M2032" s="2951">
        <v>926400</v>
      </c>
      <c r="N2032" s="2951">
        <v>926400</v>
      </c>
      <c r="O2032" s="2955"/>
      <c r="P2032" s="2948"/>
      <c r="Q2032" s="2951">
        <v>0</v>
      </c>
      <c r="R2032" s="2948"/>
      <c r="S2032" s="2948"/>
      <c r="T2032" s="2948"/>
      <c r="U2032" s="2948"/>
      <c r="V2032" s="2948"/>
      <c r="W2032" s="2944">
        <f t="shared" si="15"/>
        <v>0</v>
      </c>
    </row>
    <row r="2033" spans="1:23" s="2944" customFormat="1" ht="93.6" hidden="1">
      <c r="A2033" s="2948">
        <v>2032</v>
      </c>
      <c r="B2033" s="2948" t="s">
        <v>635</v>
      </c>
      <c r="C2033" s="2948" t="s">
        <v>636</v>
      </c>
      <c r="D2033" s="2948" t="s">
        <v>2286</v>
      </c>
      <c r="E2033" s="2948" t="s">
        <v>1461</v>
      </c>
      <c r="F2033" s="2948" t="s">
        <v>651</v>
      </c>
      <c r="G2033" s="2948" t="s">
        <v>1035</v>
      </c>
      <c r="H2033" s="2948" t="s">
        <v>2463</v>
      </c>
      <c r="I2033" s="2948" t="s">
        <v>2248</v>
      </c>
      <c r="J2033" s="2948" t="s">
        <v>643</v>
      </c>
      <c r="K2033" s="2950">
        <v>10.050000000000001</v>
      </c>
      <c r="L2033" s="2950">
        <v>3.57</v>
      </c>
      <c r="M2033" s="2951">
        <v>301500</v>
      </c>
      <c r="N2033" s="2951">
        <v>301500</v>
      </c>
      <c r="O2033" s="2955"/>
      <c r="P2033" s="2948"/>
      <c r="Q2033" s="2951">
        <v>0</v>
      </c>
      <c r="R2033" s="2948"/>
      <c r="S2033" s="2948"/>
      <c r="T2033" s="2948"/>
      <c r="U2033" s="2948"/>
      <c r="V2033" s="2948"/>
      <c r="W2033" s="2944">
        <f t="shared" si="15"/>
        <v>0</v>
      </c>
    </row>
    <row r="2034" spans="1:23" s="2944" customFormat="1" ht="93.6" hidden="1">
      <c r="A2034" s="2948">
        <v>2033</v>
      </c>
      <c r="B2034" s="2948" t="s">
        <v>635</v>
      </c>
      <c r="C2034" s="2948" t="s">
        <v>636</v>
      </c>
      <c r="D2034" s="2948" t="s">
        <v>2286</v>
      </c>
      <c r="E2034" s="2948" t="s">
        <v>1461</v>
      </c>
      <c r="F2034" s="2948" t="s">
        <v>648</v>
      </c>
      <c r="G2034" s="2948" t="s">
        <v>1035</v>
      </c>
      <c r="H2034" s="2948" t="s">
        <v>2464</v>
      </c>
      <c r="I2034" s="2948" t="s">
        <v>2248</v>
      </c>
      <c r="J2034" s="2948" t="s">
        <v>643</v>
      </c>
      <c r="K2034" s="2950">
        <v>39.380000000000003</v>
      </c>
      <c r="L2034" s="2950">
        <v>13.99</v>
      </c>
      <c r="M2034" s="2951">
        <v>1181400</v>
      </c>
      <c r="N2034" s="2951">
        <v>1181400</v>
      </c>
      <c r="O2034" s="2955"/>
      <c r="P2034" s="2948"/>
      <c r="Q2034" s="2951">
        <v>0</v>
      </c>
      <c r="R2034" s="2948"/>
      <c r="S2034" s="2948"/>
      <c r="T2034" s="2948"/>
      <c r="U2034" s="2948"/>
      <c r="V2034" s="2948"/>
      <c r="W2034" s="2944">
        <f t="shared" ref="W2034:W2043" si="16">O2034/K2034</f>
        <v>0</v>
      </c>
    </row>
    <row r="2035" spans="1:23" s="2944" customFormat="1" ht="93.6" hidden="1">
      <c r="A2035" s="2948">
        <v>2034</v>
      </c>
      <c r="B2035" s="2948" t="s">
        <v>635</v>
      </c>
      <c r="C2035" s="2948" t="s">
        <v>636</v>
      </c>
      <c r="D2035" s="2948" t="s">
        <v>2286</v>
      </c>
      <c r="E2035" s="2948" t="s">
        <v>1461</v>
      </c>
      <c r="F2035" s="2948" t="s">
        <v>2256</v>
      </c>
      <c r="G2035" s="2948" t="s">
        <v>1035</v>
      </c>
      <c r="H2035" s="2948" t="s">
        <v>2465</v>
      </c>
      <c r="I2035" s="2948" t="s">
        <v>2248</v>
      </c>
      <c r="J2035" s="2948" t="s">
        <v>643</v>
      </c>
      <c r="K2035" s="2950">
        <v>25.7</v>
      </c>
      <c r="L2035" s="2950">
        <v>9.1300000000000008</v>
      </c>
      <c r="M2035" s="2951">
        <v>771000</v>
      </c>
      <c r="N2035" s="2951">
        <v>771000</v>
      </c>
      <c r="O2035" s="2955"/>
      <c r="P2035" s="2948"/>
      <c r="Q2035" s="2951">
        <v>0</v>
      </c>
      <c r="R2035" s="2948"/>
      <c r="S2035" s="2948"/>
      <c r="T2035" s="2948"/>
      <c r="U2035" s="2948"/>
      <c r="V2035" s="2948"/>
      <c r="W2035" s="2944">
        <f t="shared" si="16"/>
        <v>0</v>
      </c>
    </row>
    <row r="2036" spans="1:23" s="2944" customFormat="1" ht="93.6" hidden="1">
      <c r="A2036" s="2948">
        <v>2035</v>
      </c>
      <c r="B2036" s="2948" t="s">
        <v>635</v>
      </c>
      <c r="C2036" s="2948" t="s">
        <v>636</v>
      </c>
      <c r="D2036" s="2948" t="s">
        <v>2286</v>
      </c>
      <c r="E2036" s="2948" t="s">
        <v>1461</v>
      </c>
      <c r="F2036" s="2948" t="s">
        <v>2255</v>
      </c>
      <c r="G2036" s="2948" t="s">
        <v>1035</v>
      </c>
      <c r="H2036" s="2948" t="s">
        <v>2466</v>
      </c>
      <c r="I2036" s="2948" t="s">
        <v>2248</v>
      </c>
      <c r="J2036" s="2948" t="s">
        <v>643</v>
      </c>
      <c r="K2036" s="2950">
        <v>25.92</v>
      </c>
      <c r="L2036" s="2950">
        <v>9.2100000000000009</v>
      </c>
      <c r="M2036" s="2951">
        <v>777600</v>
      </c>
      <c r="N2036" s="2951">
        <v>777600</v>
      </c>
      <c r="O2036" s="2955"/>
      <c r="P2036" s="2948"/>
      <c r="Q2036" s="2951">
        <v>0</v>
      </c>
      <c r="R2036" s="2948"/>
      <c r="S2036" s="2948"/>
      <c r="T2036" s="2948"/>
      <c r="U2036" s="2948"/>
      <c r="V2036" s="2948"/>
      <c r="W2036" s="2944">
        <f t="shared" si="16"/>
        <v>0</v>
      </c>
    </row>
    <row r="2037" spans="1:23" s="2944" customFormat="1" ht="93.6" hidden="1">
      <c r="A2037" s="2948">
        <v>2036</v>
      </c>
      <c r="B2037" s="2948" t="s">
        <v>635</v>
      </c>
      <c r="C2037" s="2948" t="s">
        <v>636</v>
      </c>
      <c r="D2037" s="2948" t="s">
        <v>2286</v>
      </c>
      <c r="E2037" s="2948" t="s">
        <v>1461</v>
      </c>
      <c r="F2037" s="2948" t="s">
        <v>2254</v>
      </c>
      <c r="G2037" s="2948" t="s">
        <v>1035</v>
      </c>
      <c r="H2037" s="2948" t="s">
        <v>2467</v>
      </c>
      <c r="I2037" s="2948" t="s">
        <v>2248</v>
      </c>
      <c r="J2037" s="2948" t="s">
        <v>643</v>
      </c>
      <c r="K2037" s="2950">
        <v>33.69</v>
      </c>
      <c r="L2037" s="2950">
        <v>11.97</v>
      </c>
      <c r="M2037" s="2951">
        <v>1010700</v>
      </c>
      <c r="N2037" s="2951">
        <v>1010700</v>
      </c>
      <c r="O2037" s="2955"/>
      <c r="P2037" s="2948"/>
      <c r="Q2037" s="2951">
        <v>0</v>
      </c>
      <c r="R2037" s="2948"/>
      <c r="S2037" s="2948"/>
      <c r="T2037" s="2948"/>
      <c r="U2037" s="2948"/>
      <c r="V2037" s="2948"/>
      <c r="W2037" s="2944">
        <f t="shared" si="16"/>
        <v>0</v>
      </c>
    </row>
    <row r="2038" spans="1:23" s="2944" customFormat="1" ht="93.6" hidden="1">
      <c r="A2038" s="2948">
        <v>2037</v>
      </c>
      <c r="B2038" s="2948" t="s">
        <v>635</v>
      </c>
      <c r="C2038" s="2948" t="s">
        <v>636</v>
      </c>
      <c r="D2038" s="2948" t="s">
        <v>2286</v>
      </c>
      <c r="E2038" s="2948" t="s">
        <v>1461</v>
      </c>
      <c r="F2038" s="2948" t="s">
        <v>2253</v>
      </c>
      <c r="G2038" s="2948" t="s">
        <v>1035</v>
      </c>
      <c r="H2038" s="2948" t="s">
        <v>2468</v>
      </c>
      <c r="I2038" s="2948" t="s">
        <v>2248</v>
      </c>
      <c r="J2038" s="2948" t="s">
        <v>643</v>
      </c>
      <c r="K2038" s="2950">
        <v>62.17</v>
      </c>
      <c r="L2038" s="2950">
        <v>22.09</v>
      </c>
      <c r="M2038" s="2951">
        <v>1865100</v>
      </c>
      <c r="N2038" s="2951">
        <v>1865100</v>
      </c>
      <c r="O2038" s="2955"/>
      <c r="P2038" s="2948"/>
      <c r="Q2038" s="2951">
        <v>0</v>
      </c>
      <c r="R2038" s="2948"/>
      <c r="S2038" s="2948"/>
      <c r="T2038" s="2948"/>
      <c r="U2038" s="2948"/>
      <c r="V2038" s="2948"/>
      <c r="W2038" s="2944">
        <f t="shared" si="16"/>
        <v>0</v>
      </c>
    </row>
    <row r="2039" spans="1:23" s="2944" customFormat="1" ht="93.6">
      <c r="A2039" s="2948">
        <v>2038</v>
      </c>
      <c r="B2039" s="2948" t="s">
        <v>635</v>
      </c>
      <c r="C2039" s="2948" t="s">
        <v>636</v>
      </c>
      <c r="D2039" s="2948" t="s">
        <v>2286</v>
      </c>
      <c r="E2039" s="2948" t="s">
        <v>1461</v>
      </c>
      <c r="F2039" s="2948" t="s">
        <v>2252</v>
      </c>
      <c r="G2039" s="2948" t="s">
        <v>640</v>
      </c>
      <c r="H2039" s="2948" t="s">
        <v>2469</v>
      </c>
      <c r="I2039" s="2948" t="s">
        <v>2248</v>
      </c>
      <c r="J2039" s="2948" t="s">
        <v>643</v>
      </c>
      <c r="K2039" s="2950">
        <v>15.71</v>
      </c>
      <c r="L2039" s="2950">
        <v>5.58</v>
      </c>
      <c r="M2039" s="2951">
        <v>471300</v>
      </c>
      <c r="N2039" s="2951">
        <v>471300</v>
      </c>
      <c r="O2039" s="2952">
        <v>471300</v>
      </c>
      <c r="P2039" s="2953">
        <v>471300</v>
      </c>
      <c r="Q2039" s="2951">
        <v>471300</v>
      </c>
      <c r="R2039" s="2954">
        <v>45194</v>
      </c>
      <c r="S2039" s="2954">
        <v>45194</v>
      </c>
      <c r="T2039" s="2954">
        <v>45194</v>
      </c>
      <c r="U2039" s="2954">
        <v>45194</v>
      </c>
      <c r="V2039" s="2948" t="s">
        <v>1743</v>
      </c>
      <c r="W2039" s="2944">
        <f t="shared" si="16"/>
        <v>30000</v>
      </c>
    </row>
    <row r="2040" spans="1:23" s="2944" customFormat="1" ht="93.6" hidden="1">
      <c r="A2040" s="2948">
        <v>2039</v>
      </c>
      <c r="B2040" s="2948" t="s">
        <v>635</v>
      </c>
      <c r="C2040" s="2948" t="s">
        <v>636</v>
      </c>
      <c r="D2040" s="2948" t="s">
        <v>2286</v>
      </c>
      <c r="E2040" s="2948" t="s">
        <v>1461</v>
      </c>
      <c r="F2040" s="2948" t="s">
        <v>655</v>
      </c>
      <c r="G2040" s="2948" t="s">
        <v>1035</v>
      </c>
      <c r="H2040" s="2948" t="s">
        <v>2470</v>
      </c>
      <c r="I2040" s="2948" t="s">
        <v>2248</v>
      </c>
      <c r="J2040" s="2948" t="s">
        <v>643</v>
      </c>
      <c r="K2040" s="2950">
        <v>25.92</v>
      </c>
      <c r="L2040" s="2950">
        <v>9.2100000000000009</v>
      </c>
      <c r="M2040" s="2951">
        <v>777600</v>
      </c>
      <c r="N2040" s="2951">
        <v>777600</v>
      </c>
      <c r="O2040" s="2955"/>
      <c r="P2040" s="2948"/>
      <c r="Q2040" s="2951">
        <v>0</v>
      </c>
      <c r="R2040" s="2948"/>
      <c r="S2040" s="2948"/>
      <c r="T2040" s="2948"/>
      <c r="U2040" s="2948"/>
      <c r="V2040" s="2948"/>
      <c r="W2040" s="2944">
        <f t="shared" si="16"/>
        <v>0</v>
      </c>
    </row>
    <row r="2041" spans="1:23" s="2944" customFormat="1" ht="93.6" hidden="1">
      <c r="A2041" s="2948">
        <v>2040</v>
      </c>
      <c r="B2041" s="2948" t="s">
        <v>635</v>
      </c>
      <c r="C2041" s="2948" t="s">
        <v>636</v>
      </c>
      <c r="D2041" s="2948" t="s">
        <v>2286</v>
      </c>
      <c r="E2041" s="2948" t="s">
        <v>1461</v>
      </c>
      <c r="F2041" s="2948" t="s">
        <v>653</v>
      </c>
      <c r="G2041" s="2948" t="s">
        <v>1035</v>
      </c>
      <c r="H2041" s="2948" t="s">
        <v>2471</v>
      </c>
      <c r="I2041" s="2948" t="s">
        <v>2248</v>
      </c>
      <c r="J2041" s="2948" t="s">
        <v>643</v>
      </c>
      <c r="K2041" s="2950">
        <v>33.69</v>
      </c>
      <c r="L2041" s="2950">
        <v>11.97</v>
      </c>
      <c r="M2041" s="2951">
        <v>1010700</v>
      </c>
      <c r="N2041" s="2951">
        <v>1010700</v>
      </c>
      <c r="O2041" s="2955"/>
      <c r="P2041" s="2948"/>
      <c r="Q2041" s="2951">
        <v>0</v>
      </c>
      <c r="R2041" s="2948"/>
      <c r="S2041" s="2948"/>
      <c r="T2041" s="2948"/>
      <c r="U2041" s="2948"/>
      <c r="V2041" s="2948"/>
      <c r="W2041" s="2944">
        <f t="shared" si="16"/>
        <v>0</v>
      </c>
    </row>
    <row r="2042" spans="1:23" s="2944" customFormat="1" ht="93.6" hidden="1">
      <c r="A2042" s="2948">
        <v>2041</v>
      </c>
      <c r="B2042" s="2948" t="s">
        <v>635</v>
      </c>
      <c r="C2042" s="2948" t="s">
        <v>636</v>
      </c>
      <c r="D2042" s="2948" t="s">
        <v>2286</v>
      </c>
      <c r="E2042" s="2948" t="s">
        <v>1461</v>
      </c>
      <c r="F2042" s="2948" t="s">
        <v>2257</v>
      </c>
      <c r="G2042" s="2948" t="s">
        <v>1035</v>
      </c>
      <c r="H2042" s="2948" t="s">
        <v>2472</v>
      </c>
      <c r="I2042" s="2948" t="s">
        <v>2248</v>
      </c>
      <c r="J2042" s="2948" t="s">
        <v>643</v>
      </c>
      <c r="K2042" s="2950">
        <v>24.99</v>
      </c>
      <c r="L2042" s="2950">
        <v>8.8800000000000008</v>
      </c>
      <c r="M2042" s="2951">
        <v>749700</v>
      </c>
      <c r="N2042" s="2951">
        <v>749700</v>
      </c>
      <c r="O2042" s="2955"/>
      <c r="P2042" s="2948"/>
      <c r="Q2042" s="2951">
        <v>0</v>
      </c>
      <c r="R2042" s="2948"/>
      <c r="S2042" s="2948"/>
      <c r="T2042" s="2948"/>
      <c r="U2042" s="2948"/>
      <c r="V2042" s="2948"/>
      <c r="W2042" s="2944">
        <f t="shared" si="16"/>
        <v>0</v>
      </c>
    </row>
    <row r="2043" spans="1:23" s="2944" customFormat="1" ht="93.6" hidden="1">
      <c r="A2043" s="2948">
        <v>2042</v>
      </c>
      <c r="B2043" s="2948" t="s">
        <v>635</v>
      </c>
      <c r="C2043" s="2948" t="s">
        <v>636</v>
      </c>
      <c r="D2043" s="2948" t="s">
        <v>2286</v>
      </c>
      <c r="E2043" s="2948" t="s">
        <v>1461</v>
      </c>
      <c r="F2043" s="2948" t="s">
        <v>2259</v>
      </c>
      <c r="G2043" s="2948" t="s">
        <v>1035</v>
      </c>
      <c r="H2043" s="2948" t="s">
        <v>2473</v>
      </c>
      <c r="I2043" s="2948" t="s">
        <v>2248</v>
      </c>
      <c r="J2043" s="2948" t="s">
        <v>643</v>
      </c>
      <c r="K2043" s="2950">
        <v>17.649999999999999</v>
      </c>
      <c r="L2043" s="2950">
        <v>6.27</v>
      </c>
      <c r="M2043" s="2951">
        <v>529500</v>
      </c>
      <c r="N2043" s="2951">
        <v>529500</v>
      </c>
      <c r="O2043" s="2955"/>
      <c r="P2043" s="2948"/>
      <c r="Q2043" s="2951">
        <v>0</v>
      </c>
      <c r="R2043" s="2948"/>
      <c r="S2043" s="2948"/>
      <c r="T2043" s="2948"/>
      <c r="U2043" s="2948"/>
      <c r="V2043" s="2948"/>
      <c r="W2043" s="2944">
        <f t="shared" si="16"/>
        <v>0</v>
      </c>
    </row>
    <row r="2044" spans="1:23" s="2944" customFormat="1" ht="15.6" hidden="1">
      <c r="A2044" s="2947" t="s">
        <v>352</v>
      </c>
      <c r="B2044" s="2947" t="s">
        <v>729</v>
      </c>
      <c r="C2044" s="2947" t="s">
        <v>729</v>
      </c>
      <c r="D2044" s="2947" t="s">
        <v>729</v>
      </c>
      <c r="E2044" s="2947" t="s">
        <v>729</v>
      </c>
      <c r="F2044" s="2947" t="s">
        <v>729</v>
      </c>
      <c r="G2044" s="2947" t="s">
        <v>729</v>
      </c>
      <c r="H2044" s="2947" t="s">
        <v>729</v>
      </c>
      <c r="I2044" s="2947" t="s">
        <v>729</v>
      </c>
      <c r="J2044" s="2947" t="s">
        <v>729</v>
      </c>
      <c r="K2044" s="2957">
        <v>151240.46</v>
      </c>
      <c r="L2044" s="2957">
        <v>98503.15</v>
      </c>
      <c r="M2044" s="2958">
        <v>12125718132</v>
      </c>
      <c r="N2044" s="2958">
        <v>12274220185</v>
      </c>
      <c r="O2044" s="2959">
        <v>11887744671</v>
      </c>
      <c r="P2044" s="2960">
        <v>11887744671</v>
      </c>
      <c r="Q2044" s="2958">
        <v>11822844206.82</v>
      </c>
      <c r="R2044" s="2947" t="s">
        <v>729</v>
      </c>
      <c r="S2044" s="2947" t="s">
        <v>729</v>
      </c>
      <c r="T2044" s="2947" t="s">
        <v>729</v>
      </c>
      <c r="U2044" s="2947" t="s">
        <v>729</v>
      </c>
      <c r="V2044" s="2947" t="s">
        <v>729</v>
      </c>
    </row>
  </sheetData>
  <autoFilter ref="A1:AS2044">
    <filterColumn colId="6">
      <filters>
        <filter val="签约"/>
        <filter val="认购"/>
      </filters>
    </filterColumn>
    <filterColumn colId="8">
      <filters>
        <filter val="车位-地下产权非人防车位"/>
        <filter val="车位-地下无产权人防车位"/>
        <filter val="地下室（不含车位）-储藏室"/>
        <filter val="地下室（不含车位）-其他地下"/>
      </filters>
    </filterColumn>
  </autoFilter>
  <phoneticPr fontId="229" type="noConversion"/>
  <pageMargins left="0.98425196850393704" right="0.98425196850393704" top="0.98425196850393704" bottom="0.98425196850393704" header="0.98425196850393704" footer="0.98425196850393704"/>
  <pageSetup paperSize="9"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J35" sqref="J35"/>
    </sheetView>
  </sheetViews>
  <sheetFormatPr defaultColWidth="9" defaultRowHeight="15.6"/>
  <cols>
    <col min="1" max="1" width="5.77734375" style="2939" customWidth="1"/>
    <col min="2" max="2" width="14.77734375" style="2939" customWidth="1"/>
    <col min="3" max="3" width="28.33203125" style="2939" customWidth="1"/>
    <col min="4" max="4" width="11.77734375" style="2939" customWidth="1"/>
    <col min="5" max="5" width="7" style="2939" customWidth="1"/>
    <col min="6" max="6" width="9.21875" style="2939" customWidth="1"/>
    <col min="7" max="7" width="16.109375" style="2939" customWidth="1"/>
    <col min="8" max="8" width="20.88671875" style="2939" customWidth="1"/>
    <col min="9" max="9" width="8.6640625" style="2939" customWidth="1"/>
    <col min="10" max="10" width="11.44140625" style="2939" customWidth="1"/>
    <col min="11" max="11" width="11.88671875" style="2939" customWidth="1"/>
    <col min="12" max="12" width="11.109375" style="2939" customWidth="1"/>
    <col min="13" max="13" width="11" style="2939" customWidth="1"/>
    <col min="14" max="14" width="9" style="2939"/>
    <col min="15" max="15" width="11.109375" style="2939"/>
    <col min="16" max="16384" width="9" style="2939"/>
  </cols>
  <sheetData>
    <row r="1" spans="1:14">
      <c r="A1" s="2940" t="s">
        <v>613</v>
      </c>
      <c r="B1" s="2940" t="s">
        <v>614</v>
      </c>
      <c r="C1" s="2940" t="s">
        <v>615</v>
      </c>
      <c r="D1" s="2940" t="s">
        <v>616</v>
      </c>
      <c r="E1" s="2940" t="s">
        <v>618</v>
      </c>
      <c r="F1" s="2940" t="s">
        <v>619</v>
      </c>
      <c r="G1" s="2940" t="s">
        <v>620</v>
      </c>
      <c r="H1" s="2940" t="s">
        <v>621</v>
      </c>
      <c r="I1" s="2940" t="s">
        <v>622</v>
      </c>
      <c r="J1" s="2941" t="s">
        <v>623</v>
      </c>
      <c r="K1" s="2941" t="s">
        <v>624</v>
      </c>
      <c r="L1" s="2942" t="s">
        <v>625</v>
      </c>
      <c r="M1" s="2942" t="s">
        <v>626</v>
      </c>
      <c r="N1" s="2939" t="s">
        <v>2474</v>
      </c>
    </row>
    <row r="2" spans="1:14">
      <c r="A2" s="2939">
        <v>1</v>
      </c>
      <c r="B2" s="2940" t="s">
        <v>635</v>
      </c>
      <c r="C2" s="2940" t="s">
        <v>636</v>
      </c>
      <c r="D2" s="2940" t="s">
        <v>1025</v>
      </c>
      <c r="E2" s="2940" t="s">
        <v>1043</v>
      </c>
      <c r="F2" s="2940" t="s">
        <v>1041</v>
      </c>
      <c r="G2" s="2940" t="s">
        <v>1026</v>
      </c>
      <c r="H2" s="2940" t="s">
        <v>1027</v>
      </c>
      <c r="I2" s="2940" t="s">
        <v>643</v>
      </c>
      <c r="J2" s="2941">
        <v>31.47</v>
      </c>
      <c r="K2" s="2941">
        <v>13.25</v>
      </c>
      <c r="L2" s="2942">
        <v>0</v>
      </c>
      <c r="M2" s="2942">
        <v>0</v>
      </c>
      <c r="N2" s="2939">
        <v>-1</v>
      </c>
    </row>
    <row r="3" spans="1:14">
      <c r="A3" s="2939">
        <v>2</v>
      </c>
      <c r="B3" s="2940" t="s">
        <v>635</v>
      </c>
      <c r="C3" s="2940" t="s">
        <v>636</v>
      </c>
      <c r="D3" s="2940" t="s">
        <v>1025</v>
      </c>
      <c r="E3" s="2940" t="s">
        <v>1049</v>
      </c>
      <c r="F3" s="2940" t="s">
        <v>1041</v>
      </c>
      <c r="G3" s="2940" t="s">
        <v>1026</v>
      </c>
      <c r="H3" s="2940" t="s">
        <v>1027</v>
      </c>
      <c r="I3" s="2940" t="s">
        <v>643</v>
      </c>
      <c r="J3" s="2941">
        <v>31.47</v>
      </c>
      <c r="K3" s="2941">
        <v>13.25</v>
      </c>
      <c r="L3" s="2942">
        <v>0</v>
      </c>
      <c r="M3" s="2942">
        <v>0</v>
      </c>
      <c r="N3" s="2939">
        <v>-1</v>
      </c>
    </row>
    <row r="4" spans="1:14">
      <c r="A4" s="2939">
        <v>3</v>
      </c>
      <c r="B4" s="2940" t="s">
        <v>635</v>
      </c>
      <c r="C4" s="2940" t="s">
        <v>636</v>
      </c>
      <c r="D4" s="2940" t="s">
        <v>1025</v>
      </c>
      <c r="E4" s="2940" t="s">
        <v>1052</v>
      </c>
      <c r="F4" s="2940" t="s">
        <v>1041</v>
      </c>
      <c r="G4" s="2940" t="s">
        <v>1026</v>
      </c>
      <c r="H4" s="2940" t="s">
        <v>1027</v>
      </c>
      <c r="I4" s="2940" t="s">
        <v>643</v>
      </c>
      <c r="J4" s="2941">
        <v>31.47</v>
      </c>
      <c r="K4" s="2941">
        <v>13.25</v>
      </c>
      <c r="L4" s="2942">
        <v>544975</v>
      </c>
      <c r="M4" s="2942">
        <v>544975</v>
      </c>
      <c r="N4" s="2939">
        <v>-1</v>
      </c>
    </row>
    <row r="5" spans="1:14">
      <c r="A5" s="2939">
        <v>4</v>
      </c>
      <c r="B5" s="2940" t="s">
        <v>635</v>
      </c>
      <c r="C5" s="2940" t="s">
        <v>636</v>
      </c>
      <c r="D5" s="2940" t="s">
        <v>1025</v>
      </c>
      <c r="E5" s="2940" t="s">
        <v>1053</v>
      </c>
      <c r="F5" s="2940" t="s">
        <v>1041</v>
      </c>
      <c r="G5" s="2940" t="s">
        <v>1026</v>
      </c>
      <c r="H5" s="2940" t="s">
        <v>1027</v>
      </c>
      <c r="I5" s="2940" t="s">
        <v>643</v>
      </c>
      <c r="J5" s="2941">
        <v>31.47</v>
      </c>
      <c r="K5" s="2941">
        <v>13.25</v>
      </c>
      <c r="L5" s="2942">
        <v>0</v>
      </c>
      <c r="M5" s="2942">
        <v>0</v>
      </c>
      <c r="N5" s="2939">
        <v>-1</v>
      </c>
    </row>
    <row r="6" spans="1:14">
      <c r="A6" s="2939">
        <v>5</v>
      </c>
      <c r="B6" s="2940" t="s">
        <v>635</v>
      </c>
      <c r="C6" s="2940" t="s">
        <v>636</v>
      </c>
      <c r="D6" s="2940" t="s">
        <v>1025</v>
      </c>
      <c r="E6" s="2940" t="s">
        <v>1077</v>
      </c>
      <c r="F6" s="2940" t="s">
        <v>1041</v>
      </c>
      <c r="G6" s="2940" t="s">
        <v>1026</v>
      </c>
      <c r="H6" s="2940" t="s">
        <v>1027</v>
      </c>
      <c r="I6" s="2940" t="s">
        <v>643</v>
      </c>
      <c r="J6" s="2941">
        <v>31.47</v>
      </c>
      <c r="K6" s="2941">
        <v>13.25</v>
      </c>
      <c r="L6" s="2942">
        <v>0</v>
      </c>
      <c r="M6" s="2942">
        <v>0</v>
      </c>
      <c r="N6" s="2939">
        <v>-1</v>
      </c>
    </row>
    <row r="7" spans="1:14">
      <c r="A7" s="2939">
        <v>6</v>
      </c>
      <c r="B7" s="2940" t="s">
        <v>635</v>
      </c>
      <c r="C7" s="2940" t="s">
        <v>636</v>
      </c>
      <c r="D7" s="2940" t="s">
        <v>1025</v>
      </c>
      <c r="E7" s="2940" t="s">
        <v>1092</v>
      </c>
      <c r="F7" s="2940" t="s">
        <v>1041</v>
      </c>
      <c r="G7" s="2940" t="s">
        <v>1026</v>
      </c>
      <c r="H7" s="2940" t="s">
        <v>1027</v>
      </c>
      <c r="I7" s="2940" t="s">
        <v>643</v>
      </c>
      <c r="J7" s="2941">
        <v>31.47</v>
      </c>
      <c r="K7" s="2941">
        <v>13.25</v>
      </c>
      <c r="L7" s="2942">
        <v>0</v>
      </c>
      <c r="M7" s="2942">
        <v>0</v>
      </c>
      <c r="N7" s="2939">
        <v>-1</v>
      </c>
    </row>
    <row r="8" spans="1:14">
      <c r="A8" s="2939">
        <v>7</v>
      </c>
      <c r="B8" s="2940" t="s">
        <v>635</v>
      </c>
      <c r="C8" s="2940" t="s">
        <v>636</v>
      </c>
      <c r="D8" s="2940" t="s">
        <v>1025</v>
      </c>
      <c r="E8" s="2940" t="s">
        <v>1096</v>
      </c>
      <c r="F8" s="2940" t="s">
        <v>1035</v>
      </c>
      <c r="G8" s="2940" t="s">
        <v>1026</v>
      </c>
      <c r="H8" s="2940" t="s">
        <v>1027</v>
      </c>
      <c r="I8" s="2940" t="s">
        <v>643</v>
      </c>
      <c r="J8" s="2941">
        <v>31.47</v>
      </c>
      <c r="K8" s="2941">
        <v>13.25</v>
      </c>
      <c r="L8" s="2942">
        <v>544975</v>
      </c>
      <c r="M8" s="2942">
        <v>544975</v>
      </c>
      <c r="N8" s="2939">
        <v>-1</v>
      </c>
    </row>
    <row r="9" spans="1:14">
      <c r="A9" s="2939">
        <v>8</v>
      </c>
      <c r="B9" s="2940" t="s">
        <v>635</v>
      </c>
      <c r="C9" s="2940" t="s">
        <v>636</v>
      </c>
      <c r="D9" s="2940" t="s">
        <v>1025</v>
      </c>
      <c r="E9" s="2940" t="s">
        <v>1147</v>
      </c>
      <c r="F9" s="2940" t="s">
        <v>1041</v>
      </c>
      <c r="G9" s="2940" t="s">
        <v>1026</v>
      </c>
      <c r="H9" s="2940" t="s">
        <v>1027</v>
      </c>
      <c r="I9" s="2940" t="s">
        <v>643</v>
      </c>
      <c r="J9" s="2941">
        <v>31.47</v>
      </c>
      <c r="K9" s="2941">
        <v>13.25</v>
      </c>
      <c r="L9" s="2942">
        <v>0</v>
      </c>
      <c r="M9" s="2942">
        <v>0</v>
      </c>
      <c r="N9" s="2939">
        <v>-1</v>
      </c>
    </row>
    <row r="10" spans="1:14">
      <c r="A10" s="2939">
        <v>9</v>
      </c>
      <c r="B10" s="2940" t="s">
        <v>635</v>
      </c>
      <c r="C10" s="2940" t="s">
        <v>636</v>
      </c>
      <c r="D10" s="2940" t="s">
        <v>1025</v>
      </c>
      <c r="E10" s="2940" t="s">
        <v>1166</v>
      </c>
      <c r="F10" s="2940" t="s">
        <v>1041</v>
      </c>
      <c r="G10" s="2940" t="s">
        <v>1026</v>
      </c>
      <c r="H10" s="2940" t="s">
        <v>1027</v>
      </c>
      <c r="I10" s="2940" t="s">
        <v>643</v>
      </c>
      <c r="J10" s="2941">
        <v>31.47</v>
      </c>
      <c r="K10" s="2941">
        <v>13.25</v>
      </c>
      <c r="L10" s="2942">
        <v>0</v>
      </c>
      <c r="M10" s="2942">
        <v>0</v>
      </c>
      <c r="N10" s="2939">
        <v>-1</v>
      </c>
    </row>
    <row r="11" spans="1:14">
      <c r="A11" s="2939">
        <v>10</v>
      </c>
      <c r="B11" s="2940" t="s">
        <v>635</v>
      </c>
      <c r="C11" s="2940" t="s">
        <v>636</v>
      </c>
      <c r="D11" s="2940" t="s">
        <v>1025</v>
      </c>
      <c r="E11" s="2940" t="s">
        <v>1167</v>
      </c>
      <c r="F11" s="2940" t="s">
        <v>1041</v>
      </c>
      <c r="G11" s="2940" t="s">
        <v>1026</v>
      </c>
      <c r="H11" s="2940" t="s">
        <v>1027</v>
      </c>
      <c r="I11" s="2940" t="s">
        <v>643</v>
      </c>
      <c r="J11" s="2941">
        <v>31.47</v>
      </c>
      <c r="K11" s="2941">
        <v>13.25</v>
      </c>
      <c r="L11" s="2942">
        <v>0</v>
      </c>
      <c r="M11" s="2942">
        <v>0</v>
      </c>
      <c r="N11" s="2939">
        <v>-1</v>
      </c>
    </row>
    <row r="12" spans="1:14">
      <c r="A12" s="2939">
        <v>11</v>
      </c>
      <c r="B12" s="2940" t="s">
        <v>635</v>
      </c>
      <c r="C12" s="2940" t="s">
        <v>636</v>
      </c>
      <c r="D12" s="2940" t="s">
        <v>1025</v>
      </c>
      <c r="E12" s="2940" t="s">
        <v>1168</v>
      </c>
      <c r="F12" s="2940" t="s">
        <v>1041</v>
      </c>
      <c r="G12" s="2940" t="s">
        <v>1026</v>
      </c>
      <c r="H12" s="2940" t="s">
        <v>1027</v>
      </c>
      <c r="I12" s="2940" t="s">
        <v>643</v>
      </c>
      <c r="J12" s="2941">
        <v>31.47</v>
      </c>
      <c r="K12" s="2941">
        <v>13.25</v>
      </c>
      <c r="L12" s="2942">
        <v>0</v>
      </c>
      <c r="M12" s="2942">
        <v>0</v>
      </c>
      <c r="N12" s="2939">
        <v>-1</v>
      </c>
    </row>
    <row r="13" spans="1:14">
      <c r="A13" s="2939">
        <v>12</v>
      </c>
      <c r="B13" s="2940" t="s">
        <v>635</v>
      </c>
      <c r="C13" s="2940" t="s">
        <v>636</v>
      </c>
      <c r="D13" s="2940" t="s">
        <v>1025</v>
      </c>
      <c r="E13" s="2940" t="s">
        <v>1176</v>
      </c>
      <c r="F13" s="2940" t="s">
        <v>1041</v>
      </c>
      <c r="G13" s="2940" t="s">
        <v>1026</v>
      </c>
      <c r="H13" s="2940" t="s">
        <v>1027</v>
      </c>
      <c r="I13" s="2940" t="s">
        <v>643</v>
      </c>
      <c r="J13" s="2941">
        <v>31.47</v>
      </c>
      <c r="K13" s="2941">
        <v>13.25</v>
      </c>
      <c r="L13" s="2942">
        <v>0</v>
      </c>
      <c r="M13" s="2942">
        <v>0</v>
      </c>
      <c r="N13" s="2939">
        <v>-1</v>
      </c>
    </row>
    <row r="14" spans="1:14">
      <c r="A14" s="2939">
        <v>13</v>
      </c>
      <c r="B14" s="2940" t="s">
        <v>635</v>
      </c>
      <c r="C14" s="2940" t="s">
        <v>636</v>
      </c>
      <c r="D14" s="2940" t="s">
        <v>1025</v>
      </c>
      <c r="E14" s="2940" t="s">
        <v>1186</v>
      </c>
      <c r="F14" s="2940" t="s">
        <v>1041</v>
      </c>
      <c r="G14" s="2940" t="s">
        <v>1026</v>
      </c>
      <c r="H14" s="2940" t="s">
        <v>1027</v>
      </c>
      <c r="I14" s="2940" t="s">
        <v>643</v>
      </c>
      <c r="J14" s="2941">
        <v>31.47</v>
      </c>
      <c r="K14" s="2941">
        <v>13.25</v>
      </c>
      <c r="L14" s="2942">
        <v>544975</v>
      </c>
      <c r="M14" s="2942">
        <v>544975</v>
      </c>
      <c r="N14" s="2939">
        <v>-1</v>
      </c>
    </row>
    <row r="15" spans="1:14">
      <c r="A15" s="2939">
        <v>14</v>
      </c>
      <c r="B15" s="2940" t="s">
        <v>635</v>
      </c>
      <c r="C15" s="2940" t="s">
        <v>636</v>
      </c>
      <c r="D15" s="2940" t="s">
        <v>1025</v>
      </c>
      <c r="E15" s="2940" t="s">
        <v>1199</v>
      </c>
      <c r="F15" s="2940" t="s">
        <v>1041</v>
      </c>
      <c r="G15" s="2940" t="s">
        <v>1026</v>
      </c>
      <c r="H15" s="2940" t="s">
        <v>1027</v>
      </c>
      <c r="I15" s="2940" t="s">
        <v>643</v>
      </c>
      <c r="J15" s="2941">
        <v>31.47</v>
      </c>
      <c r="K15" s="2941">
        <v>13.25</v>
      </c>
      <c r="L15" s="2942">
        <v>0</v>
      </c>
      <c r="M15" s="2942">
        <v>0</v>
      </c>
      <c r="N15" s="2939">
        <v>-1</v>
      </c>
    </row>
    <row r="16" spans="1:14">
      <c r="A16" s="2939">
        <v>15</v>
      </c>
      <c r="B16" s="2940" t="s">
        <v>635</v>
      </c>
      <c r="C16" s="2940" t="s">
        <v>636</v>
      </c>
      <c r="D16" s="2940" t="s">
        <v>1025</v>
      </c>
      <c r="E16" s="2940" t="s">
        <v>1209</v>
      </c>
      <c r="F16" s="2940" t="s">
        <v>1041</v>
      </c>
      <c r="G16" s="2940" t="s">
        <v>1026</v>
      </c>
      <c r="H16" s="2940" t="s">
        <v>1027</v>
      </c>
      <c r="I16" s="2940" t="s">
        <v>643</v>
      </c>
      <c r="J16" s="2941">
        <v>31.47</v>
      </c>
      <c r="K16" s="2941">
        <v>13.25</v>
      </c>
      <c r="L16" s="2942">
        <v>0</v>
      </c>
      <c r="M16" s="2942">
        <v>0</v>
      </c>
      <c r="N16" s="2939">
        <v>-1</v>
      </c>
    </row>
    <row r="17" spans="1:14">
      <c r="A17" s="2939">
        <v>16</v>
      </c>
      <c r="B17" s="2940" t="s">
        <v>635</v>
      </c>
      <c r="C17" s="2940" t="s">
        <v>636</v>
      </c>
      <c r="D17" s="2940" t="s">
        <v>1025</v>
      </c>
      <c r="E17" s="2940" t="s">
        <v>1212</v>
      </c>
      <c r="F17" s="2940" t="s">
        <v>1041</v>
      </c>
      <c r="G17" s="2940" t="s">
        <v>1026</v>
      </c>
      <c r="H17" s="2940" t="s">
        <v>1027</v>
      </c>
      <c r="I17" s="2940" t="s">
        <v>643</v>
      </c>
      <c r="J17" s="2941">
        <v>31.47</v>
      </c>
      <c r="K17" s="2941">
        <v>13.25</v>
      </c>
      <c r="L17" s="2942">
        <v>0</v>
      </c>
      <c r="M17" s="2942">
        <v>0</v>
      </c>
      <c r="N17" s="2939">
        <v>-1</v>
      </c>
    </row>
    <row r="18" spans="1:14">
      <c r="A18" s="2939">
        <v>17</v>
      </c>
      <c r="B18" s="2940" t="s">
        <v>635</v>
      </c>
      <c r="C18" s="2940" t="s">
        <v>636</v>
      </c>
      <c r="D18" s="2940" t="s">
        <v>1862</v>
      </c>
      <c r="E18" s="2940" t="s">
        <v>900</v>
      </c>
      <c r="F18" s="2940" t="s">
        <v>1035</v>
      </c>
      <c r="G18" s="2940" t="s">
        <v>1863</v>
      </c>
      <c r="H18" s="2940" t="s">
        <v>1027</v>
      </c>
      <c r="I18" s="2940" t="s">
        <v>643</v>
      </c>
      <c r="J18" s="2941">
        <v>33.03</v>
      </c>
      <c r="K18" s="2941">
        <v>13.25</v>
      </c>
      <c r="L18" s="2942">
        <v>550164</v>
      </c>
      <c r="M18" s="2942">
        <v>550164</v>
      </c>
      <c r="N18" s="2939">
        <v>-2</v>
      </c>
    </row>
    <row r="19" spans="1:14">
      <c r="A19" s="2939">
        <v>18</v>
      </c>
      <c r="B19" s="2940" t="s">
        <v>635</v>
      </c>
      <c r="C19" s="2940" t="s">
        <v>636</v>
      </c>
      <c r="D19" s="2940" t="s">
        <v>1862</v>
      </c>
      <c r="E19" s="2940" t="s">
        <v>1284</v>
      </c>
      <c r="F19" s="2940" t="s">
        <v>1035</v>
      </c>
      <c r="G19" s="2940" t="s">
        <v>1863</v>
      </c>
      <c r="H19" s="2940" t="s">
        <v>1027</v>
      </c>
      <c r="I19" s="2940" t="s">
        <v>643</v>
      </c>
      <c r="J19" s="2941">
        <v>33.03</v>
      </c>
      <c r="K19" s="2941">
        <v>13.25</v>
      </c>
      <c r="L19" s="2942">
        <v>550164</v>
      </c>
      <c r="M19" s="2942">
        <v>550164</v>
      </c>
      <c r="N19" s="2939">
        <v>-2</v>
      </c>
    </row>
    <row r="20" spans="1:14">
      <c r="A20" s="2939">
        <v>19</v>
      </c>
      <c r="B20" s="2940" t="s">
        <v>635</v>
      </c>
      <c r="C20" s="2940" t="s">
        <v>636</v>
      </c>
      <c r="D20" s="2940" t="s">
        <v>1862</v>
      </c>
      <c r="E20" s="2940" t="s">
        <v>1295</v>
      </c>
      <c r="F20" s="2940" t="s">
        <v>1035</v>
      </c>
      <c r="G20" s="2940" t="s">
        <v>1863</v>
      </c>
      <c r="H20" s="2940" t="s">
        <v>1027</v>
      </c>
      <c r="I20" s="2940" t="s">
        <v>643</v>
      </c>
      <c r="J20" s="2941">
        <v>33.03</v>
      </c>
      <c r="K20" s="2941">
        <v>13.25</v>
      </c>
      <c r="L20" s="2942">
        <v>550164</v>
      </c>
      <c r="M20" s="2942">
        <v>550164</v>
      </c>
      <c r="N20" s="2939">
        <v>-2</v>
      </c>
    </row>
    <row r="21" spans="1:14">
      <c r="A21" s="2939">
        <v>20</v>
      </c>
      <c r="B21" s="2940" t="s">
        <v>635</v>
      </c>
      <c r="C21" s="2940" t="s">
        <v>636</v>
      </c>
      <c r="D21" s="2940" t="s">
        <v>1862</v>
      </c>
      <c r="E21" s="2940" t="s">
        <v>1303</v>
      </c>
      <c r="F21" s="2940" t="s">
        <v>1035</v>
      </c>
      <c r="G21" s="2940" t="s">
        <v>1863</v>
      </c>
      <c r="H21" s="2940" t="s">
        <v>1027</v>
      </c>
      <c r="I21" s="2940" t="s">
        <v>643</v>
      </c>
      <c r="J21" s="2941">
        <v>33.03</v>
      </c>
      <c r="K21" s="2941">
        <v>13.25</v>
      </c>
      <c r="L21" s="2942">
        <v>550164</v>
      </c>
      <c r="M21" s="2942">
        <v>550164</v>
      </c>
      <c r="N21" s="2939">
        <v>-2</v>
      </c>
    </row>
    <row r="22" spans="1:14">
      <c r="A22" s="2939">
        <v>21</v>
      </c>
      <c r="B22" s="2940" t="s">
        <v>635</v>
      </c>
      <c r="C22" s="2940" t="s">
        <v>636</v>
      </c>
      <c r="D22" s="2940" t="s">
        <v>1862</v>
      </c>
      <c r="E22" s="2940" t="s">
        <v>1335</v>
      </c>
      <c r="F22" s="2940" t="s">
        <v>1035</v>
      </c>
      <c r="G22" s="2940" t="s">
        <v>1863</v>
      </c>
      <c r="H22" s="2940" t="s">
        <v>1027</v>
      </c>
      <c r="I22" s="2940" t="s">
        <v>643</v>
      </c>
      <c r="J22" s="2941">
        <v>33.03</v>
      </c>
      <c r="K22" s="2941">
        <v>13.25</v>
      </c>
      <c r="L22" s="2942">
        <v>550164</v>
      </c>
      <c r="M22" s="2942">
        <v>550164</v>
      </c>
      <c r="N22" s="2939">
        <v>-2</v>
      </c>
    </row>
    <row r="23" spans="1:14">
      <c r="A23" s="2939">
        <v>22</v>
      </c>
      <c r="B23" s="2940" t="s">
        <v>635</v>
      </c>
      <c r="C23" s="2940" t="s">
        <v>636</v>
      </c>
      <c r="D23" s="2940" t="s">
        <v>1862</v>
      </c>
      <c r="E23" s="2940" t="s">
        <v>1336</v>
      </c>
      <c r="F23" s="2940" t="s">
        <v>1035</v>
      </c>
      <c r="G23" s="2940" t="s">
        <v>1863</v>
      </c>
      <c r="H23" s="2940" t="s">
        <v>1027</v>
      </c>
      <c r="I23" s="2940" t="s">
        <v>643</v>
      </c>
      <c r="J23" s="2941">
        <v>33.03</v>
      </c>
      <c r="K23" s="2941">
        <v>13.25</v>
      </c>
      <c r="L23" s="2942">
        <v>550164</v>
      </c>
      <c r="M23" s="2942">
        <v>550164</v>
      </c>
      <c r="N23" s="2939">
        <v>-2</v>
      </c>
    </row>
    <row r="24" spans="1:14">
      <c r="A24" s="2939">
        <v>23</v>
      </c>
      <c r="B24" s="2940" t="s">
        <v>635</v>
      </c>
      <c r="C24" s="2940" t="s">
        <v>636</v>
      </c>
      <c r="D24" s="2940" t="s">
        <v>1862</v>
      </c>
      <c r="E24" s="2940" t="s">
        <v>1358</v>
      </c>
      <c r="F24" s="2940" t="s">
        <v>1035</v>
      </c>
      <c r="G24" s="2940" t="s">
        <v>1863</v>
      </c>
      <c r="H24" s="2940" t="s">
        <v>1027</v>
      </c>
      <c r="I24" s="2940" t="s">
        <v>643</v>
      </c>
      <c r="J24" s="2941">
        <v>33.03</v>
      </c>
      <c r="K24" s="2941">
        <v>13.25</v>
      </c>
      <c r="L24" s="2942">
        <v>550164</v>
      </c>
      <c r="M24" s="2942">
        <v>550164</v>
      </c>
      <c r="N24" s="2939">
        <v>-2</v>
      </c>
    </row>
    <row r="25" spans="1:14">
      <c r="A25" s="2939">
        <v>24</v>
      </c>
      <c r="B25" s="2940" t="s">
        <v>635</v>
      </c>
      <c r="C25" s="2940" t="s">
        <v>636</v>
      </c>
      <c r="D25" s="2940" t="s">
        <v>1862</v>
      </c>
      <c r="E25" s="2940" t="s">
        <v>1386</v>
      </c>
      <c r="F25" s="2940" t="s">
        <v>1035</v>
      </c>
      <c r="G25" s="2940" t="s">
        <v>1863</v>
      </c>
      <c r="H25" s="2940" t="s">
        <v>1027</v>
      </c>
      <c r="I25" s="2940" t="s">
        <v>643</v>
      </c>
      <c r="J25" s="2941">
        <v>33.03</v>
      </c>
      <c r="K25" s="2941">
        <v>13.25</v>
      </c>
      <c r="L25" s="2942">
        <v>550164</v>
      </c>
      <c r="M25" s="2942">
        <v>550164</v>
      </c>
      <c r="N25" s="2939">
        <v>-2</v>
      </c>
    </row>
    <row r="26" spans="1:14">
      <c r="A26" s="2939">
        <v>25</v>
      </c>
      <c r="B26" s="2940" t="s">
        <v>635</v>
      </c>
      <c r="C26" s="2940" t="s">
        <v>636</v>
      </c>
      <c r="D26" s="2940" t="s">
        <v>1862</v>
      </c>
      <c r="E26" s="2940" t="s">
        <v>1408</v>
      </c>
      <c r="F26" s="2940" t="s">
        <v>1035</v>
      </c>
      <c r="G26" s="2940" t="s">
        <v>1863</v>
      </c>
      <c r="H26" s="2940" t="s">
        <v>1027</v>
      </c>
      <c r="I26" s="2940" t="s">
        <v>643</v>
      </c>
      <c r="J26" s="2941">
        <v>33.03</v>
      </c>
      <c r="K26" s="2941">
        <v>13.25</v>
      </c>
      <c r="L26" s="2942">
        <v>550164</v>
      </c>
      <c r="M26" s="2942">
        <v>550164</v>
      </c>
      <c r="N26" s="2939">
        <v>-2</v>
      </c>
    </row>
    <row r="27" spans="1:14">
      <c r="A27" s="2939">
        <v>26</v>
      </c>
      <c r="B27" s="2940" t="s">
        <v>635</v>
      </c>
      <c r="C27" s="2940" t="s">
        <v>636</v>
      </c>
      <c r="D27" s="2940" t="s">
        <v>1862</v>
      </c>
      <c r="E27" s="2940" t="s">
        <v>1410</v>
      </c>
      <c r="F27" s="2940" t="s">
        <v>1035</v>
      </c>
      <c r="G27" s="2940" t="s">
        <v>1863</v>
      </c>
      <c r="H27" s="2940" t="s">
        <v>1027</v>
      </c>
      <c r="I27" s="2940" t="s">
        <v>643</v>
      </c>
      <c r="J27" s="2941">
        <v>33.03</v>
      </c>
      <c r="K27" s="2941">
        <v>13.25</v>
      </c>
      <c r="L27" s="2942">
        <v>550164</v>
      </c>
      <c r="M27" s="2942">
        <v>550164</v>
      </c>
      <c r="N27" s="2939">
        <v>-2</v>
      </c>
    </row>
    <row r="28" spans="1:14">
      <c r="A28" s="2939">
        <v>27</v>
      </c>
      <c r="B28" s="2940" t="s">
        <v>635</v>
      </c>
      <c r="C28" s="2940" t="s">
        <v>636</v>
      </c>
      <c r="D28" s="2940" t="s">
        <v>1862</v>
      </c>
      <c r="E28" s="2940" t="s">
        <v>1920</v>
      </c>
      <c r="F28" s="2940" t="s">
        <v>1035</v>
      </c>
      <c r="G28" s="2940" t="s">
        <v>1863</v>
      </c>
      <c r="H28" s="2940" t="s">
        <v>1027</v>
      </c>
      <c r="I28" s="2940" t="s">
        <v>643</v>
      </c>
      <c r="J28" s="2941">
        <v>33.03</v>
      </c>
      <c r="K28" s="2941">
        <v>13.25</v>
      </c>
      <c r="L28" s="2942">
        <v>550164</v>
      </c>
      <c r="M28" s="2942">
        <v>550164</v>
      </c>
      <c r="N28" s="2939">
        <v>-2</v>
      </c>
    </row>
    <row r="29" spans="1:14">
      <c r="A29" s="2939">
        <v>28</v>
      </c>
      <c r="B29" s="2940" t="s">
        <v>635</v>
      </c>
      <c r="C29" s="2940" t="s">
        <v>636</v>
      </c>
      <c r="D29" s="2940" t="s">
        <v>1862</v>
      </c>
      <c r="E29" s="2940" t="s">
        <v>1938</v>
      </c>
      <c r="F29" s="2940" t="s">
        <v>1035</v>
      </c>
      <c r="G29" s="2940" t="s">
        <v>1863</v>
      </c>
      <c r="H29" s="2940" t="s">
        <v>1027</v>
      </c>
      <c r="I29" s="2940" t="s">
        <v>643</v>
      </c>
      <c r="J29" s="2941">
        <v>33.03</v>
      </c>
      <c r="K29" s="2941">
        <v>13.25</v>
      </c>
      <c r="L29" s="2942">
        <v>550164</v>
      </c>
      <c r="M29" s="2942">
        <v>550164</v>
      </c>
      <c r="N29" s="2939">
        <v>-3</v>
      </c>
    </row>
    <row r="30" spans="1:14">
      <c r="A30" s="2939">
        <v>29</v>
      </c>
      <c r="B30" s="2940" t="s">
        <v>635</v>
      </c>
      <c r="C30" s="2940" t="s">
        <v>636</v>
      </c>
      <c r="D30" s="2940" t="s">
        <v>1862</v>
      </c>
      <c r="E30" s="2940" t="s">
        <v>1952</v>
      </c>
      <c r="F30" s="2940" t="s">
        <v>1035</v>
      </c>
      <c r="G30" s="2940" t="s">
        <v>1863</v>
      </c>
      <c r="H30" s="2940" t="s">
        <v>1027</v>
      </c>
      <c r="I30" s="2940" t="s">
        <v>643</v>
      </c>
      <c r="J30" s="2941">
        <v>33.03</v>
      </c>
      <c r="K30" s="2941">
        <v>13.25</v>
      </c>
      <c r="L30" s="2942">
        <v>550164</v>
      </c>
      <c r="M30" s="2942">
        <v>550164</v>
      </c>
      <c r="N30" s="2939">
        <v>-3</v>
      </c>
    </row>
    <row r="31" spans="1:14">
      <c r="A31" s="2939">
        <v>30</v>
      </c>
      <c r="B31" s="2940" t="s">
        <v>635</v>
      </c>
      <c r="C31" s="2940" t="s">
        <v>636</v>
      </c>
      <c r="D31" s="2940" t="s">
        <v>1862</v>
      </c>
      <c r="E31" s="2940" t="s">
        <v>1957</v>
      </c>
      <c r="F31" s="2940" t="s">
        <v>1035</v>
      </c>
      <c r="G31" s="2940" t="s">
        <v>1863</v>
      </c>
      <c r="H31" s="2940" t="s">
        <v>1027</v>
      </c>
      <c r="I31" s="2940" t="s">
        <v>643</v>
      </c>
      <c r="J31" s="2941">
        <v>33.03</v>
      </c>
      <c r="K31" s="2941">
        <v>13.25</v>
      </c>
      <c r="L31" s="2942">
        <v>550164</v>
      </c>
      <c r="M31" s="2942">
        <v>550164</v>
      </c>
      <c r="N31" s="2939">
        <v>-3</v>
      </c>
    </row>
    <row r="32" spans="1:14">
      <c r="A32" s="2939">
        <v>31</v>
      </c>
      <c r="B32" s="2940" t="s">
        <v>635</v>
      </c>
      <c r="C32" s="2940" t="s">
        <v>636</v>
      </c>
      <c r="D32" s="2940" t="s">
        <v>1862</v>
      </c>
      <c r="E32" s="2940" t="s">
        <v>1959</v>
      </c>
      <c r="F32" s="2940" t="s">
        <v>1035</v>
      </c>
      <c r="G32" s="2940" t="s">
        <v>1863</v>
      </c>
      <c r="H32" s="2940" t="s">
        <v>1027</v>
      </c>
      <c r="I32" s="2940" t="s">
        <v>643</v>
      </c>
      <c r="J32" s="2941">
        <v>33.03</v>
      </c>
      <c r="K32" s="2941">
        <v>13.25</v>
      </c>
      <c r="L32" s="2942">
        <v>550164</v>
      </c>
      <c r="M32" s="2942">
        <v>550164</v>
      </c>
      <c r="N32" s="2939">
        <v>-3</v>
      </c>
    </row>
    <row r="33" spans="1:14">
      <c r="A33" s="2939">
        <v>32</v>
      </c>
      <c r="B33" s="2940" t="s">
        <v>635</v>
      </c>
      <c r="C33" s="2940" t="s">
        <v>636</v>
      </c>
      <c r="D33" s="2940" t="s">
        <v>1862</v>
      </c>
      <c r="E33" s="2940" t="s">
        <v>1960</v>
      </c>
      <c r="F33" s="2940" t="s">
        <v>1035</v>
      </c>
      <c r="G33" s="2940" t="s">
        <v>1863</v>
      </c>
      <c r="H33" s="2940" t="s">
        <v>1027</v>
      </c>
      <c r="I33" s="2940" t="s">
        <v>643</v>
      </c>
      <c r="J33" s="2941">
        <v>33.03</v>
      </c>
      <c r="K33" s="2941">
        <v>13.25</v>
      </c>
      <c r="L33" s="2942">
        <v>550164</v>
      </c>
      <c r="M33" s="2942">
        <v>550164</v>
      </c>
      <c r="N33" s="2939">
        <v>-3</v>
      </c>
    </row>
    <row r="34" spans="1:14">
      <c r="J34" s="2939">
        <f>SUM(J2:J33)</f>
        <v>1032</v>
      </c>
    </row>
  </sheetData>
  <autoFilter ref="A1:N34"/>
  <phoneticPr fontId="229" type="noConversion"/>
  <pageMargins left="0.75" right="0.75" top="1" bottom="1" header="0.5" footer="0.5"/>
  <pageSetup paperSize="9" orientation="portrait"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6"/>
  <sheetViews>
    <sheetView workbookViewId="0">
      <pane xSplit="4" ySplit="1" topLeftCell="E206" activePane="bottomRight" state="frozen"/>
      <selection pane="topRight"/>
      <selection pane="bottomLeft"/>
      <selection pane="bottomRight" activeCell="M240" sqref="M240"/>
    </sheetView>
  </sheetViews>
  <sheetFormatPr defaultColWidth="9" defaultRowHeight="15.6"/>
  <cols>
    <col min="1" max="1" width="6.21875" style="2939" customWidth="1"/>
    <col min="2" max="2" width="9" style="2939"/>
    <col min="3" max="3" width="16.33203125" style="2939" customWidth="1"/>
    <col min="4" max="4" width="30.44140625" style="2939" customWidth="1"/>
    <col min="5" max="5" width="42.44140625" style="2939" customWidth="1"/>
    <col min="6" max="6" width="6.33203125" style="2939" customWidth="1"/>
    <col min="7" max="9" width="9" style="2939"/>
    <col min="10" max="10" width="22.109375" style="2939" customWidth="1"/>
    <col min="11" max="11" width="9" style="2939"/>
    <col min="12" max="12" width="12.44140625" style="2939" customWidth="1"/>
    <col min="13" max="13" width="13.109375" style="2939" customWidth="1"/>
    <col min="14" max="15" width="12.109375" style="2939"/>
    <col min="16" max="16384" width="9" style="2939"/>
  </cols>
  <sheetData>
    <row r="1" spans="1:15">
      <c r="A1" s="2939" t="s">
        <v>613</v>
      </c>
      <c r="B1" s="2940" t="s">
        <v>2475</v>
      </c>
      <c r="C1" s="2940" t="s">
        <v>614</v>
      </c>
      <c r="D1" s="2940" t="s">
        <v>615</v>
      </c>
      <c r="E1" s="2940" t="s">
        <v>616</v>
      </c>
      <c r="F1" s="2940" t="s">
        <v>617</v>
      </c>
      <c r="G1" s="2940" t="s">
        <v>618</v>
      </c>
      <c r="H1" s="2940" t="s">
        <v>619</v>
      </c>
      <c r="I1" s="2940" t="s">
        <v>620</v>
      </c>
      <c r="J1" s="2940" t="s">
        <v>621</v>
      </c>
      <c r="K1" s="2940" t="s">
        <v>622</v>
      </c>
      <c r="L1" s="2941" t="s">
        <v>623</v>
      </c>
      <c r="M1" s="2941" t="s">
        <v>624</v>
      </c>
      <c r="N1" s="2942" t="s">
        <v>625</v>
      </c>
      <c r="O1" s="2942" t="s">
        <v>626</v>
      </c>
    </row>
    <row r="2" spans="1:15">
      <c r="A2" s="2939">
        <v>1</v>
      </c>
      <c r="B2" s="2940">
        <v>1651</v>
      </c>
      <c r="C2" s="2940" t="s">
        <v>635</v>
      </c>
      <c r="D2" s="2940" t="s">
        <v>636</v>
      </c>
      <c r="E2" s="2940" t="s">
        <v>2246</v>
      </c>
      <c r="F2" s="2940" t="s">
        <v>1451</v>
      </c>
      <c r="G2" s="2940" t="s">
        <v>1457</v>
      </c>
      <c r="H2" s="2940" t="s">
        <v>1035</v>
      </c>
      <c r="I2" s="2940" t="s">
        <v>1453</v>
      </c>
      <c r="J2" s="2940" t="s">
        <v>2248</v>
      </c>
      <c r="K2" s="2940" t="s">
        <v>643</v>
      </c>
      <c r="L2" s="2941">
        <v>29.92</v>
      </c>
      <c r="M2" s="2941">
        <v>13.28</v>
      </c>
      <c r="N2" s="2942">
        <v>897600</v>
      </c>
      <c r="O2" s="2942">
        <v>897600</v>
      </c>
    </row>
    <row r="3" spans="1:15">
      <c r="A3" s="2939">
        <v>2</v>
      </c>
      <c r="B3" s="2940">
        <v>1652</v>
      </c>
      <c r="C3" s="2940" t="s">
        <v>635</v>
      </c>
      <c r="D3" s="2940" t="s">
        <v>636</v>
      </c>
      <c r="E3" s="2940" t="s">
        <v>2246</v>
      </c>
      <c r="F3" s="2940" t="s">
        <v>1451</v>
      </c>
      <c r="G3" s="2940" t="s">
        <v>1458</v>
      </c>
      <c r="H3" s="2940" t="s">
        <v>1035</v>
      </c>
      <c r="I3" s="2940" t="s">
        <v>1453</v>
      </c>
      <c r="J3" s="2940" t="s">
        <v>2248</v>
      </c>
      <c r="K3" s="2940" t="s">
        <v>643</v>
      </c>
      <c r="L3" s="2941">
        <v>13.63</v>
      </c>
      <c r="M3" s="2941">
        <v>6.05</v>
      </c>
      <c r="N3" s="2942">
        <v>408900</v>
      </c>
      <c r="O3" s="2942">
        <v>408900</v>
      </c>
    </row>
    <row r="4" spans="1:15">
      <c r="A4" s="2939">
        <v>3</v>
      </c>
      <c r="B4" s="2940">
        <v>1654</v>
      </c>
      <c r="C4" s="2940" t="s">
        <v>635</v>
      </c>
      <c r="D4" s="2940" t="s">
        <v>636</v>
      </c>
      <c r="E4" s="2940" t="s">
        <v>2246</v>
      </c>
      <c r="F4" s="2940" t="s">
        <v>1451</v>
      </c>
      <c r="G4" s="2940" t="s">
        <v>2251</v>
      </c>
      <c r="H4" s="2940" t="s">
        <v>1035</v>
      </c>
      <c r="I4" s="2940" t="s">
        <v>1453</v>
      </c>
      <c r="J4" s="2940" t="s">
        <v>2248</v>
      </c>
      <c r="K4" s="2940" t="s">
        <v>643</v>
      </c>
      <c r="L4" s="2941">
        <v>57.1</v>
      </c>
      <c r="M4" s="2941">
        <v>25.34</v>
      </c>
      <c r="N4" s="2942">
        <v>1713000</v>
      </c>
      <c r="O4" s="2942">
        <v>1713000</v>
      </c>
    </row>
    <row r="5" spans="1:15">
      <c r="A5" s="2939">
        <v>4</v>
      </c>
      <c r="B5" s="2940">
        <v>1655</v>
      </c>
      <c r="C5" s="2940" t="s">
        <v>635</v>
      </c>
      <c r="D5" s="2940" t="s">
        <v>636</v>
      </c>
      <c r="E5" s="2940" t="s">
        <v>2246</v>
      </c>
      <c r="F5" s="2940" t="s">
        <v>1451</v>
      </c>
      <c r="G5" s="2940" t="s">
        <v>2252</v>
      </c>
      <c r="H5" s="2940" t="s">
        <v>1035</v>
      </c>
      <c r="I5" s="2940" t="s">
        <v>1453</v>
      </c>
      <c r="J5" s="2940" t="s">
        <v>2248</v>
      </c>
      <c r="K5" s="2940" t="s">
        <v>643</v>
      </c>
      <c r="L5" s="2941">
        <v>13</v>
      </c>
      <c r="M5" s="2941">
        <v>5.77</v>
      </c>
      <c r="N5" s="2942">
        <v>390000</v>
      </c>
      <c r="O5" s="2942">
        <v>390000</v>
      </c>
    </row>
    <row r="6" spans="1:15">
      <c r="A6" s="2939">
        <v>5</v>
      </c>
      <c r="B6" s="2940">
        <v>1656</v>
      </c>
      <c r="C6" s="2940" t="s">
        <v>635</v>
      </c>
      <c r="D6" s="2940" t="s">
        <v>636</v>
      </c>
      <c r="E6" s="2940" t="s">
        <v>2246</v>
      </c>
      <c r="F6" s="2940" t="s">
        <v>1451</v>
      </c>
      <c r="G6" s="2940" t="s">
        <v>2253</v>
      </c>
      <c r="H6" s="2940" t="s">
        <v>1035</v>
      </c>
      <c r="I6" s="2940" t="s">
        <v>1453</v>
      </c>
      <c r="J6" s="2940" t="s">
        <v>2248</v>
      </c>
      <c r="K6" s="2940" t="s">
        <v>643</v>
      </c>
      <c r="L6" s="2941">
        <v>70.849999999999994</v>
      </c>
      <c r="M6" s="2941">
        <v>31.44</v>
      </c>
      <c r="N6" s="2942">
        <v>2125500</v>
      </c>
      <c r="O6" s="2942">
        <v>2125500</v>
      </c>
    </row>
    <row r="7" spans="1:15">
      <c r="A7" s="2939">
        <v>6</v>
      </c>
      <c r="B7" s="2940">
        <v>1657</v>
      </c>
      <c r="C7" s="2940" t="s">
        <v>635</v>
      </c>
      <c r="D7" s="2940" t="s">
        <v>636</v>
      </c>
      <c r="E7" s="2940" t="s">
        <v>2246</v>
      </c>
      <c r="F7" s="2940" t="s">
        <v>1451</v>
      </c>
      <c r="G7" s="2940" t="s">
        <v>2254</v>
      </c>
      <c r="H7" s="2940" t="s">
        <v>1035</v>
      </c>
      <c r="I7" s="2940" t="s">
        <v>1453</v>
      </c>
      <c r="J7" s="2940" t="s">
        <v>2248</v>
      </c>
      <c r="K7" s="2940" t="s">
        <v>643</v>
      </c>
      <c r="L7" s="2941">
        <v>39.19</v>
      </c>
      <c r="M7" s="2941">
        <v>17.39</v>
      </c>
      <c r="N7" s="2942">
        <v>1175700</v>
      </c>
      <c r="O7" s="2942">
        <v>1175700</v>
      </c>
    </row>
    <row r="8" spans="1:15">
      <c r="A8" s="2939">
        <v>7</v>
      </c>
      <c r="B8" s="2940">
        <v>1658</v>
      </c>
      <c r="C8" s="2940" t="s">
        <v>635</v>
      </c>
      <c r="D8" s="2940" t="s">
        <v>636</v>
      </c>
      <c r="E8" s="2940" t="s">
        <v>2246</v>
      </c>
      <c r="F8" s="2940" t="s">
        <v>1451</v>
      </c>
      <c r="G8" s="2940" t="s">
        <v>2255</v>
      </c>
      <c r="H8" s="2940" t="s">
        <v>1035</v>
      </c>
      <c r="I8" s="2940" t="s">
        <v>1453</v>
      </c>
      <c r="J8" s="2940" t="s">
        <v>2248</v>
      </c>
      <c r="K8" s="2940" t="s">
        <v>643</v>
      </c>
      <c r="L8" s="2941">
        <v>26.05</v>
      </c>
      <c r="M8" s="2941">
        <v>11.56</v>
      </c>
      <c r="N8" s="2942">
        <v>781500</v>
      </c>
      <c r="O8" s="2942">
        <v>781500</v>
      </c>
    </row>
    <row r="9" spans="1:15">
      <c r="A9" s="2939">
        <v>8</v>
      </c>
      <c r="B9" s="2940">
        <v>1659</v>
      </c>
      <c r="C9" s="2940" t="s">
        <v>635</v>
      </c>
      <c r="D9" s="2940" t="s">
        <v>636</v>
      </c>
      <c r="E9" s="2940" t="s">
        <v>2246</v>
      </c>
      <c r="F9" s="2940" t="s">
        <v>1451</v>
      </c>
      <c r="G9" s="2940" t="s">
        <v>2256</v>
      </c>
      <c r="H9" s="2940" t="s">
        <v>1035</v>
      </c>
      <c r="I9" s="2940" t="s">
        <v>1453</v>
      </c>
      <c r="J9" s="2940" t="s">
        <v>2248</v>
      </c>
      <c r="K9" s="2940" t="s">
        <v>643</v>
      </c>
      <c r="L9" s="2941">
        <v>22.02</v>
      </c>
      <c r="M9" s="2941">
        <v>9.77</v>
      </c>
      <c r="N9" s="2942">
        <v>660600</v>
      </c>
      <c r="O9" s="2942">
        <v>660600</v>
      </c>
    </row>
    <row r="10" spans="1:15">
      <c r="A10" s="2939">
        <v>9</v>
      </c>
      <c r="B10" s="2940">
        <v>1662</v>
      </c>
      <c r="C10" s="2940" t="s">
        <v>635</v>
      </c>
      <c r="D10" s="2940" t="s">
        <v>636</v>
      </c>
      <c r="E10" s="2940" t="s">
        <v>2246</v>
      </c>
      <c r="F10" s="2940" t="s">
        <v>1451</v>
      </c>
      <c r="G10" s="2940" t="s">
        <v>2257</v>
      </c>
      <c r="H10" s="2940" t="s">
        <v>1035</v>
      </c>
      <c r="I10" s="2940" t="s">
        <v>1453</v>
      </c>
      <c r="J10" s="2940" t="s">
        <v>2248</v>
      </c>
      <c r="K10" s="2940" t="s">
        <v>643</v>
      </c>
      <c r="L10" s="2941">
        <v>71.09</v>
      </c>
      <c r="M10" s="2941">
        <v>31.55</v>
      </c>
      <c r="N10" s="2942">
        <v>2132700</v>
      </c>
      <c r="O10" s="2942">
        <v>2132700</v>
      </c>
    </row>
    <row r="11" spans="1:15">
      <c r="A11" s="2939">
        <v>10</v>
      </c>
      <c r="B11" s="2940">
        <v>1665</v>
      </c>
      <c r="C11" s="2940" t="s">
        <v>635</v>
      </c>
      <c r="D11" s="2940" t="s">
        <v>636</v>
      </c>
      <c r="E11" s="2940" t="s">
        <v>2246</v>
      </c>
      <c r="F11" s="2940" t="s">
        <v>1455</v>
      </c>
      <c r="G11" s="2940" t="s">
        <v>1457</v>
      </c>
      <c r="H11" s="2940" t="s">
        <v>1035</v>
      </c>
      <c r="I11" s="2940" t="s">
        <v>1453</v>
      </c>
      <c r="J11" s="2940" t="s">
        <v>2248</v>
      </c>
      <c r="K11" s="2940" t="s">
        <v>643</v>
      </c>
      <c r="L11" s="2941">
        <v>29.95</v>
      </c>
      <c r="M11" s="2941">
        <v>10.85</v>
      </c>
      <c r="N11" s="2942">
        <v>898500</v>
      </c>
      <c r="O11" s="2942">
        <v>898500</v>
      </c>
    </row>
    <row r="12" spans="1:15">
      <c r="A12" s="2939">
        <v>11</v>
      </c>
      <c r="B12" s="2940">
        <v>1666</v>
      </c>
      <c r="C12" s="2940" t="s">
        <v>635</v>
      </c>
      <c r="D12" s="2940" t="s">
        <v>636</v>
      </c>
      <c r="E12" s="2940" t="s">
        <v>2246</v>
      </c>
      <c r="F12" s="2940" t="s">
        <v>1455</v>
      </c>
      <c r="G12" s="2940" t="s">
        <v>1458</v>
      </c>
      <c r="H12" s="2940" t="s">
        <v>1035</v>
      </c>
      <c r="I12" s="2940" t="s">
        <v>1453</v>
      </c>
      <c r="J12" s="2940" t="s">
        <v>2248</v>
      </c>
      <c r="K12" s="2940" t="s">
        <v>643</v>
      </c>
      <c r="L12" s="2941">
        <v>30.86</v>
      </c>
      <c r="M12" s="2941">
        <v>11.18</v>
      </c>
      <c r="N12" s="2942">
        <v>925800</v>
      </c>
      <c r="O12" s="2942">
        <v>925800</v>
      </c>
    </row>
    <row r="13" spans="1:15">
      <c r="A13" s="2939">
        <v>12</v>
      </c>
      <c r="B13" s="2940">
        <v>1667</v>
      </c>
      <c r="C13" s="2940" t="s">
        <v>635</v>
      </c>
      <c r="D13" s="2940" t="s">
        <v>636</v>
      </c>
      <c r="E13" s="2940" t="s">
        <v>2246</v>
      </c>
      <c r="F13" s="2940" t="s">
        <v>1455</v>
      </c>
      <c r="G13" s="2940" t="s">
        <v>645</v>
      </c>
      <c r="H13" s="2940" t="s">
        <v>1035</v>
      </c>
      <c r="I13" s="2940" t="s">
        <v>1453</v>
      </c>
      <c r="J13" s="2940" t="s">
        <v>2248</v>
      </c>
      <c r="K13" s="2940" t="s">
        <v>643</v>
      </c>
      <c r="L13" s="2941">
        <v>23.96</v>
      </c>
      <c r="M13" s="2941">
        <v>8.68</v>
      </c>
      <c r="N13" s="2942">
        <v>718800</v>
      </c>
      <c r="O13" s="2942">
        <v>718800</v>
      </c>
    </row>
    <row r="14" spans="1:15">
      <c r="A14" s="2939">
        <v>13</v>
      </c>
      <c r="B14" s="2940">
        <v>1669</v>
      </c>
      <c r="C14" s="2940" t="s">
        <v>635</v>
      </c>
      <c r="D14" s="2940" t="s">
        <v>636</v>
      </c>
      <c r="E14" s="2940" t="s">
        <v>2246</v>
      </c>
      <c r="F14" s="2940" t="s">
        <v>1455</v>
      </c>
      <c r="G14" s="2940" t="s">
        <v>2252</v>
      </c>
      <c r="H14" s="2940" t="s">
        <v>1035</v>
      </c>
      <c r="I14" s="2940" t="s">
        <v>1453</v>
      </c>
      <c r="J14" s="2940" t="s">
        <v>2248</v>
      </c>
      <c r="K14" s="2940" t="s">
        <v>643</v>
      </c>
      <c r="L14" s="2941">
        <v>35.520000000000003</v>
      </c>
      <c r="M14" s="2941">
        <v>12.87</v>
      </c>
      <c r="N14" s="2942">
        <v>1065600</v>
      </c>
      <c r="O14" s="2942">
        <v>1065600</v>
      </c>
    </row>
    <row r="15" spans="1:15">
      <c r="A15" s="2939">
        <v>14</v>
      </c>
      <c r="B15" s="2940">
        <v>1670</v>
      </c>
      <c r="C15" s="2940" t="s">
        <v>635</v>
      </c>
      <c r="D15" s="2940" t="s">
        <v>636</v>
      </c>
      <c r="E15" s="2940" t="s">
        <v>2246</v>
      </c>
      <c r="F15" s="2940" t="s">
        <v>1455</v>
      </c>
      <c r="G15" s="2940" t="s">
        <v>2253</v>
      </c>
      <c r="H15" s="2940" t="s">
        <v>1035</v>
      </c>
      <c r="I15" s="2940" t="s">
        <v>1453</v>
      </c>
      <c r="J15" s="2940" t="s">
        <v>2248</v>
      </c>
      <c r="K15" s="2940" t="s">
        <v>643</v>
      </c>
      <c r="L15" s="2941">
        <v>37.21</v>
      </c>
      <c r="M15" s="2941">
        <v>13.48</v>
      </c>
      <c r="N15" s="2942">
        <v>1116300</v>
      </c>
      <c r="O15" s="2942">
        <v>1116300</v>
      </c>
    </row>
    <row r="16" spans="1:15">
      <c r="A16" s="2939">
        <v>15</v>
      </c>
      <c r="B16" s="2940">
        <v>1671</v>
      </c>
      <c r="C16" s="2940" t="s">
        <v>635</v>
      </c>
      <c r="D16" s="2940" t="s">
        <v>636</v>
      </c>
      <c r="E16" s="2940" t="s">
        <v>2246</v>
      </c>
      <c r="F16" s="2940" t="s">
        <v>1455</v>
      </c>
      <c r="G16" s="2940" t="s">
        <v>2254</v>
      </c>
      <c r="H16" s="2940" t="s">
        <v>1035</v>
      </c>
      <c r="I16" s="2940" t="s">
        <v>1453</v>
      </c>
      <c r="J16" s="2940" t="s">
        <v>2248</v>
      </c>
      <c r="K16" s="2940" t="s">
        <v>643</v>
      </c>
      <c r="L16" s="2941">
        <v>33.090000000000003</v>
      </c>
      <c r="M16" s="2941">
        <v>11.99</v>
      </c>
      <c r="N16" s="2942">
        <v>992700</v>
      </c>
      <c r="O16" s="2942">
        <v>992700</v>
      </c>
    </row>
    <row r="17" spans="1:15">
      <c r="A17" s="2939">
        <v>16</v>
      </c>
      <c r="B17" s="2940">
        <v>1672</v>
      </c>
      <c r="C17" s="2940" t="s">
        <v>635</v>
      </c>
      <c r="D17" s="2940" t="s">
        <v>636</v>
      </c>
      <c r="E17" s="2940" t="s">
        <v>2246</v>
      </c>
      <c r="F17" s="2940" t="s">
        <v>1455</v>
      </c>
      <c r="G17" s="2940" t="s">
        <v>2255</v>
      </c>
      <c r="H17" s="2940" t="s">
        <v>1035</v>
      </c>
      <c r="I17" s="2940" t="s">
        <v>1453</v>
      </c>
      <c r="J17" s="2940" t="s">
        <v>2248</v>
      </c>
      <c r="K17" s="2940" t="s">
        <v>643</v>
      </c>
      <c r="L17" s="2941">
        <v>25.42</v>
      </c>
      <c r="M17" s="2941">
        <v>9.2100000000000009</v>
      </c>
      <c r="N17" s="2942">
        <v>762600</v>
      </c>
      <c r="O17" s="2942">
        <v>762600</v>
      </c>
    </row>
    <row r="18" spans="1:15">
      <c r="A18" s="2939">
        <v>17</v>
      </c>
      <c r="B18" s="2940">
        <v>1674</v>
      </c>
      <c r="C18" s="2940" t="s">
        <v>635</v>
      </c>
      <c r="D18" s="2940" t="s">
        <v>636</v>
      </c>
      <c r="E18" s="2940" t="s">
        <v>2246</v>
      </c>
      <c r="F18" s="2940" t="s">
        <v>1455</v>
      </c>
      <c r="G18" s="2940" t="s">
        <v>648</v>
      </c>
      <c r="H18" s="2940" t="s">
        <v>1035</v>
      </c>
      <c r="I18" s="2940" t="s">
        <v>1453</v>
      </c>
      <c r="J18" s="2940" t="s">
        <v>2248</v>
      </c>
      <c r="K18" s="2940" t="s">
        <v>643</v>
      </c>
      <c r="L18" s="2941">
        <v>38.61</v>
      </c>
      <c r="M18" s="2941">
        <v>13.99</v>
      </c>
      <c r="N18" s="2942">
        <v>1158300</v>
      </c>
      <c r="O18" s="2942">
        <v>1158300</v>
      </c>
    </row>
    <row r="19" spans="1:15">
      <c r="A19" s="2939">
        <v>18</v>
      </c>
      <c r="B19" s="2940">
        <v>1675</v>
      </c>
      <c r="C19" s="2940" t="s">
        <v>635</v>
      </c>
      <c r="D19" s="2940" t="s">
        <v>636</v>
      </c>
      <c r="E19" s="2940" t="s">
        <v>2246</v>
      </c>
      <c r="F19" s="2940" t="s">
        <v>1455</v>
      </c>
      <c r="G19" s="2940" t="s">
        <v>651</v>
      </c>
      <c r="H19" s="2940" t="s">
        <v>1035</v>
      </c>
      <c r="I19" s="2940" t="s">
        <v>1453</v>
      </c>
      <c r="J19" s="2940" t="s">
        <v>2248</v>
      </c>
      <c r="K19" s="2940" t="s">
        <v>643</v>
      </c>
      <c r="L19" s="2941">
        <v>37.18</v>
      </c>
      <c r="M19" s="2941">
        <v>13.47</v>
      </c>
      <c r="N19" s="2942">
        <v>1115400</v>
      </c>
      <c r="O19" s="2942">
        <v>1115400</v>
      </c>
    </row>
    <row r="20" spans="1:15">
      <c r="A20" s="2939">
        <v>20</v>
      </c>
      <c r="B20" s="2940">
        <v>1677</v>
      </c>
      <c r="C20" s="2940" t="s">
        <v>635</v>
      </c>
      <c r="D20" s="2940" t="s">
        <v>636</v>
      </c>
      <c r="E20" s="2940" t="s">
        <v>2246</v>
      </c>
      <c r="F20" s="2940" t="s">
        <v>1455</v>
      </c>
      <c r="G20" s="2940" t="s">
        <v>2259</v>
      </c>
      <c r="H20" s="2940" t="s">
        <v>1035</v>
      </c>
      <c r="I20" s="2940" t="s">
        <v>1453</v>
      </c>
      <c r="J20" s="2940" t="s">
        <v>2248</v>
      </c>
      <c r="K20" s="2940" t="s">
        <v>643</v>
      </c>
      <c r="L20" s="2941">
        <v>60.81</v>
      </c>
      <c r="M20" s="2941">
        <v>22.03</v>
      </c>
      <c r="N20" s="2942">
        <v>1824300</v>
      </c>
      <c r="O20" s="2942">
        <v>1824300</v>
      </c>
    </row>
    <row r="21" spans="1:15">
      <c r="A21" s="2939">
        <v>21</v>
      </c>
      <c r="B21" s="2940">
        <v>1678</v>
      </c>
      <c r="C21" s="2940" t="s">
        <v>635</v>
      </c>
      <c r="D21" s="2940" t="s">
        <v>636</v>
      </c>
      <c r="E21" s="2940" t="s">
        <v>2246</v>
      </c>
      <c r="F21" s="2940" t="s">
        <v>1455</v>
      </c>
      <c r="G21" s="2940" t="s">
        <v>2257</v>
      </c>
      <c r="H21" s="2940" t="s">
        <v>1035</v>
      </c>
      <c r="I21" s="2940" t="s">
        <v>1453</v>
      </c>
      <c r="J21" s="2940" t="s">
        <v>2248</v>
      </c>
      <c r="K21" s="2940" t="s">
        <v>643</v>
      </c>
      <c r="L21" s="2941">
        <v>37.21</v>
      </c>
      <c r="M21" s="2941">
        <v>13.48</v>
      </c>
      <c r="N21" s="2942">
        <v>1116300</v>
      </c>
      <c r="O21" s="2942">
        <v>1116300</v>
      </c>
    </row>
    <row r="22" spans="1:15">
      <c r="A22" s="2939">
        <v>22</v>
      </c>
      <c r="B22" s="2940">
        <v>1680</v>
      </c>
      <c r="C22" s="2940" t="s">
        <v>635</v>
      </c>
      <c r="D22" s="2940" t="s">
        <v>636</v>
      </c>
      <c r="E22" s="2940" t="s">
        <v>2246</v>
      </c>
      <c r="F22" s="2940" t="s">
        <v>1455</v>
      </c>
      <c r="G22" s="2940" t="s">
        <v>655</v>
      </c>
      <c r="H22" s="2940" t="s">
        <v>1035</v>
      </c>
      <c r="I22" s="2940" t="s">
        <v>1453</v>
      </c>
      <c r="J22" s="2940" t="s">
        <v>2248</v>
      </c>
      <c r="K22" s="2940" t="s">
        <v>643</v>
      </c>
      <c r="L22" s="2941">
        <v>25.2</v>
      </c>
      <c r="M22" s="2941">
        <v>9.1300000000000008</v>
      </c>
      <c r="N22" s="2942">
        <v>756000</v>
      </c>
      <c r="O22" s="2942">
        <v>756000</v>
      </c>
    </row>
    <row r="23" spans="1:15">
      <c r="A23" s="2939">
        <v>23</v>
      </c>
      <c r="B23" s="2940">
        <v>1682</v>
      </c>
      <c r="C23" s="2940" t="s">
        <v>635</v>
      </c>
      <c r="D23" s="2940" t="s">
        <v>636</v>
      </c>
      <c r="E23" s="2940" t="s">
        <v>2246</v>
      </c>
      <c r="F23" s="2940" t="s">
        <v>822</v>
      </c>
      <c r="G23" s="2940" t="s">
        <v>2249</v>
      </c>
      <c r="H23" s="2940" t="s">
        <v>1035</v>
      </c>
      <c r="I23" s="2940" t="s">
        <v>1453</v>
      </c>
      <c r="J23" s="2940" t="s">
        <v>2248</v>
      </c>
      <c r="K23" s="2940" t="s">
        <v>643</v>
      </c>
      <c r="L23" s="2941">
        <v>25.21</v>
      </c>
      <c r="M23" s="2941">
        <v>11.21</v>
      </c>
      <c r="N23" s="2942">
        <v>756300</v>
      </c>
      <c r="O23" s="2942">
        <v>756300</v>
      </c>
    </row>
    <row r="24" spans="1:15">
      <c r="A24" s="2939">
        <v>24</v>
      </c>
      <c r="B24" s="2940">
        <v>1683</v>
      </c>
      <c r="C24" s="2940" t="s">
        <v>635</v>
      </c>
      <c r="D24" s="2940" t="s">
        <v>636</v>
      </c>
      <c r="E24" s="2940" t="s">
        <v>2246</v>
      </c>
      <c r="F24" s="2940" t="s">
        <v>822</v>
      </c>
      <c r="G24" s="2940" t="s">
        <v>2250</v>
      </c>
      <c r="H24" s="2940" t="s">
        <v>1035</v>
      </c>
      <c r="I24" s="2940" t="s">
        <v>1453</v>
      </c>
      <c r="J24" s="2940" t="s">
        <v>2248</v>
      </c>
      <c r="K24" s="2940" t="s">
        <v>643</v>
      </c>
      <c r="L24" s="2941">
        <v>13.92</v>
      </c>
      <c r="M24" s="2941">
        <v>6.19</v>
      </c>
      <c r="N24" s="2942">
        <v>417600</v>
      </c>
      <c r="O24" s="2942">
        <v>417600</v>
      </c>
    </row>
    <row r="25" spans="1:15">
      <c r="A25" s="2939">
        <v>25</v>
      </c>
      <c r="B25" s="2940">
        <v>1685</v>
      </c>
      <c r="C25" s="2940" t="s">
        <v>635</v>
      </c>
      <c r="D25" s="2940" t="s">
        <v>636</v>
      </c>
      <c r="E25" s="2940" t="s">
        <v>2246</v>
      </c>
      <c r="F25" s="2940" t="s">
        <v>822</v>
      </c>
      <c r="G25" s="2940" t="s">
        <v>1458</v>
      </c>
      <c r="H25" s="2940" t="s">
        <v>1035</v>
      </c>
      <c r="I25" s="2940" t="s">
        <v>1453</v>
      </c>
      <c r="J25" s="2940" t="s">
        <v>2248</v>
      </c>
      <c r="K25" s="2940" t="s">
        <v>643</v>
      </c>
      <c r="L25" s="2941">
        <v>25.23</v>
      </c>
      <c r="M25" s="2941">
        <v>11.22</v>
      </c>
      <c r="N25" s="2942">
        <v>756900</v>
      </c>
      <c r="O25" s="2942">
        <v>756900</v>
      </c>
    </row>
    <row r="26" spans="1:15">
      <c r="A26" s="2939">
        <v>26</v>
      </c>
      <c r="B26" s="2940">
        <v>1686</v>
      </c>
      <c r="C26" s="2940" t="s">
        <v>635</v>
      </c>
      <c r="D26" s="2940" t="s">
        <v>636</v>
      </c>
      <c r="E26" s="2940" t="s">
        <v>2246</v>
      </c>
      <c r="F26" s="2940" t="s">
        <v>822</v>
      </c>
      <c r="G26" s="2940" t="s">
        <v>645</v>
      </c>
      <c r="H26" s="2940" t="s">
        <v>1035</v>
      </c>
      <c r="I26" s="2940" t="s">
        <v>1453</v>
      </c>
      <c r="J26" s="2940" t="s">
        <v>2248</v>
      </c>
      <c r="K26" s="2940" t="s">
        <v>643</v>
      </c>
      <c r="L26" s="2941">
        <v>25.23</v>
      </c>
      <c r="M26" s="2941">
        <v>11.22</v>
      </c>
      <c r="N26" s="2942">
        <v>756900</v>
      </c>
      <c r="O26" s="2942">
        <v>756900</v>
      </c>
    </row>
    <row r="27" spans="1:15">
      <c r="A27" s="2939">
        <v>27</v>
      </c>
      <c r="B27" s="2940">
        <v>1687</v>
      </c>
      <c r="C27" s="2940" t="s">
        <v>635</v>
      </c>
      <c r="D27" s="2940" t="s">
        <v>636</v>
      </c>
      <c r="E27" s="2940" t="s">
        <v>2246</v>
      </c>
      <c r="F27" s="2940" t="s">
        <v>822</v>
      </c>
      <c r="G27" s="2940" t="s">
        <v>2251</v>
      </c>
      <c r="H27" s="2940" t="s">
        <v>1035</v>
      </c>
      <c r="I27" s="2940" t="s">
        <v>1453</v>
      </c>
      <c r="J27" s="2940" t="s">
        <v>2248</v>
      </c>
      <c r="K27" s="2940" t="s">
        <v>643</v>
      </c>
      <c r="L27" s="2941">
        <v>43.67</v>
      </c>
      <c r="M27" s="2941">
        <v>19.420000000000002</v>
      </c>
      <c r="N27" s="2942">
        <v>1310100</v>
      </c>
      <c r="O27" s="2942">
        <v>1310100</v>
      </c>
    </row>
    <row r="28" spans="1:15">
      <c r="A28" s="2939">
        <v>28</v>
      </c>
      <c r="B28" s="2940">
        <v>1689</v>
      </c>
      <c r="C28" s="2940" t="s">
        <v>635</v>
      </c>
      <c r="D28" s="2940" t="s">
        <v>636</v>
      </c>
      <c r="E28" s="2940" t="s">
        <v>2246</v>
      </c>
      <c r="F28" s="2940" t="s">
        <v>822</v>
      </c>
      <c r="G28" s="2940" t="s">
        <v>2253</v>
      </c>
      <c r="H28" s="2940" t="s">
        <v>1035</v>
      </c>
      <c r="I28" s="2940" t="s">
        <v>1453</v>
      </c>
      <c r="J28" s="2940" t="s">
        <v>2248</v>
      </c>
      <c r="K28" s="2940" t="s">
        <v>643</v>
      </c>
      <c r="L28" s="2941">
        <v>13.25</v>
      </c>
      <c r="M28" s="2941">
        <v>5.89</v>
      </c>
      <c r="N28" s="2942">
        <v>397500</v>
      </c>
      <c r="O28" s="2942">
        <v>397500</v>
      </c>
    </row>
    <row r="29" spans="1:15">
      <c r="A29" s="2939">
        <v>29</v>
      </c>
      <c r="B29" s="2940">
        <v>1693</v>
      </c>
      <c r="C29" s="2940" t="s">
        <v>635</v>
      </c>
      <c r="D29" s="2940" t="s">
        <v>636</v>
      </c>
      <c r="E29" s="2940" t="s">
        <v>2246</v>
      </c>
      <c r="F29" s="2940" t="s">
        <v>822</v>
      </c>
      <c r="G29" s="2940" t="s">
        <v>648</v>
      </c>
      <c r="H29" s="2940" t="s">
        <v>1035</v>
      </c>
      <c r="I29" s="2940" t="s">
        <v>1453</v>
      </c>
      <c r="J29" s="2940" t="s">
        <v>2248</v>
      </c>
      <c r="K29" s="2940" t="s">
        <v>643</v>
      </c>
      <c r="L29" s="2941">
        <v>51.77</v>
      </c>
      <c r="M29" s="2941">
        <v>23.02</v>
      </c>
      <c r="N29" s="2942">
        <v>1553100</v>
      </c>
      <c r="O29" s="2942">
        <v>1553100</v>
      </c>
    </row>
    <row r="30" spans="1:15">
      <c r="A30" s="2939">
        <v>30</v>
      </c>
      <c r="B30" s="2940">
        <v>1695</v>
      </c>
      <c r="C30" s="2940" t="s">
        <v>635</v>
      </c>
      <c r="D30" s="2940" t="s">
        <v>636</v>
      </c>
      <c r="E30" s="2940" t="s">
        <v>2246</v>
      </c>
      <c r="F30" s="2940" t="s">
        <v>822</v>
      </c>
      <c r="G30" s="2940" t="s">
        <v>2261</v>
      </c>
      <c r="H30" s="2940" t="s">
        <v>1035</v>
      </c>
      <c r="I30" s="2940" t="s">
        <v>1453</v>
      </c>
      <c r="J30" s="2940" t="s">
        <v>2248</v>
      </c>
      <c r="K30" s="2940" t="s">
        <v>643</v>
      </c>
      <c r="L30" s="2941">
        <v>43.67</v>
      </c>
      <c r="M30" s="2941">
        <v>19.420000000000002</v>
      </c>
      <c r="N30" s="2942">
        <v>1310100</v>
      </c>
      <c r="O30" s="2942">
        <v>1310100</v>
      </c>
    </row>
    <row r="31" spans="1:15">
      <c r="A31" s="2939">
        <v>31</v>
      </c>
      <c r="B31" s="2940">
        <v>1696</v>
      </c>
      <c r="C31" s="2940" t="s">
        <v>635</v>
      </c>
      <c r="D31" s="2940" t="s">
        <v>636</v>
      </c>
      <c r="E31" s="2940" t="s">
        <v>2246</v>
      </c>
      <c r="F31" s="2940" t="s">
        <v>822</v>
      </c>
      <c r="G31" s="2940" t="s">
        <v>2258</v>
      </c>
      <c r="H31" s="2940" t="s">
        <v>1035</v>
      </c>
      <c r="I31" s="2940" t="s">
        <v>1453</v>
      </c>
      <c r="J31" s="2940" t="s">
        <v>2248</v>
      </c>
      <c r="K31" s="2940" t="s">
        <v>643</v>
      </c>
      <c r="L31" s="2941">
        <v>31.46</v>
      </c>
      <c r="M31" s="2941">
        <v>13.99</v>
      </c>
      <c r="N31" s="2942">
        <v>943800</v>
      </c>
      <c r="O31" s="2942">
        <v>943800</v>
      </c>
    </row>
    <row r="32" spans="1:15">
      <c r="A32" s="2939">
        <v>32</v>
      </c>
      <c r="B32" s="2940">
        <v>1697</v>
      </c>
      <c r="C32" s="2940" t="s">
        <v>635</v>
      </c>
      <c r="D32" s="2940" t="s">
        <v>636</v>
      </c>
      <c r="E32" s="2940" t="s">
        <v>2246</v>
      </c>
      <c r="F32" s="2940" t="s">
        <v>822</v>
      </c>
      <c r="G32" s="2940" t="s">
        <v>2259</v>
      </c>
      <c r="H32" s="2940" t="s">
        <v>1035</v>
      </c>
      <c r="I32" s="2940" t="s">
        <v>1453</v>
      </c>
      <c r="J32" s="2940" t="s">
        <v>2248</v>
      </c>
      <c r="K32" s="2940" t="s">
        <v>643</v>
      </c>
      <c r="L32" s="2941">
        <v>22.06</v>
      </c>
      <c r="M32" s="2941">
        <v>9.81</v>
      </c>
      <c r="N32" s="2942">
        <v>661800</v>
      </c>
      <c r="O32" s="2942">
        <v>661800</v>
      </c>
    </row>
    <row r="33" spans="1:15">
      <c r="A33" s="2939">
        <v>33</v>
      </c>
      <c r="B33" s="2940">
        <v>1699</v>
      </c>
      <c r="C33" s="2940" t="s">
        <v>635</v>
      </c>
      <c r="D33" s="2940" t="s">
        <v>636</v>
      </c>
      <c r="E33" s="2940" t="s">
        <v>2246</v>
      </c>
      <c r="F33" s="2940" t="s">
        <v>822</v>
      </c>
      <c r="G33" s="2940" t="s">
        <v>653</v>
      </c>
      <c r="H33" s="2940" t="s">
        <v>1035</v>
      </c>
      <c r="I33" s="2940" t="s">
        <v>1453</v>
      </c>
      <c r="J33" s="2940" t="s">
        <v>2248</v>
      </c>
      <c r="K33" s="2940" t="s">
        <v>643</v>
      </c>
      <c r="L33" s="2941">
        <v>55.75</v>
      </c>
      <c r="M33" s="2941">
        <v>24.79</v>
      </c>
      <c r="N33" s="2942">
        <v>1672500</v>
      </c>
      <c r="O33" s="2942">
        <v>1672500</v>
      </c>
    </row>
    <row r="34" spans="1:15">
      <c r="A34" s="2939">
        <v>34</v>
      </c>
      <c r="B34" s="2940">
        <v>1700</v>
      </c>
      <c r="C34" s="2940" t="s">
        <v>635</v>
      </c>
      <c r="D34" s="2940" t="s">
        <v>636</v>
      </c>
      <c r="E34" s="2940" t="s">
        <v>2246</v>
      </c>
      <c r="F34" s="2940" t="s">
        <v>822</v>
      </c>
      <c r="G34" s="2940" t="s">
        <v>655</v>
      </c>
      <c r="H34" s="2940" t="s">
        <v>1035</v>
      </c>
      <c r="I34" s="2940" t="s">
        <v>1453</v>
      </c>
      <c r="J34" s="2940" t="s">
        <v>2248</v>
      </c>
      <c r="K34" s="2940" t="s">
        <v>643</v>
      </c>
      <c r="L34" s="2941">
        <v>25.23</v>
      </c>
      <c r="M34" s="2941">
        <v>11.22</v>
      </c>
      <c r="N34" s="2942">
        <v>756900</v>
      </c>
      <c r="O34" s="2942">
        <v>756900</v>
      </c>
    </row>
    <row r="35" spans="1:15">
      <c r="A35" s="2939">
        <v>35</v>
      </c>
      <c r="B35" s="2940">
        <v>1701</v>
      </c>
      <c r="C35" s="2940" t="s">
        <v>635</v>
      </c>
      <c r="D35" s="2940" t="s">
        <v>636</v>
      </c>
      <c r="E35" s="2940" t="s">
        <v>2246</v>
      </c>
      <c r="F35" s="2940" t="s">
        <v>1456</v>
      </c>
      <c r="G35" s="2940" t="s">
        <v>2262</v>
      </c>
      <c r="H35" s="2940" t="s">
        <v>1035</v>
      </c>
      <c r="I35" s="2940" t="s">
        <v>1453</v>
      </c>
      <c r="J35" s="2940" t="s">
        <v>2248</v>
      </c>
      <c r="K35" s="2940" t="s">
        <v>643</v>
      </c>
      <c r="L35" s="2941">
        <v>18.05</v>
      </c>
      <c r="M35" s="2941">
        <v>8.5399999999999991</v>
      </c>
      <c r="N35" s="2942">
        <v>541500</v>
      </c>
      <c r="O35" s="2942">
        <v>541500</v>
      </c>
    </row>
    <row r="36" spans="1:15">
      <c r="A36" s="2939">
        <v>36</v>
      </c>
      <c r="B36" s="2940">
        <v>1702</v>
      </c>
      <c r="C36" s="2940" t="s">
        <v>635</v>
      </c>
      <c r="D36" s="2940" t="s">
        <v>636</v>
      </c>
      <c r="E36" s="2940" t="s">
        <v>2246</v>
      </c>
      <c r="F36" s="2940" t="s">
        <v>1456</v>
      </c>
      <c r="G36" s="2940" t="s">
        <v>2263</v>
      </c>
      <c r="H36" s="2940" t="s">
        <v>1035</v>
      </c>
      <c r="I36" s="2940" t="s">
        <v>1453</v>
      </c>
      <c r="J36" s="2940" t="s">
        <v>2248</v>
      </c>
      <c r="K36" s="2940" t="s">
        <v>643</v>
      </c>
      <c r="L36" s="2941">
        <v>11.14</v>
      </c>
      <c r="M36" s="2941">
        <v>5.27</v>
      </c>
      <c r="N36" s="2942">
        <v>334200</v>
      </c>
      <c r="O36" s="2942">
        <v>334200</v>
      </c>
    </row>
    <row r="37" spans="1:15">
      <c r="A37" s="2939">
        <v>37</v>
      </c>
      <c r="B37" s="2940">
        <v>1703</v>
      </c>
      <c r="C37" s="2940" t="s">
        <v>635</v>
      </c>
      <c r="D37" s="2940" t="s">
        <v>636</v>
      </c>
      <c r="E37" s="2940" t="s">
        <v>2246</v>
      </c>
      <c r="F37" s="2940" t="s">
        <v>1456</v>
      </c>
      <c r="G37" s="2940" t="s">
        <v>2264</v>
      </c>
      <c r="H37" s="2940" t="s">
        <v>1035</v>
      </c>
      <c r="I37" s="2940" t="s">
        <v>1453</v>
      </c>
      <c r="J37" s="2940" t="s">
        <v>2248</v>
      </c>
      <c r="K37" s="2940" t="s">
        <v>643</v>
      </c>
      <c r="L37" s="2941">
        <v>28.79</v>
      </c>
      <c r="M37" s="2941">
        <v>13.62</v>
      </c>
      <c r="N37" s="2942">
        <v>863700</v>
      </c>
      <c r="O37" s="2942">
        <v>863700</v>
      </c>
    </row>
    <row r="38" spans="1:15">
      <c r="A38" s="2939">
        <v>38</v>
      </c>
      <c r="B38" s="2940">
        <v>1704</v>
      </c>
      <c r="C38" s="2940" t="s">
        <v>635</v>
      </c>
      <c r="D38" s="2940" t="s">
        <v>636</v>
      </c>
      <c r="E38" s="2940" t="s">
        <v>2246</v>
      </c>
      <c r="F38" s="2940" t="s">
        <v>1456</v>
      </c>
      <c r="G38" s="2940" t="s">
        <v>2265</v>
      </c>
      <c r="H38" s="2940" t="s">
        <v>1035</v>
      </c>
      <c r="I38" s="2940" t="s">
        <v>1453</v>
      </c>
      <c r="J38" s="2940" t="s">
        <v>2248</v>
      </c>
      <c r="K38" s="2940" t="s">
        <v>643</v>
      </c>
      <c r="L38" s="2941">
        <v>24.45</v>
      </c>
      <c r="M38" s="2941">
        <v>11.57</v>
      </c>
      <c r="N38" s="2942">
        <v>733500</v>
      </c>
      <c r="O38" s="2942">
        <v>733500</v>
      </c>
    </row>
    <row r="39" spans="1:15">
      <c r="A39" s="2939">
        <v>39</v>
      </c>
      <c r="B39" s="2940">
        <v>1705</v>
      </c>
      <c r="C39" s="2940" t="s">
        <v>635</v>
      </c>
      <c r="D39" s="2940" t="s">
        <v>636</v>
      </c>
      <c r="E39" s="2940" t="s">
        <v>2246</v>
      </c>
      <c r="F39" s="2940" t="s">
        <v>1456</v>
      </c>
      <c r="G39" s="2940" t="s">
        <v>2266</v>
      </c>
      <c r="H39" s="2940" t="s">
        <v>1035</v>
      </c>
      <c r="I39" s="2940" t="s">
        <v>1453</v>
      </c>
      <c r="J39" s="2940" t="s">
        <v>2248</v>
      </c>
      <c r="K39" s="2940" t="s">
        <v>643</v>
      </c>
      <c r="L39" s="2941">
        <v>24.45</v>
      </c>
      <c r="M39" s="2941">
        <v>11.57</v>
      </c>
      <c r="N39" s="2942">
        <v>733500</v>
      </c>
      <c r="O39" s="2942">
        <v>733500</v>
      </c>
    </row>
    <row r="40" spans="1:15">
      <c r="A40" s="2939">
        <v>40</v>
      </c>
      <c r="B40" s="2940">
        <v>1706</v>
      </c>
      <c r="C40" s="2940" t="s">
        <v>635</v>
      </c>
      <c r="D40" s="2940" t="s">
        <v>636</v>
      </c>
      <c r="E40" s="2940" t="s">
        <v>2246</v>
      </c>
      <c r="F40" s="2940" t="s">
        <v>1456</v>
      </c>
      <c r="G40" s="2940" t="s">
        <v>2267</v>
      </c>
      <c r="H40" s="2940" t="s">
        <v>1035</v>
      </c>
      <c r="I40" s="2940" t="s">
        <v>1453</v>
      </c>
      <c r="J40" s="2940" t="s">
        <v>2248</v>
      </c>
      <c r="K40" s="2940" t="s">
        <v>643</v>
      </c>
      <c r="L40" s="2941">
        <v>28.79</v>
      </c>
      <c r="M40" s="2941">
        <v>13.62</v>
      </c>
      <c r="N40" s="2942">
        <v>863700</v>
      </c>
      <c r="O40" s="2942">
        <v>863700</v>
      </c>
    </row>
    <row r="41" spans="1:15">
      <c r="A41" s="2939">
        <v>41</v>
      </c>
      <c r="B41" s="2940">
        <v>1707</v>
      </c>
      <c r="C41" s="2940" t="s">
        <v>635</v>
      </c>
      <c r="D41" s="2940" t="s">
        <v>636</v>
      </c>
      <c r="E41" s="2940" t="s">
        <v>2246</v>
      </c>
      <c r="F41" s="2940" t="s">
        <v>1456</v>
      </c>
      <c r="G41" s="2940" t="s">
        <v>2247</v>
      </c>
      <c r="H41" s="2940" t="s">
        <v>1035</v>
      </c>
      <c r="I41" s="2940" t="s">
        <v>1453</v>
      </c>
      <c r="J41" s="2940" t="s">
        <v>2248</v>
      </c>
      <c r="K41" s="2940" t="s">
        <v>643</v>
      </c>
      <c r="L41" s="2941">
        <v>11.14</v>
      </c>
      <c r="M41" s="2941">
        <v>5.27</v>
      </c>
      <c r="N41" s="2942">
        <v>334200</v>
      </c>
      <c r="O41" s="2942">
        <v>334200</v>
      </c>
    </row>
    <row r="42" spans="1:15">
      <c r="A42" s="2939">
        <v>42</v>
      </c>
      <c r="B42" s="2940">
        <v>1708</v>
      </c>
      <c r="C42" s="2940" t="s">
        <v>635</v>
      </c>
      <c r="D42" s="2940" t="s">
        <v>636</v>
      </c>
      <c r="E42" s="2940" t="s">
        <v>2246</v>
      </c>
      <c r="F42" s="2940" t="s">
        <v>1456</v>
      </c>
      <c r="G42" s="2940" t="s">
        <v>2249</v>
      </c>
      <c r="H42" s="2940" t="s">
        <v>1035</v>
      </c>
      <c r="I42" s="2940" t="s">
        <v>1453</v>
      </c>
      <c r="J42" s="2940" t="s">
        <v>2248</v>
      </c>
      <c r="K42" s="2940" t="s">
        <v>643</v>
      </c>
      <c r="L42" s="2941">
        <v>18.05</v>
      </c>
      <c r="M42" s="2941">
        <v>8.5399999999999991</v>
      </c>
      <c r="N42" s="2942">
        <v>541500</v>
      </c>
      <c r="O42" s="2942">
        <v>541500</v>
      </c>
    </row>
    <row r="43" spans="1:15">
      <c r="A43" s="2939">
        <v>43</v>
      </c>
      <c r="B43" s="2940">
        <v>1709</v>
      </c>
      <c r="C43" s="2940" t="s">
        <v>635</v>
      </c>
      <c r="D43" s="2940" t="s">
        <v>636</v>
      </c>
      <c r="E43" s="2940" t="s">
        <v>2246</v>
      </c>
      <c r="F43" s="2940" t="s">
        <v>1456</v>
      </c>
      <c r="G43" s="2940" t="s">
        <v>2250</v>
      </c>
      <c r="H43" s="2940" t="s">
        <v>1035</v>
      </c>
      <c r="I43" s="2940" t="s">
        <v>1453</v>
      </c>
      <c r="J43" s="2940" t="s">
        <v>2248</v>
      </c>
      <c r="K43" s="2940" t="s">
        <v>643</v>
      </c>
      <c r="L43" s="2941">
        <v>23.71</v>
      </c>
      <c r="M43" s="2941">
        <v>11.22</v>
      </c>
      <c r="N43" s="2942">
        <v>711300</v>
      </c>
      <c r="O43" s="2942">
        <v>711300</v>
      </c>
    </row>
    <row r="44" spans="1:15">
      <c r="A44" s="2939">
        <v>44</v>
      </c>
      <c r="B44" s="2940">
        <v>1710</v>
      </c>
      <c r="C44" s="2940" t="s">
        <v>635</v>
      </c>
      <c r="D44" s="2940" t="s">
        <v>636</v>
      </c>
      <c r="E44" s="2940" t="s">
        <v>2246</v>
      </c>
      <c r="F44" s="2940" t="s">
        <v>1456</v>
      </c>
      <c r="G44" s="2940" t="s">
        <v>645</v>
      </c>
      <c r="H44" s="2940" t="s">
        <v>1035</v>
      </c>
      <c r="I44" s="2940" t="s">
        <v>1453</v>
      </c>
      <c r="J44" s="2940" t="s">
        <v>2248</v>
      </c>
      <c r="K44" s="2940" t="s">
        <v>643</v>
      </c>
      <c r="L44" s="2941">
        <v>23.71</v>
      </c>
      <c r="M44" s="2941">
        <v>11.22</v>
      </c>
      <c r="N44" s="2942">
        <v>711300</v>
      </c>
      <c r="O44" s="2942">
        <v>711300</v>
      </c>
    </row>
    <row r="45" spans="1:15">
      <c r="A45" s="2939">
        <v>45</v>
      </c>
      <c r="B45" s="2940">
        <v>1711</v>
      </c>
      <c r="C45" s="2940" t="s">
        <v>635</v>
      </c>
      <c r="D45" s="2940" t="s">
        <v>636</v>
      </c>
      <c r="E45" s="2940" t="s">
        <v>2246</v>
      </c>
      <c r="F45" s="2940" t="s">
        <v>1456</v>
      </c>
      <c r="G45" s="2940" t="s">
        <v>2268</v>
      </c>
      <c r="H45" s="2940" t="s">
        <v>1035</v>
      </c>
      <c r="I45" s="2940" t="s">
        <v>1453</v>
      </c>
      <c r="J45" s="2940" t="s">
        <v>2248</v>
      </c>
      <c r="K45" s="2940" t="s">
        <v>643</v>
      </c>
      <c r="L45" s="2941">
        <v>22.28</v>
      </c>
      <c r="M45" s="2941">
        <v>10.54</v>
      </c>
      <c r="N45" s="2942">
        <v>668400</v>
      </c>
      <c r="O45" s="2942">
        <v>668400</v>
      </c>
    </row>
    <row r="46" spans="1:15">
      <c r="A46" s="2939">
        <v>46</v>
      </c>
      <c r="B46" s="2940">
        <v>1712</v>
      </c>
      <c r="C46" s="2940" t="s">
        <v>635</v>
      </c>
      <c r="D46" s="2940" t="s">
        <v>636</v>
      </c>
      <c r="E46" s="2940" t="s">
        <v>2246</v>
      </c>
      <c r="F46" s="2940" t="s">
        <v>1456</v>
      </c>
      <c r="G46" s="2940" t="s">
        <v>2269</v>
      </c>
      <c r="H46" s="2940" t="s">
        <v>1035</v>
      </c>
      <c r="I46" s="2940" t="s">
        <v>1453</v>
      </c>
      <c r="J46" s="2940" t="s">
        <v>2248</v>
      </c>
      <c r="K46" s="2940" t="s">
        <v>643</v>
      </c>
      <c r="L46" s="2941">
        <v>17.23</v>
      </c>
      <c r="M46" s="2941">
        <v>8.15</v>
      </c>
      <c r="N46" s="2942">
        <v>516900</v>
      </c>
      <c r="O46" s="2942">
        <v>516900</v>
      </c>
    </row>
    <row r="47" spans="1:15">
      <c r="A47" s="2939">
        <v>47</v>
      </c>
      <c r="B47" s="2940">
        <v>1713</v>
      </c>
      <c r="C47" s="2940" t="s">
        <v>635</v>
      </c>
      <c r="D47" s="2940" t="s">
        <v>636</v>
      </c>
      <c r="E47" s="2940" t="s">
        <v>2246</v>
      </c>
      <c r="F47" s="2940" t="s">
        <v>1456</v>
      </c>
      <c r="G47" s="2940" t="s">
        <v>2270</v>
      </c>
      <c r="H47" s="2940" t="s">
        <v>1035</v>
      </c>
      <c r="I47" s="2940" t="s">
        <v>1453</v>
      </c>
      <c r="J47" s="2940" t="s">
        <v>2248</v>
      </c>
      <c r="K47" s="2940" t="s">
        <v>643</v>
      </c>
      <c r="L47" s="2941">
        <v>17.23</v>
      </c>
      <c r="M47" s="2941">
        <v>8.15</v>
      </c>
      <c r="N47" s="2942">
        <v>516900</v>
      </c>
      <c r="O47" s="2942">
        <v>516900</v>
      </c>
    </row>
    <row r="48" spans="1:15">
      <c r="A48" s="2939">
        <v>48</v>
      </c>
      <c r="B48" s="2940">
        <v>1715</v>
      </c>
      <c r="C48" s="2940" t="s">
        <v>635</v>
      </c>
      <c r="D48" s="2940" t="s">
        <v>636</v>
      </c>
      <c r="E48" s="2940" t="s">
        <v>2246</v>
      </c>
      <c r="F48" s="2940" t="s">
        <v>1456</v>
      </c>
      <c r="G48" s="2940" t="s">
        <v>2272</v>
      </c>
      <c r="H48" s="2940" t="s">
        <v>1035</v>
      </c>
      <c r="I48" s="2940" t="s">
        <v>1453</v>
      </c>
      <c r="J48" s="2940" t="s">
        <v>2248</v>
      </c>
      <c r="K48" s="2940" t="s">
        <v>643</v>
      </c>
      <c r="L48" s="2941">
        <v>23.67</v>
      </c>
      <c r="M48" s="2941">
        <v>11.2</v>
      </c>
      <c r="N48" s="2942">
        <v>710100</v>
      </c>
      <c r="O48" s="2942">
        <v>710100</v>
      </c>
    </row>
    <row r="49" spans="1:15">
      <c r="A49" s="2939">
        <v>49</v>
      </c>
      <c r="B49" s="2940">
        <v>1716</v>
      </c>
      <c r="C49" s="2940" t="s">
        <v>635</v>
      </c>
      <c r="D49" s="2940" t="s">
        <v>636</v>
      </c>
      <c r="E49" s="2940" t="s">
        <v>2246</v>
      </c>
      <c r="F49" s="2940" t="s">
        <v>1456</v>
      </c>
      <c r="G49" s="2940" t="s">
        <v>2273</v>
      </c>
      <c r="H49" s="2940" t="s">
        <v>1035</v>
      </c>
      <c r="I49" s="2940" t="s">
        <v>1453</v>
      </c>
      <c r="J49" s="2940" t="s">
        <v>2248</v>
      </c>
      <c r="K49" s="2940" t="s">
        <v>643</v>
      </c>
      <c r="L49" s="2941">
        <v>56.12</v>
      </c>
      <c r="M49" s="2941">
        <v>26.55</v>
      </c>
      <c r="N49" s="2942">
        <v>1683600</v>
      </c>
      <c r="O49" s="2942">
        <v>1683600</v>
      </c>
    </row>
    <row r="50" spans="1:15">
      <c r="A50" s="2939">
        <v>50</v>
      </c>
      <c r="B50" s="2940">
        <v>1717</v>
      </c>
      <c r="C50" s="2940" t="s">
        <v>635</v>
      </c>
      <c r="D50" s="2940" t="s">
        <v>636</v>
      </c>
      <c r="E50" s="2940" t="s">
        <v>2246</v>
      </c>
      <c r="F50" s="2940" t="s">
        <v>1456</v>
      </c>
      <c r="G50" s="2940" t="s">
        <v>2274</v>
      </c>
      <c r="H50" s="2940" t="s">
        <v>1035</v>
      </c>
      <c r="I50" s="2940" t="s">
        <v>1453</v>
      </c>
      <c r="J50" s="2940" t="s">
        <v>2248</v>
      </c>
      <c r="K50" s="2940" t="s">
        <v>643</v>
      </c>
      <c r="L50" s="2941">
        <v>21.56</v>
      </c>
      <c r="M50" s="2941">
        <v>10.199999999999999</v>
      </c>
      <c r="N50" s="2942">
        <v>646800</v>
      </c>
      <c r="O50" s="2942">
        <v>646800</v>
      </c>
    </row>
    <row r="51" spans="1:15">
      <c r="A51" s="2939">
        <v>51</v>
      </c>
      <c r="B51" s="2940">
        <v>1718</v>
      </c>
      <c r="C51" s="2940" t="s">
        <v>635</v>
      </c>
      <c r="D51" s="2940" t="s">
        <v>636</v>
      </c>
      <c r="E51" s="2940" t="s">
        <v>2246</v>
      </c>
      <c r="F51" s="2940" t="s">
        <v>1456</v>
      </c>
      <c r="G51" s="2940" t="s">
        <v>2275</v>
      </c>
      <c r="H51" s="2940" t="s">
        <v>1035</v>
      </c>
      <c r="I51" s="2940" t="s">
        <v>1453</v>
      </c>
      <c r="J51" s="2940" t="s">
        <v>2248</v>
      </c>
      <c r="K51" s="2940" t="s">
        <v>643</v>
      </c>
      <c r="L51" s="2941">
        <v>21.05</v>
      </c>
      <c r="M51" s="2941">
        <v>9.9600000000000009</v>
      </c>
      <c r="N51" s="2942">
        <v>631500</v>
      </c>
      <c r="O51" s="2942">
        <v>631500</v>
      </c>
    </row>
    <row r="52" spans="1:15">
      <c r="A52" s="2939">
        <v>52</v>
      </c>
      <c r="B52" s="2940">
        <v>1719</v>
      </c>
      <c r="C52" s="2940" t="s">
        <v>635</v>
      </c>
      <c r="D52" s="2940" t="s">
        <v>636</v>
      </c>
      <c r="E52" s="2940" t="s">
        <v>2246</v>
      </c>
      <c r="F52" s="2940" t="s">
        <v>1456</v>
      </c>
      <c r="G52" s="2940" t="s">
        <v>2276</v>
      </c>
      <c r="H52" s="2940" t="s">
        <v>1035</v>
      </c>
      <c r="I52" s="2940" t="s">
        <v>1453</v>
      </c>
      <c r="J52" s="2940" t="s">
        <v>2248</v>
      </c>
      <c r="K52" s="2940" t="s">
        <v>643</v>
      </c>
      <c r="L52" s="2941">
        <v>16.36</v>
      </c>
      <c r="M52" s="2941">
        <v>7.74</v>
      </c>
      <c r="N52" s="2942">
        <v>490800</v>
      </c>
      <c r="O52" s="2942">
        <v>490800</v>
      </c>
    </row>
    <row r="53" spans="1:15">
      <c r="A53" s="2939">
        <v>53</v>
      </c>
      <c r="B53" s="2940">
        <v>1721</v>
      </c>
      <c r="C53" s="2940" t="s">
        <v>635</v>
      </c>
      <c r="D53" s="2940" t="s">
        <v>636</v>
      </c>
      <c r="E53" s="2940" t="s">
        <v>2246</v>
      </c>
      <c r="F53" s="2940" t="s">
        <v>1456</v>
      </c>
      <c r="G53" s="2940" t="s">
        <v>2252</v>
      </c>
      <c r="H53" s="2940" t="s">
        <v>1035</v>
      </c>
      <c r="I53" s="2940" t="s">
        <v>1453</v>
      </c>
      <c r="J53" s="2940" t="s">
        <v>2248</v>
      </c>
      <c r="K53" s="2940" t="s">
        <v>643</v>
      </c>
      <c r="L53" s="2941">
        <v>19.78</v>
      </c>
      <c r="M53" s="2941">
        <v>9.36</v>
      </c>
      <c r="N53" s="2942">
        <v>593400</v>
      </c>
      <c r="O53" s="2942">
        <v>593400</v>
      </c>
    </row>
    <row r="54" spans="1:15">
      <c r="A54" s="2939">
        <v>54</v>
      </c>
      <c r="B54" s="2940">
        <v>1722</v>
      </c>
      <c r="C54" s="2940" t="s">
        <v>635</v>
      </c>
      <c r="D54" s="2940" t="s">
        <v>636</v>
      </c>
      <c r="E54" s="2940" t="s">
        <v>2246</v>
      </c>
      <c r="F54" s="2940" t="s">
        <v>1456</v>
      </c>
      <c r="G54" s="2940" t="s">
        <v>2253</v>
      </c>
      <c r="H54" s="2940" t="s">
        <v>1035</v>
      </c>
      <c r="I54" s="2940" t="s">
        <v>1453</v>
      </c>
      <c r="J54" s="2940" t="s">
        <v>2248</v>
      </c>
      <c r="K54" s="2940" t="s">
        <v>643</v>
      </c>
      <c r="L54" s="2941">
        <v>15.34</v>
      </c>
      <c r="M54" s="2941">
        <v>7.26</v>
      </c>
      <c r="N54" s="2942">
        <v>460200</v>
      </c>
      <c r="O54" s="2942">
        <v>460200</v>
      </c>
    </row>
    <row r="55" spans="1:15">
      <c r="A55" s="2939">
        <v>55</v>
      </c>
      <c r="B55" s="2940">
        <v>1723</v>
      </c>
      <c r="C55" s="2940" t="s">
        <v>635</v>
      </c>
      <c r="D55" s="2940" t="s">
        <v>636</v>
      </c>
      <c r="E55" s="2940" t="s">
        <v>2246</v>
      </c>
      <c r="F55" s="2940" t="s">
        <v>1456</v>
      </c>
      <c r="G55" s="2940" t="s">
        <v>2254</v>
      </c>
      <c r="H55" s="2940" t="s">
        <v>1035</v>
      </c>
      <c r="I55" s="2940" t="s">
        <v>1453</v>
      </c>
      <c r="J55" s="2940" t="s">
        <v>2248</v>
      </c>
      <c r="K55" s="2940" t="s">
        <v>643</v>
      </c>
      <c r="L55" s="2941">
        <v>16.36</v>
      </c>
      <c r="M55" s="2941">
        <v>7.74</v>
      </c>
      <c r="N55" s="2942">
        <v>490800</v>
      </c>
      <c r="O55" s="2942">
        <v>490800</v>
      </c>
    </row>
    <row r="56" spans="1:15">
      <c r="A56" s="2939">
        <v>56</v>
      </c>
      <c r="B56" s="2940">
        <v>1724</v>
      </c>
      <c r="C56" s="2940" t="s">
        <v>635</v>
      </c>
      <c r="D56" s="2940" t="s">
        <v>636</v>
      </c>
      <c r="E56" s="2940" t="s">
        <v>2246</v>
      </c>
      <c r="F56" s="2940" t="s">
        <v>1456</v>
      </c>
      <c r="G56" s="2940" t="s">
        <v>2255</v>
      </c>
      <c r="H56" s="2940" t="s">
        <v>1035</v>
      </c>
      <c r="I56" s="2940" t="s">
        <v>1453</v>
      </c>
      <c r="J56" s="2940" t="s">
        <v>2248</v>
      </c>
      <c r="K56" s="2940" t="s">
        <v>643</v>
      </c>
      <c r="L56" s="2941">
        <v>21.05</v>
      </c>
      <c r="M56" s="2941">
        <v>9.9600000000000009</v>
      </c>
      <c r="N56" s="2942">
        <v>631500</v>
      </c>
      <c r="O56" s="2942">
        <v>631500</v>
      </c>
    </row>
    <row r="57" spans="1:15">
      <c r="A57" s="2939">
        <v>57</v>
      </c>
      <c r="B57" s="2940">
        <v>1725</v>
      </c>
      <c r="C57" s="2940" t="s">
        <v>635</v>
      </c>
      <c r="D57" s="2940" t="s">
        <v>636</v>
      </c>
      <c r="E57" s="2940" t="s">
        <v>2246</v>
      </c>
      <c r="F57" s="2940" t="s">
        <v>1456</v>
      </c>
      <c r="G57" s="2940" t="s">
        <v>2256</v>
      </c>
      <c r="H57" s="2940" t="s">
        <v>1035</v>
      </c>
      <c r="I57" s="2940" t="s">
        <v>1453</v>
      </c>
      <c r="J57" s="2940" t="s">
        <v>2248</v>
      </c>
      <c r="K57" s="2940" t="s">
        <v>643</v>
      </c>
      <c r="L57" s="2941">
        <v>23.27</v>
      </c>
      <c r="M57" s="2941">
        <v>11.01</v>
      </c>
      <c r="N57" s="2942">
        <v>698100</v>
      </c>
      <c r="O57" s="2942">
        <v>698100</v>
      </c>
    </row>
    <row r="58" spans="1:15">
      <c r="A58" s="2939">
        <v>58</v>
      </c>
      <c r="B58" s="2940">
        <v>1726</v>
      </c>
      <c r="C58" s="2940" t="s">
        <v>635</v>
      </c>
      <c r="D58" s="2940" t="s">
        <v>636</v>
      </c>
      <c r="E58" s="2940" t="s">
        <v>2246</v>
      </c>
      <c r="F58" s="2940" t="s">
        <v>1456</v>
      </c>
      <c r="G58" s="2940" t="s">
        <v>648</v>
      </c>
      <c r="H58" s="2940" t="s">
        <v>1035</v>
      </c>
      <c r="I58" s="2940" t="s">
        <v>1453</v>
      </c>
      <c r="J58" s="2940" t="s">
        <v>2248</v>
      </c>
      <c r="K58" s="2940" t="s">
        <v>643</v>
      </c>
      <c r="L58" s="2941">
        <v>56.12</v>
      </c>
      <c r="M58" s="2941">
        <v>26.55</v>
      </c>
      <c r="N58" s="2942">
        <v>1683600</v>
      </c>
      <c r="O58" s="2942">
        <v>1683600</v>
      </c>
    </row>
    <row r="59" spans="1:15">
      <c r="A59" s="2939">
        <v>59</v>
      </c>
      <c r="B59" s="2940">
        <v>1727</v>
      </c>
      <c r="C59" s="2940" t="s">
        <v>635</v>
      </c>
      <c r="D59" s="2940" t="s">
        <v>636</v>
      </c>
      <c r="E59" s="2940" t="s">
        <v>2246</v>
      </c>
      <c r="F59" s="2940" t="s">
        <v>1456</v>
      </c>
      <c r="G59" s="2940" t="s">
        <v>651</v>
      </c>
      <c r="H59" s="2940" t="s">
        <v>1035</v>
      </c>
      <c r="I59" s="2940" t="s">
        <v>1453</v>
      </c>
      <c r="J59" s="2940" t="s">
        <v>2248</v>
      </c>
      <c r="K59" s="2940" t="s">
        <v>643</v>
      </c>
      <c r="L59" s="2941">
        <v>23.61</v>
      </c>
      <c r="M59" s="2941">
        <v>11.17</v>
      </c>
      <c r="N59" s="2942">
        <v>708300</v>
      </c>
      <c r="O59" s="2942">
        <v>708300</v>
      </c>
    </row>
    <row r="60" spans="1:15">
      <c r="A60" s="2939">
        <v>60</v>
      </c>
      <c r="B60" s="2940">
        <v>1728</v>
      </c>
      <c r="C60" s="2940" t="s">
        <v>635</v>
      </c>
      <c r="D60" s="2940" t="s">
        <v>636</v>
      </c>
      <c r="E60" s="2940" t="s">
        <v>2246</v>
      </c>
      <c r="F60" s="2940" t="s">
        <v>1456</v>
      </c>
      <c r="G60" s="2940" t="s">
        <v>2277</v>
      </c>
      <c r="H60" s="2940" t="s">
        <v>1035</v>
      </c>
      <c r="I60" s="2940" t="s">
        <v>1453</v>
      </c>
      <c r="J60" s="2940" t="s">
        <v>2248</v>
      </c>
      <c r="K60" s="2940" t="s">
        <v>643</v>
      </c>
      <c r="L60" s="2941">
        <v>18.850000000000001</v>
      </c>
      <c r="M60" s="2941">
        <v>8.92</v>
      </c>
      <c r="N60" s="2942">
        <v>565500</v>
      </c>
      <c r="O60" s="2942">
        <v>565500</v>
      </c>
    </row>
    <row r="61" spans="1:15">
      <c r="A61" s="2939">
        <v>61</v>
      </c>
      <c r="B61" s="2940">
        <v>1729</v>
      </c>
      <c r="C61" s="2940" t="s">
        <v>635</v>
      </c>
      <c r="D61" s="2940" t="s">
        <v>636</v>
      </c>
      <c r="E61" s="2940" t="s">
        <v>2246</v>
      </c>
      <c r="F61" s="2940" t="s">
        <v>1456</v>
      </c>
      <c r="G61" s="2940" t="s">
        <v>2278</v>
      </c>
      <c r="H61" s="2940" t="s">
        <v>1035</v>
      </c>
      <c r="I61" s="2940" t="s">
        <v>1453</v>
      </c>
      <c r="J61" s="2940" t="s">
        <v>2248</v>
      </c>
      <c r="K61" s="2940" t="s">
        <v>643</v>
      </c>
      <c r="L61" s="2941">
        <v>18.850000000000001</v>
      </c>
      <c r="M61" s="2941">
        <v>8.92</v>
      </c>
      <c r="N61" s="2942">
        <v>565500</v>
      </c>
      <c r="O61" s="2942">
        <v>565500</v>
      </c>
    </row>
    <row r="62" spans="1:15">
      <c r="A62" s="2939">
        <v>62</v>
      </c>
      <c r="B62" s="2940">
        <v>1730</v>
      </c>
      <c r="C62" s="2940" t="s">
        <v>635</v>
      </c>
      <c r="D62" s="2940" t="s">
        <v>636</v>
      </c>
      <c r="E62" s="2940" t="s">
        <v>2246</v>
      </c>
      <c r="F62" s="2940" t="s">
        <v>1456</v>
      </c>
      <c r="G62" s="2940" t="s">
        <v>2279</v>
      </c>
      <c r="H62" s="2940" t="s">
        <v>1035</v>
      </c>
      <c r="I62" s="2940" t="s">
        <v>1453</v>
      </c>
      <c r="J62" s="2940" t="s">
        <v>2248</v>
      </c>
      <c r="K62" s="2940" t="s">
        <v>643</v>
      </c>
      <c r="L62" s="2941">
        <v>24.33</v>
      </c>
      <c r="M62" s="2941">
        <v>11.51</v>
      </c>
      <c r="N62" s="2942">
        <v>729900</v>
      </c>
      <c r="O62" s="2942">
        <v>729900</v>
      </c>
    </row>
    <row r="63" spans="1:15">
      <c r="A63" s="2939">
        <v>63</v>
      </c>
      <c r="B63" s="2940">
        <v>1731</v>
      </c>
      <c r="C63" s="2940" t="s">
        <v>635</v>
      </c>
      <c r="D63" s="2940" t="s">
        <v>636</v>
      </c>
      <c r="E63" s="2940" t="s">
        <v>2246</v>
      </c>
      <c r="F63" s="2940" t="s">
        <v>1456</v>
      </c>
      <c r="G63" s="2940" t="s">
        <v>2280</v>
      </c>
      <c r="H63" s="2940" t="s">
        <v>1035</v>
      </c>
      <c r="I63" s="2940" t="s">
        <v>1453</v>
      </c>
      <c r="J63" s="2940" t="s">
        <v>2248</v>
      </c>
      <c r="K63" s="2940" t="s">
        <v>643</v>
      </c>
      <c r="L63" s="2941">
        <v>14.31</v>
      </c>
      <c r="M63" s="2941">
        <v>6.77</v>
      </c>
      <c r="N63" s="2942">
        <v>429300</v>
      </c>
      <c r="O63" s="2942">
        <v>429300</v>
      </c>
    </row>
    <row r="64" spans="1:15">
      <c r="A64" s="2939">
        <v>64</v>
      </c>
      <c r="B64" s="2940">
        <v>1732</v>
      </c>
      <c r="C64" s="2940" t="s">
        <v>635</v>
      </c>
      <c r="D64" s="2940" t="s">
        <v>636</v>
      </c>
      <c r="E64" s="2940" t="s">
        <v>2246</v>
      </c>
      <c r="F64" s="2940" t="s">
        <v>1456</v>
      </c>
      <c r="G64" s="2940" t="s">
        <v>2281</v>
      </c>
      <c r="H64" s="2940" t="s">
        <v>1035</v>
      </c>
      <c r="I64" s="2940" t="s">
        <v>1453</v>
      </c>
      <c r="J64" s="2940" t="s">
        <v>2248</v>
      </c>
      <c r="K64" s="2940" t="s">
        <v>643</v>
      </c>
      <c r="L64" s="2941">
        <v>13.42</v>
      </c>
      <c r="M64" s="2941">
        <v>6.35</v>
      </c>
      <c r="N64" s="2942">
        <v>402600</v>
      </c>
      <c r="O64" s="2942">
        <v>402600</v>
      </c>
    </row>
    <row r="65" spans="1:15">
      <c r="A65" s="2939">
        <v>65</v>
      </c>
      <c r="B65" s="2940">
        <v>1733</v>
      </c>
      <c r="C65" s="2940" t="s">
        <v>635</v>
      </c>
      <c r="D65" s="2940" t="s">
        <v>636</v>
      </c>
      <c r="E65" s="2940" t="s">
        <v>2246</v>
      </c>
      <c r="F65" s="2940" t="s">
        <v>1456</v>
      </c>
      <c r="G65" s="2940" t="s">
        <v>2282</v>
      </c>
      <c r="H65" s="2940" t="s">
        <v>1035</v>
      </c>
      <c r="I65" s="2940" t="s">
        <v>1453</v>
      </c>
      <c r="J65" s="2940" t="s">
        <v>2248</v>
      </c>
      <c r="K65" s="2940" t="s">
        <v>643</v>
      </c>
      <c r="L65" s="2941">
        <v>19.78</v>
      </c>
      <c r="M65" s="2941">
        <v>9.36</v>
      </c>
      <c r="N65" s="2942">
        <v>593400</v>
      </c>
      <c r="O65" s="2942">
        <v>593400</v>
      </c>
    </row>
    <row r="66" spans="1:15">
      <c r="A66" s="2939">
        <v>66</v>
      </c>
      <c r="B66" s="2940">
        <v>1734</v>
      </c>
      <c r="C66" s="2940" t="s">
        <v>635</v>
      </c>
      <c r="D66" s="2940" t="s">
        <v>636</v>
      </c>
      <c r="E66" s="2940" t="s">
        <v>2246</v>
      </c>
      <c r="F66" s="2940" t="s">
        <v>1456</v>
      </c>
      <c r="G66" s="2940" t="s">
        <v>2283</v>
      </c>
      <c r="H66" s="2940" t="s">
        <v>1035</v>
      </c>
      <c r="I66" s="2940" t="s">
        <v>1453</v>
      </c>
      <c r="J66" s="2940" t="s">
        <v>2248</v>
      </c>
      <c r="K66" s="2940" t="s">
        <v>643</v>
      </c>
      <c r="L66" s="2941">
        <v>25.34</v>
      </c>
      <c r="M66" s="2941">
        <v>11.99</v>
      </c>
      <c r="N66" s="2942">
        <v>760200</v>
      </c>
      <c r="O66" s="2942">
        <v>760200</v>
      </c>
    </row>
    <row r="67" spans="1:15">
      <c r="A67" s="2939">
        <v>67</v>
      </c>
      <c r="B67" s="2940">
        <v>1735</v>
      </c>
      <c r="C67" s="2940" t="s">
        <v>635</v>
      </c>
      <c r="D67" s="2940" t="s">
        <v>636</v>
      </c>
      <c r="E67" s="2940" t="s">
        <v>2246</v>
      </c>
      <c r="F67" s="2940" t="s">
        <v>1456</v>
      </c>
      <c r="G67" s="2940" t="s">
        <v>2284</v>
      </c>
      <c r="H67" s="2940" t="s">
        <v>1035</v>
      </c>
      <c r="I67" s="2940" t="s">
        <v>1453</v>
      </c>
      <c r="J67" s="2940" t="s">
        <v>2248</v>
      </c>
      <c r="K67" s="2940" t="s">
        <v>643</v>
      </c>
      <c r="L67" s="2941">
        <v>25.34</v>
      </c>
      <c r="M67" s="2941">
        <v>11.99</v>
      </c>
      <c r="N67" s="2942">
        <v>760200</v>
      </c>
      <c r="O67" s="2942">
        <v>760200</v>
      </c>
    </row>
    <row r="68" spans="1:15">
      <c r="A68" s="2939">
        <v>68</v>
      </c>
      <c r="B68" s="2940">
        <v>1736</v>
      </c>
      <c r="C68" s="2940" t="s">
        <v>635</v>
      </c>
      <c r="D68" s="2940" t="s">
        <v>636</v>
      </c>
      <c r="E68" s="2940" t="s">
        <v>2246</v>
      </c>
      <c r="F68" s="2940" t="s">
        <v>1456</v>
      </c>
      <c r="G68" s="2940" t="s">
        <v>2261</v>
      </c>
      <c r="H68" s="2940" t="s">
        <v>1035</v>
      </c>
      <c r="I68" s="2940" t="s">
        <v>1453</v>
      </c>
      <c r="J68" s="2940" t="s">
        <v>2248</v>
      </c>
      <c r="K68" s="2940" t="s">
        <v>643</v>
      </c>
      <c r="L68" s="2941">
        <v>19.78</v>
      </c>
      <c r="M68" s="2941">
        <v>9.36</v>
      </c>
      <c r="N68" s="2942">
        <v>593400</v>
      </c>
      <c r="O68" s="2942">
        <v>593400</v>
      </c>
    </row>
    <row r="69" spans="1:15">
      <c r="A69" s="2939">
        <v>69</v>
      </c>
      <c r="B69" s="2940">
        <v>1738</v>
      </c>
      <c r="C69" s="2940" t="s">
        <v>635</v>
      </c>
      <c r="D69" s="2940" t="s">
        <v>636</v>
      </c>
      <c r="E69" s="2940" t="s">
        <v>2246</v>
      </c>
      <c r="F69" s="2940" t="s">
        <v>1456</v>
      </c>
      <c r="G69" s="2940" t="s">
        <v>2259</v>
      </c>
      <c r="H69" s="2940" t="s">
        <v>1035</v>
      </c>
      <c r="I69" s="2940" t="s">
        <v>1453</v>
      </c>
      <c r="J69" s="2940" t="s">
        <v>2248</v>
      </c>
      <c r="K69" s="2940" t="s">
        <v>643</v>
      </c>
      <c r="L69" s="2941">
        <v>16.36</v>
      </c>
      <c r="M69" s="2941">
        <v>7.74</v>
      </c>
      <c r="N69" s="2942">
        <v>490800</v>
      </c>
      <c r="O69" s="2942">
        <v>490800</v>
      </c>
    </row>
    <row r="70" spans="1:15">
      <c r="A70" s="2939">
        <v>70</v>
      </c>
      <c r="B70" s="2940">
        <v>1739</v>
      </c>
      <c r="C70" s="2940" t="s">
        <v>635</v>
      </c>
      <c r="D70" s="2940" t="s">
        <v>636</v>
      </c>
      <c r="E70" s="2940" t="s">
        <v>2246</v>
      </c>
      <c r="F70" s="2940" t="s">
        <v>1456</v>
      </c>
      <c r="G70" s="2940" t="s">
        <v>2257</v>
      </c>
      <c r="H70" s="2940" t="s">
        <v>1035</v>
      </c>
      <c r="I70" s="2940" t="s">
        <v>1453</v>
      </c>
      <c r="J70" s="2940" t="s">
        <v>2248</v>
      </c>
      <c r="K70" s="2940" t="s">
        <v>643</v>
      </c>
      <c r="L70" s="2941">
        <v>21.05</v>
      </c>
      <c r="M70" s="2941">
        <v>9.9600000000000009</v>
      </c>
      <c r="N70" s="2942">
        <v>631500</v>
      </c>
      <c r="O70" s="2942">
        <v>631500</v>
      </c>
    </row>
    <row r="71" spans="1:15">
      <c r="A71" s="2939">
        <v>71</v>
      </c>
      <c r="B71" s="2940">
        <v>1740</v>
      </c>
      <c r="C71" s="2940" t="s">
        <v>635</v>
      </c>
      <c r="D71" s="2940" t="s">
        <v>636</v>
      </c>
      <c r="E71" s="2940" t="s">
        <v>2246</v>
      </c>
      <c r="F71" s="2940" t="s">
        <v>1456</v>
      </c>
      <c r="G71" s="2940" t="s">
        <v>653</v>
      </c>
      <c r="H71" s="2940" t="s">
        <v>1035</v>
      </c>
      <c r="I71" s="2940" t="s">
        <v>1453</v>
      </c>
      <c r="J71" s="2940" t="s">
        <v>2248</v>
      </c>
      <c r="K71" s="2940" t="s">
        <v>643</v>
      </c>
      <c r="L71" s="2941">
        <v>20.59</v>
      </c>
      <c r="M71" s="2941">
        <v>9.74</v>
      </c>
      <c r="N71" s="2942">
        <v>617700</v>
      </c>
      <c r="O71" s="2942">
        <v>617700</v>
      </c>
    </row>
    <row r="72" spans="1:15">
      <c r="A72" s="2939">
        <v>72</v>
      </c>
      <c r="B72" s="2940">
        <v>1741</v>
      </c>
      <c r="C72" s="2940" t="s">
        <v>635</v>
      </c>
      <c r="D72" s="2940" t="s">
        <v>636</v>
      </c>
      <c r="E72" s="2940" t="s">
        <v>2246</v>
      </c>
      <c r="F72" s="2940" t="s">
        <v>1456</v>
      </c>
      <c r="G72" s="2940" t="s">
        <v>655</v>
      </c>
      <c r="H72" s="2940" t="s">
        <v>1035</v>
      </c>
      <c r="I72" s="2940" t="s">
        <v>1453</v>
      </c>
      <c r="J72" s="2940" t="s">
        <v>2248</v>
      </c>
      <c r="K72" s="2940" t="s">
        <v>643</v>
      </c>
      <c r="L72" s="2941">
        <v>47.05</v>
      </c>
      <c r="M72" s="2941">
        <v>22.26</v>
      </c>
      <c r="N72" s="2942">
        <v>1411500</v>
      </c>
      <c r="O72" s="2942">
        <v>1411500</v>
      </c>
    </row>
    <row r="73" spans="1:15">
      <c r="A73" s="2939">
        <v>73</v>
      </c>
      <c r="B73" s="2940">
        <v>1742</v>
      </c>
      <c r="C73" s="2940" t="s">
        <v>635</v>
      </c>
      <c r="D73" s="2940" t="s">
        <v>636</v>
      </c>
      <c r="E73" s="2940" t="s">
        <v>2246</v>
      </c>
      <c r="F73" s="2940" t="s">
        <v>1459</v>
      </c>
      <c r="G73" s="2940" t="s">
        <v>2250</v>
      </c>
      <c r="H73" s="2940" t="s">
        <v>1035</v>
      </c>
      <c r="I73" s="2940" t="s">
        <v>1453</v>
      </c>
      <c r="J73" s="2940" t="s">
        <v>2248</v>
      </c>
      <c r="K73" s="2940" t="s">
        <v>643</v>
      </c>
      <c r="L73" s="2941">
        <v>36.92</v>
      </c>
      <c r="M73" s="2941">
        <v>14.69</v>
      </c>
      <c r="N73" s="2942">
        <v>1107600</v>
      </c>
      <c r="O73" s="2942">
        <v>1107600</v>
      </c>
    </row>
    <row r="74" spans="1:15">
      <c r="A74" s="2939">
        <v>74</v>
      </c>
      <c r="B74" s="2940">
        <v>1743</v>
      </c>
      <c r="C74" s="2940" t="s">
        <v>635</v>
      </c>
      <c r="D74" s="2940" t="s">
        <v>636</v>
      </c>
      <c r="E74" s="2940" t="s">
        <v>2246</v>
      </c>
      <c r="F74" s="2940" t="s">
        <v>1459</v>
      </c>
      <c r="G74" s="2940" t="s">
        <v>1457</v>
      </c>
      <c r="H74" s="2940" t="s">
        <v>1035</v>
      </c>
      <c r="I74" s="2940" t="s">
        <v>1453</v>
      </c>
      <c r="J74" s="2940" t="s">
        <v>2248</v>
      </c>
      <c r="K74" s="2940" t="s">
        <v>643</v>
      </c>
      <c r="L74" s="2941">
        <v>33.83</v>
      </c>
      <c r="M74" s="2941">
        <v>13.46</v>
      </c>
      <c r="N74" s="2942">
        <v>1014900</v>
      </c>
      <c r="O74" s="2942">
        <v>1014900</v>
      </c>
    </row>
    <row r="75" spans="1:15">
      <c r="A75" s="2939">
        <v>75</v>
      </c>
      <c r="B75" s="2940">
        <v>1744</v>
      </c>
      <c r="C75" s="2940" t="s">
        <v>635</v>
      </c>
      <c r="D75" s="2940" t="s">
        <v>636</v>
      </c>
      <c r="E75" s="2940" t="s">
        <v>2246</v>
      </c>
      <c r="F75" s="2940" t="s">
        <v>1459</v>
      </c>
      <c r="G75" s="2940" t="s">
        <v>1458</v>
      </c>
      <c r="H75" s="2940" t="s">
        <v>1035</v>
      </c>
      <c r="I75" s="2940" t="s">
        <v>1453</v>
      </c>
      <c r="J75" s="2940" t="s">
        <v>2248</v>
      </c>
      <c r="K75" s="2940" t="s">
        <v>643</v>
      </c>
      <c r="L75" s="2941">
        <v>29.73</v>
      </c>
      <c r="M75" s="2941">
        <v>11.83</v>
      </c>
      <c r="N75" s="2942">
        <v>891900</v>
      </c>
      <c r="O75" s="2942">
        <v>891900</v>
      </c>
    </row>
    <row r="76" spans="1:15">
      <c r="A76" s="2939">
        <v>76</v>
      </c>
      <c r="B76" s="2940">
        <v>1745</v>
      </c>
      <c r="C76" s="2940" t="s">
        <v>635</v>
      </c>
      <c r="D76" s="2940" t="s">
        <v>636</v>
      </c>
      <c r="E76" s="2940" t="s">
        <v>2246</v>
      </c>
      <c r="F76" s="2940" t="s">
        <v>1459</v>
      </c>
      <c r="G76" s="2940" t="s">
        <v>645</v>
      </c>
      <c r="H76" s="2940" t="s">
        <v>1035</v>
      </c>
      <c r="I76" s="2940" t="s">
        <v>1453</v>
      </c>
      <c r="J76" s="2940" t="s">
        <v>2248</v>
      </c>
      <c r="K76" s="2940" t="s">
        <v>643</v>
      </c>
      <c r="L76" s="2941">
        <v>29.06</v>
      </c>
      <c r="M76" s="2941">
        <v>11.56</v>
      </c>
      <c r="N76" s="2942">
        <v>871800</v>
      </c>
      <c r="O76" s="2942">
        <v>871800</v>
      </c>
    </row>
    <row r="77" spans="1:15">
      <c r="A77" s="2939">
        <v>77</v>
      </c>
      <c r="B77" s="2940">
        <v>1746</v>
      </c>
      <c r="C77" s="2940" t="s">
        <v>635</v>
      </c>
      <c r="D77" s="2940" t="s">
        <v>636</v>
      </c>
      <c r="E77" s="2940" t="s">
        <v>2246</v>
      </c>
      <c r="F77" s="2940" t="s">
        <v>1459</v>
      </c>
      <c r="G77" s="2940" t="s">
        <v>2253</v>
      </c>
      <c r="H77" s="2940" t="s">
        <v>1035</v>
      </c>
      <c r="I77" s="2940" t="s">
        <v>1453</v>
      </c>
      <c r="J77" s="2940" t="s">
        <v>2248</v>
      </c>
      <c r="K77" s="2940" t="s">
        <v>643</v>
      </c>
      <c r="L77" s="2941">
        <v>9.83</v>
      </c>
      <c r="M77" s="2941">
        <v>3.91</v>
      </c>
      <c r="N77" s="2942">
        <v>294900</v>
      </c>
      <c r="O77" s="2942">
        <v>294900</v>
      </c>
    </row>
    <row r="78" spans="1:15">
      <c r="A78" s="2939">
        <v>78</v>
      </c>
      <c r="B78" s="2940">
        <v>1747</v>
      </c>
      <c r="C78" s="2940" t="s">
        <v>635</v>
      </c>
      <c r="D78" s="2940" t="s">
        <v>636</v>
      </c>
      <c r="E78" s="2940" t="s">
        <v>2246</v>
      </c>
      <c r="F78" s="2940" t="s">
        <v>1459</v>
      </c>
      <c r="G78" s="2940" t="s">
        <v>2254</v>
      </c>
      <c r="H78" s="2940" t="s">
        <v>1035</v>
      </c>
      <c r="I78" s="2940" t="s">
        <v>1453</v>
      </c>
      <c r="J78" s="2940" t="s">
        <v>2248</v>
      </c>
      <c r="K78" s="2940" t="s">
        <v>643</v>
      </c>
      <c r="L78" s="2941">
        <v>63.44</v>
      </c>
      <c r="M78" s="2941">
        <v>25.24</v>
      </c>
      <c r="N78" s="2942">
        <v>1903200</v>
      </c>
      <c r="O78" s="2942">
        <v>1903200</v>
      </c>
    </row>
    <row r="79" spans="1:15">
      <c r="A79" s="2939">
        <v>79</v>
      </c>
      <c r="B79" s="2940">
        <v>1752</v>
      </c>
      <c r="C79" s="2940" t="s">
        <v>635</v>
      </c>
      <c r="D79" s="2940" t="s">
        <v>636</v>
      </c>
      <c r="E79" s="2940" t="s">
        <v>2246</v>
      </c>
      <c r="F79" s="2940" t="s">
        <v>1459</v>
      </c>
      <c r="G79" s="2940" t="s">
        <v>2283</v>
      </c>
      <c r="H79" s="2940" t="s">
        <v>1035</v>
      </c>
      <c r="I79" s="2940" t="s">
        <v>1453</v>
      </c>
      <c r="J79" s="2940" t="s">
        <v>2248</v>
      </c>
      <c r="K79" s="2940" t="s">
        <v>643</v>
      </c>
      <c r="L79" s="2941">
        <v>13.8</v>
      </c>
      <c r="M79" s="2941">
        <v>5.49</v>
      </c>
      <c r="N79" s="2942">
        <v>414000</v>
      </c>
      <c r="O79" s="2942">
        <v>414000</v>
      </c>
    </row>
    <row r="80" spans="1:15">
      <c r="A80" s="2939">
        <v>80</v>
      </c>
      <c r="B80" s="2940">
        <v>1753</v>
      </c>
      <c r="C80" s="2940" t="s">
        <v>635</v>
      </c>
      <c r="D80" s="2940" t="s">
        <v>636</v>
      </c>
      <c r="E80" s="2940" t="s">
        <v>2246</v>
      </c>
      <c r="F80" s="2940" t="s">
        <v>1459</v>
      </c>
      <c r="G80" s="2940" t="s">
        <v>2284</v>
      </c>
      <c r="H80" s="2940" t="s">
        <v>1035</v>
      </c>
      <c r="I80" s="2940" t="s">
        <v>1453</v>
      </c>
      <c r="J80" s="2940" t="s">
        <v>2248</v>
      </c>
      <c r="K80" s="2940" t="s">
        <v>643</v>
      </c>
      <c r="L80" s="2941">
        <v>10.31</v>
      </c>
      <c r="M80" s="2941">
        <v>4.0999999999999996</v>
      </c>
      <c r="N80" s="2942">
        <v>309300</v>
      </c>
      <c r="O80" s="2942">
        <v>309300</v>
      </c>
    </row>
    <row r="81" spans="1:15">
      <c r="A81" s="2939">
        <v>81</v>
      </c>
      <c r="B81" s="2940">
        <v>1754</v>
      </c>
      <c r="C81" s="2940" t="s">
        <v>635</v>
      </c>
      <c r="D81" s="2940" t="s">
        <v>636</v>
      </c>
      <c r="E81" s="2940" t="s">
        <v>2246</v>
      </c>
      <c r="F81" s="2940" t="s">
        <v>1459</v>
      </c>
      <c r="G81" s="2940" t="s">
        <v>2261</v>
      </c>
      <c r="H81" s="2940" t="s">
        <v>1035</v>
      </c>
      <c r="I81" s="2940" t="s">
        <v>1453</v>
      </c>
      <c r="J81" s="2940" t="s">
        <v>2248</v>
      </c>
      <c r="K81" s="2940" t="s">
        <v>643</v>
      </c>
      <c r="L81" s="2941">
        <v>9.83</v>
      </c>
      <c r="M81" s="2941">
        <v>3.91</v>
      </c>
      <c r="N81" s="2942">
        <v>294900</v>
      </c>
      <c r="O81" s="2942">
        <v>294900</v>
      </c>
    </row>
    <row r="82" spans="1:15">
      <c r="A82" s="2939">
        <v>82</v>
      </c>
      <c r="B82" s="2940">
        <v>1755</v>
      </c>
      <c r="C82" s="2940" t="s">
        <v>635</v>
      </c>
      <c r="D82" s="2940" t="s">
        <v>636</v>
      </c>
      <c r="E82" s="2940" t="s">
        <v>2246</v>
      </c>
      <c r="F82" s="2940" t="s">
        <v>1459</v>
      </c>
      <c r="G82" s="2940" t="s">
        <v>2258</v>
      </c>
      <c r="H82" s="2940" t="s">
        <v>1035</v>
      </c>
      <c r="I82" s="2940" t="s">
        <v>1453</v>
      </c>
      <c r="J82" s="2940" t="s">
        <v>2248</v>
      </c>
      <c r="K82" s="2940" t="s">
        <v>643</v>
      </c>
      <c r="L82" s="2941">
        <v>15.83</v>
      </c>
      <c r="M82" s="2941">
        <v>6.3</v>
      </c>
      <c r="N82" s="2942">
        <v>474900</v>
      </c>
      <c r="O82" s="2942">
        <v>474900</v>
      </c>
    </row>
    <row r="83" spans="1:15">
      <c r="A83" s="2939">
        <v>83</v>
      </c>
      <c r="B83" s="2940">
        <v>1756</v>
      </c>
      <c r="C83" s="2940" t="s">
        <v>635</v>
      </c>
      <c r="D83" s="2940" t="s">
        <v>636</v>
      </c>
      <c r="E83" s="2940" t="s">
        <v>2246</v>
      </c>
      <c r="F83" s="2940" t="s">
        <v>1459</v>
      </c>
      <c r="G83" s="2940" t="s">
        <v>2259</v>
      </c>
      <c r="H83" s="2940" t="s">
        <v>1035</v>
      </c>
      <c r="I83" s="2940" t="s">
        <v>1453</v>
      </c>
      <c r="J83" s="2940" t="s">
        <v>2248</v>
      </c>
      <c r="K83" s="2940" t="s">
        <v>643</v>
      </c>
      <c r="L83" s="2941">
        <v>15.83</v>
      </c>
      <c r="M83" s="2941">
        <v>6.3</v>
      </c>
      <c r="N83" s="2942">
        <v>474900</v>
      </c>
      <c r="O83" s="2942">
        <v>474900</v>
      </c>
    </row>
    <row r="84" spans="1:15">
      <c r="A84" s="2939">
        <v>84</v>
      </c>
      <c r="B84" s="2940">
        <v>1757</v>
      </c>
      <c r="C84" s="2940" t="s">
        <v>635</v>
      </c>
      <c r="D84" s="2940" t="s">
        <v>636</v>
      </c>
      <c r="E84" s="2940" t="s">
        <v>2246</v>
      </c>
      <c r="F84" s="2940" t="s">
        <v>1459</v>
      </c>
      <c r="G84" s="2940" t="s">
        <v>2257</v>
      </c>
      <c r="H84" s="2940" t="s">
        <v>1035</v>
      </c>
      <c r="I84" s="2940" t="s">
        <v>1453</v>
      </c>
      <c r="J84" s="2940" t="s">
        <v>2248</v>
      </c>
      <c r="K84" s="2940" t="s">
        <v>643</v>
      </c>
      <c r="L84" s="2941">
        <v>26.39</v>
      </c>
      <c r="M84" s="2941">
        <v>10.5</v>
      </c>
      <c r="N84" s="2942">
        <v>791700</v>
      </c>
      <c r="O84" s="2942">
        <v>791700</v>
      </c>
    </row>
    <row r="85" spans="1:15">
      <c r="A85" s="2939">
        <v>85</v>
      </c>
      <c r="B85" s="2940">
        <v>1758</v>
      </c>
      <c r="C85" s="2940" t="s">
        <v>635</v>
      </c>
      <c r="D85" s="2940" t="s">
        <v>636</v>
      </c>
      <c r="E85" s="2940" t="s">
        <v>2246</v>
      </c>
      <c r="F85" s="2940" t="s">
        <v>1459</v>
      </c>
      <c r="G85" s="2940" t="s">
        <v>653</v>
      </c>
      <c r="H85" s="2940" t="s">
        <v>1035</v>
      </c>
      <c r="I85" s="2940" t="s">
        <v>1453</v>
      </c>
      <c r="J85" s="2940" t="s">
        <v>2248</v>
      </c>
      <c r="K85" s="2940" t="s">
        <v>643</v>
      </c>
      <c r="L85" s="2941">
        <v>49.79</v>
      </c>
      <c r="M85" s="2941">
        <v>19.809999999999999</v>
      </c>
      <c r="N85" s="2942">
        <v>1493700</v>
      </c>
      <c r="O85" s="2942">
        <v>1493700</v>
      </c>
    </row>
    <row r="86" spans="1:15">
      <c r="A86" s="2939">
        <v>86</v>
      </c>
      <c r="B86" s="2940">
        <v>1759</v>
      </c>
      <c r="C86" s="2940" t="s">
        <v>635</v>
      </c>
      <c r="D86" s="2940" t="s">
        <v>636</v>
      </c>
      <c r="E86" s="2940" t="s">
        <v>2246</v>
      </c>
      <c r="F86" s="2940" t="s">
        <v>1459</v>
      </c>
      <c r="G86" s="2940" t="s">
        <v>655</v>
      </c>
      <c r="H86" s="2940" t="s">
        <v>1035</v>
      </c>
      <c r="I86" s="2940" t="s">
        <v>1453</v>
      </c>
      <c r="J86" s="2940" t="s">
        <v>2248</v>
      </c>
      <c r="K86" s="2940" t="s">
        <v>643</v>
      </c>
      <c r="L86" s="2941">
        <v>30.06</v>
      </c>
      <c r="M86" s="2941">
        <v>11.96</v>
      </c>
      <c r="N86" s="2942">
        <v>901800</v>
      </c>
      <c r="O86" s="2942">
        <v>901800</v>
      </c>
    </row>
    <row r="87" spans="1:15">
      <c r="A87" s="2939">
        <v>87</v>
      </c>
      <c r="B87" s="2940">
        <v>1760</v>
      </c>
      <c r="C87" s="2940" t="s">
        <v>635</v>
      </c>
      <c r="D87" s="2940" t="s">
        <v>636</v>
      </c>
      <c r="E87" s="2940" t="s">
        <v>2246</v>
      </c>
      <c r="F87" s="2940" t="s">
        <v>1460</v>
      </c>
      <c r="G87" s="2940" t="s">
        <v>2262</v>
      </c>
      <c r="H87" s="2940" t="s">
        <v>1035</v>
      </c>
      <c r="I87" s="2940" t="s">
        <v>1453</v>
      </c>
      <c r="J87" s="2940" t="s">
        <v>2248</v>
      </c>
      <c r="K87" s="2940" t="s">
        <v>643</v>
      </c>
      <c r="L87" s="2941">
        <v>17.16</v>
      </c>
      <c r="M87" s="2941">
        <v>8.5399999999999991</v>
      </c>
      <c r="N87" s="2942">
        <v>514800</v>
      </c>
      <c r="O87" s="2942">
        <v>514800</v>
      </c>
    </row>
    <row r="88" spans="1:15">
      <c r="A88" s="2939">
        <v>88</v>
      </c>
      <c r="B88" s="2940">
        <v>1762</v>
      </c>
      <c r="C88" s="2940" t="s">
        <v>635</v>
      </c>
      <c r="D88" s="2940" t="s">
        <v>636</v>
      </c>
      <c r="E88" s="2940" t="s">
        <v>2246</v>
      </c>
      <c r="F88" s="2940" t="s">
        <v>1460</v>
      </c>
      <c r="G88" s="2940" t="s">
        <v>2264</v>
      </c>
      <c r="H88" s="2940" t="s">
        <v>1035</v>
      </c>
      <c r="I88" s="2940" t="s">
        <v>1453</v>
      </c>
      <c r="J88" s="2940" t="s">
        <v>2248</v>
      </c>
      <c r="K88" s="2940" t="s">
        <v>643</v>
      </c>
      <c r="L88" s="2941">
        <v>27.36</v>
      </c>
      <c r="M88" s="2941">
        <v>13.62</v>
      </c>
      <c r="N88" s="2942">
        <v>820800</v>
      </c>
      <c r="O88" s="2942">
        <v>820800</v>
      </c>
    </row>
    <row r="89" spans="1:15">
      <c r="A89" s="2939">
        <v>89</v>
      </c>
      <c r="B89" s="2940">
        <v>1764</v>
      </c>
      <c r="C89" s="2940" t="s">
        <v>635</v>
      </c>
      <c r="D89" s="2940" t="s">
        <v>636</v>
      </c>
      <c r="E89" s="2940" t="s">
        <v>2246</v>
      </c>
      <c r="F89" s="2940" t="s">
        <v>1460</v>
      </c>
      <c r="G89" s="2940" t="s">
        <v>2266</v>
      </c>
      <c r="H89" s="2940" t="s">
        <v>1035</v>
      </c>
      <c r="I89" s="2940" t="s">
        <v>1453</v>
      </c>
      <c r="J89" s="2940" t="s">
        <v>2248</v>
      </c>
      <c r="K89" s="2940" t="s">
        <v>643</v>
      </c>
      <c r="L89" s="2941">
        <v>23.24</v>
      </c>
      <c r="M89" s="2941">
        <v>11.57</v>
      </c>
      <c r="N89" s="2942">
        <v>697200</v>
      </c>
      <c r="O89" s="2942">
        <v>697200</v>
      </c>
    </row>
    <row r="90" spans="1:15">
      <c r="A90" s="2939">
        <v>90</v>
      </c>
      <c r="B90" s="2940">
        <v>1765</v>
      </c>
      <c r="C90" s="2940" t="s">
        <v>635</v>
      </c>
      <c r="D90" s="2940" t="s">
        <v>636</v>
      </c>
      <c r="E90" s="2940" t="s">
        <v>2246</v>
      </c>
      <c r="F90" s="2940" t="s">
        <v>1460</v>
      </c>
      <c r="G90" s="2940" t="s">
        <v>2267</v>
      </c>
      <c r="H90" s="2940" t="s">
        <v>1035</v>
      </c>
      <c r="I90" s="2940" t="s">
        <v>1453</v>
      </c>
      <c r="J90" s="2940" t="s">
        <v>2248</v>
      </c>
      <c r="K90" s="2940" t="s">
        <v>643</v>
      </c>
      <c r="L90" s="2941">
        <v>27.36</v>
      </c>
      <c r="M90" s="2941">
        <v>13.62</v>
      </c>
      <c r="N90" s="2942">
        <v>820800</v>
      </c>
      <c r="O90" s="2942">
        <v>820800</v>
      </c>
    </row>
    <row r="91" spans="1:15">
      <c r="A91" s="2939">
        <v>91</v>
      </c>
      <c r="B91" s="2940">
        <v>1766</v>
      </c>
      <c r="C91" s="2940" t="s">
        <v>635</v>
      </c>
      <c r="D91" s="2940" t="s">
        <v>636</v>
      </c>
      <c r="E91" s="2940" t="s">
        <v>2246</v>
      </c>
      <c r="F91" s="2940" t="s">
        <v>1460</v>
      </c>
      <c r="G91" s="2940" t="s">
        <v>2247</v>
      </c>
      <c r="H91" s="2940" t="s">
        <v>1035</v>
      </c>
      <c r="I91" s="2940" t="s">
        <v>1453</v>
      </c>
      <c r="J91" s="2940" t="s">
        <v>2248</v>
      </c>
      <c r="K91" s="2940" t="s">
        <v>643</v>
      </c>
      <c r="L91" s="2941">
        <v>10.59</v>
      </c>
      <c r="M91" s="2941">
        <v>5.27</v>
      </c>
      <c r="N91" s="2942">
        <v>317700</v>
      </c>
      <c r="O91" s="2942">
        <v>317700</v>
      </c>
    </row>
    <row r="92" spans="1:15">
      <c r="A92" s="2939">
        <v>92</v>
      </c>
      <c r="B92" s="2940">
        <v>1767</v>
      </c>
      <c r="C92" s="2940" t="s">
        <v>635</v>
      </c>
      <c r="D92" s="2940" t="s">
        <v>636</v>
      </c>
      <c r="E92" s="2940" t="s">
        <v>2246</v>
      </c>
      <c r="F92" s="2940" t="s">
        <v>1460</v>
      </c>
      <c r="G92" s="2940" t="s">
        <v>2249</v>
      </c>
      <c r="H92" s="2940" t="s">
        <v>1035</v>
      </c>
      <c r="I92" s="2940" t="s">
        <v>1453</v>
      </c>
      <c r="J92" s="2940" t="s">
        <v>2248</v>
      </c>
      <c r="K92" s="2940" t="s">
        <v>643</v>
      </c>
      <c r="L92" s="2941">
        <v>17.16</v>
      </c>
      <c r="M92" s="2941">
        <v>8.5399999999999991</v>
      </c>
      <c r="N92" s="2942">
        <v>514800</v>
      </c>
      <c r="O92" s="2942">
        <v>514800</v>
      </c>
    </row>
    <row r="93" spans="1:15">
      <c r="A93" s="2939">
        <v>93</v>
      </c>
      <c r="B93" s="2940">
        <v>1768</v>
      </c>
      <c r="C93" s="2940" t="s">
        <v>635</v>
      </c>
      <c r="D93" s="2940" t="s">
        <v>636</v>
      </c>
      <c r="E93" s="2940" t="s">
        <v>2246</v>
      </c>
      <c r="F93" s="2940" t="s">
        <v>1460</v>
      </c>
      <c r="G93" s="2940" t="s">
        <v>2250</v>
      </c>
      <c r="H93" s="2940" t="s">
        <v>1035</v>
      </c>
      <c r="I93" s="2940" t="s">
        <v>1453</v>
      </c>
      <c r="J93" s="2940" t="s">
        <v>2248</v>
      </c>
      <c r="K93" s="2940" t="s">
        <v>643</v>
      </c>
      <c r="L93" s="2941">
        <v>22.54</v>
      </c>
      <c r="M93" s="2941">
        <v>11.22</v>
      </c>
      <c r="N93" s="2942">
        <v>676200</v>
      </c>
      <c r="O93" s="2942">
        <v>676200</v>
      </c>
    </row>
    <row r="94" spans="1:15">
      <c r="A94" s="2939">
        <v>94</v>
      </c>
      <c r="B94" s="2940">
        <v>1769</v>
      </c>
      <c r="C94" s="2940" t="s">
        <v>635</v>
      </c>
      <c r="D94" s="2940" t="s">
        <v>636</v>
      </c>
      <c r="E94" s="2940" t="s">
        <v>2246</v>
      </c>
      <c r="F94" s="2940" t="s">
        <v>1460</v>
      </c>
      <c r="G94" s="2940" t="s">
        <v>645</v>
      </c>
      <c r="H94" s="2940" t="s">
        <v>1035</v>
      </c>
      <c r="I94" s="2940" t="s">
        <v>1453</v>
      </c>
      <c r="J94" s="2940" t="s">
        <v>2248</v>
      </c>
      <c r="K94" s="2940" t="s">
        <v>643</v>
      </c>
      <c r="L94" s="2941">
        <v>22.54</v>
      </c>
      <c r="M94" s="2941">
        <v>11.22</v>
      </c>
      <c r="N94" s="2942">
        <v>676200</v>
      </c>
      <c r="O94" s="2942">
        <v>676200</v>
      </c>
    </row>
    <row r="95" spans="1:15">
      <c r="A95" s="2939">
        <v>95</v>
      </c>
      <c r="B95" s="2940">
        <v>1770</v>
      </c>
      <c r="C95" s="2940" t="s">
        <v>635</v>
      </c>
      <c r="D95" s="2940" t="s">
        <v>636</v>
      </c>
      <c r="E95" s="2940" t="s">
        <v>2246</v>
      </c>
      <c r="F95" s="2940" t="s">
        <v>1460</v>
      </c>
      <c r="G95" s="2940" t="s">
        <v>2268</v>
      </c>
      <c r="H95" s="2940" t="s">
        <v>1035</v>
      </c>
      <c r="I95" s="2940" t="s">
        <v>1453</v>
      </c>
      <c r="J95" s="2940" t="s">
        <v>2248</v>
      </c>
      <c r="K95" s="2940" t="s">
        <v>643</v>
      </c>
      <c r="L95" s="2941">
        <v>21.17</v>
      </c>
      <c r="M95" s="2941">
        <v>10.54</v>
      </c>
      <c r="N95" s="2942">
        <v>635100</v>
      </c>
      <c r="O95" s="2942">
        <v>635100</v>
      </c>
    </row>
    <row r="96" spans="1:15">
      <c r="A96" s="2939">
        <v>96</v>
      </c>
      <c r="B96" s="2940">
        <v>1771</v>
      </c>
      <c r="C96" s="2940" t="s">
        <v>635</v>
      </c>
      <c r="D96" s="2940" t="s">
        <v>636</v>
      </c>
      <c r="E96" s="2940" t="s">
        <v>2246</v>
      </c>
      <c r="F96" s="2940" t="s">
        <v>1460</v>
      </c>
      <c r="G96" s="2940" t="s">
        <v>2269</v>
      </c>
      <c r="H96" s="2940" t="s">
        <v>1035</v>
      </c>
      <c r="I96" s="2940" t="s">
        <v>1453</v>
      </c>
      <c r="J96" s="2940" t="s">
        <v>2248</v>
      </c>
      <c r="K96" s="2940" t="s">
        <v>643</v>
      </c>
      <c r="L96" s="2941">
        <v>23.14</v>
      </c>
      <c r="M96" s="2941">
        <v>11.52</v>
      </c>
      <c r="N96" s="2942">
        <v>694200</v>
      </c>
      <c r="O96" s="2942">
        <v>694200</v>
      </c>
    </row>
    <row r="97" spans="1:15">
      <c r="A97" s="2939">
        <v>97</v>
      </c>
      <c r="B97" s="2940">
        <v>1772</v>
      </c>
      <c r="C97" s="2940" t="s">
        <v>635</v>
      </c>
      <c r="D97" s="2940" t="s">
        <v>636</v>
      </c>
      <c r="E97" s="2940" t="s">
        <v>2246</v>
      </c>
      <c r="F97" s="2940" t="s">
        <v>1460</v>
      </c>
      <c r="G97" s="2940" t="s">
        <v>2270</v>
      </c>
      <c r="H97" s="2940" t="s">
        <v>1035</v>
      </c>
      <c r="I97" s="2940" t="s">
        <v>1453</v>
      </c>
      <c r="J97" s="2940" t="s">
        <v>2248</v>
      </c>
      <c r="K97" s="2940" t="s">
        <v>643</v>
      </c>
      <c r="L97" s="2941">
        <v>23.14</v>
      </c>
      <c r="M97" s="2941">
        <v>11.52</v>
      </c>
      <c r="N97" s="2942">
        <v>694200</v>
      </c>
      <c r="O97" s="2942">
        <v>694200</v>
      </c>
    </row>
    <row r="98" spans="1:15">
      <c r="A98" s="2939">
        <v>98</v>
      </c>
      <c r="B98" s="2940">
        <v>1773</v>
      </c>
      <c r="C98" s="2940" t="s">
        <v>635</v>
      </c>
      <c r="D98" s="2940" t="s">
        <v>636</v>
      </c>
      <c r="E98" s="2940" t="s">
        <v>2246</v>
      </c>
      <c r="F98" s="2940" t="s">
        <v>1460</v>
      </c>
      <c r="G98" s="2940" t="s">
        <v>2271</v>
      </c>
      <c r="H98" s="2940" t="s">
        <v>1035</v>
      </c>
      <c r="I98" s="2940" t="s">
        <v>1453</v>
      </c>
      <c r="J98" s="2940" t="s">
        <v>2248</v>
      </c>
      <c r="K98" s="2940" t="s">
        <v>643</v>
      </c>
      <c r="L98" s="2941">
        <v>21.17</v>
      </c>
      <c r="M98" s="2941">
        <v>10.54</v>
      </c>
      <c r="N98" s="2942">
        <v>635100</v>
      </c>
      <c r="O98" s="2942">
        <v>635100</v>
      </c>
    </row>
    <row r="99" spans="1:15">
      <c r="A99" s="2939">
        <v>99</v>
      </c>
      <c r="B99" s="2940">
        <v>1774</v>
      </c>
      <c r="C99" s="2940" t="s">
        <v>635</v>
      </c>
      <c r="D99" s="2940" t="s">
        <v>636</v>
      </c>
      <c r="E99" s="2940" t="s">
        <v>2246</v>
      </c>
      <c r="F99" s="2940" t="s">
        <v>1460</v>
      </c>
      <c r="G99" s="2940" t="s">
        <v>2272</v>
      </c>
      <c r="H99" s="2940" t="s">
        <v>1035</v>
      </c>
      <c r="I99" s="2940" t="s">
        <v>1453</v>
      </c>
      <c r="J99" s="2940" t="s">
        <v>2248</v>
      </c>
      <c r="K99" s="2940" t="s">
        <v>643</v>
      </c>
      <c r="L99" s="2941">
        <v>22.44</v>
      </c>
      <c r="M99" s="2941">
        <v>11.17</v>
      </c>
      <c r="N99" s="2942">
        <v>673200</v>
      </c>
      <c r="O99" s="2942">
        <v>673200</v>
      </c>
    </row>
    <row r="100" spans="1:15">
      <c r="A100" s="2939">
        <v>100</v>
      </c>
      <c r="B100" s="2940">
        <v>1775</v>
      </c>
      <c r="C100" s="2940" t="s">
        <v>635</v>
      </c>
      <c r="D100" s="2940" t="s">
        <v>636</v>
      </c>
      <c r="E100" s="2940" t="s">
        <v>2246</v>
      </c>
      <c r="F100" s="2940" t="s">
        <v>1460</v>
      </c>
      <c r="G100" s="2940" t="s">
        <v>2273</v>
      </c>
      <c r="H100" s="2940" t="s">
        <v>1035</v>
      </c>
      <c r="I100" s="2940" t="s">
        <v>1453</v>
      </c>
      <c r="J100" s="2940" t="s">
        <v>2248</v>
      </c>
      <c r="K100" s="2940" t="s">
        <v>643</v>
      </c>
      <c r="L100" s="2941">
        <v>57.61</v>
      </c>
      <c r="M100" s="2941">
        <v>28.68</v>
      </c>
      <c r="N100" s="2942">
        <v>1728300</v>
      </c>
      <c r="O100" s="2942">
        <v>1728300</v>
      </c>
    </row>
    <row r="101" spans="1:15">
      <c r="A101" s="2939">
        <v>101</v>
      </c>
      <c r="B101" s="2940">
        <v>1776</v>
      </c>
      <c r="C101" s="2940" t="s">
        <v>635</v>
      </c>
      <c r="D101" s="2940" t="s">
        <v>636</v>
      </c>
      <c r="E101" s="2940" t="s">
        <v>2246</v>
      </c>
      <c r="F101" s="2940" t="s">
        <v>1460</v>
      </c>
      <c r="G101" s="2940" t="s">
        <v>2274</v>
      </c>
      <c r="H101" s="2940" t="s">
        <v>1035</v>
      </c>
      <c r="I101" s="2940" t="s">
        <v>1453</v>
      </c>
      <c r="J101" s="2940" t="s">
        <v>2248</v>
      </c>
      <c r="K101" s="2940" t="s">
        <v>643</v>
      </c>
      <c r="L101" s="2941">
        <v>22.12</v>
      </c>
      <c r="M101" s="2941">
        <v>11.01</v>
      </c>
      <c r="N101" s="2942">
        <v>663600</v>
      </c>
      <c r="O101" s="2942">
        <v>663600</v>
      </c>
    </row>
    <row r="102" spans="1:15">
      <c r="A102" s="2939">
        <v>102</v>
      </c>
      <c r="B102" s="2940">
        <v>1777</v>
      </c>
      <c r="C102" s="2940" t="s">
        <v>635</v>
      </c>
      <c r="D102" s="2940" t="s">
        <v>636</v>
      </c>
      <c r="E102" s="2940" t="s">
        <v>2246</v>
      </c>
      <c r="F102" s="2940" t="s">
        <v>1460</v>
      </c>
      <c r="G102" s="2940" t="s">
        <v>2275</v>
      </c>
      <c r="H102" s="2940" t="s">
        <v>1035</v>
      </c>
      <c r="I102" s="2940" t="s">
        <v>1453</v>
      </c>
      <c r="J102" s="2940" t="s">
        <v>2248</v>
      </c>
      <c r="K102" s="2940" t="s">
        <v>643</v>
      </c>
      <c r="L102" s="2941">
        <v>20.010000000000002</v>
      </c>
      <c r="M102" s="2941">
        <v>9.9600000000000009</v>
      </c>
      <c r="N102" s="2942">
        <v>600300</v>
      </c>
      <c r="O102" s="2942">
        <v>600300</v>
      </c>
    </row>
    <row r="103" spans="1:15">
      <c r="A103" s="2939">
        <v>103</v>
      </c>
      <c r="B103" s="2940">
        <v>1783</v>
      </c>
      <c r="C103" s="2940" t="s">
        <v>635</v>
      </c>
      <c r="D103" s="2940" t="s">
        <v>636</v>
      </c>
      <c r="E103" s="2940" t="s">
        <v>2246</v>
      </c>
      <c r="F103" s="2940" t="s">
        <v>1460</v>
      </c>
      <c r="G103" s="2940" t="s">
        <v>2255</v>
      </c>
      <c r="H103" s="2940" t="s">
        <v>1035</v>
      </c>
      <c r="I103" s="2940" t="s">
        <v>1453</v>
      </c>
      <c r="J103" s="2940" t="s">
        <v>2248</v>
      </c>
      <c r="K103" s="2940" t="s">
        <v>643</v>
      </c>
      <c r="L103" s="2941">
        <v>20.010000000000002</v>
      </c>
      <c r="M103" s="2941">
        <v>9.9600000000000009</v>
      </c>
      <c r="N103" s="2942">
        <v>600300</v>
      </c>
      <c r="O103" s="2942">
        <v>600300</v>
      </c>
    </row>
    <row r="104" spans="1:15">
      <c r="A104" s="2939">
        <v>104</v>
      </c>
      <c r="B104" s="2940">
        <v>1784</v>
      </c>
      <c r="C104" s="2940" t="s">
        <v>635</v>
      </c>
      <c r="D104" s="2940" t="s">
        <v>636</v>
      </c>
      <c r="E104" s="2940" t="s">
        <v>2246</v>
      </c>
      <c r="F104" s="2940" t="s">
        <v>1460</v>
      </c>
      <c r="G104" s="2940" t="s">
        <v>2256</v>
      </c>
      <c r="H104" s="2940" t="s">
        <v>1035</v>
      </c>
      <c r="I104" s="2940" t="s">
        <v>1453</v>
      </c>
      <c r="J104" s="2940" t="s">
        <v>2248</v>
      </c>
      <c r="K104" s="2940" t="s">
        <v>643</v>
      </c>
      <c r="L104" s="2941">
        <v>22.12</v>
      </c>
      <c r="M104" s="2941">
        <v>11.01</v>
      </c>
      <c r="N104" s="2942">
        <v>663600</v>
      </c>
      <c r="O104" s="2942">
        <v>663600</v>
      </c>
    </row>
    <row r="105" spans="1:15">
      <c r="A105" s="2939">
        <v>105</v>
      </c>
      <c r="B105" s="2940">
        <v>1785</v>
      </c>
      <c r="C105" s="2940" t="s">
        <v>635</v>
      </c>
      <c r="D105" s="2940" t="s">
        <v>636</v>
      </c>
      <c r="E105" s="2940" t="s">
        <v>2246</v>
      </c>
      <c r="F105" s="2940" t="s">
        <v>1460</v>
      </c>
      <c r="G105" s="2940" t="s">
        <v>648</v>
      </c>
      <c r="H105" s="2940" t="s">
        <v>1035</v>
      </c>
      <c r="I105" s="2940" t="s">
        <v>1453</v>
      </c>
      <c r="J105" s="2940" t="s">
        <v>2248</v>
      </c>
      <c r="K105" s="2940" t="s">
        <v>643</v>
      </c>
      <c r="L105" s="2941">
        <v>57.61</v>
      </c>
      <c r="M105" s="2941">
        <v>28.68</v>
      </c>
      <c r="N105" s="2942">
        <v>1728300</v>
      </c>
      <c r="O105" s="2942">
        <v>1728300</v>
      </c>
    </row>
    <row r="106" spans="1:15">
      <c r="A106" s="2939">
        <v>106</v>
      </c>
      <c r="B106" s="2940">
        <v>1786</v>
      </c>
      <c r="C106" s="2940" t="s">
        <v>635</v>
      </c>
      <c r="D106" s="2940" t="s">
        <v>636</v>
      </c>
      <c r="E106" s="2940" t="s">
        <v>2246</v>
      </c>
      <c r="F106" s="2940" t="s">
        <v>1460</v>
      </c>
      <c r="G106" s="2940" t="s">
        <v>651</v>
      </c>
      <c r="H106" s="2940" t="s">
        <v>1035</v>
      </c>
      <c r="I106" s="2940" t="s">
        <v>1453</v>
      </c>
      <c r="J106" s="2940" t="s">
        <v>2248</v>
      </c>
      <c r="K106" s="2940" t="s">
        <v>643</v>
      </c>
      <c r="L106" s="2941">
        <v>22.44</v>
      </c>
      <c r="M106" s="2941">
        <v>11.17</v>
      </c>
      <c r="N106" s="2942">
        <v>673200</v>
      </c>
      <c r="O106" s="2942">
        <v>673200</v>
      </c>
    </row>
    <row r="107" spans="1:15">
      <c r="A107" s="2939">
        <v>107</v>
      </c>
      <c r="B107" s="2940">
        <v>1787</v>
      </c>
      <c r="C107" s="2940" t="s">
        <v>635</v>
      </c>
      <c r="D107" s="2940" t="s">
        <v>636</v>
      </c>
      <c r="E107" s="2940" t="s">
        <v>2246</v>
      </c>
      <c r="F107" s="2940" t="s">
        <v>1460</v>
      </c>
      <c r="G107" s="2940" t="s">
        <v>2279</v>
      </c>
      <c r="H107" s="2940" t="s">
        <v>1035</v>
      </c>
      <c r="I107" s="2940" t="s">
        <v>1453</v>
      </c>
      <c r="J107" s="2940" t="s">
        <v>2248</v>
      </c>
      <c r="K107" s="2940" t="s">
        <v>643</v>
      </c>
      <c r="L107" s="2941">
        <v>28.97</v>
      </c>
      <c r="M107" s="2941">
        <v>14.42</v>
      </c>
      <c r="N107" s="2942">
        <v>869100</v>
      </c>
      <c r="O107" s="2942">
        <v>869100</v>
      </c>
    </row>
    <row r="108" spans="1:15">
      <c r="A108" s="2939">
        <v>108</v>
      </c>
      <c r="B108" s="2940">
        <v>1788</v>
      </c>
      <c r="C108" s="2940" t="s">
        <v>635</v>
      </c>
      <c r="D108" s="2940" t="s">
        <v>636</v>
      </c>
      <c r="E108" s="2940" t="s">
        <v>2246</v>
      </c>
      <c r="F108" s="2940" t="s">
        <v>1460</v>
      </c>
      <c r="G108" s="2940" t="s">
        <v>2280</v>
      </c>
      <c r="H108" s="2940" t="s">
        <v>1035</v>
      </c>
      <c r="I108" s="2940" t="s">
        <v>1453</v>
      </c>
      <c r="J108" s="2940" t="s">
        <v>2248</v>
      </c>
      <c r="K108" s="2940" t="s">
        <v>643</v>
      </c>
      <c r="L108" s="2941">
        <v>20.350000000000001</v>
      </c>
      <c r="M108" s="2941">
        <v>10.130000000000001</v>
      </c>
      <c r="N108" s="2942">
        <v>610500</v>
      </c>
      <c r="O108" s="2942">
        <v>610500</v>
      </c>
    </row>
    <row r="109" spans="1:15">
      <c r="A109" s="2939">
        <v>109</v>
      </c>
      <c r="B109" s="2940">
        <v>1789</v>
      </c>
      <c r="C109" s="2940" t="s">
        <v>635</v>
      </c>
      <c r="D109" s="2940" t="s">
        <v>636</v>
      </c>
      <c r="E109" s="2940" t="s">
        <v>2246</v>
      </c>
      <c r="F109" s="2940" t="s">
        <v>1460</v>
      </c>
      <c r="G109" s="2940" t="s">
        <v>2281</v>
      </c>
      <c r="H109" s="2940" t="s">
        <v>1035</v>
      </c>
      <c r="I109" s="2940" t="s">
        <v>1453</v>
      </c>
      <c r="J109" s="2940" t="s">
        <v>2248</v>
      </c>
      <c r="K109" s="2940" t="s">
        <v>643</v>
      </c>
      <c r="L109" s="2941">
        <v>20.350000000000001</v>
      </c>
      <c r="M109" s="2941">
        <v>10.130000000000001</v>
      </c>
      <c r="N109" s="2942">
        <v>610500</v>
      </c>
      <c r="O109" s="2942">
        <v>610500</v>
      </c>
    </row>
    <row r="110" spans="1:15">
      <c r="A110" s="2939">
        <v>110</v>
      </c>
      <c r="B110" s="2940">
        <v>1790</v>
      </c>
      <c r="C110" s="2940" t="s">
        <v>635</v>
      </c>
      <c r="D110" s="2940" t="s">
        <v>636</v>
      </c>
      <c r="E110" s="2940" t="s">
        <v>2246</v>
      </c>
      <c r="F110" s="2940" t="s">
        <v>1460</v>
      </c>
      <c r="G110" s="2940" t="s">
        <v>2282</v>
      </c>
      <c r="H110" s="2940" t="s">
        <v>1035</v>
      </c>
      <c r="I110" s="2940" t="s">
        <v>1453</v>
      </c>
      <c r="J110" s="2940" t="s">
        <v>2248</v>
      </c>
      <c r="K110" s="2940" t="s">
        <v>643</v>
      </c>
      <c r="L110" s="2941">
        <v>28.97</v>
      </c>
      <c r="M110" s="2941">
        <v>14.42</v>
      </c>
      <c r="N110" s="2942">
        <v>869100</v>
      </c>
      <c r="O110" s="2942">
        <v>869100</v>
      </c>
    </row>
    <row r="111" spans="1:15">
      <c r="A111" s="2939">
        <v>111</v>
      </c>
      <c r="B111" s="2940">
        <v>1791</v>
      </c>
      <c r="C111" s="2940" t="s">
        <v>635</v>
      </c>
      <c r="D111" s="2940" t="s">
        <v>636</v>
      </c>
      <c r="E111" s="2940" t="s">
        <v>2246</v>
      </c>
      <c r="F111" s="2940" t="s">
        <v>1460</v>
      </c>
      <c r="G111" s="2940" t="s">
        <v>2283</v>
      </c>
      <c r="H111" s="2940" t="s">
        <v>1035</v>
      </c>
      <c r="I111" s="2940" t="s">
        <v>1453</v>
      </c>
      <c r="J111" s="2940" t="s">
        <v>2248</v>
      </c>
      <c r="K111" s="2940" t="s">
        <v>643</v>
      </c>
      <c r="L111" s="2941">
        <v>24.21</v>
      </c>
      <c r="M111" s="2941">
        <v>12.05</v>
      </c>
      <c r="N111" s="2942">
        <v>726300</v>
      </c>
      <c r="O111" s="2942">
        <v>726300</v>
      </c>
    </row>
    <row r="112" spans="1:15">
      <c r="A112" s="2939">
        <v>112</v>
      </c>
      <c r="B112" s="2940">
        <v>1792</v>
      </c>
      <c r="C112" s="2940" t="s">
        <v>635</v>
      </c>
      <c r="D112" s="2940" t="s">
        <v>636</v>
      </c>
      <c r="E112" s="2940" t="s">
        <v>2246</v>
      </c>
      <c r="F112" s="2940" t="s">
        <v>1460</v>
      </c>
      <c r="G112" s="2940" t="s">
        <v>2284</v>
      </c>
      <c r="H112" s="2940" t="s">
        <v>1035</v>
      </c>
      <c r="I112" s="2940" t="s">
        <v>1453</v>
      </c>
      <c r="J112" s="2940" t="s">
        <v>2248</v>
      </c>
      <c r="K112" s="2940" t="s">
        <v>643</v>
      </c>
      <c r="L112" s="2941">
        <v>24.21</v>
      </c>
      <c r="M112" s="2941">
        <v>12.05</v>
      </c>
      <c r="N112" s="2942">
        <v>726300</v>
      </c>
      <c r="O112" s="2942">
        <v>726300</v>
      </c>
    </row>
    <row r="113" spans="1:15">
      <c r="A113" s="2939">
        <v>113</v>
      </c>
      <c r="B113" s="2940">
        <v>1795</v>
      </c>
      <c r="C113" s="2940" t="s">
        <v>635</v>
      </c>
      <c r="D113" s="2940" t="s">
        <v>636</v>
      </c>
      <c r="E113" s="2940" t="s">
        <v>2246</v>
      </c>
      <c r="F113" s="2940" t="s">
        <v>1460</v>
      </c>
      <c r="G113" s="2940" t="s">
        <v>2259</v>
      </c>
      <c r="H113" s="2940" t="s">
        <v>1035</v>
      </c>
      <c r="I113" s="2940" t="s">
        <v>1453</v>
      </c>
      <c r="J113" s="2940" t="s">
        <v>2248</v>
      </c>
      <c r="K113" s="2940" t="s">
        <v>643</v>
      </c>
      <c r="L113" s="2941">
        <v>20.010000000000002</v>
      </c>
      <c r="M113" s="2941">
        <v>9.9600000000000009</v>
      </c>
      <c r="N113" s="2942">
        <v>600300</v>
      </c>
      <c r="O113" s="2942">
        <v>600300</v>
      </c>
    </row>
    <row r="114" spans="1:15">
      <c r="A114" s="2939">
        <v>114</v>
      </c>
      <c r="B114" s="2940">
        <v>1796</v>
      </c>
      <c r="C114" s="2940" t="s">
        <v>635</v>
      </c>
      <c r="D114" s="2940" t="s">
        <v>636</v>
      </c>
      <c r="E114" s="2940" t="s">
        <v>2246</v>
      </c>
      <c r="F114" s="2940" t="s">
        <v>1460</v>
      </c>
      <c r="G114" s="2940" t="s">
        <v>2257</v>
      </c>
      <c r="H114" s="2940" t="s">
        <v>1035</v>
      </c>
      <c r="I114" s="2940" t="s">
        <v>1453</v>
      </c>
      <c r="J114" s="2940" t="s">
        <v>2248</v>
      </c>
      <c r="K114" s="2940" t="s">
        <v>643</v>
      </c>
      <c r="L114" s="2941">
        <v>22.12</v>
      </c>
      <c r="M114" s="2941">
        <v>11.01</v>
      </c>
      <c r="N114" s="2942">
        <v>663600</v>
      </c>
      <c r="O114" s="2942">
        <v>663600</v>
      </c>
    </row>
    <row r="115" spans="1:15">
      <c r="A115" s="2939">
        <v>115</v>
      </c>
      <c r="B115" s="2940">
        <v>1797</v>
      </c>
      <c r="C115" s="2940" t="s">
        <v>635</v>
      </c>
      <c r="D115" s="2940" t="s">
        <v>636</v>
      </c>
      <c r="E115" s="2940" t="s">
        <v>2246</v>
      </c>
      <c r="F115" s="2940" t="s">
        <v>1460</v>
      </c>
      <c r="G115" s="2940" t="s">
        <v>653</v>
      </c>
      <c r="H115" s="2940" t="s">
        <v>1035</v>
      </c>
      <c r="I115" s="2940" t="s">
        <v>1453</v>
      </c>
      <c r="J115" s="2940" t="s">
        <v>2248</v>
      </c>
      <c r="K115" s="2940" t="s">
        <v>643</v>
      </c>
      <c r="L115" s="2941">
        <v>57.61</v>
      </c>
      <c r="M115" s="2941">
        <v>28.68</v>
      </c>
      <c r="N115" s="2942">
        <v>1728300</v>
      </c>
      <c r="O115" s="2942">
        <v>1728300</v>
      </c>
    </row>
    <row r="116" spans="1:15">
      <c r="A116" s="2939">
        <v>116</v>
      </c>
      <c r="B116" s="2940">
        <v>1798</v>
      </c>
      <c r="C116" s="2940" t="s">
        <v>635</v>
      </c>
      <c r="D116" s="2940" t="s">
        <v>636</v>
      </c>
      <c r="E116" s="2940" t="s">
        <v>2246</v>
      </c>
      <c r="F116" s="2940" t="s">
        <v>1460</v>
      </c>
      <c r="G116" s="2940" t="s">
        <v>655</v>
      </c>
      <c r="H116" s="2940" t="s">
        <v>1035</v>
      </c>
      <c r="I116" s="2940" t="s">
        <v>1453</v>
      </c>
      <c r="J116" s="2940" t="s">
        <v>2248</v>
      </c>
      <c r="K116" s="2940" t="s">
        <v>643</v>
      </c>
      <c r="L116" s="2941">
        <v>23.7</v>
      </c>
      <c r="M116" s="2941">
        <v>11.8</v>
      </c>
      <c r="N116" s="2942">
        <v>711000</v>
      </c>
      <c r="O116" s="2942">
        <v>711000</v>
      </c>
    </row>
    <row r="117" spans="1:15">
      <c r="A117" s="2939">
        <v>118</v>
      </c>
      <c r="B117" s="2940">
        <v>1799</v>
      </c>
      <c r="C117" s="2940" t="s">
        <v>635</v>
      </c>
      <c r="D117" s="2940" t="s">
        <v>636</v>
      </c>
      <c r="E117" s="2940" t="s">
        <v>2246</v>
      </c>
      <c r="F117" s="2940" t="s">
        <v>1461</v>
      </c>
      <c r="G117" s="2940" t="s">
        <v>2250</v>
      </c>
      <c r="H117" s="2940" t="s">
        <v>1035</v>
      </c>
      <c r="I117" s="2940" t="s">
        <v>1453</v>
      </c>
      <c r="J117" s="2940" t="s">
        <v>2248</v>
      </c>
      <c r="K117" s="2940" t="s">
        <v>643</v>
      </c>
      <c r="L117" s="2941">
        <v>27.21</v>
      </c>
      <c r="M117" s="2941">
        <v>10.85</v>
      </c>
      <c r="N117" s="2942">
        <v>816300</v>
      </c>
      <c r="O117" s="2942">
        <v>816300</v>
      </c>
    </row>
    <row r="118" spans="1:15">
      <c r="A118" s="2939">
        <v>119</v>
      </c>
      <c r="B118" s="2940">
        <v>1800</v>
      </c>
      <c r="C118" s="2940" t="s">
        <v>635</v>
      </c>
      <c r="D118" s="2940" t="s">
        <v>636</v>
      </c>
      <c r="E118" s="2940" t="s">
        <v>2246</v>
      </c>
      <c r="F118" s="2940" t="s">
        <v>1461</v>
      </c>
      <c r="G118" s="2940" t="s">
        <v>1457</v>
      </c>
      <c r="H118" s="2940" t="s">
        <v>1035</v>
      </c>
      <c r="I118" s="2940" t="s">
        <v>1453</v>
      </c>
      <c r="J118" s="2940" t="s">
        <v>2248</v>
      </c>
      <c r="K118" s="2940" t="s">
        <v>643</v>
      </c>
      <c r="L118" s="2941">
        <v>26.08</v>
      </c>
      <c r="M118" s="2941">
        <v>10.4</v>
      </c>
      <c r="N118" s="2942">
        <v>782400</v>
      </c>
      <c r="O118" s="2942">
        <v>782400</v>
      </c>
    </row>
    <row r="119" spans="1:15">
      <c r="A119" s="2939">
        <v>120</v>
      </c>
      <c r="B119" s="2940">
        <v>1802</v>
      </c>
      <c r="C119" s="2940" t="s">
        <v>635</v>
      </c>
      <c r="D119" s="2940" t="s">
        <v>636</v>
      </c>
      <c r="E119" s="2940" t="s">
        <v>2246</v>
      </c>
      <c r="F119" s="2940" t="s">
        <v>1461</v>
      </c>
      <c r="G119" s="2940" t="s">
        <v>645</v>
      </c>
      <c r="H119" s="2940" t="s">
        <v>1035</v>
      </c>
      <c r="I119" s="2940" t="s">
        <v>1453</v>
      </c>
      <c r="J119" s="2940" t="s">
        <v>2248</v>
      </c>
      <c r="K119" s="2940" t="s">
        <v>643</v>
      </c>
      <c r="L119" s="2941">
        <v>21.77</v>
      </c>
      <c r="M119" s="2941">
        <v>8.68</v>
      </c>
      <c r="N119" s="2942">
        <v>653100</v>
      </c>
      <c r="O119" s="2942">
        <v>653100</v>
      </c>
    </row>
    <row r="120" spans="1:15">
      <c r="A120" s="2939">
        <v>121</v>
      </c>
      <c r="B120" s="2940">
        <v>1803</v>
      </c>
      <c r="C120" s="2940" t="s">
        <v>635</v>
      </c>
      <c r="D120" s="2940" t="s">
        <v>636</v>
      </c>
      <c r="E120" s="2940" t="s">
        <v>2246</v>
      </c>
      <c r="F120" s="2940" t="s">
        <v>1461</v>
      </c>
      <c r="G120" s="2940" t="s">
        <v>2252</v>
      </c>
      <c r="H120" s="2940" t="s">
        <v>1035</v>
      </c>
      <c r="I120" s="2940" t="s">
        <v>1453</v>
      </c>
      <c r="J120" s="2940" t="s">
        <v>2248</v>
      </c>
      <c r="K120" s="2940" t="s">
        <v>643</v>
      </c>
      <c r="L120" s="2941">
        <v>13.99</v>
      </c>
      <c r="M120" s="2941">
        <v>5.58</v>
      </c>
      <c r="N120" s="2942">
        <v>419700</v>
      </c>
      <c r="O120" s="2942">
        <v>419700</v>
      </c>
    </row>
    <row r="121" spans="1:15">
      <c r="A121" s="2939">
        <v>122</v>
      </c>
      <c r="B121" s="2940">
        <v>1804</v>
      </c>
      <c r="C121" s="2940" t="s">
        <v>635</v>
      </c>
      <c r="D121" s="2940" t="s">
        <v>636</v>
      </c>
      <c r="E121" s="2940" t="s">
        <v>2246</v>
      </c>
      <c r="F121" s="2940" t="s">
        <v>1461</v>
      </c>
      <c r="G121" s="2940" t="s">
        <v>2253</v>
      </c>
      <c r="H121" s="2940" t="s">
        <v>1035</v>
      </c>
      <c r="I121" s="2940" t="s">
        <v>1453</v>
      </c>
      <c r="J121" s="2940" t="s">
        <v>2248</v>
      </c>
      <c r="K121" s="2940" t="s">
        <v>643</v>
      </c>
      <c r="L121" s="2941">
        <v>55.39</v>
      </c>
      <c r="M121" s="2941">
        <v>22.09</v>
      </c>
      <c r="N121" s="2942">
        <v>1661700</v>
      </c>
      <c r="O121" s="2942">
        <v>1661700</v>
      </c>
    </row>
    <row r="122" spans="1:15">
      <c r="A122" s="2939">
        <v>123</v>
      </c>
      <c r="B122" s="2940">
        <v>1805</v>
      </c>
      <c r="C122" s="2940" t="s">
        <v>635</v>
      </c>
      <c r="D122" s="2940" t="s">
        <v>636</v>
      </c>
      <c r="E122" s="2940" t="s">
        <v>2246</v>
      </c>
      <c r="F122" s="2940" t="s">
        <v>1461</v>
      </c>
      <c r="G122" s="2940" t="s">
        <v>2254</v>
      </c>
      <c r="H122" s="2940" t="s">
        <v>1035</v>
      </c>
      <c r="I122" s="2940" t="s">
        <v>1453</v>
      </c>
      <c r="J122" s="2940" t="s">
        <v>2248</v>
      </c>
      <c r="K122" s="2940" t="s">
        <v>643</v>
      </c>
      <c r="L122" s="2941">
        <v>30.02</v>
      </c>
      <c r="M122" s="2941">
        <v>11.97</v>
      </c>
      <c r="N122" s="2942">
        <v>900600</v>
      </c>
      <c r="O122" s="2942">
        <v>900600</v>
      </c>
    </row>
    <row r="123" spans="1:15">
      <c r="A123" s="2939">
        <v>124</v>
      </c>
      <c r="B123" s="2940">
        <v>1807</v>
      </c>
      <c r="C123" s="2940" t="s">
        <v>635</v>
      </c>
      <c r="D123" s="2940" t="s">
        <v>636</v>
      </c>
      <c r="E123" s="2940" t="s">
        <v>2246</v>
      </c>
      <c r="F123" s="2940" t="s">
        <v>1461</v>
      </c>
      <c r="G123" s="2940" t="s">
        <v>2256</v>
      </c>
      <c r="H123" s="2940" t="s">
        <v>1035</v>
      </c>
      <c r="I123" s="2940" t="s">
        <v>1453</v>
      </c>
      <c r="J123" s="2940" t="s">
        <v>2248</v>
      </c>
      <c r="K123" s="2940" t="s">
        <v>643</v>
      </c>
      <c r="L123" s="2941">
        <v>22.89</v>
      </c>
      <c r="M123" s="2941">
        <v>9.1300000000000008</v>
      </c>
      <c r="N123" s="2942">
        <v>686700</v>
      </c>
      <c r="O123" s="2942">
        <v>686700</v>
      </c>
    </row>
    <row r="124" spans="1:15">
      <c r="A124" s="2939">
        <v>132</v>
      </c>
      <c r="B124" s="2940">
        <v>1820</v>
      </c>
      <c r="C124" s="2940" t="s">
        <v>635</v>
      </c>
      <c r="D124" s="2940" t="s">
        <v>636</v>
      </c>
      <c r="E124" s="2940" t="s">
        <v>2286</v>
      </c>
      <c r="F124" s="2940" t="s">
        <v>2229</v>
      </c>
      <c r="G124" s="2940" t="s">
        <v>2250</v>
      </c>
      <c r="H124" s="2940" t="s">
        <v>1035</v>
      </c>
      <c r="I124" s="2940" t="s">
        <v>2290</v>
      </c>
      <c r="J124" s="2940" t="s">
        <v>2248</v>
      </c>
      <c r="K124" s="2940" t="s">
        <v>643</v>
      </c>
      <c r="L124" s="2941">
        <v>24.73</v>
      </c>
      <c r="M124" s="2941">
        <v>10.56</v>
      </c>
      <c r="N124" s="2942">
        <v>741900</v>
      </c>
      <c r="O124" s="2942">
        <v>741900</v>
      </c>
    </row>
    <row r="125" spans="1:15">
      <c r="A125" s="2939">
        <v>133</v>
      </c>
      <c r="B125" s="2940">
        <v>1821</v>
      </c>
      <c r="C125" s="2940" t="s">
        <v>635</v>
      </c>
      <c r="D125" s="2940" t="s">
        <v>636</v>
      </c>
      <c r="E125" s="2940" t="s">
        <v>2286</v>
      </c>
      <c r="F125" s="2940" t="s">
        <v>2229</v>
      </c>
      <c r="G125" s="2940" t="s">
        <v>2249</v>
      </c>
      <c r="H125" s="2940" t="s">
        <v>1035</v>
      </c>
      <c r="I125" s="2940" t="s">
        <v>2291</v>
      </c>
      <c r="J125" s="2940" t="s">
        <v>2248</v>
      </c>
      <c r="K125" s="2940" t="s">
        <v>643</v>
      </c>
      <c r="L125" s="2941">
        <v>20.98</v>
      </c>
      <c r="M125" s="2941">
        <v>8.9600000000000009</v>
      </c>
      <c r="N125" s="2942">
        <v>629400</v>
      </c>
      <c r="O125" s="2942">
        <v>629400</v>
      </c>
    </row>
    <row r="126" spans="1:15">
      <c r="A126" s="2939">
        <v>134</v>
      </c>
      <c r="B126" s="2940">
        <v>1823</v>
      </c>
      <c r="C126" s="2940" t="s">
        <v>635</v>
      </c>
      <c r="D126" s="2940" t="s">
        <v>636</v>
      </c>
      <c r="E126" s="2940" t="s">
        <v>2286</v>
      </c>
      <c r="F126" s="2940" t="s">
        <v>2229</v>
      </c>
      <c r="G126" s="2940" t="s">
        <v>651</v>
      </c>
      <c r="H126" s="2940" t="s">
        <v>1035</v>
      </c>
      <c r="I126" s="2940" t="s">
        <v>2293</v>
      </c>
      <c r="J126" s="2940" t="s">
        <v>2248</v>
      </c>
      <c r="K126" s="2940" t="s">
        <v>643</v>
      </c>
      <c r="L126" s="2941">
        <v>27.54</v>
      </c>
      <c r="M126" s="2941">
        <v>11.76</v>
      </c>
      <c r="N126" s="2942">
        <v>826200</v>
      </c>
      <c r="O126" s="2942">
        <v>826200</v>
      </c>
    </row>
    <row r="127" spans="1:15">
      <c r="A127" s="2939">
        <v>135</v>
      </c>
      <c r="B127" s="2940">
        <v>1824</v>
      </c>
      <c r="C127" s="2940" t="s">
        <v>635</v>
      </c>
      <c r="D127" s="2940" t="s">
        <v>636</v>
      </c>
      <c r="E127" s="2940" t="s">
        <v>2286</v>
      </c>
      <c r="F127" s="2940" t="s">
        <v>2229</v>
      </c>
      <c r="G127" s="2940" t="s">
        <v>648</v>
      </c>
      <c r="H127" s="2940" t="s">
        <v>1035</v>
      </c>
      <c r="I127" s="2940" t="s">
        <v>2294</v>
      </c>
      <c r="J127" s="2940" t="s">
        <v>2248</v>
      </c>
      <c r="K127" s="2940" t="s">
        <v>643</v>
      </c>
      <c r="L127" s="2941">
        <v>14.33</v>
      </c>
      <c r="M127" s="2941">
        <v>6.12</v>
      </c>
      <c r="N127" s="2942">
        <v>429900</v>
      </c>
      <c r="O127" s="2942">
        <v>429900</v>
      </c>
    </row>
    <row r="128" spans="1:15">
      <c r="A128" s="2939">
        <v>136</v>
      </c>
      <c r="B128" s="2940">
        <v>1826</v>
      </c>
      <c r="C128" s="2940" t="s">
        <v>635</v>
      </c>
      <c r="D128" s="2940" t="s">
        <v>636</v>
      </c>
      <c r="E128" s="2940" t="s">
        <v>2286</v>
      </c>
      <c r="F128" s="2940" t="s">
        <v>2229</v>
      </c>
      <c r="G128" s="2940" t="s">
        <v>2255</v>
      </c>
      <c r="H128" s="2940" t="s">
        <v>1035</v>
      </c>
      <c r="I128" s="2940" t="s">
        <v>2296</v>
      </c>
      <c r="J128" s="2940" t="s">
        <v>2248</v>
      </c>
      <c r="K128" s="2940" t="s">
        <v>643</v>
      </c>
      <c r="L128" s="2941">
        <v>27.07</v>
      </c>
      <c r="M128" s="2941">
        <v>11.56</v>
      </c>
      <c r="N128" s="2942">
        <v>812100</v>
      </c>
      <c r="O128" s="2942">
        <v>812100</v>
      </c>
    </row>
    <row r="129" spans="1:15">
      <c r="A129" s="2939">
        <v>137</v>
      </c>
      <c r="B129" s="2940">
        <v>1827</v>
      </c>
      <c r="C129" s="2940" t="s">
        <v>635</v>
      </c>
      <c r="D129" s="2940" t="s">
        <v>636</v>
      </c>
      <c r="E129" s="2940" t="s">
        <v>2286</v>
      </c>
      <c r="F129" s="2940" t="s">
        <v>2229</v>
      </c>
      <c r="G129" s="2940" t="s">
        <v>2254</v>
      </c>
      <c r="H129" s="2940" t="s">
        <v>1035</v>
      </c>
      <c r="I129" s="2940" t="s">
        <v>2297</v>
      </c>
      <c r="J129" s="2940" t="s">
        <v>2248</v>
      </c>
      <c r="K129" s="2940" t="s">
        <v>643</v>
      </c>
      <c r="L129" s="2941">
        <v>42.13</v>
      </c>
      <c r="M129" s="2941">
        <v>17.989999999999998</v>
      </c>
      <c r="N129" s="2942">
        <v>1263900</v>
      </c>
      <c r="O129" s="2942">
        <v>1263900</v>
      </c>
    </row>
    <row r="130" spans="1:15">
      <c r="A130" s="2939">
        <v>138</v>
      </c>
      <c r="B130" s="2940">
        <v>1828</v>
      </c>
      <c r="C130" s="2940" t="s">
        <v>635</v>
      </c>
      <c r="D130" s="2940" t="s">
        <v>636</v>
      </c>
      <c r="E130" s="2940" t="s">
        <v>2286</v>
      </c>
      <c r="F130" s="2940" t="s">
        <v>2229</v>
      </c>
      <c r="G130" s="2940" t="s">
        <v>2253</v>
      </c>
      <c r="H130" s="2940" t="s">
        <v>1035</v>
      </c>
      <c r="I130" s="2940" t="s">
        <v>2298</v>
      </c>
      <c r="J130" s="2940" t="s">
        <v>2248</v>
      </c>
      <c r="K130" s="2940" t="s">
        <v>643</v>
      </c>
      <c r="L130" s="2941">
        <v>39.25</v>
      </c>
      <c r="M130" s="2941">
        <v>16.760000000000002</v>
      </c>
      <c r="N130" s="2942">
        <v>1177500</v>
      </c>
      <c r="O130" s="2942">
        <v>1177500</v>
      </c>
    </row>
    <row r="131" spans="1:15">
      <c r="A131" s="2939">
        <v>139</v>
      </c>
      <c r="B131" s="2940">
        <v>1829</v>
      </c>
      <c r="C131" s="2940" t="s">
        <v>635</v>
      </c>
      <c r="D131" s="2940" t="s">
        <v>636</v>
      </c>
      <c r="E131" s="2940" t="s">
        <v>2286</v>
      </c>
      <c r="F131" s="2940" t="s">
        <v>2229</v>
      </c>
      <c r="G131" s="2940" t="s">
        <v>2252</v>
      </c>
      <c r="H131" s="2940" t="s">
        <v>1035</v>
      </c>
      <c r="I131" s="2940" t="s">
        <v>2299</v>
      </c>
      <c r="J131" s="2940" t="s">
        <v>2248</v>
      </c>
      <c r="K131" s="2940" t="s">
        <v>643</v>
      </c>
      <c r="L131" s="2941">
        <v>77.52</v>
      </c>
      <c r="M131" s="2941">
        <v>33.1</v>
      </c>
      <c r="N131" s="2942">
        <v>2325600</v>
      </c>
      <c r="O131" s="2942">
        <v>2325600</v>
      </c>
    </row>
    <row r="132" spans="1:15">
      <c r="A132" s="2939">
        <v>140</v>
      </c>
      <c r="B132" s="2940">
        <v>1830</v>
      </c>
      <c r="C132" s="2940" t="s">
        <v>635</v>
      </c>
      <c r="D132" s="2940" t="s">
        <v>636</v>
      </c>
      <c r="E132" s="2940" t="s">
        <v>2286</v>
      </c>
      <c r="F132" s="2940" t="s">
        <v>2229</v>
      </c>
      <c r="G132" s="2940" t="s">
        <v>2251</v>
      </c>
      <c r="H132" s="2940" t="s">
        <v>1035</v>
      </c>
      <c r="I132" s="2940" t="s">
        <v>2300</v>
      </c>
      <c r="J132" s="2940" t="s">
        <v>2248</v>
      </c>
      <c r="K132" s="2940" t="s">
        <v>643</v>
      </c>
      <c r="L132" s="2941">
        <v>22.95</v>
      </c>
      <c r="M132" s="2941">
        <v>9.8000000000000007</v>
      </c>
      <c r="N132" s="2942">
        <v>688500</v>
      </c>
      <c r="O132" s="2942">
        <v>688500</v>
      </c>
    </row>
    <row r="133" spans="1:15">
      <c r="A133" s="2939">
        <v>141</v>
      </c>
      <c r="B133" s="2940">
        <v>1832</v>
      </c>
      <c r="C133" s="2940" t="s">
        <v>635</v>
      </c>
      <c r="D133" s="2940" t="s">
        <v>636</v>
      </c>
      <c r="E133" s="2940" t="s">
        <v>2286</v>
      </c>
      <c r="F133" s="2940" t="s">
        <v>2229</v>
      </c>
      <c r="G133" s="2940" t="s">
        <v>653</v>
      </c>
      <c r="H133" s="2940" t="s">
        <v>1035</v>
      </c>
      <c r="I133" s="2940" t="s">
        <v>2302</v>
      </c>
      <c r="J133" s="2940" t="s">
        <v>2248</v>
      </c>
      <c r="K133" s="2940" t="s">
        <v>643</v>
      </c>
      <c r="L133" s="2941">
        <v>39.369999999999997</v>
      </c>
      <c r="M133" s="2941">
        <v>16.809999999999999</v>
      </c>
      <c r="N133" s="2942">
        <v>1181100</v>
      </c>
      <c r="O133" s="2942">
        <v>1181100</v>
      </c>
    </row>
    <row r="134" spans="1:15">
      <c r="A134" s="2939">
        <v>142</v>
      </c>
      <c r="B134" s="2940">
        <v>1833</v>
      </c>
      <c r="C134" s="2940" t="s">
        <v>635</v>
      </c>
      <c r="D134" s="2940" t="s">
        <v>636</v>
      </c>
      <c r="E134" s="2940" t="s">
        <v>2286</v>
      </c>
      <c r="F134" s="2940" t="s">
        <v>2229</v>
      </c>
      <c r="G134" s="2940" t="s">
        <v>2257</v>
      </c>
      <c r="H134" s="2940" t="s">
        <v>1035</v>
      </c>
      <c r="I134" s="2940" t="s">
        <v>2301</v>
      </c>
      <c r="J134" s="2940" t="s">
        <v>2248</v>
      </c>
      <c r="K134" s="2940" t="s">
        <v>643</v>
      </c>
      <c r="L134" s="2941">
        <v>27.24</v>
      </c>
      <c r="M134" s="2941">
        <v>11.63</v>
      </c>
      <c r="N134" s="2942">
        <v>817200</v>
      </c>
      <c r="O134" s="2942">
        <v>817200</v>
      </c>
    </row>
    <row r="135" spans="1:15">
      <c r="A135" s="2939">
        <v>143</v>
      </c>
      <c r="B135" s="2940">
        <v>1837</v>
      </c>
      <c r="C135" s="2940" t="s">
        <v>635</v>
      </c>
      <c r="D135" s="2940" t="s">
        <v>636</v>
      </c>
      <c r="E135" s="2940" t="s">
        <v>2286</v>
      </c>
      <c r="F135" s="2940" t="s">
        <v>1451</v>
      </c>
      <c r="G135" s="2940" t="s">
        <v>2250</v>
      </c>
      <c r="H135" s="2940" t="s">
        <v>1035</v>
      </c>
      <c r="I135" s="2940" t="s">
        <v>2306</v>
      </c>
      <c r="J135" s="2940" t="s">
        <v>2248</v>
      </c>
      <c r="K135" s="2940" t="s">
        <v>643</v>
      </c>
      <c r="L135" s="2941">
        <v>27.06</v>
      </c>
      <c r="M135" s="2941">
        <v>10.86</v>
      </c>
      <c r="N135" s="2942">
        <v>811800</v>
      </c>
      <c r="O135" s="2942">
        <v>811800</v>
      </c>
    </row>
    <row r="136" spans="1:15">
      <c r="A136" s="2939">
        <v>144</v>
      </c>
      <c r="B136" s="2940">
        <v>1838</v>
      </c>
      <c r="C136" s="2940" t="s">
        <v>635</v>
      </c>
      <c r="D136" s="2940" t="s">
        <v>636</v>
      </c>
      <c r="E136" s="2940" t="s">
        <v>2286</v>
      </c>
      <c r="F136" s="2940" t="s">
        <v>1451</v>
      </c>
      <c r="G136" s="2940" t="s">
        <v>2249</v>
      </c>
      <c r="H136" s="2940" t="s">
        <v>1035</v>
      </c>
      <c r="I136" s="2940" t="s">
        <v>2307</v>
      </c>
      <c r="J136" s="2940" t="s">
        <v>2248</v>
      </c>
      <c r="K136" s="2940" t="s">
        <v>643</v>
      </c>
      <c r="L136" s="2941">
        <v>7.7</v>
      </c>
      <c r="M136" s="2941">
        <v>3.09</v>
      </c>
      <c r="N136" s="2942">
        <v>231000</v>
      </c>
      <c r="O136" s="2942">
        <v>231000</v>
      </c>
    </row>
    <row r="137" spans="1:15">
      <c r="A137" s="2939">
        <v>145</v>
      </c>
      <c r="B137" s="2940">
        <v>1839</v>
      </c>
      <c r="C137" s="2940" t="s">
        <v>635</v>
      </c>
      <c r="D137" s="2940" t="s">
        <v>636</v>
      </c>
      <c r="E137" s="2940" t="s">
        <v>2286</v>
      </c>
      <c r="F137" s="2940" t="s">
        <v>1451</v>
      </c>
      <c r="G137" s="2940" t="s">
        <v>651</v>
      </c>
      <c r="H137" s="2940" t="s">
        <v>1035</v>
      </c>
      <c r="I137" s="2940" t="s">
        <v>2308</v>
      </c>
      <c r="J137" s="2940" t="s">
        <v>2248</v>
      </c>
      <c r="K137" s="2940" t="s">
        <v>643</v>
      </c>
      <c r="L137" s="2941">
        <v>43.85</v>
      </c>
      <c r="M137" s="2941">
        <v>17.600000000000001</v>
      </c>
      <c r="N137" s="2942">
        <v>1315500</v>
      </c>
      <c r="O137" s="2942">
        <v>1315500</v>
      </c>
    </row>
    <row r="138" spans="1:15">
      <c r="A138" s="2939">
        <v>146</v>
      </c>
      <c r="B138" s="2940">
        <v>1846</v>
      </c>
      <c r="C138" s="2940" t="s">
        <v>635</v>
      </c>
      <c r="D138" s="2940" t="s">
        <v>636</v>
      </c>
      <c r="E138" s="2940" t="s">
        <v>2286</v>
      </c>
      <c r="F138" s="2940" t="s">
        <v>1451</v>
      </c>
      <c r="G138" s="2940" t="s">
        <v>2251</v>
      </c>
      <c r="H138" s="2940" t="s">
        <v>1035</v>
      </c>
      <c r="I138" s="2940" t="s">
        <v>2315</v>
      </c>
      <c r="J138" s="2940" t="s">
        <v>2248</v>
      </c>
      <c r="K138" s="2940" t="s">
        <v>643</v>
      </c>
      <c r="L138" s="2941">
        <v>24.32</v>
      </c>
      <c r="M138" s="2941">
        <v>9.76</v>
      </c>
      <c r="N138" s="2942">
        <v>729600</v>
      </c>
      <c r="O138" s="2942">
        <v>729600</v>
      </c>
    </row>
    <row r="139" spans="1:15">
      <c r="A139" s="2939">
        <v>147</v>
      </c>
      <c r="B139" s="2940">
        <v>1850</v>
      </c>
      <c r="C139" s="2940" t="s">
        <v>635</v>
      </c>
      <c r="D139" s="2940" t="s">
        <v>636</v>
      </c>
      <c r="E139" s="2940" t="s">
        <v>2286</v>
      </c>
      <c r="F139" s="2940" t="s">
        <v>1451</v>
      </c>
      <c r="G139" s="2940" t="s">
        <v>655</v>
      </c>
      <c r="H139" s="2940" t="s">
        <v>1035</v>
      </c>
      <c r="I139" s="2940" t="s">
        <v>2319</v>
      </c>
      <c r="J139" s="2940" t="s">
        <v>2248</v>
      </c>
      <c r="K139" s="2940" t="s">
        <v>643</v>
      </c>
      <c r="L139" s="2941">
        <v>17.239999999999998</v>
      </c>
      <c r="M139" s="2941">
        <v>6.92</v>
      </c>
      <c r="N139" s="2942">
        <v>517200</v>
      </c>
      <c r="O139" s="2942">
        <v>517200</v>
      </c>
    </row>
    <row r="140" spans="1:15">
      <c r="A140" s="2939">
        <v>148</v>
      </c>
      <c r="B140" s="2940">
        <v>1852</v>
      </c>
      <c r="C140" s="2940" t="s">
        <v>635</v>
      </c>
      <c r="D140" s="2940" t="s">
        <v>636</v>
      </c>
      <c r="E140" s="2940" t="s">
        <v>2286</v>
      </c>
      <c r="F140" s="2940" t="s">
        <v>1451</v>
      </c>
      <c r="G140" s="2940" t="s">
        <v>2257</v>
      </c>
      <c r="H140" s="2940" t="s">
        <v>1035</v>
      </c>
      <c r="I140" s="2940" t="s">
        <v>2321</v>
      </c>
      <c r="J140" s="2940" t="s">
        <v>2248</v>
      </c>
      <c r="K140" s="2940" t="s">
        <v>643</v>
      </c>
      <c r="L140" s="2941">
        <v>40.04</v>
      </c>
      <c r="M140" s="2941">
        <v>16.07</v>
      </c>
      <c r="N140" s="2942">
        <v>1201200</v>
      </c>
      <c r="O140" s="2942">
        <v>1201200</v>
      </c>
    </row>
    <row r="141" spans="1:15">
      <c r="A141" s="2939">
        <v>149</v>
      </c>
      <c r="B141" s="2940">
        <v>1853</v>
      </c>
      <c r="C141" s="2940" t="s">
        <v>635</v>
      </c>
      <c r="D141" s="2940" t="s">
        <v>636</v>
      </c>
      <c r="E141" s="2940" t="s">
        <v>2286</v>
      </c>
      <c r="F141" s="2940" t="s">
        <v>1451</v>
      </c>
      <c r="G141" s="2940" t="s">
        <v>2259</v>
      </c>
      <c r="H141" s="2940" t="s">
        <v>1035</v>
      </c>
      <c r="I141" s="2940" t="s">
        <v>2322</v>
      </c>
      <c r="J141" s="2940" t="s">
        <v>2248</v>
      </c>
      <c r="K141" s="2940" t="s">
        <v>643</v>
      </c>
      <c r="L141" s="2941">
        <v>26.34</v>
      </c>
      <c r="M141" s="2941">
        <v>10.57</v>
      </c>
      <c r="N141" s="2942">
        <v>790200</v>
      </c>
      <c r="O141" s="2942">
        <v>790200</v>
      </c>
    </row>
    <row r="142" spans="1:15">
      <c r="A142" s="2939">
        <v>150</v>
      </c>
      <c r="B142" s="2940">
        <v>1855</v>
      </c>
      <c r="C142" s="2940" t="s">
        <v>635</v>
      </c>
      <c r="D142" s="2940" t="s">
        <v>636</v>
      </c>
      <c r="E142" s="2940" t="s">
        <v>2286</v>
      </c>
      <c r="F142" s="2940" t="s">
        <v>1451</v>
      </c>
      <c r="G142" s="2940" t="s">
        <v>2261</v>
      </c>
      <c r="H142" s="2940" t="s">
        <v>1035</v>
      </c>
      <c r="I142" s="2940" t="s">
        <v>2324</v>
      </c>
      <c r="J142" s="2940" t="s">
        <v>2248</v>
      </c>
      <c r="K142" s="2940" t="s">
        <v>643</v>
      </c>
      <c r="L142" s="2941">
        <v>19.579999999999998</v>
      </c>
      <c r="M142" s="2941">
        <v>7.86</v>
      </c>
      <c r="N142" s="2942">
        <v>587400</v>
      </c>
      <c r="O142" s="2942">
        <v>587400</v>
      </c>
    </row>
    <row r="143" spans="1:15">
      <c r="A143" s="2939">
        <v>151</v>
      </c>
      <c r="B143" s="2940">
        <v>1856</v>
      </c>
      <c r="C143" s="2940" t="s">
        <v>635</v>
      </c>
      <c r="D143" s="2940" t="s">
        <v>636</v>
      </c>
      <c r="E143" s="2940" t="s">
        <v>2286</v>
      </c>
      <c r="F143" s="2940" t="s">
        <v>1451</v>
      </c>
      <c r="G143" s="2940" t="s">
        <v>2284</v>
      </c>
      <c r="H143" s="2940" t="s">
        <v>1035</v>
      </c>
      <c r="I143" s="2940" t="s">
        <v>2325</v>
      </c>
      <c r="J143" s="2940" t="s">
        <v>2248</v>
      </c>
      <c r="K143" s="2940" t="s">
        <v>643</v>
      </c>
      <c r="L143" s="2941">
        <v>25.02</v>
      </c>
      <c r="M143" s="2941">
        <v>10.039999999999999</v>
      </c>
      <c r="N143" s="2942">
        <v>750600</v>
      </c>
      <c r="O143" s="2942">
        <v>750600</v>
      </c>
    </row>
    <row r="144" spans="1:15">
      <c r="A144" s="2939">
        <v>152</v>
      </c>
      <c r="B144" s="2940">
        <v>1859</v>
      </c>
      <c r="C144" s="2940" t="s">
        <v>635</v>
      </c>
      <c r="D144" s="2940" t="s">
        <v>636</v>
      </c>
      <c r="E144" s="2940" t="s">
        <v>2286</v>
      </c>
      <c r="F144" s="2940" t="s">
        <v>1455</v>
      </c>
      <c r="G144" s="2940" t="s">
        <v>2249</v>
      </c>
      <c r="H144" s="2940" t="s">
        <v>1035</v>
      </c>
      <c r="I144" s="2940" t="s">
        <v>2328</v>
      </c>
      <c r="J144" s="2940" t="s">
        <v>2248</v>
      </c>
      <c r="K144" s="2940" t="s">
        <v>643</v>
      </c>
      <c r="L144" s="2941">
        <v>18.059999999999999</v>
      </c>
      <c r="M144" s="2941">
        <v>8.5399999999999991</v>
      </c>
      <c r="N144" s="2942">
        <v>541800</v>
      </c>
      <c r="O144" s="2942">
        <v>541800</v>
      </c>
    </row>
    <row r="145" spans="1:15">
      <c r="A145" s="2939">
        <v>153</v>
      </c>
      <c r="B145" s="2940">
        <v>1860</v>
      </c>
      <c r="C145" s="2940" t="s">
        <v>635</v>
      </c>
      <c r="D145" s="2940" t="s">
        <v>636</v>
      </c>
      <c r="E145" s="2940" t="s">
        <v>2286</v>
      </c>
      <c r="F145" s="2940" t="s">
        <v>1455</v>
      </c>
      <c r="G145" s="2940" t="s">
        <v>2247</v>
      </c>
      <c r="H145" s="2940" t="s">
        <v>1035</v>
      </c>
      <c r="I145" s="2940" t="s">
        <v>2329</v>
      </c>
      <c r="J145" s="2940" t="s">
        <v>2248</v>
      </c>
      <c r="K145" s="2940" t="s">
        <v>643</v>
      </c>
      <c r="L145" s="2941">
        <v>11.14</v>
      </c>
      <c r="M145" s="2941">
        <v>5.27</v>
      </c>
      <c r="N145" s="2942">
        <v>334200</v>
      </c>
      <c r="O145" s="2942">
        <v>334200</v>
      </c>
    </row>
    <row r="146" spans="1:15">
      <c r="A146" s="2939">
        <v>154</v>
      </c>
      <c r="B146" s="2940">
        <v>1861</v>
      </c>
      <c r="C146" s="2940" t="s">
        <v>635</v>
      </c>
      <c r="D146" s="2940" t="s">
        <v>636</v>
      </c>
      <c r="E146" s="2940" t="s">
        <v>2286</v>
      </c>
      <c r="F146" s="2940" t="s">
        <v>1455</v>
      </c>
      <c r="G146" s="2940" t="s">
        <v>2267</v>
      </c>
      <c r="H146" s="2940" t="s">
        <v>1035</v>
      </c>
      <c r="I146" s="2940" t="s">
        <v>2330</v>
      </c>
      <c r="J146" s="2940" t="s">
        <v>2248</v>
      </c>
      <c r="K146" s="2940" t="s">
        <v>643</v>
      </c>
      <c r="L146" s="2941">
        <v>28.8</v>
      </c>
      <c r="M146" s="2941">
        <v>13.62</v>
      </c>
      <c r="N146" s="2942">
        <v>864000</v>
      </c>
      <c r="O146" s="2942">
        <v>864000</v>
      </c>
    </row>
    <row r="147" spans="1:15">
      <c r="A147" s="2939">
        <v>155</v>
      </c>
      <c r="B147" s="2940">
        <v>1864</v>
      </c>
      <c r="C147" s="2940" t="s">
        <v>635</v>
      </c>
      <c r="D147" s="2940" t="s">
        <v>636</v>
      </c>
      <c r="E147" s="2940" t="s">
        <v>2286</v>
      </c>
      <c r="F147" s="2940" t="s">
        <v>1455</v>
      </c>
      <c r="G147" s="2940" t="s">
        <v>2264</v>
      </c>
      <c r="H147" s="2940" t="s">
        <v>1035</v>
      </c>
      <c r="I147" s="2940" t="s">
        <v>2330</v>
      </c>
      <c r="J147" s="2940" t="s">
        <v>2248</v>
      </c>
      <c r="K147" s="2940" t="s">
        <v>643</v>
      </c>
      <c r="L147" s="2941">
        <v>28.8</v>
      </c>
      <c r="M147" s="2941">
        <v>13.62</v>
      </c>
      <c r="N147" s="2942">
        <v>864000</v>
      </c>
      <c r="O147" s="2942">
        <v>864000</v>
      </c>
    </row>
    <row r="148" spans="1:15">
      <c r="A148" s="2939">
        <v>156</v>
      </c>
      <c r="B148" s="2940">
        <v>1865</v>
      </c>
      <c r="C148" s="2940" t="s">
        <v>635</v>
      </c>
      <c r="D148" s="2940" t="s">
        <v>636</v>
      </c>
      <c r="E148" s="2940" t="s">
        <v>2286</v>
      </c>
      <c r="F148" s="2940" t="s">
        <v>1455</v>
      </c>
      <c r="G148" s="2940" t="s">
        <v>2263</v>
      </c>
      <c r="H148" s="2940" t="s">
        <v>1035</v>
      </c>
      <c r="I148" s="2940" t="s">
        <v>2329</v>
      </c>
      <c r="J148" s="2940" t="s">
        <v>2248</v>
      </c>
      <c r="K148" s="2940" t="s">
        <v>643</v>
      </c>
      <c r="L148" s="2941">
        <v>11.14</v>
      </c>
      <c r="M148" s="2941">
        <v>5.27</v>
      </c>
      <c r="N148" s="2942">
        <v>334200</v>
      </c>
      <c r="O148" s="2942">
        <v>334200</v>
      </c>
    </row>
    <row r="149" spans="1:15">
      <c r="A149" s="2939">
        <v>157</v>
      </c>
      <c r="B149" s="2940">
        <v>1866</v>
      </c>
      <c r="C149" s="2940" t="s">
        <v>635</v>
      </c>
      <c r="D149" s="2940" t="s">
        <v>636</v>
      </c>
      <c r="E149" s="2940" t="s">
        <v>2286</v>
      </c>
      <c r="F149" s="2940" t="s">
        <v>1455</v>
      </c>
      <c r="G149" s="2940" t="s">
        <v>2262</v>
      </c>
      <c r="H149" s="2940" t="s">
        <v>1035</v>
      </c>
      <c r="I149" s="2940" t="s">
        <v>2328</v>
      </c>
      <c r="J149" s="2940" t="s">
        <v>2248</v>
      </c>
      <c r="K149" s="2940" t="s">
        <v>643</v>
      </c>
      <c r="L149" s="2941">
        <v>18.059999999999999</v>
      </c>
      <c r="M149" s="2941">
        <v>8.5399999999999991</v>
      </c>
      <c r="N149" s="2942">
        <v>541800</v>
      </c>
      <c r="O149" s="2942">
        <v>541800</v>
      </c>
    </row>
    <row r="150" spans="1:15">
      <c r="A150" s="2939">
        <v>158</v>
      </c>
      <c r="B150" s="2940">
        <v>1868</v>
      </c>
      <c r="C150" s="2940" t="s">
        <v>635</v>
      </c>
      <c r="D150" s="2940" t="s">
        <v>636</v>
      </c>
      <c r="E150" s="2940" t="s">
        <v>2286</v>
      </c>
      <c r="F150" s="2940" t="s">
        <v>1455</v>
      </c>
      <c r="G150" s="2940" t="s">
        <v>648</v>
      </c>
      <c r="H150" s="2940" t="s">
        <v>1035</v>
      </c>
      <c r="I150" s="2940" t="s">
        <v>2333</v>
      </c>
      <c r="J150" s="2940" t="s">
        <v>2248</v>
      </c>
      <c r="K150" s="2940" t="s">
        <v>643</v>
      </c>
      <c r="L150" s="2941">
        <v>60.64</v>
      </c>
      <c r="M150" s="2941">
        <v>28.68</v>
      </c>
      <c r="N150" s="2942">
        <v>1819200</v>
      </c>
      <c r="O150" s="2942">
        <v>1819200</v>
      </c>
    </row>
    <row r="151" spans="1:15">
      <c r="A151" s="2939">
        <v>159</v>
      </c>
      <c r="B151" s="2940">
        <v>1878</v>
      </c>
      <c r="C151" s="2940" t="s">
        <v>635</v>
      </c>
      <c r="D151" s="2940" t="s">
        <v>636</v>
      </c>
      <c r="E151" s="2940" t="s">
        <v>2286</v>
      </c>
      <c r="F151" s="2940" t="s">
        <v>1455</v>
      </c>
      <c r="G151" s="2940" t="s">
        <v>2273</v>
      </c>
      <c r="H151" s="2940" t="s">
        <v>1035</v>
      </c>
      <c r="I151" s="2940" t="s">
        <v>2333</v>
      </c>
      <c r="J151" s="2940" t="s">
        <v>2248</v>
      </c>
      <c r="K151" s="2940" t="s">
        <v>643</v>
      </c>
      <c r="L151" s="2941">
        <v>60.64</v>
      </c>
      <c r="M151" s="2941">
        <v>28.68</v>
      </c>
      <c r="N151" s="2942">
        <v>1819200</v>
      </c>
      <c r="O151" s="2942">
        <v>1819200</v>
      </c>
    </row>
    <row r="152" spans="1:15">
      <c r="A152" s="2939">
        <v>160</v>
      </c>
      <c r="B152" s="2940">
        <v>1884</v>
      </c>
      <c r="C152" s="2940" t="s">
        <v>635</v>
      </c>
      <c r="D152" s="2940" t="s">
        <v>636</v>
      </c>
      <c r="E152" s="2940" t="s">
        <v>2286</v>
      </c>
      <c r="F152" s="2940" t="s">
        <v>1455</v>
      </c>
      <c r="G152" s="2940" t="s">
        <v>655</v>
      </c>
      <c r="H152" s="2940" t="s">
        <v>1035</v>
      </c>
      <c r="I152" s="2940" t="s">
        <v>2343</v>
      </c>
      <c r="J152" s="2940" t="s">
        <v>2248</v>
      </c>
      <c r="K152" s="2940" t="s">
        <v>643</v>
      </c>
      <c r="L152" s="2941">
        <v>50.11</v>
      </c>
      <c r="M152" s="2941">
        <v>23.7</v>
      </c>
      <c r="N152" s="2942">
        <v>1503300</v>
      </c>
      <c r="O152" s="2942">
        <v>1503300</v>
      </c>
    </row>
    <row r="153" spans="1:15">
      <c r="A153" s="2939">
        <v>161</v>
      </c>
      <c r="B153" s="2940">
        <v>1892</v>
      </c>
      <c r="C153" s="2940" t="s">
        <v>635</v>
      </c>
      <c r="D153" s="2940" t="s">
        <v>636</v>
      </c>
      <c r="E153" s="2940" t="s">
        <v>2286</v>
      </c>
      <c r="F153" s="2940" t="s">
        <v>1455</v>
      </c>
      <c r="G153" s="2940" t="s">
        <v>2282</v>
      </c>
      <c r="H153" s="2940" t="s">
        <v>1035</v>
      </c>
      <c r="I153" s="2940" t="s">
        <v>2346</v>
      </c>
      <c r="J153" s="2940" t="s">
        <v>2248</v>
      </c>
      <c r="K153" s="2940" t="s">
        <v>643</v>
      </c>
      <c r="L153" s="2941">
        <v>19.79</v>
      </c>
      <c r="M153" s="2941">
        <v>9.36</v>
      </c>
      <c r="N153" s="2942">
        <v>593700</v>
      </c>
      <c r="O153" s="2942">
        <v>593700</v>
      </c>
    </row>
    <row r="154" spans="1:15">
      <c r="A154" s="2939">
        <v>162</v>
      </c>
      <c r="B154" s="2940">
        <v>1895</v>
      </c>
      <c r="C154" s="2940" t="s">
        <v>635</v>
      </c>
      <c r="D154" s="2940" t="s">
        <v>636</v>
      </c>
      <c r="E154" s="2940" t="s">
        <v>2286</v>
      </c>
      <c r="F154" s="2940" t="s">
        <v>822</v>
      </c>
      <c r="G154" s="2940" t="s">
        <v>645</v>
      </c>
      <c r="H154" s="2940" t="s">
        <v>1035</v>
      </c>
      <c r="I154" s="2940" t="s">
        <v>2349</v>
      </c>
      <c r="J154" s="2940" t="s">
        <v>2248</v>
      </c>
      <c r="K154" s="2940" t="s">
        <v>643</v>
      </c>
      <c r="L154" s="2941">
        <v>23.51</v>
      </c>
      <c r="M154" s="2941">
        <v>11.22</v>
      </c>
      <c r="N154" s="2942">
        <v>705300</v>
      </c>
      <c r="O154" s="2942">
        <v>705300</v>
      </c>
    </row>
    <row r="155" spans="1:15">
      <c r="A155" s="2939">
        <v>163</v>
      </c>
      <c r="B155" s="2940">
        <v>1896</v>
      </c>
      <c r="C155" s="2940" t="s">
        <v>635</v>
      </c>
      <c r="D155" s="2940" t="s">
        <v>636</v>
      </c>
      <c r="E155" s="2940" t="s">
        <v>2286</v>
      </c>
      <c r="F155" s="2940" t="s">
        <v>822</v>
      </c>
      <c r="G155" s="2940" t="s">
        <v>2250</v>
      </c>
      <c r="H155" s="2940" t="s">
        <v>1035</v>
      </c>
      <c r="I155" s="2940" t="s">
        <v>2349</v>
      </c>
      <c r="J155" s="2940" t="s">
        <v>2248</v>
      </c>
      <c r="K155" s="2940" t="s">
        <v>643</v>
      </c>
      <c r="L155" s="2941">
        <v>23.51</v>
      </c>
      <c r="M155" s="2941">
        <v>11.22</v>
      </c>
      <c r="N155" s="2942">
        <v>705300</v>
      </c>
      <c r="O155" s="2942">
        <v>705300</v>
      </c>
    </row>
    <row r="156" spans="1:15">
      <c r="A156" s="2939">
        <v>164</v>
      </c>
      <c r="B156" s="2940">
        <v>1897</v>
      </c>
      <c r="C156" s="2940" t="s">
        <v>635</v>
      </c>
      <c r="D156" s="2940" t="s">
        <v>636</v>
      </c>
      <c r="E156" s="2940" t="s">
        <v>2286</v>
      </c>
      <c r="F156" s="2940" t="s">
        <v>822</v>
      </c>
      <c r="G156" s="2940" t="s">
        <v>2249</v>
      </c>
      <c r="H156" s="2940" t="s">
        <v>1035</v>
      </c>
      <c r="I156" s="2940" t="s">
        <v>2350</v>
      </c>
      <c r="J156" s="2940" t="s">
        <v>2248</v>
      </c>
      <c r="K156" s="2940" t="s">
        <v>643</v>
      </c>
      <c r="L156" s="2941">
        <v>17.89</v>
      </c>
      <c r="M156" s="2941">
        <v>8.5399999999999991</v>
      </c>
      <c r="N156" s="2942">
        <v>536700</v>
      </c>
      <c r="O156" s="2942">
        <v>536700</v>
      </c>
    </row>
    <row r="157" spans="1:15">
      <c r="A157" s="2939">
        <v>165</v>
      </c>
      <c r="B157" s="2940">
        <v>1898</v>
      </c>
      <c r="C157" s="2940" t="s">
        <v>635</v>
      </c>
      <c r="D157" s="2940" t="s">
        <v>636</v>
      </c>
      <c r="E157" s="2940" t="s">
        <v>2286</v>
      </c>
      <c r="F157" s="2940" t="s">
        <v>822</v>
      </c>
      <c r="G157" s="2940" t="s">
        <v>2247</v>
      </c>
      <c r="H157" s="2940" t="s">
        <v>1035</v>
      </c>
      <c r="I157" s="2940" t="s">
        <v>2351</v>
      </c>
      <c r="J157" s="2940" t="s">
        <v>2248</v>
      </c>
      <c r="K157" s="2940" t="s">
        <v>643</v>
      </c>
      <c r="L157" s="2941">
        <v>11.04</v>
      </c>
      <c r="M157" s="2941">
        <v>5.27</v>
      </c>
      <c r="N157" s="2942">
        <v>331200</v>
      </c>
      <c r="O157" s="2942">
        <v>331200</v>
      </c>
    </row>
    <row r="158" spans="1:15">
      <c r="A158" s="2939">
        <v>166</v>
      </c>
      <c r="B158" s="2940">
        <v>1899</v>
      </c>
      <c r="C158" s="2940" t="s">
        <v>635</v>
      </c>
      <c r="D158" s="2940" t="s">
        <v>636</v>
      </c>
      <c r="E158" s="2940" t="s">
        <v>2286</v>
      </c>
      <c r="F158" s="2940" t="s">
        <v>822</v>
      </c>
      <c r="G158" s="2940" t="s">
        <v>2267</v>
      </c>
      <c r="H158" s="2940" t="s">
        <v>1035</v>
      </c>
      <c r="I158" s="2940" t="s">
        <v>2352</v>
      </c>
      <c r="J158" s="2940" t="s">
        <v>2248</v>
      </c>
      <c r="K158" s="2940" t="s">
        <v>643</v>
      </c>
      <c r="L158" s="2941">
        <v>28.54</v>
      </c>
      <c r="M158" s="2941">
        <v>13.62</v>
      </c>
      <c r="N158" s="2942">
        <v>856200</v>
      </c>
      <c r="O158" s="2942">
        <v>856200</v>
      </c>
    </row>
    <row r="159" spans="1:15">
      <c r="A159" s="2939">
        <v>167</v>
      </c>
      <c r="B159" s="2940">
        <v>1900</v>
      </c>
      <c r="C159" s="2940" t="s">
        <v>635</v>
      </c>
      <c r="D159" s="2940" t="s">
        <v>636</v>
      </c>
      <c r="E159" s="2940" t="s">
        <v>2286</v>
      </c>
      <c r="F159" s="2940" t="s">
        <v>822</v>
      </c>
      <c r="G159" s="2940" t="s">
        <v>2266</v>
      </c>
      <c r="H159" s="2940" t="s">
        <v>1035</v>
      </c>
      <c r="I159" s="2940" t="s">
        <v>2353</v>
      </c>
      <c r="J159" s="2940" t="s">
        <v>2248</v>
      </c>
      <c r="K159" s="2940" t="s">
        <v>643</v>
      </c>
      <c r="L159" s="2941">
        <v>24.24</v>
      </c>
      <c r="M159" s="2941">
        <v>11.57</v>
      </c>
      <c r="N159" s="2942">
        <v>727200</v>
      </c>
      <c r="O159" s="2942">
        <v>727200</v>
      </c>
    </row>
    <row r="160" spans="1:15">
      <c r="A160" s="2939">
        <v>168</v>
      </c>
      <c r="B160" s="2940">
        <v>1902</v>
      </c>
      <c r="C160" s="2940" t="s">
        <v>635</v>
      </c>
      <c r="D160" s="2940" t="s">
        <v>636</v>
      </c>
      <c r="E160" s="2940" t="s">
        <v>2286</v>
      </c>
      <c r="F160" s="2940" t="s">
        <v>822</v>
      </c>
      <c r="G160" s="2940" t="s">
        <v>2264</v>
      </c>
      <c r="H160" s="2940" t="s">
        <v>1035</v>
      </c>
      <c r="I160" s="2940" t="s">
        <v>2352</v>
      </c>
      <c r="J160" s="2940" t="s">
        <v>2248</v>
      </c>
      <c r="K160" s="2940" t="s">
        <v>643</v>
      </c>
      <c r="L160" s="2941">
        <v>28.54</v>
      </c>
      <c r="M160" s="2941">
        <v>13.62</v>
      </c>
      <c r="N160" s="2942">
        <v>856200</v>
      </c>
      <c r="O160" s="2942">
        <v>856200</v>
      </c>
    </row>
    <row r="161" spans="1:15">
      <c r="A161" s="2939">
        <v>169</v>
      </c>
      <c r="B161" s="2940">
        <v>1903</v>
      </c>
      <c r="C161" s="2940" t="s">
        <v>635</v>
      </c>
      <c r="D161" s="2940" t="s">
        <v>636</v>
      </c>
      <c r="E161" s="2940" t="s">
        <v>2286</v>
      </c>
      <c r="F161" s="2940" t="s">
        <v>822</v>
      </c>
      <c r="G161" s="2940" t="s">
        <v>2263</v>
      </c>
      <c r="H161" s="2940" t="s">
        <v>1035</v>
      </c>
      <c r="I161" s="2940" t="s">
        <v>2354</v>
      </c>
      <c r="J161" s="2940" t="s">
        <v>2248</v>
      </c>
      <c r="K161" s="2940" t="s">
        <v>643</v>
      </c>
      <c r="L161" s="2941">
        <v>11.04</v>
      </c>
      <c r="M161" s="2941">
        <v>5.27</v>
      </c>
      <c r="N161" s="2942">
        <v>331200</v>
      </c>
      <c r="O161" s="2942">
        <v>331200</v>
      </c>
    </row>
    <row r="162" spans="1:15">
      <c r="A162" s="2939">
        <v>170</v>
      </c>
      <c r="B162" s="2940">
        <v>1904</v>
      </c>
      <c r="C162" s="2940" t="s">
        <v>635</v>
      </c>
      <c r="D162" s="2940" t="s">
        <v>636</v>
      </c>
      <c r="E162" s="2940" t="s">
        <v>2286</v>
      </c>
      <c r="F162" s="2940" t="s">
        <v>822</v>
      </c>
      <c r="G162" s="2940" t="s">
        <v>2262</v>
      </c>
      <c r="H162" s="2940" t="s">
        <v>1035</v>
      </c>
      <c r="I162" s="2940" t="s">
        <v>2355</v>
      </c>
      <c r="J162" s="2940" t="s">
        <v>2248</v>
      </c>
      <c r="K162" s="2940" t="s">
        <v>643</v>
      </c>
      <c r="L162" s="2941">
        <v>17.89</v>
      </c>
      <c r="M162" s="2941">
        <v>8.5399999999999991</v>
      </c>
      <c r="N162" s="2942">
        <v>536700</v>
      </c>
      <c r="O162" s="2942">
        <v>536700</v>
      </c>
    </row>
    <row r="163" spans="1:15">
      <c r="A163" s="2939">
        <v>171</v>
      </c>
      <c r="B163" s="2940">
        <v>1906</v>
      </c>
      <c r="C163" s="2940" t="s">
        <v>635</v>
      </c>
      <c r="D163" s="2940" t="s">
        <v>636</v>
      </c>
      <c r="E163" s="2940" t="s">
        <v>2286</v>
      </c>
      <c r="F163" s="2940" t="s">
        <v>822</v>
      </c>
      <c r="G163" s="2940" t="s">
        <v>648</v>
      </c>
      <c r="H163" s="2940" t="s">
        <v>1035</v>
      </c>
      <c r="I163" s="2940" t="s">
        <v>2357</v>
      </c>
      <c r="J163" s="2940" t="s">
        <v>2248</v>
      </c>
      <c r="K163" s="2940" t="s">
        <v>643</v>
      </c>
      <c r="L163" s="2941">
        <v>60.09</v>
      </c>
      <c r="M163" s="2941">
        <v>28.68</v>
      </c>
      <c r="N163" s="2942">
        <v>1802700</v>
      </c>
      <c r="O163" s="2942">
        <v>1802700</v>
      </c>
    </row>
    <row r="164" spans="1:15">
      <c r="A164" s="2939">
        <v>172</v>
      </c>
      <c r="B164" s="2940">
        <v>1912</v>
      </c>
      <c r="C164" s="2940" t="s">
        <v>635</v>
      </c>
      <c r="D164" s="2940" t="s">
        <v>636</v>
      </c>
      <c r="E164" s="2940" t="s">
        <v>2286</v>
      </c>
      <c r="F164" s="2940" t="s">
        <v>822</v>
      </c>
      <c r="G164" s="2940" t="s">
        <v>2251</v>
      </c>
      <c r="H164" s="2940" t="s">
        <v>1035</v>
      </c>
      <c r="I164" s="2940" t="s">
        <v>2363</v>
      </c>
      <c r="J164" s="2940" t="s">
        <v>2248</v>
      </c>
      <c r="K164" s="2940" t="s">
        <v>643</v>
      </c>
      <c r="L164" s="2941">
        <v>15.21</v>
      </c>
      <c r="M164" s="2941">
        <v>7.26</v>
      </c>
      <c r="N164" s="2942">
        <v>456300</v>
      </c>
      <c r="O164" s="2942">
        <v>456300</v>
      </c>
    </row>
    <row r="165" spans="1:15">
      <c r="A165" s="2939">
        <v>173</v>
      </c>
      <c r="B165" s="2940">
        <v>1916</v>
      </c>
      <c r="C165" s="2940" t="s">
        <v>635</v>
      </c>
      <c r="D165" s="2940" t="s">
        <v>636</v>
      </c>
      <c r="E165" s="2940" t="s">
        <v>2286</v>
      </c>
      <c r="F165" s="2940" t="s">
        <v>822</v>
      </c>
      <c r="G165" s="2940" t="s">
        <v>2273</v>
      </c>
      <c r="H165" s="2940" t="s">
        <v>1035</v>
      </c>
      <c r="I165" s="2940" t="s">
        <v>2366</v>
      </c>
      <c r="J165" s="2940" t="s">
        <v>2248</v>
      </c>
      <c r="K165" s="2940" t="s">
        <v>643</v>
      </c>
      <c r="L165" s="2941">
        <v>51.14</v>
      </c>
      <c r="M165" s="2941">
        <v>24.41</v>
      </c>
      <c r="N165" s="2942">
        <v>1534200</v>
      </c>
      <c r="O165" s="2942">
        <v>1534200</v>
      </c>
    </row>
    <row r="166" spans="1:15">
      <c r="A166" s="2939">
        <v>174</v>
      </c>
      <c r="B166" s="2940">
        <v>1923</v>
      </c>
      <c r="C166" s="2940" t="s">
        <v>635</v>
      </c>
      <c r="D166" s="2940" t="s">
        <v>636</v>
      </c>
      <c r="E166" s="2940" t="s">
        <v>2286</v>
      </c>
      <c r="F166" s="2940" t="s">
        <v>822</v>
      </c>
      <c r="G166" s="2940" t="s">
        <v>653</v>
      </c>
      <c r="H166" s="2940" t="s">
        <v>1035</v>
      </c>
      <c r="I166" s="2940" t="s">
        <v>2372</v>
      </c>
      <c r="J166" s="2940" t="s">
        <v>2248</v>
      </c>
      <c r="K166" s="2940" t="s">
        <v>643</v>
      </c>
      <c r="L166" s="2941">
        <v>60.09</v>
      </c>
      <c r="M166" s="2941">
        <v>28.68</v>
      </c>
      <c r="N166" s="2942">
        <v>1802700</v>
      </c>
      <c r="O166" s="2942">
        <v>1802700</v>
      </c>
    </row>
    <row r="167" spans="1:15">
      <c r="A167" s="2939">
        <v>175</v>
      </c>
      <c r="B167" s="2940">
        <v>1931</v>
      </c>
      <c r="C167" s="2940" t="s">
        <v>635</v>
      </c>
      <c r="D167" s="2940" t="s">
        <v>636</v>
      </c>
      <c r="E167" s="2940" t="s">
        <v>2286</v>
      </c>
      <c r="F167" s="2940" t="s">
        <v>822</v>
      </c>
      <c r="G167" s="2940" t="s">
        <v>2281</v>
      </c>
      <c r="H167" s="2940" t="s">
        <v>1035</v>
      </c>
      <c r="I167" s="2940" t="s">
        <v>2379</v>
      </c>
      <c r="J167" s="2940" t="s">
        <v>2248</v>
      </c>
      <c r="K167" s="2940" t="s">
        <v>643</v>
      </c>
      <c r="L167" s="2941">
        <v>19.61</v>
      </c>
      <c r="M167" s="2941">
        <v>9.36</v>
      </c>
      <c r="N167" s="2942">
        <v>588300</v>
      </c>
      <c r="O167" s="2942">
        <v>588300</v>
      </c>
    </row>
    <row r="168" spans="1:15">
      <c r="A168" s="2939">
        <v>176</v>
      </c>
      <c r="B168" s="2940">
        <v>1938</v>
      </c>
      <c r="C168" s="2940" t="s">
        <v>635</v>
      </c>
      <c r="D168" s="2940" t="s">
        <v>636</v>
      </c>
      <c r="E168" s="2940" t="s">
        <v>2286</v>
      </c>
      <c r="F168" s="2940" t="s">
        <v>1456</v>
      </c>
      <c r="G168" s="2940" t="s">
        <v>2250</v>
      </c>
      <c r="H168" s="2940" t="s">
        <v>1035</v>
      </c>
      <c r="I168" s="2940" t="s">
        <v>2385</v>
      </c>
      <c r="J168" s="2940" t="s">
        <v>2248</v>
      </c>
      <c r="K168" s="2940" t="s">
        <v>643</v>
      </c>
      <c r="L168" s="2941">
        <v>37.53</v>
      </c>
      <c r="M168" s="2941">
        <v>14.85</v>
      </c>
      <c r="N168" s="2942">
        <v>1125900</v>
      </c>
      <c r="O168" s="2942">
        <v>1125900</v>
      </c>
    </row>
    <row r="169" spans="1:15">
      <c r="A169" s="2939">
        <v>177</v>
      </c>
      <c r="B169" s="2940">
        <v>1943</v>
      </c>
      <c r="C169" s="2940" t="s">
        <v>635</v>
      </c>
      <c r="D169" s="2940" t="s">
        <v>636</v>
      </c>
      <c r="E169" s="2940" t="s">
        <v>2286</v>
      </c>
      <c r="F169" s="2940" t="s">
        <v>1456</v>
      </c>
      <c r="G169" s="2940" t="s">
        <v>2254</v>
      </c>
      <c r="H169" s="2940" t="s">
        <v>1035</v>
      </c>
      <c r="I169" s="2940" t="s">
        <v>2389</v>
      </c>
      <c r="J169" s="2940" t="s">
        <v>2248</v>
      </c>
      <c r="K169" s="2940" t="s">
        <v>643</v>
      </c>
      <c r="L169" s="2941">
        <v>34.22</v>
      </c>
      <c r="M169" s="2941">
        <v>13.54</v>
      </c>
      <c r="N169" s="2942">
        <v>1026600</v>
      </c>
      <c r="O169" s="2942">
        <v>1026600</v>
      </c>
    </row>
    <row r="170" spans="1:15">
      <c r="A170" s="2939">
        <v>178</v>
      </c>
      <c r="B170" s="2940">
        <v>1944</v>
      </c>
      <c r="C170" s="2940" t="s">
        <v>635</v>
      </c>
      <c r="D170" s="2940" t="s">
        <v>636</v>
      </c>
      <c r="E170" s="2940" t="s">
        <v>2286</v>
      </c>
      <c r="F170" s="2940" t="s">
        <v>1456</v>
      </c>
      <c r="G170" s="2940" t="s">
        <v>2253</v>
      </c>
      <c r="H170" s="2940" t="s">
        <v>1035</v>
      </c>
      <c r="I170" s="2940" t="s">
        <v>2390</v>
      </c>
      <c r="J170" s="2940" t="s">
        <v>2248</v>
      </c>
      <c r="K170" s="2940" t="s">
        <v>643</v>
      </c>
      <c r="L170" s="2941">
        <v>68.95</v>
      </c>
      <c r="M170" s="2941">
        <v>27.28</v>
      </c>
      <c r="N170" s="2942">
        <v>2068500</v>
      </c>
      <c r="O170" s="2942">
        <v>2068500</v>
      </c>
    </row>
    <row r="171" spans="1:15">
      <c r="A171" s="2939">
        <v>179</v>
      </c>
      <c r="B171" s="2940">
        <v>1950</v>
      </c>
      <c r="C171" s="2940" t="s">
        <v>635</v>
      </c>
      <c r="D171" s="2940" t="s">
        <v>636</v>
      </c>
      <c r="E171" s="2940" t="s">
        <v>2286</v>
      </c>
      <c r="F171" s="2940" t="s">
        <v>1456</v>
      </c>
      <c r="G171" s="2940" t="s">
        <v>653</v>
      </c>
      <c r="H171" s="2940" t="s">
        <v>1035</v>
      </c>
      <c r="I171" s="2940" t="s">
        <v>2396</v>
      </c>
      <c r="J171" s="2940" t="s">
        <v>2248</v>
      </c>
      <c r="K171" s="2940" t="s">
        <v>643</v>
      </c>
      <c r="L171" s="2941">
        <v>54.34</v>
      </c>
      <c r="M171" s="2941">
        <v>21.5</v>
      </c>
      <c r="N171" s="2942">
        <v>1630200</v>
      </c>
      <c r="O171" s="2942">
        <v>1630200</v>
      </c>
    </row>
    <row r="172" spans="1:15">
      <c r="A172" s="2939">
        <v>180</v>
      </c>
      <c r="B172" s="2940">
        <v>1952</v>
      </c>
      <c r="C172" s="2940" t="s">
        <v>635</v>
      </c>
      <c r="D172" s="2940" t="s">
        <v>636</v>
      </c>
      <c r="E172" s="2940" t="s">
        <v>2286</v>
      </c>
      <c r="F172" s="2940" t="s">
        <v>1456</v>
      </c>
      <c r="G172" s="2940" t="s">
        <v>2259</v>
      </c>
      <c r="H172" s="2940" t="s">
        <v>1035</v>
      </c>
      <c r="I172" s="2940" t="s">
        <v>2398</v>
      </c>
      <c r="J172" s="2940" t="s">
        <v>2248</v>
      </c>
      <c r="K172" s="2940" t="s">
        <v>643</v>
      </c>
      <c r="L172" s="2941">
        <v>23.03</v>
      </c>
      <c r="M172" s="2941">
        <v>9.11</v>
      </c>
      <c r="N172" s="2942">
        <v>690900</v>
      </c>
      <c r="O172" s="2942">
        <v>690900</v>
      </c>
    </row>
    <row r="173" spans="1:15">
      <c r="A173" s="2939">
        <v>181</v>
      </c>
      <c r="B173" s="2940">
        <v>1956</v>
      </c>
      <c r="C173" s="2940" t="s">
        <v>635</v>
      </c>
      <c r="D173" s="2940" t="s">
        <v>636</v>
      </c>
      <c r="E173" s="2940" t="s">
        <v>2286</v>
      </c>
      <c r="F173" s="2940" t="s">
        <v>1459</v>
      </c>
      <c r="G173" s="2940" t="s">
        <v>645</v>
      </c>
      <c r="H173" s="2940" t="s">
        <v>1035</v>
      </c>
      <c r="I173" s="2940" t="s">
        <v>2400</v>
      </c>
      <c r="J173" s="2940" t="s">
        <v>2248</v>
      </c>
      <c r="K173" s="2940" t="s">
        <v>643</v>
      </c>
      <c r="L173" s="2941">
        <v>20.95</v>
      </c>
      <c r="M173" s="2941">
        <v>10.89</v>
      </c>
      <c r="N173" s="2942">
        <v>628500</v>
      </c>
      <c r="O173" s="2942">
        <v>628500</v>
      </c>
    </row>
    <row r="174" spans="1:15">
      <c r="A174" s="2939">
        <v>182</v>
      </c>
      <c r="B174" s="2940">
        <v>1957</v>
      </c>
      <c r="C174" s="2940" t="s">
        <v>635</v>
      </c>
      <c r="D174" s="2940" t="s">
        <v>636</v>
      </c>
      <c r="E174" s="2940" t="s">
        <v>2286</v>
      </c>
      <c r="F174" s="2940" t="s">
        <v>1459</v>
      </c>
      <c r="G174" s="2940" t="s">
        <v>2250</v>
      </c>
      <c r="H174" s="2940" t="s">
        <v>1035</v>
      </c>
      <c r="I174" s="2940" t="s">
        <v>2401</v>
      </c>
      <c r="J174" s="2940" t="s">
        <v>2248</v>
      </c>
      <c r="K174" s="2940" t="s">
        <v>643</v>
      </c>
      <c r="L174" s="2941">
        <v>20.95</v>
      </c>
      <c r="M174" s="2941">
        <v>10.89</v>
      </c>
      <c r="N174" s="2942">
        <v>628500</v>
      </c>
      <c r="O174" s="2942">
        <v>628500</v>
      </c>
    </row>
    <row r="175" spans="1:15">
      <c r="A175" s="2939">
        <v>183</v>
      </c>
      <c r="B175" s="2940">
        <v>1958</v>
      </c>
      <c r="C175" s="2940" t="s">
        <v>635</v>
      </c>
      <c r="D175" s="2940" t="s">
        <v>636</v>
      </c>
      <c r="E175" s="2940" t="s">
        <v>2286</v>
      </c>
      <c r="F175" s="2940" t="s">
        <v>1459</v>
      </c>
      <c r="G175" s="2940" t="s">
        <v>2249</v>
      </c>
      <c r="H175" s="2940" t="s">
        <v>1035</v>
      </c>
      <c r="I175" s="2940" t="s">
        <v>2402</v>
      </c>
      <c r="J175" s="2940" t="s">
        <v>2248</v>
      </c>
      <c r="K175" s="2940" t="s">
        <v>643</v>
      </c>
      <c r="L175" s="2941">
        <v>16.39</v>
      </c>
      <c r="M175" s="2941">
        <v>8.52</v>
      </c>
      <c r="N175" s="2942">
        <v>491700</v>
      </c>
      <c r="O175" s="2942">
        <v>491700</v>
      </c>
    </row>
    <row r="176" spans="1:15">
      <c r="A176" s="2939">
        <v>184</v>
      </c>
      <c r="B176" s="2940">
        <v>1959</v>
      </c>
      <c r="C176" s="2940" t="s">
        <v>635</v>
      </c>
      <c r="D176" s="2940" t="s">
        <v>636</v>
      </c>
      <c r="E176" s="2940" t="s">
        <v>2286</v>
      </c>
      <c r="F176" s="2940" t="s">
        <v>1459</v>
      </c>
      <c r="G176" s="2940" t="s">
        <v>2247</v>
      </c>
      <c r="H176" s="2940" t="s">
        <v>1035</v>
      </c>
      <c r="I176" s="2940" t="s">
        <v>2403</v>
      </c>
      <c r="J176" s="2940" t="s">
        <v>2248</v>
      </c>
      <c r="K176" s="2940" t="s">
        <v>643</v>
      </c>
      <c r="L176" s="2941">
        <v>10.14</v>
      </c>
      <c r="M176" s="2941">
        <v>5.27</v>
      </c>
      <c r="N176" s="2942">
        <v>304200</v>
      </c>
      <c r="O176" s="2942">
        <v>304200</v>
      </c>
    </row>
    <row r="177" spans="1:15">
      <c r="A177" s="2939">
        <v>185</v>
      </c>
      <c r="B177" s="2940">
        <v>1960</v>
      </c>
      <c r="C177" s="2940" t="s">
        <v>635</v>
      </c>
      <c r="D177" s="2940" t="s">
        <v>636</v>
      </c>
      <c r="E177" s="2940" t="s">
        <v>2286</v>
      </c>
      <c r="F177" s="2940" t="s">
        <v>1459</v>
      </c>
      <c r="G177" s="2940" t="s">
        <v>2267</v>
      </c>
      <c r="H177" s="2940" t="s">
        <v>1035</v>
      </c>
      <c r="I177" s="2940" t="s">
        <v>2404</v>
      </c>
      <c r="J177" s="2940" t="s">
        <v>2248</v>
      </c>
      <c r="K177" s="2940" t="s">
        <v>643</v>
      </c>
      <c r="L177" s="2941">
        <v>26.2</v>
      </c>
      <c r="M177" s="2941">
        <v>13.62</v>
      </c>
      <c r="N177" s="2942">
        <v>786000</v>
      </c>
      <c r="O177" s="2942">
        <v>786000</v>
      </c>
    </row>
    <row r="178" spans="1:15">
      <c r="A178" s="2939">
        <v>186</v>
      </c>
      <c r="B178" s="2940">
        <v>1961</v>
      </c>
      <c r="C178" s="2940" t="s">
        <v>635</v>
      </c>
      <c r="D178" s="2940" t="s">
        <v>636</v>
      </c>
      <c r="E178" s="2940" t="s">
        <v>2286</v>
      </c>
      <c r="F178" s="2940" t="s">
        <v>1459</v>
      </c>
      <c r="G178" s="2940" t="s">
        <v>2266</v>
      </c>
      <c r="H178" s="2940" t="s">
        <v>1035</v>
      </c>
      <c r="I178" s="2940" t="s">
        <v>2405</v>
      </c>
      <c r="J178" s="2940" t="s">
        <v>2248</v>
      </c>
      <c r="K178" s="2940" t="s">
        <v>643</v>
      </c>
      <c r="L178" s="2941">
        <v>22.26</v>
      </c>
      <c r="M178" s="2941">
        <v>11.57</v>
      </c>
      <c r="N178" s="2942">
        <v>667800</v>
      </c>
      <c r="O178" s="2942">
        <v>667800</v>
      </c>
    </row>
    <row r="179" spans="1:15">
      <c r="A179" s="2939">
        <v>187</v>
      </c>
      <c r="B179" s="2940">
        <v>1962</v>
      </c>
      <c r="C179" s="2940" t="s">
        <v>635</v>
      </c>
      <c r="D179" s="2940" t="s">
        <v>636</v>
      </c>
      <c r="E179" s="2940" t="s">
        <v>2286</v>
      </c>
      <c r="F179" s="2940" t="s">
        <v>1459</v>
      </c>
      <c r="G179" s="2940" t="s">
        <v>2265</v>
      </c>
      <c r="H179" s="2940" t="s">
        <v>1035</v>
      </c>
      <c r="I179" s="2940" t="s">
        <v>2405</v>
      </c>
      <c r="J179" s="2940" t="s">
        <v>2248</v>
      </c>
      <c r="K179" s="2940" t="s">
        <v>643</v>
      </c>
      <c r="L179" s="2941">
        <v>22.26</v>
      </c>
      <c r="M179" s="2941">
        <v>11.57</v>
      </c>
      <c r="N179" s="2942">
        <v>667800</v>
      </c>
      <c r="O179" s="2942">
        <v>667800</v>
      </c>
    </row>
    <row r="180" spans="1:15">
      <c r="A180" s="2939">
        <v>188</v>
      </c>
      <c r="B180" s="2940">
        <v>1963</v>
      </c>
      <c r="C180" s="2940" t="s">
        <v>635</v>
      </c>
      <c r="D180" s="2940" t="s">
        <v>636</v>
      </c>
      <c r="E180" s="2940" t="s">
        <v>2286</v>
      </c>
      <c r="F180" s="2940" t="s">
        <v>1459</v>
      </c>
      <c r="G180" s="2940" t="s">
        <v>2264</v>
      </c>
      <c r="H180" s="2940" t="s">
        <v>1035</v>
      </c>
      <c r="I180" s="2940" t="s">
        <v>2404</v>
      </c>
      <c r="J180" s="2940" t="s">
        <v>2248</v>
      </c>
      <c r="K180" s="2940" t="s">
        <v>643</v>
      </c>
      <c r="L180" s="2941">
        <v>26.2</v>
      </c>
      <c r="M180" s="2941">
        <v>13.62</v>
      </c>
      <c r="N180" s="2942">
        <v>786000</v>
      </c>
      <c r="O180" s="2942">
        <v>786000</v>
      </c>
    </row>
    <row r="181" spans="1:15">
      <c r="A181" s="2939">
        <v>189</v>
      </c>
      <c r="B181" s="2940">
        <v>1965</v>
      </c>
      <c r="C181" s="2940" t="s">
        <v>635</v>
      </c>
      <c r="D181" s="2940" t="s">
        <v>636</v>
      </c>
      <c r="E181" s="2940" t="s">
        <v>2286</v>
      </c>
      <c r="F181" s="2940" t="s">
        <v>1459</v>
      </c>
      <c r="G181" s="2940" t="s">
        <v>2262</v>
      </c>
      <c r="H181" s="2940" t="s">
        <v>1035</v>
      </c>
      <c r="I181" s="2940" t="s">
        <v>2401</v>
      </c>
      <c r="J181" s="2940" t="s">
        <v>2248</v>
      </c>
      <c r="K181" s="2940" t="s">
        <v>643</v>
      </c>
      <c r="L181" s="2941">
        <v>16.39</v>
      </c>
      <c r="M181" s="2941">
        <v>8.52</v>
      </c>
      <c r="N181" s="2942">
        <v>491700</v>
      </c>
      <c r="O181" s="2942">
        <v>491700</v>
      </c>
    </row>
    <row r="182" spans="1:15">
      <c r="A182" s="2939">
        <v>190</v>
      </c>
      <c r="B182" s="2940">
        <v>1966</v>
      </c>
      <c r="C182" s="2940" t="s">
        <v>635</v>
      </c>
      <c r="D182" s="2940" t="s">
        <v>636</v>
      </c>
      <c r="E182" s="2940" t="s">
        <v>2286</v>
      </c>
      <c r="F182" s="2940" t="s">
        <v>1459</v>
      </c>
      <c r="G182" s="2940" t="s">
        <v>651</v>
      </c>
      <c r="H182" s="2940" t="s">
        <v>1035</v>
      </c>
      <c r="I182" s="2940" t="s">
        <v>2406</v>
      </c>
      <c r="J182" s="2940" t="s">
        <v>2248</v>
      </c>
      <c r="K182" s="2940" t="s">
        <v>643</v>
      </c>
      <c r="L182" s="2941">
        <v>20.82</v>
      </c>
      <c r="M182" s="2941">
        <v>10.82</v>
      </c>
      <c r="N182" s="2942">
        <v>624600</v>
      </c>
      <c r="O182" s="2942">
        <v>624600</v>
      </c>
    </row>
    <row r="183" spans="1:15">
      <c r="A183" s="2939">
        <v>191</v>
      </c>
      <c r="B183" s="2940">
        <v>1967</v>
      </c>
      <c r="C183" s="2940" t="s">
        <v>635</v>
      </c>
      <c r="D183" s="2940" t="s">
        <v>636</v>
      </c>
      <c r="E183" s="2940" t="s">
        <v>2286</v>
      </c>
      <c r="F183" s="2940" t="s">
        <v>1459</v>
      </c>
      <c r="G183" s="2940" t="s">
        <v>648</v>
      </c>
      <c r="H183" s="2940" t="s">
        <v>1035</v>
      </c>
      <c r="I183" s="2940" t="s">
        <v>2407</v>
      </c>
      <c r="J183" s="2940" t="s">
        <v>2248</v>
      </c>
      <c r="K183" s="2940" t="s">
        <v>643</v>
      </c>
      <c r="L183" s="2941">
        <v>54.04</v>
      </c>
      <c r="M183" s="2941">
        <v>28.09</v>
      </c>
      <c r="N183" s="2942">
        <v>1621200</v>
      </c>
      <c r="O183" s="2942">
        <v>1621200</v>
      </c>
    </row>
    <row r="184" spans="1:15">
      <c r="A184" s="2939">
        <v>193</v>
      </c>
      <c r="B184" s="2940">
        <v>1969</v>
      </c>
      <c r="C184" s="2940" t="s">
        <v>635</v>
      </c>
      <c r="D184" s="2940" t="s">
        <v>636</v>
      </c>
      <c r="E184" s="2940" t="s">
        <v>2286</v>
      </c>
      <c r="F184" s="2940" t="s">
        <v>1459</v>
      </c>
      <c r="G184" s="2940" t="s">
        <v>2255</v>
      </c>
      <c r="H184" s="2940" t="s">
        <v>1035</v>
      </c>
      <c r="I184" s="2940" t="s">
        <v>2409</v>
      </c>
      <c r="J184" s="2940" t="s">
        <v>2248</v>
      </c>
      <c r="K184" s="2940" t="s">
        <v>643</v>
      </c>
      <c r="L184" s="2941">
        <v>19.16</v>
      </c>
      <c r="M184" s="2941">
        <v>9.9600000000000009</v>
      </c>
      <c r="N184" s="2942">
        <v>574800</v>
      </c>
      <c r="O184" s="2942">
        <v>574800</v>
      </c>
    </row>
    <row r="185" spans="1:15">
      <c r="A185" s="2939">
        <v>194</v>
      </c>
      <c r="B185" s="2940">
        <v>1970</v>
      </c>
      <c r="C185" s="2940" t="s">
        <v>635</v>
      </c>
      <c r="D185" s="2940" t="s">
        <v>636</v>
      </c>
      <c r="E185" s="2940" t="s">
        <v>2286</v>
      </c>
      <c r="F185" s="2940" t="s">
        <v>1459</v>
      </c>
      <c r="G185" s="2940" t="s">
        <v>2254</v>
      </c>
      <c r="H185" s="2940" t="s">
        <v>1035</v>
      </c>
      <c r="I185" s="2940" t="s">
        <v>2410</v>
      </c>
      <c r="J185" s="2940" t="s">
        <v>2248</v>
      </c>
      <c r="K185" s="2940" t="s">
        <v>643</v>
      </c>
      <c r="L185" s="2941">
        <v>14.89</v>
      </c>
      <c r="M185" s="2941">
        <v>7.74</v>
      </c>
      <c r="N185" s="2942">
        <v>446700</v>
      </c>
      <c r="O185" s="2942">
        <v>446700</v>
      </c>
    </row>
    <row r="186" spans="1:15">
      <c r="A186" s="2939">
        <v>195</v>
      </c>
      <c r="B186" s="2940">
        <v>1971</v>
      </c>
      <c r="C186" s="2940" t="s">
        <v>635</v>
      </c>
      <c r="D186" s="2940" t="s">
        <v>636</v>
      </c>
      <c r="E186" s="2940" t="s">
        <v>2286</v>
      </c>
      <c r="F186" s="2940" t="s">
        <v>1459</v>
      </c>
      <c r="G186" s="2940" t="s">
        <v>2253</v>
      </c>
      <c r="H186" s="2940" t="s">
        <v>1035</v>
      </c>
      <c r="I186" s="2940" t="s">
        <v>2411</v>
      </c>
      <c r="J186" s="2940" t="s">
        <v>2248</v>
      </c>
      <c r="K186" s="2940" t="s">
        <v>643</v>
      </c>
      <c r="L186" s="2941">
        <v>13.97</v>
      </c>
      <c r="M186" s="2941">
        <v>7.26</v>
      </c>
      <c r="N186" s="2942">
        <v>419100</v>
      </c>
      <c r="O186" s="2942">
        <v>419100</v>
      </c>
    </row>
    <row r="187" spans="1:15">
      <c r="A187" s="2939">
        <v>196</v>
      </c>
      <c r="B187" s="2940">
        <v>1972</v>
      </c>
      <c r="C187" s="2940" t="s">
        <v>635</v>
      </c>
      <c r="D187" s="2940" t="s">
        <v>636</v>
      </c>
      <c r="E187" s="2940" t="s">
        <v>2286</v>
      </c>
      <c r="F187" s="2940" t="s">
        <v>1459</v>
      </c>
      <c r="G187" s="2940" t="s">
        <v>2252</v>
      </c>
      <c r="H187" s="2940" t="s">
        <v>1035</v>
      </c>
      <c r="I187" s="2940" t="s">
        <v>2412</v>
      </c>
      <c r="J187" s="2940" t="s">
        <v>2248</v>
      </c>
      <c r="K187" s="2940" t="s">
        <v>643</v>
      </c>
      <c r="L187" s="2941">
        <v>14.89</v>
      </c>
      <c r="M187" s="2941">
        <v>7.74</v>
      </c>
      <c r="N187" s="2942">
        <v>446700</v>
      </c>
      <c r="O187" s="2942">
        <v>446700</v>
      </c>
    </row>
    <row r="188" spans="1:15">
      <c r="A188" s="2939">
        <v>198</v>
      </c>
      <c r="B188" s="2940">
        <v>1975</v>
      </c>
      <c r="C188" s="2940" t="s">
        <v>635</v>
      </c>
      <c r="D188" s="2940" t="s">
        <v>636</v>
      </c>
      <c r="E188" s="2940" t="s">
        <v>2286</v>
      </c>
      <c r="F188" s="2940" t="s">
        <v>1459</v>
      </c>
      <c r="G188" s="2940" t="s">
        <v>2275</v>
      </c>
      <c r="H188" s="2940" t="s">
        <v>1035</v>
      </c>
      <c r="I188" s="2940" t="s">
        <v>2414</v>
      </c>
      <c r="J188" s="2940" t="s">
        <v>2248</v>
      </c>
      <c r="K188" s="2940" t="s">
        <v>643</v>
      </c>
      <c r="L188" s="2941">
        <v>55.17</v>
      </c>
      <c r="M188" s="2941">
        <v>28.68</v>
      </c>
      <c r="N188" s="2942">
        <v>1655100</v>
      </c>
      <c r="O188" s="2942">
        <v>1655100</v>
      </c>
    </row>
    <row r="189" spans="1:15">
      <c r="A189" s="2939">
        <v>199</v>
      </c>
      <c r="B189" s="2940">
        <v>1976</v>
      </c>
      <c r="C189" s="2940" t="s">
        <v>635</v>
      </c>
      <c r="D189" s="2940" t="s">
        <v>636</v>
      </c>
      <c r="E189" s="2940" t="s">
        <v>2286</v>
      </c>
      <c r="F189" s="2940" t="s">
        <v>1459</v>
      </c>
      <c r="G189" s="2940" t="s">
        <v>2274</v>
      </c>
      <c r="H189" s="2940" t="s">
        <v>1035</v>
      </c>
      <c r="I189" s="2940" t="s">
        <v>2415</v>
      </c>
      <c r="J189" s="2940" t="s">
        <v>2248</v>
      </c>
      <c r="K189" s="2940" t="s">
        <v>643</v>
      </c>
      <c r="L189" s="2941">
        <v>20.83</v>
      </c>
      <c r="M189" s="2941">
        <v>10.83</v>
      </c>
      <c r="N189" s="2942">
        <v>624900</v>
      </c>
      <c r="O189" s="2942">
        <v>624900</v>
      </c>
    </row>
    <row r="190" spans="1:15">
      <c r="A190" s="2939">
        <v>200</v>
      </c>
      <c r="B190" s="2940">
        <v>1977</v>
      </c>
      <c r="C190" s="2940" t="s">
        <v>635</v>
      </c>
      <c r="D190" s="2940" t="s">
        <v>636</v>
      </c>
      <c r="E190" s="2940" t="s">
        <v>2286</v>
      </c>
      <c r="F190" s="2940" t="s">
        <v>1459</v>
      </c>
      <c r="G190" s="2940" t="s">
        <v>2273</v>
      </c>
      <c r="H190" s="2940" t="s">
        <v>1035</v>
      </c>
      <c r="I190" s="2940" t="s">
        <v>2416</v>
      </c>
      <c r="J190" s="2940" t="s">
        <v>2248</v>
      </c>
      <c r="K190" s="2940" t="s">
        <v>643</v>
      </c>
      <c r="L190" s="2941">
        <v>20.28</v>
      </c>
      <c r="M190" s="2941">
        <v>10.54</v>
      </c>
      <c r="N190" s="2942">
        <v>608400</v>
      </c>
      <c r="O190" s="2942">
        <v>608400</v>
      </c>
    </row>
    <row r="191" spans="1:15">
      <c r="A191" s="2939">
        <v>201</v>
      </c>
      <c r="B191" s="2940">
        <v>1978</v>
      </c>
      <c r="C191" s="2940" t="s">
        <v>635</v>
      </c>
      <c r="D191" s="2940" t="s">
        <v>636</v>
      </c>
      <c r="E191" s="2940" t="s">
        <v>2286</v>
      </c>
      <c r="F191" s="2940" t="s">
        <v>1459</v>
      </c>
      <c r="G191" s="2940" t="s">
        <v>2272</v>
      </c>
      <c r="H191" s="2940" t="s">
        <v>1035</v>
      </c>
      <c r="I191" s="2940" t="s">
        <v>2417</v>
      </c>
      <c r="J191" s="2940" t="s">
        <v>2248</v>
      </c>
      <c r="K191" s="2940" t="s">
        <v>643</v>
      </c>
      <c r="L191" s="2941">
        <v>19.43</v>
      </c>
      <c r="M191" s="2941">
        <v>10.1</v>
      </c>
      <c r="N191" s="2942">
        <v>582900</v>
      </c>
      <c r="O191" s="2942">
        <v>582900</v>
      </c>
    </row>
    <row r="192" spans="1:15">
      <c r="A192" s="2939">
        <v>202</v>
      </c>
      <c r="B192" s="2940">
        <v>1979</v>
      </c>
      <c r="C192" s="2940" t="s">
        <v>635</v>
      </c>
      <c r="D192" s="2940" t="s">
        <v>636</v>
      </c>
      <c r="E192" s="2940" t="s">
        <v>2286</v>
      </c>
      <c r="F192" s="2940" t="s">
        <v>1459</v>
      </c>
      <c r="G192" s="2940" t="s">
        <v>2271</v>
      </c>
      <c r="H192" s="2940" t="s">
        <v>1035</v>
      </c>
      <c r="I192" s="2940" t="s">
        <v>2418</v>
      </c>
      <c r="J192" s="2940" t="s">
        <v>2248</v>
      </c>
      <c r="K192" s="2940" t="s">
        <v>643</v>
      </c>
      <c r="L192" s="2941">
        <v>22.16</v>
      </c>
      <c r="M192" s="2941">
        <v>11.52</v>
      </c>
      <c r="N192" s="2942">
        <v>664800</v>
      </c>
      <c r="O192" s="2942">
        <v>664800</v>
      </c>
    </row>
    <row r="193" spans="1:15">
      <c r="A193" s="2939">
        <v>203</v>
      </c>
      <c r="B193" s="2940">
        <v>1980</v>
      </c>
      <c r="C193" s="2940" t="s">
        <v>635</v>
      </c>
      <c r="D193" s="2940" t="s">
        <v>636</v>
      </c>
      <c r="E193" s="2940" t="s">
        <v>2286</v>
      </c>
      <c r="F193" s="2940" t="s">
        <v>1459</v>
      </c>
      <c r="G193" s="2940" t="s">
        <v>2270</v>
      </c>
      <c r="H193" s="2940" t="s">
        <v>1035</v>
      </c>
      <c r="I193" s="2940" t="s">
        <v>2418</v>
      </c>
      <c r="J193" s="2940" t="s">
        <v>2248</v>
      </c>
      <c r="K193" s="2940" t="s">
        <v>643</v>
      </c>
      <c r="L193" s="2941">
        <v>22.16</v>
      </c>
      <c r="M193" s="2941">
        <v>11.52</v>
      </c>
      <c r="N193" s="2942">
        <v>664800</v>
      </c>
      <c r="O193" s="2942">
        <v>664800</v>
      </c>
    </row>
    <row r="194" spans="1:15">
      <c r="A194" s="2939">
        <v>204</v>
      </c>
      <c r="B194" s="2940">
        <v>1981</v>
      </c>
      <c r="C194" s="2940" t="s">
        <v>635</v>
      </c>
      <c r="D194" s="2940" t="s">
        <v>636</v>
      </c>
      <c r="E194" s="2940" t="s">
        <v>2286</v>
      </c>
      <c r="F194" s="2940" t="s">
        <v>1459</v>
      </c>
      <c r="G194" s="2940" t="s">
        <v>2269</v>
      </c>
      <c r="H194" s="2940" t="s">
        <v>1035</v>
      </c>
      <c r="I194" s="2940" t="s">
        <v>2419</v>
      </c>
      <c r="J194" s="2940" t="s">
        <v>2248</v>
      </c>
      <c r="K194" s="2940" t="s">
        <v>643</v>
      </c>
      <c r="L194" s="2941">
        <v>20.28</v>
      </c>
      <c r="M194" s="2941">
        <v>10.54</v>
      </c>
      <c r="N194" s="2942">
        <v>608400</v>
      </c>
      <c r="O194" s="2942">
        <v>608400</v>
      </c>
    </row>
    <row r="195" spans="1:15">
      <c r="A195" s="2939">
        <v>205</v>
      </c>
      <c r="B195" s="2940">
        <v>1982</v>
      </c>
      <c r="C195" s="2940" t="s">
        <v>635</v>
      </c>
      <c r="D195" s="2940" t="s">
        <v>636</v>
      </c>
      <c r="E195" s="2940" t="s">
        <v>2286</v>
      </c>
      <c r="F195" s="2940" t="s">
        <v>1459</v>
      </c>
      <c r="G195" s="2940" t="s">
        <v>655</v>
      </c>
      <c r="H195" s="2940" t="s">
        <v>1035</v>
      </c>
      <c r="I195" s="2940" t="s">
        <v>2420</v>
      </c>
      <c r="J195" s="2940" t="s">
        <v>2248</v>
      </c>
      <c r="K195" s="2940" t="s">
        <v>643</v>
      </c>
      <c r="L195" s="2941">
        <v>5.94</v>
      </c>
      <c r="M195" s="2941">
        <v>3.09</v>
      </c>
      <c r="N195" s="2942">
        <v>178200</v>
      </c>
      <c r="O195" s="2942">
        <v>178200</v>
      </c>
    </row>
    <row r="196" spans="1:15">
      <c r="A196" s="2939">
        <v>206</v>
      </c>
      <c r="B196" s="2940">
        <v>1983</v>
      </c>
      <c r="C196" s="2940" t="s">
        <v>635</v>
      </c>
      <c r="D196" s="2940" t="s">
        <v>636</v>
      </c>
      <c r="E196" s="2940" t="s">
        <v>2286</v>
      </c>
      <c r="F196" s="2940" t="s">
        <v>1459</v>
      </c>
      <c r="G196" s="2940" t="s">
        <v>653</v>
      </c>
      <c r="H196" s="2940" t="s">
        <v>1035</v>
      </c>
      <c r="I196" s="2940" t="s">
        <v>2421</v>
      </c>
      <c r="J196" s="2940" t="s">
        <v>2248</v>
      </c>
      <c r="K196" s="2940" t="s">
        <v>643</v>
      </c>
      <c r="L196" s="2941">
        <v>54.04</v>
      </c>
      <c r="M196" s="2941">
        <v>28.09</v>
      </c>
      <c r="N196" s="2942">
        <v>1621200</v>
      </c>
      <c r="O196" s="2942">
        <v>1621200</v>
      </c>
    </row>
    <row r="197" spans="1:15">
      <c r="A197" s="2939">
        <v>192</v>
      </c>
      <c r="B197" s="2940">
        <v>1968</v>
      </c>
      <c r="C197" s="2940" t="s">
        <v>635</v>
      </c>
      <c r="D197" s="2940" t="s">
        <v>636</v>
      </c>
      <c r="E197" s="2940" t="s">
        <v>2286</v>
      </c>
      <c r="F197" s="2940" t="s">
        <v>1459</v>
      </c>
      <c r="G197" s="2940" t="s">
        <v>2256</v>
      </c>
      <c r="H197" s="2940" t="s">
        <v>1035</v>
      </c>
      <c r="I197" s="2940" t="s">
        <v>2408</v>
      </c>
      <c r="J197" s="2940" t="s">
        <v>2248</v>
      </c>
      <c r="K197" s="2940" t="s">
        <v>643</v>
      </c>
      <c r="L197" s="2941">
        <v>21.18</v>
      </c>
      <c r="M197" s="2941">
        <v>11.01</v>
      </c>
      <c r="N197" s="2942">
        <v>635400</v>
      </c>
      <c r="O197" s="2942">
        <v>635400</v>
      </c>
    </row>
    <row r="198" spans="1:15">
      <c r="A198" s="2939">
        <v>208</v>
      </c>
      <c r="B198" s="2940">
        <v>1985</v>
      </c>
      <c r="C198" s="2940" t="s">
        <v>635</v>
      </c>
      <c r="D198" s="2940" t="s">
        <v>636</v>
      </c>
      <c r="E198" s="2940" t="s">
        <v>2286</v>
      </c>
      <c r="F198" s="2940" t="s">
        <v>1459</v>
      </c>
      <c r="G198" s="2940" t="s">
        <v>2259</v>
      </c>
      <c r="H198" s="2940" t="s">
        <v>1035</v>
      </c>
      <c r="I198" s="2940" t="s">
        <v>2423</v>
      </c>
      <c r="J198" s="2940" t="s">
        <v>2248</v>
      </c>
      <c r="K198" s="2940" t="s">
        <v>643</v>
      </c>
      <c r="L198" s="2941">
        <v>19.16</v>
      </c>
      <c r="M198" s="2941">
        <v>9.9600000000000009</v>
      </c>
      <c r="N198" s="2942">
        <v>574800</v>
      </c>
      <c r="O198" s="2942">
        <v>574800</v>
      </c>
    </row>
    <row r="199" spans="1:15">
      <c r="A199" s="2939">
        <v>197</v>
      </c>
      <c r="B199" s="2940">
        <v>1974</v>
      </c>
      <c r="C199" s="2940" t="s">
        <v>635</v>
      </c>
      <c r="D199" s="2940" t="s">
        <v>636</v>
      </c>
      <c r="E199" s="2940" t="s">
        <v>2286</v>
      </c>
      <c r="F199" s="2940" t="s">
        <v>1459</v>
      </c>
      <c r="G199" s="2940" t="s">
        <v>2276</v>
      </c>
      <c r="H199" s="2940" t="s">
        <v>1035</v>
      </c>
      <c r="I199" s="2940" t="s">
        <v>2408</v>
      </c>
      <c r="J199" s="2940" t="s">
        <v>2248</v>
      </c>
      <c r="K199" s="2940" t="s">
        <v>643</v>
      </c>
      <c r="L199" s="2941">
        <v>21.18</v>
      </c>
      <c r="M199" s="2941">
        <v>11.01</v>
      </c>
      <c r="N199" s="2942">
        <v>635400</v>
      </c>
      <c r="O199" s="2942">
        <v>635400</v>
      </c>
    </row>
    <row r="200" spans="1:15">
      <c r="A200" s="2939">
        <v>210</v>
      </c>
      <c r="B200" s="2940">
        <v>1990</v>
      </c>
      <c r="C200" s="2940" t="s">
        <v>635</v>
      </c>
      <c r="D200" s="2940" t="s">
        <v>636</v>
      </c>
      <c r="E200" s="2940" t="s">
        <v>2286</v>
      </c>
      <c r="F200" s="2940" t="s">
        <v>1459</v>
      </c>
      <c r="G200" s="2940" t="s">
        <v>2282</v>
      </c>
      <c r="H200" s="2940" t="s">
        <v>1035</v>
      </c>
      <c r="I200" s="2940" t="s">
        <v>2427</v>
      </c>
      <c r="J200" s="2940" t="s">
        <v>2248</v>
      </c>
      <c r="K200" s="2940" t="s">
        <v>643</v>
      </c>
      <c r="L200" s="2941">
        <v>14.27</v>
      </c>
      <c r="M200" s="2941">
        <v>7.42</v>
      </c>
      <c r="N200" s="2942">
        <v>428100</v>
      </c>
      <c r="O200" s="2942">
        <v>428100</v>
      </c>
    </row>
    <row r="201" spans="1:15">
      <c r="A201" s="2939">
        <v>211</v>
      </c>
      <c r="B201" s="2940">
        <v>1991</v>
      </c>
      <c r="C201" s="2940" t="s">
        <v>635</v>
      </c>
      <c r="D201" s="2940" t="s">
        <v>636</v>
      </c>
      <c r="E201" s="2940" t="s">
        <v>2286</v>
      </c>
      <c r="F201" s="2940" t="s">
        <v>1459</v>
      </c>
      <c r="G201" s="2940" t="s">
        <v>2281</v>
      </c>
      <c r="H201" s="2940" t="s">
        <v>1035</v>
      </c>
      <c r="I201" s="2940" t="s">
        <v>2379</v>
      </c>
      <c r="J201" s="2940" t="s">
        <v>2248</v>
      </c>
      <c r="K201" s="2940" t="s">
        <v>643</v>
      </c>
      <c r="L201" s="2941">
        <v>18.350000000000001</v>
      </c>
      <c r="M201" s="2941">
        <v>9.5399999999999991</v>
      </c>
      <c r="N201" s="2942">
        <v>550500</v>
      </c>
      <c r="O201" s="2942">
        <v>550500</v>
      </c>
    </row>
    <row r="202" spans="1:15">
      <c r="A202" s="2939">
        <v>212</v>
      </c>
      <c r="B202" s="2940">
        <v>1992</v>
      </c>
      <c r="C202" s="2940" t="s">
        <v>635</v>
      </c>
      <c r="D202" s="2940" t="s">
        <v>636</v>
      </c>
      <c r="E202" s="2940" t="s">
        <v>2286</v>
      </c>
      <c r="F202" s="2940" t="s">
        <v>1459</v>
      </c>
      <c r="G202" s="2940" t="s">
        <v>2280</v>
      </c>
      <c r="H202" s="2940" t="s">
        <v>1035</v>
      </c>
      <c r="I202" s="2940" t="s">
        <v>2428</v>
      </c>
      <c r="J202" s="2940" t="s">
        <v>2248</v>
      </c>
      <c r="K202" s="2940" t="s">
        <v>643</v>
      </c>
      <c r="L202" s="2941">
        <v>21.62</v>
      </c>
      <c r="M202" s="2941">
        <v>11.24</v>
      </c>
      <c r="N202" s="2942">
        <v>648600</v>
      </c>
      <c r="O202" s="2942">
        <v>648600</v>
      </c>
    </row>
    <row r="203" spans="1:15">
      <c r="A203" s="2939">
        <v>213</v>
      </c>
      <c r="B203" s="2940">
        <v>1993</v>
      </c>
      <c r="C203" s="2940" t="s">
        <v>635</v>
      </c>
      <c r="D203" s="2940" t="s">
        <v>636</v>
      </c>
      <c r="E203" s="2940" t="s">
        <v>2286</v>
      </c>
      <c r="F203" s="2940" t="s">
        <v>1459</v>
      </c>
      <c r="G203" s="2940" t="s">
        <v>2279</v>
      </c>
      <c r="H203" s="2940" t="s">
        <v>1035</v>
      </c>
      <c r="I203" s="2940" t="s">
        <v>2429</v>
      </c>
      <c r="J203" s="2940" t="s">
        <v>2248</v>
      </c>
      <c r="K203" s="2940" t="s">
        <v>643</v>
      </c>
      <c r="L203" s="2941">
        <v>59.43</v>
      </c>
      <c r="M203" s="2941">
        <v>30.89</v>
      </c>
      <c r="N203" s="2942">
        <v>1782900</v>
      </c>
      <c r="O203" s="2942">
        <v>1782900</v>
      </c>
    </row>
    <row r="204" spans="1:15">
      <c r="A204" s="2939">
        <v>214</v>
      </c>
      <c r="B204" s="2940">
        <v>1994</v>
      </c>
      <c r="C204" s="2940" t="s">
        <v>635</v>
      </c>
      <c r="D204" s="2940" t="s">
        <v>636</v>
      </c>
      <c r="E204" s="2940" t="s">
        <v>2286</v>
      </c>
      <c r="F204" s="2940" t="s">
        <v>1459</v>
      </c>
      <c r="G204" s="2940" t="s">
        <v>2278</v>
      </c>
      <c r="H204" s="2940" t="s">
        <v>1035</v>
      </c>
      <c r="I204" s="2940" t="s">
        <v>2430</v>
      </c>
      <c r="J204" s="2940" t="s">
        <v>2248</v>
      </c>
      <c r="K204" s="2940" t="s">
        <v>643</v>
      </c>
      <c r="L204" s="2941">
        <v>21.49</v>
      </c>
      <c r="M204" s="2941">
        <v>11.17</v>
      </c>
      <c r="N204" s="2942">
        <v>644700</v>
      </c>
      <c r="O204" s="2942">
        <v>644700</v>
      </c>
    </row>
    <row r="205" spans="1:15">
      <c r="A205" s="2939">
        <v>215</v>
      </c>
      <c r="B205" s="2940">
        <v>1995</v>
      </c>
      <c r="C205" s="2940" t="s">
        <v>635</v>
      </c>
      <c r="D205" s="2940" t="s">
        <v>636</v>
      </c>
      <c r="E205" s="2940" t="s">
        <v>2286</v>
      </c>
      <c r="F205" s="2940" t="s">
        <v>1459</v>
      </c>
      <c r="G205" s="2940" t="s">
        <v>2277</v>
      </c>
      <c r="H205" s="2940" t="s">
        <v>1035</v>
      </c>
      <c r="I205" s="2940" t="s">
        <v>2431</v>
      </c>
      <c r="J205" s="2940" t="s">
        <v>2248</v>
      </c>
      <c r="K205" s="2940" t="s">
        <v>643</v>
      </c>
      <c r="L205" s="2941">
        <v>23.84</v>
      </c>
      <c r="M205" s="2941">
        <v>12.39</v>
      </c>
      <c r="N205" s="2942">
        <v>715200</v>
      </c>
      <c r="O205" s="2942">
        <v>715200</v>
      </c>
    </row>
    <row r="206" spans="1:15">
      <c r="A206" s="2939">
        <v>216</v>
      </c>
      <c r="B206" s="2940">
        <v>1996</v>
      </c>
      <c r="C206" s="2940" t="s">
        <v>635</v>
      </c>
      <c r="D206" s="2940" t="s">
        <v>636</v>
      </c>
      <c r="E206" s="2940" t="s">
        <v>2286</v>
      </c>
      <c r="F206" s="2940" t="s">
        <v>1459</v>
      </c>
      <c r="G206" s="2940" t="s">
        <v>2432</v>
      </c>
      <c r="H206" s="2940" t="s">
        <v>1035</v>
      </c>
      <c r="I206" s="2940" t="s">
        <v>2433</v>
      </c>
      <c r="J206" s="2940" t="s">
        <v>2248</v>
      </c>
      <c r="K206" s="2940" t="s">
        <v>643</v>
      </c>
      <c r="L206" s="2941">
        <v>19.489999999999998</v>
      </c>
      <c r="M206" s="2941">
        <v>10.130000000000001</v>
      </c>
      <c r="N206" s="2942">
        <v>584700</v>
      </c>
      <c r="O206" s="2942">
        <v>584700</v>
      </c>
    </row>
    <row r="207" spans="1:15">
      <c r="A207" s="2939">
        <v>217</v>
      </c>
      <c r="B207" s="2940">
        <v>1997</v>
      </c>
      <c r="C207" s="2940" t="s">
        <v>635</v>
      </c>
      <c r="D207" s="2940" t="s">
        <v>636</v>
      </c>
      <c r="E207" s="2940" t="s">
        <v>2286</v>
      </c>
      <c r="F207" s="2940" t="s">
        <v>1459</v>
      </c>
      <c r="G207" s="2940" t="s">
        <v>2434</v>
      </c>
      <c r="H207" s="2940" t="s">
        <v>1035</v>
      </c>
      <c r="I207" s="2940" t="s">
        <v>2433</v>
      </c>
      <c r="J207" s="2940" t="s">
        <v>2248</v>
      </c>
      <c r="K207" s="2940" t="s">
        <v>643</v>
      </c>
      <c r="L207" s="2941">
        <v>19.489999999999998</v>
      </c>
      <c r="M207" s="2941">
        <v>10.130000000000001</v>
      </c>
      <c r="N207" s="2942">
        <v>584700</v>
      </c>
      <c r="O207" s="2942">
        <v>584700</v>
      </c>
    </row>
    <row r="208" spans="1:15">
      <c r="A208" s="2939">
        <v>218</v>
      </c>
      <c r="B208" s="2940">
        <v>1998</v>
      </c>
      <c r="C208" s="2940" t="s">
        <v>635</v>
      </c>
      <c r="D208" s="2940" t="s">
        <v>636</v>
      </c>
      <c r="E208" s="2940" t="s">
        <v>2286</v>
      </c>
      <c r="F208" s="2940" t="s">
        <v>1459</v>
      </c>
      <c r="G208" s="2940" t="s">
        <v>2435</v>
      </c>
      <c r="H208" s="2940" t="s">
        <v>1035</v>
      </c>
      <c r="I208" s="2940" t="s">
        <v>2431</v>
      </c>
      <c r="J208" s="2940" t="s">
        <v>2248</v>
      </c>
      <c r="K208" s="2940" t="s">
        <v>643</v>
      </c>
      <c r="L208" s="2941">
        <v>23.84</v>
      </c>
      <c r="M208" s="2941">
        <v>12.39</v>
      </c>
      <c r="N208" s="2942">
        <v>715200</v>
      </c>
      <c r="O208" s="2942">
        <v>715200</v>
      </c>
    </row>
    <row r="209" spans="1:15">
      <c r="A209" s="2939">
        <v>219</v>
      </c>
      <c r="B209" s="2940">
        <v>1999</v>
      </c>
      <c r="C209" s="2940" t="s">
        <v>635</v>
      </c>
      <c r="D209" s="2940" t="s">
        <v>636</v>
      </c>
      <c r="E209" s="2940" t="s">
        <v>2286</v>
      </c>
      <c r="F209" s="2940" t="s">
        <v>1460</v>
      </c>
      <c r="G209" s="2940" t="s">
        <v>645</v>
      </c>
      <c r="H209" s="2940" t="s">
        <v>1035</v>
      </c>
      <c r="I209" s="2940" t="s">
        <v>2436</v>
      </c>
      <c r="J209" s="2940" t="s">
        <v>2248</v>
      </c>
      <c r="K209" s="2940" t="s">
        <v>643</v>
      </c>
      <c r="L209" s="2941">
        <v>20.62</v>
      </c>
      <c r="M209" s="2941">
        <v>11.33</v>
      </c>
      <c r="N209" s="2942">
        <v>618600</v>
      </c>
      <c r="O209" s="2942">
        <v>618600</v>
      </c>
    </row>
    <row r="210" spans="1:15">
      <c r="A210" s="2939">
        <v>220</v>
      </c>
      <c r="B210" s="2940">
        <v>2000</v>
      </c>
      <c r="C210" s="2940" t="s">
        <v>635</v>
      </c>
      <c r="D210" s="2940" t="s">
        <v>636</v>
      </c>
      <c r="E210" s="2940" t="s">
        <v>2286</v>
      </c>
      <c r="F210" s="2940" t="s">
        <v>1460</v>
      </c>
      <c r="G210" s="2940" t="s">
        <v>1458</v>
      </c>
      <c r="H210" s="2940" t="s">
        <v>1035</v>
      </c>
      <c r="I210" s="2940" t="s">
        <v>2437</v>
      </c>
      <c r="J210" s="2940" t="s">
        <v>2248</v>
      </c>
      <c r="K210" s="2940" t="s">
        <v>643</v>
      </c>
      <c r="L210" s="2941">
        <v>20.76</v>
      </c>
      <c r="M210" s="2941">
        <v>11.41</v>
      </c>
      <c r="N210" s="2942">
        <v>622800</v>
      </c>
      <c r="O210" s="2942">
        <v>622800</v>
      </c>
    </row>
    <row r="211" spans="1:15">
      <c r="A211" s="2939">
        <v>221</v>
      </c>
      <c r="B211" s="2940">
        <v>2002</v>
      </c>
      <c r="C211" s="2940" t="s">
        <v>635</v>
      </c>
      <c r="D211" s="2940" t="s">
        <v>636</v>
      </c>
      <c r="E211" s="2940" t="s">
        <v>2286</v>
      </c>
      <c r="F211" s="2940" t="s">
        <v>1460</v>
      </c>
      <c r="G211" s="2940" t="s">
        <v>2250</v>
      </c>
      <c r="H211" s="2940" t="s">
        <v>1035</v>
      </c>
      <c r="I211" s="2940" t="s">
        <v>2439</v>
      </c>
      <c r="J211" s="2940" t="s">
        <v>2248</v>
      </c>
      <c r="K211" s="2940" t="s">
        <v>643</v>
      </c>
      <c r="L211" s="2941">
        <v>18.829999999999998</v>
      </c>
      <c r="M211" s="2941">
        <v>10.35</v>
      </c>
      <c r="N211" s="2942">
        <v>564900</v>
      </c>
      <c r="O211" s="2942">
        <v>564900</v>
      </c>
    </row>
    <row r="212" spans="1:15">
      <c r="A212" s="2939">
        <v>222</v>
      </c>
      <c r="B212" s="2940">
        <v>2003</v>
      </c>
      <c r="C212" s="2940" t="s">
        <v>635</v>
      </c>
      <c r="D212" s="2940" t="s">
        <v>636</v>
      </c>
      <c r="E212" s="2940" t="s">
        <v>2286</v>
      </c>
      <c r="F212" s="2940" t="s">
        <v>1460</v>
      </c>
      <c r="G212" s="2940" t="s">
        <v>2249</v>
      </c>
      <c r="H212" s="2940" t="s">
        <v>1035</v>
      </c>
      <c r="I212" s="2940" t="s">
        <v>2440</v>
      </c>
      <c r="J212" s="2940" t="s">
        <v>2248</v>
      </c>
      <c r="K212" s="2940" t="s">
        <v>643</v>
      </c>
      <c r="L212" s="2941">
        <v>25.11</v>
      </c>
      <c r="M212" s="2941">
        <v>13.8</v>
      </c>
      <c r="N212" s="2942">
        <v>753300</v>
      </c>
      <c r="O212" s="2942">
        <v>753300</v>
      </c>
    </row>
    <row r="213" spans="1:15">
      <c r="A213" s="2939">
        <v>223</v>
      </c>
      <c r="B213" s="2940">
        <v>2004</v>
      </c>
      <c r="C213" s="2940" t="s">
        <v>635</v>
      </c>
      <c r="D213" s="2940" t="s">
        <v>636</v>
      </c>
      <c r="E213" s="2940" t="s">
        <v>2286</v>
      </c>
      <c r="F213" s="2940" t="s">
        <v>1460</v>
      </c>
      <c r="G213" s="2940" t="s">
        <v>2247</v>
      </c>
      <c r="H213" s="2940" t="s">
        <v>1035</v>
      </c>
      <c r="I213" s="2940" t="s">
        <v>2440</v>
      </c>
      <c r="J213" s="2940" t="s">
        <v>2248</v>
      </c>
      <c r="K213" s="2940" t="s">
        <v>643</v>
      </c>
      <c r="L213" s="2941">
        <v>25.11</v>
      </c>
      <c r="M213" s="2941">
        <v>13.8</v>
      </c>
      <c r="N213" s="2942">
        <v>753300</v>
      </c>
      <c r="O213" s="2942">
        <v>753300</v>
      </c>
    </row>
    <row r="214" spans="1:15">
      <c r="A214" s="2939">
        <v>224</v>
      </c>
      <c r="B214" s="2940">
        <v>2005</v>
      </c>
      <c r="C214" s="2940" t="s">
        <v>635</v>
      </c>
      <c r="D214" s="2940" t="s">
        <v>636</v>
      </c>
      <c r="E214" s="2940" t="s">
        <v>2286</v>
      </c>
      <c r="F214" s="2940" t="s">
        <v>1460</v>
      </c>
      <c r="G214" s="2940" t="s">
        <v>2267</v>
      </c>
      <c r="H214" s="2940" t="s">
        <v>1035</v>
      </c>
      <c r="I214" s="2940" t="s">
        <v>2439</v>
      </c>
      <c r="J214" s="2940" t="s">
        <v>2248</v>
      </c>
      <c r="K214" s="2940" t="s">
        <v>643</v>
      </c>
      <c r="L214" s="2941">
        <v>18.829999999999998</v>
      </c>
      <c r="M214" s="2941">
        <v>10.35</v>
      </c>
      <c r="N214" s="2942">
        <v>564900</v>
      </c>
      <c r="O214" s="2942">
        <v>564900</v>
      </c>
    </row>
    <row r="215" spans="1:15">
      <c r="A215" s="2939">
        <v>225</v>
      </c>
      <c r="B215" s="2940">
        <v>2006</v>
      </c>
      <c r="C215" s="2940" t="s">
        <v>635</v>
      </c>
      <c r="D215" s="2940" t="s">
        <v>636</v>
      </c>
      <c r="E215" s="2940" t="s">
        <v>2286</v>
      </c>
      <c r="F215" s="2940" t="s">
        <v>1460</v>
      </c>
      <c r="G215" s="2940" t="s">
        <v>2266</v>
      </c>
      <c r="H215" s="2940" t="s">
        <v>1035</v>
      </c>
      <c r="I215" s="2940" t="s">
        <v>2441</v>
      </c>
      <c r="J215" s="2940" t="s">
        <v>2248</v>
      </c>
      <c r="K215" s="2940" t="s">
        <v>643</v>
      </c>
      <c r="L215" s="2941">
        <v>18.21</v>
      </c>
      <c r="M215" s="2941">
        <v>10.01</v>
      </c>
      <c r="N215" s="2942">
        <v>546300</v>
      </c>
      <c r="O215" s="2942">
        <v>546300</v>
      </c>
    </row>
    <row r="216" spans="1:15">
      <c r="A216" s="2939">
        <v>226</v>
      </c>
      <c r="B216" s="2940">
        <v>2007</v>
      </c>
      <c r="C216" s="2940" t="s">
        <v>635</v>
      </c>
      <c r="D216" s="2940" t="s">
        <v>636</v>
      </c>
      <c r="E216" s="2940" t="s">
        <v>2286</v>
      </c>
      <c r="F216" s="2940" t="s">
        <v>1460</v>
      </c>
      <c r="G216" s="2940" t="s">
        <v>651</v>
      </c>
      <c r="H216" s="2940" t="s">
        <v>1035</v>
      </c>
      <c r="I216" s="2940" t="s">
        <v>2442</v>
      </c>
      <c r="J216" s="2940" t="s">
        <v>2248</v>
      </c>
      <c r="K216" s="2940" t="s">
        <v>643</v>
      </c>
      <c r="L216" s="2941">
        <v>18.29</v>
      </c>
      <c r="M216" s="2941">
        <v>10.050000000000001</v>
      </c>
      <c r="N216" s="2942">
        <v>548700</v>
      </c>
      <c r="O216" s="2942">
        <v>548700</v>
      </c>
    </row>
    <row r="217" spans="1:15">
      <c r="A217" s="2939">
        <v>227</v>
      </c>
      <c r="B217" s="2940">
        <v>2008</v>
      </c>
      <c r="C217" s="2940" t="s">
        <v>635</v>
      </c>
      <c r="D217" s="2940" t="s">
        <v>636</v>
      </c>
      <c r="E217" s="2940" t="s">
        <v>2286</v>
      </c>
      <c r="F217" s="2940" t="s">
        <v>1460</v>
      </c>
      <c r="G217" s="2940" t="s">
        <v>648</v>
      </c>
      <c r="H217" s="2940" t="s">
        <v>1035</v>
      </c>
      <c r="I217" s="2940" t="s">
        <v>2443</v>
      </c>
      <c r="J217" s="2940" t="s">
        <v>2248</v>
      </c>
      <c r="K217" s="2940" t="s">
        <v>643</v>
      </c>
      <c r="L217" s="2941">
        <v>19.11</v>
      </c>
      <c r="M217" s="2941">
        <v>10.5</v>
      </c>
      <c r="N217" s="2942">
        <v>573300</v>
      </c>
      <c r="O217" s="2942">
        <v>573300</v>
      </c>
    </row>
    <row r="218" spans="1:15">
      <c r="A218" s="2939">
        <v>228</v>
      </c>
      <c r="B218" s="2940">
        <v>2010</v>
      </c>
      <c r="C218" s="2940" t="s">
        <v>635</v>
      </c>
      <c r="D218" s="2940" t="s">
        <v>636</v>
      </c>
      <c r="E218" s="2940" t="s">
        <v>2286</v>
      </c>
      <c r="F218" s="2940" t="s">
        <v>1460</v>
      </c>
      <c r="G218" s="2940" t="s">
        <v>2255</v>
      </c>
      <c r="H218" s="2940" t="s">
        <v>1035</v>
      </c>
      <c r="I218" s="2940" t="s">
        <v>2445</v>
      </c>
      <c r="J218" s="2940" t="s">
        <v>2248</v>
      </c>
      <c r="K218" s="2940" t="s">
        <v>643</v>
      </c>
      <c r="L218" s="2941">
        <v>25.4</v>
      </c>
      <c r="M218" s="2941">
        <v>13.96</v>
      </c>
      <c r="N218" s="2942">
        <v>762000</v>
      </c>
      <c r="O218" s="2942">
        <v>762000</v>
      </c>
    </row>
    <row r="219" spans="1:15">
      <c r="A219" s="2939">
        <v>229</v>
      </c>
      <c r="B219" s="2940">
        <v>2012</v>
      </c>
      <c r="C219" s="2940" t="s">
        <v>635</v>
      </c>
      <c r="D219" s="2940" t="s">
        <v>636</v>
      </c>
      <c r="E219" s="2940" t="s">
        <v>2286</v>
      </c>
      <c r="F219" s="2940" t="s">
        <v>1460</v>
      </c>
      <c r="G219" s="2940" t="s">
        <v>2253</v>
      </c>
      <c r="H219" s="2940" t="s">
        <v>1035</v>
      </c>
      <c r="I219" s="2940" t="s">
        <v>2447</v>
      </c>
      <c r="J219" s="2940" t="s">
        <v>2248</v>
      </c>
      <c r="K219" s="2940" t="s">
        <v>643</v>
      </c>
      <c r="L219" s="2941">
        <v>12.63</v>
      </c>
      <c r="M219" s="2941">
        <v>6.94</v>
      </c>
      <c r="N219" s="2942">
        <v>378900</v>
      </c>
      <c r="O219" s="2942">
        <v>378900</v>
      </c>
    </row>
    <row r="220" spans="1:15">
      <c r="A220" s="2939">
        <v>230</v>
      </c>
      <c r="B220" s="2940">
        <v>2016</v>
      </c>
      <c r="C220" s="2940" t="s">
        <v>635</v>
      </c>
      <c r="D220" s="2940" t="s">
        <v>636</v>
      </c>
      <c r="E220" s="2940" t="s">
        <v>2286</v>
      </c>
      <c r="F220" s="2940" t="s">
        <v>1460</v>
      </c>
      <c r="G220" s="2940" t="s">
        <v>2275</v>
      </c>
      <c r="H220" s="2940" t="s">
        <v>1035</v>
      </c>
      <c r="I220" s="2940" t="s">
        <v>2451</v>
      </c>
      <c r="J220" s="2940" t="s">
        <v>2248</v>
      </c>
      <c r="K220" s="2940" t="s">
        <v>643</v>
      </c>
      <c r="L220" s="2941">
        <v>25.11</v>
      </c>
      <c r="M220" s="2941">
        <v>13.8</v>
      </c>
      <c r="N220" s="2942">
        <v>753300</v>
      </c>
      <c r="O220" s="2942">
        <v>753300</v>
      </c>
    </row>
    <row r="221" spans="1:15">
      <c r="A221" s="2939">
        <v>231</v>
      </c>
      <c r="B221" s="2940">
        <v>2017</v>
      </c>
      <c r="C221" s="2940" t="s">
        <v>635</v>
      </c>
      <c r="D221" s="2940" t="s">
        <v>636</v>
      </c>
      <c r="E221" s="2940" t="s">
        <v>2286</v>
      </c>
      <c r="F221" s="2940" t="s">
        <v>1460</v>
      </c>
      <c r="G221" s="2940" t="s">
        <v>2274</v>
      </c>
      <c r="H221" s="2940" t="s">
        <v>1035</v>
      </c>
      <c r="I221" s="2940" t="s">
        <v>2451</v>
      </c>
      <c r="J221" s="2940" t="s">
        <v>2248</v>
      </c>
      <c r="K221" s="2940" t="s">
        <v>643</v>
      </c>
      <c r="L221" s="2941">
        <v>25.11</v>
      </c>
      <c r="M221" s="2941">
        <v>13.8</v>
      </c>
      <c r="N221" s="2942">
        <v>753300</v>
      </c>
      <c r="O221" s="2942">
        <v>753300</v>
      </c>
    </row>
    <row r="222" spans="1:15">
      <c r="A222" s="2939">
        <v>232</v>
      </c>
      <c r="B222" s="2940">
        <v>2019</v>
      </c>
      <c r="C222" s="2940" t="s">
        <v>635</v>
      </c>
      <c r="D222" s="2940" t="s">
        <v>636</v>
      </c>
      <c r="E222" s="2940" t="s">
        <v>2286</v>
      </c>
      <c r="F222" s="2940" t="s">
        <v>1460</v>
      </c>
      <c r="G222" s="2940" t="s">
        <v>655</v>
      </c>
      <c r="H222" s="2940" t="s">
        <v>1035</v>
      </c>
      <c r="I222" s="2940" t="s">
        <v>2453</v>
      </c>
      <c r="J222" s="2940" t="s">
        <v>2248</v>
      </c>
      <c r="K222" s="2940" t="s">
        <v>643</v>
      </c>
      <c r="L222" s="2941">
        <v>18.29</v>
      </c>
      <c r="M222" s="2941">
        <v>10.050000000000001</v>
      </c>
      <c r="N222" s="2942">
        <v>548700</v>
      </c>
      <c r="O222" s="2942">
        <v>548700</v>
      </c>
    </row>
    <row r="223" spans="1:15">
      <c r="A223" s="2939">
        <v>233</v>
      </c>
      <c r="B223" s="2940">
        <v>2021</v>
      </c>
      <c r="C223" s="2940" t="s">
        <v>635</v>
      </c>
      <c r="D223" s="2940" t="s">
        <v>636</v>
      </c>
      <c r="E223" s="2940" t="s">
        <v>2286</v>
      </c>
      <c r="F223" s="2940" t="s">
        <v>1460</v>
      </c>
      <c r="G223" s="2940" t="s">
        <v>2257</v>
      </c>
      <c r="H223" s="2940" t="s">
        <v>1035</v>
      </c>
      <c r="I223" s="2940" t="s">
        <v>2455</v>
      </c>
      <c r="J223" s="2940" t="s">
        <v>2248</v>
      </c>
      <c r="K223" s="2940" t="s">
        <v>643</v>
      </c>
      <c r="L223" s="2941">
        <v>34.659999999999997</v>
      </c>
      <c r="M223" s="2941">
        <v>19.05</v>
      </c>
      <c r="N223" s="2942">
        <v>1039800</v>
      </c>
      <c r="O223" s="2942">
        <v>1039800</v>
      </c>
    </row>
    <row r="224" spans="1:15">
      <c r="A224" s="2939">
        <v>234</v>
      </c>
      <c r="B224" s="2940">
        <v>2023</v>
      </c>
      <c r="C224" s="2940" t="s">
        <v>635</v>
      </c>
      <c r="D224" s="2940" t="s">
        <v>636</v>
      </c>
      <c r="E224" s="2940" t="s">
        <v>2286</v>
      </c>
      <c r="F224" s="2940" t="s">
        <v>1460</v>
      </c>
      <c r="G224" s="2940" t="s">
        <v>2258</v>
      </c>
      <c r="H224" s="2940" t="s">
        <v>1035</v>
      </c>
      <c r="I224" s="2940" t="s">
        <v>2457</v>
      </c>
      <c r="J224" s="2940" t="s">
        <v>2248</v>
      </c>
      <c r="K224" s="2940" t="s">
        <v>643</v>
      </c>
      <c r="L224" s="2941">
        <v>25.4</v>
      </c>
      <c r="M224" s="2941">
        <v>13.96</v>
      </c>
      <c r="N224" s="2942">
        <v>762000</v>
      </c>
      <c r="O224" s="2942">
        <v>762000</v>
      </c>
    </row>
    <row r="225" spans="1:15">
      <c r="A225" s="2939">
        <v>235</v>
      </c>
      <c r="B225" s="2940">
        <v>2024</v>
      </c>
      <c r="C225" s="2940" t="s">
        <v>635</v>
      </c>
      <c r="D225" s="2940" t="s">
        <v>636</v>
      </c>
      <c r="E225" s="2940" t="s">
        <v>2286</v>
      </c>
      <c r="F225" s="2940" t="s">
        <v>1460</v>
      </c>
      <c r="G225" s="2940" t="s">
        <v>2261</v>
      </c>
      <c r="H225" s="2940" t="s">
        <v>1035</v>
      </c>
      <c r="I225" s="2940" t="s">
        <v>2457</v>
      </c>
      <c r="J225" s="2940" t="s">
        <v>2248</v>
      </c>
      <c r="K225" s="2940" t="s">
        <v>643</v>
      </c>
      <c r="L225" s="2941">
        <v>25.4</v>
      </c>
      <c r="M225" s="2941">
        <v>13.96</v>
      </c>
      <c r="N225" s="2942">
        <v>762000</v>
      </c>
      <c r="O225" s="2942">
        <v>762000</v>
      </c>
    </row>
    <row r="226" spans="1:15">
      <c r="A226" s="2939">
        <v>236</v>
      </c>
      <c r="B226" s="2940">
        <v>2026</v>
      </c>
      <c r="C226" s="2940" t="s">
        <v>635</v>
      </c>
      <c r="D226" s="2940" t="s">
        <v>636</v>
      </c>
      <c r="E226" s="2940" t="s">
        <v>2286</v>
      </c>
      <c r="F226" s="2940" t="s">
        <v>1460</v>
      </c>
      <c r="G226" s="2940" t="s">
        <v>2283</v>
      </c>
      <c r="H226" s="2940" t="s">
        <v>1035</v>
      </c>
      <c r="I226" s="2940" t="s">
        <v>2458</v>
      </c>
      <c r="J226" s="2940" t="s">
        <v>2248</v>
      </c>
      <c r="K226" s="2940" t="s">
        <v>643</v>
      </c>
      <c r="L226" s="2941">
        <v>25.11</v>
      </c>
      <c r="M226" s="2941">
        <v>13.8</v>
      </c>
      <c r="N226" s="2942">
        <v>753300</v>
      </c>
      <c r="O226" s="2942">
        <v>753300</v>
      </c>
    </row>
    <row r="227" spans="1:15">
      <c r="A227" s="2939">
        <v>237</v>
      </c>
      <c r="B227" s="2940">
        <v>2027</v>
      </c>
      <c r="C227" s="2940" t="s">
        <v>635</v>
      </c>
      <c r="D227" s="2940" t="s">
        <v>636</v>
      </c>
      <c r="E227" s="2940" t="s">
        <v>2286</v>
      </c>
      <c r="F227" s="2940" t="s">
        <v>1460</v>
      </c>
      <c r="G227" s="2940" t="s">
        <v>2282</v>
      </c>
      <c r="H227" s="2940" t="s">
        <v>1035</v>
      </c>
      <c r="I227" s="2940" t="s">
        <v>2459</v>
      </c>
      <c r="J227" s="2940" t="s">
        <v>2248</v>
      </c>
      <c r="K227" s="2940" t="s">
        <v>643</v>
      </c>
      <c r="L227" s="2941">
        <v>18.829999999999998</v>
      </c>
      <c r="M227" s="2941">
        <v>10.35</v>
      </c>
      <c r="N227" s="2942">
        <v>564900</v>
      </c>
      <c r="O227" s="2942">
        <v>564900</v>
      </c>
    </row>
    <row r="228" spans="1:15">
      <c r="A228" s="2939">
        <v>238</v>
      </c>
      <c r="B228" s="2940">
        <v>2029</v>
      </c>
      <c r="C228" s="2940" t="s">
        <v>635</v>
      </c>
      <c r="D228" s="2940" t="s">
        <v>636</v>
      </c>
      <c r="E228" s="2940" t="s">
        <v>2286</v>
      </c>
      <c r="F228" s="2940" t="s">
        <v>1461</v>
      </c>
      <c r="G228" s="2940" t="s">
        <v>1458</v>
      </c>
      <c r="H228" s="2940" t="s">
        <v>1035</v>
      </c>
      <c r="I228" s="2940" t="s">
        <v>2461</v>
      </c>
      <c r="J228" s="2940" t="s">
        <v>2248</v>
      </c>
      <c r="K228" s="2940" t="s">
        <v>643</v>
      </c>
      <c r="L228" s="2941">
        <v>31.47</v>
      </c>
      <c r="M228" s="2941">
        <v>11.18</v>
      </c>
      <c r="N228" s="2942">
        <v>944100</v>
      </c>
      <c r="O228" s="2942">
        <v>944100</v>
      </c>
    </row>
    <row r="229" spans="1:15">
      <c r="A229" s="2939">
        <v>239</v>
      </c>
      <c r="B229" s="2940">
        <v>2030</v>
      </c>
      <c r="C229" s="2940" t="s">
        <v>635</v>
      </c>
      <c r="D229" s="2940" t="s">
        <v>636</v>
      </c>
      <c r="E229" s="2940" t="s">
        <v>2286</v>
      </c>
      <c r="F229" s="2940" t="s">
        <v>1461</v>
      </c>
      <c r="G229" s="2940" t="s">
        <v>1457</v>
      </c>
      <c r="H229" s="2940" t="s">
        <v>1035</v>
      </c>
      <c r="I229" s="2940" t="s">
        <v>2462</v>
      </c>
      <c r="J229" s="2940" t="s">
        <v>2248</v>
      </c>
      <c r="K229" s="2940" t="s">
        <v>643</v>
      </c>
      <c r="L229" s="2941">
        <v>29.27</v>
      </c>
      <c r="M229" s="2941">
        <v>10.4</v>
      </c>
      <c r="N229" s="2942">
        <v>878100</v>
      </c>
      <c r="O229" s="2942">
        <v>878100</v>
      </c>
    </row>
    <row r="230" spans="1:15">
      <c r="A230" s="2939">
        <v>240</v>
      </c>
      <c r="B230" s="2940">
        <v>2031</v>
      </c>
      <c r="C230" s="2940" t="s">
        <v>635</v>
      </c>
      <c r="D230" s="2940" t="s">
        <v>636</v>
      </c>
      <c r="E230" s="2940" t="s">
        <v>2286</v>
      </c>
      <c r="F230" s="2940" t="s">
        <v>1461</v>
      </c>
      <c r="G230" s="2940" t="s">
        <v>2250</v>
      </c>
      <c r="H230" s="2940" t="s">
        <v>1035</v>
      </c>
      <c r="I230" s="2940" t="s">
        <v>1453</v>
      </c>
      <c r="J230" s="2940" t="s">
        <v>2248</v>
      </c>
      <c r="K230" s="2940" t="s">
        <v>643</v>
      </c>
      <c r="L230" s="2941">
        <v>30.88</v>
      </c>
      <c r="M230" s="2941">
        <v>10.97</v>
      </c>
      <c r="N230" s="2942">
        <v>926400</v>
      </c>
      <c r="O230" s="2942">
        <v>926400</v>
      </c>
    </row>
    <row r="231" spans="1:15">
      <c r="A231" s="2939">
        <v>241</v>
      </c>
      <c r="B231" s="2940">
        <v>2032</v>
      </c>
      <c r="C231" s="2940" t="s">
        <v>635</v>
      </c>
      <c r="D231" s="2940" t="s">
        <v>636</v>
      </c>
      <c r="E231" s="2940" t="s">
        <v>2286</v>
      </c>
      <c r="F231" s="2940" t="s">
        <v>1461</v>
      </c>
      <c r="G231" s="2940" t="s">
        <v>651</v>
      </c>
      <c r="H231" s="2940" t="s">
        <v>1035</v>
      </c>
      <c r="I231" s="2940" t="s">
        <v>2463</v>
      </c>
      <c r="J231" s="2940" t="s">
        <v>2248</v>
      </c>
      <c r="K231" s="2940" t="s">
        <v>643</v>
      </c>
      <c r="L231" s="2941">
        <v>10.050000000000001</v>
      </c>
      <c r="M231" s="2941">
        <v>3.57</v>
      </c>
      <c r="N231" s="2942">
        <v>301500</v>
      </c>
      <c r="O231" s="2942">
        <v>301500</v>
      </c>
    </row>
    <row r="232" spans="1:15">
      <c r="A232" s="2939">
        <v>242</v>
      </c>
      <c r="B232" s="2940">
        <v>2033</v>
      </c>
      <c r="C232" s="2940" t="s">
        <v>635</v>
      </c>
      <c r="D232" s="2940" t="s">
        <v>636</v>
      </c>
      <c r="E232" s="2940" t="s">
        <v>2286</v>
      </c>
      <c r="F232" s="2940" t="s">
        <v>1461</v>
      </c>
      <c r="G232" s="2940" t="s">
        <v>648</v>
      </c>
      <c r="H232" s="2940" t="s">
        <v>1035</v>
      </c>
      <c r="I232" s="2940" t="s">
        <v>2464</v>
      </c>
      <c r="J232" s="2940" t="s">
        <v>2248</v>
      </c>
      <c r="K232" s="2940" t="s">
        <v>643</v>
      </c>
      <c r="L232" s="2941">
        <v>39.380000000000003</v>
      </c>
      <c r="M232" s="2941">
        <v>13.99</v>
      </c>
      <c r="N232" s="2942">
        <v>1181400</v>
      </c>
      <c r="O232" s="2942">
        <v>1181400</v>
      </c>
    </row>
    <row r="233" spans="1:15">
      <c r="A233" s="2939">
        <v>243</v>
      </c>
      <c r="B233" s="2940">
        <v>2034</v>
      </c>
      <c r="C233" s="2940" t="s">
        <v>635</v>
      </c>
      <c r="D233" s="2940" t="s">
        <v>636</v>
      </c>
      <c r="E233" s="2940" t="s">
        <v>2286</v>
      </c>
      <c r="F233" s="2940" t="s">
        <v>1461</v>
      </c>
      <c r="G233" s="2940" t="s">
        <v>2256</v>
      </c>
      <c r="H233" s="2940" t="s">
        <v>1035</v>
      </c>
      <c r="I233" s="2940" t="s">
        <v>2465</v>
      </c>
      <c r="J233" s="2940" t="s">
        <v>2248</v>
      </c>
      <c r="K233" s="2940" t="s">
        <v>643</v>
      </c>
      <c r="L233" s="2941">
        <v>25.7</v>
      </c>
      <c r="M233" s="2941">
        <v>9.1300000000000008</v>
      </c>
      <c r="N233" s="2942">
        <v>771000</v>
      </c>
      <c r="O233" s="2942">
        <v>771000</v>
      </c>
    </row>
    <row r="234" spans="1:15">
      <c r="A234" s="2939">
        <v>244</v>
      </c>
      <c r="B234" s="2940">
        <v>2035</v>
      </c>
      <c r="C234" s="2940" t="s">
        <v>635</v>
      </c>
      <c r="D234" s="2940" t="s">
        <v>636</v>
      </c>
      <c r="E234" s="2940" t="s">
        <v>2286</v>
      </c>
      <c r="F234" s="2940" t="s">
        <v>1461</v>
      </c>
      <c r="G234" s="2940" t="s">
        <v>2255</v>
      </c>
      <c r="H234" s="2940" t="s">
        <v>1035</v>
      </c>
      <c r="I234" s="2940" t="s">
        <v>2466</v>
      </c>
      <c r="J234" s="2940" t="s">
        <v>2248</v>
      </c>
      <c r="K234" s="2940" t="s">
        <v>643</v>
      </c>
      <c r="L234" s="2941">
        <v>25.92</v>
      </c>
      <c r="M234" s="2941">
        <v>9.2100000000000009</v>
      </c>
      <c r="N234" s="2942">
        <v>777600</v>
      </c>
      <c r="O234" s="2942">
        <v>777600</v>
      </c>
    </row>
    <row r="235" spans="1:15">
      <c r="A235" s="2939">
        <v>245</v>
      </c>
      <c r="B235" s="2940">
        <v>2036</v>
      </c>
      <c r="C235" s="2940" t="s">
        <v>635</v>
      </c>
      <c r="D235" s="2940" t="s">
        <v>636</v>
      </c>
      <c r="E235" s="2940" t="s">
        <v>2286</v>
      </c>
      <c r="F235" s="2940" t="s">
        <v>1461</v>
      </c>
      <c r="G235" s="2940" t="s">
        <v>2254</v>
      </c>
      <c r="H235" s="2940" t="s">
        <v>1035</v>
      </c>
      <c r="I235" s="2940" t="s">
        <v>2467</v>
      </c>
      <c r="J235" s="2940" t="s">
        <v>2248</v>
      </c>
      <c r="K235" s="2940" t="s">
        <v>643</v>
      </c>
      <c r="L235" s="2941">
        <v>33.69</v>
      </c>
      <c r="M235" s="2941">
        <v>11.97</v>
      </c>
      <c r="N235" s="2942">
        <v>1010700</v>
      </c>
      <c r="O235" s="2942">
        <v>1010700</v>
      </c>
    </row>
    <row r="236" spans="1:15">
      <c r="A236" s="2939">
        <v>246</v>
      </c>
      <c r="B236" s="2940">
        <v>2037</v>
      </c>
      <c r="C236" s="2940" t="s">
        <v>635</v>
      </c>
      <c r="D236" s="2940" t="s">
        <v>636</v>
      </c>
      <c r="E236" s="2940" t="s">
        <v>2286</v>
      </c>
      <c r="F236" s="2940" t="s">
        <v>1461</v>
      </c>
      <c r="G236" s="2940" t="s">
        <v>2253</v>
      </c>
      <c r="H236" s="2940" t="s">
        <v>1035</v>
      </c>
      <c r="I236" s="2940" t="s">
        <v>2468</v>
      </c>
      <c r="J236" s="2940" t="s">
        <v>2248</v>
      </c>
      <c r="K236" s="2940" t="s">
        <v>643</v>
      </c>
      <c r="L236" s="2941">
        <v>62.13</v>
      </c>
      <c r="M236" s="2941">
        <v>22.09</v>
      </c>
      <c r="N236" s="2942">
        <v>1865100</v>
      </c>
      <c r="O236" s="2942">
        <v>1865100</v>
      </c>
    </row>
    <row r="237" spans="1:15">
      <c r="L237" s="2939">
        <f>SUM(L2:L236)</f>
        <v>6410.4</v>
      </c>
    </row>
    <row r="246" spans="10:10">
      <c r="J246" s="2943"/>
    </row>
  </sheetData>
  <autoFilter ref="A1:O237"/>
  <phoneticPr fontId="229"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B181" sqref="B181"/>
    </sheetView>
  </sheetViews>
  <sheetFormatPr defaultColWidth="9" defaultRowHeight="14.4"/>
  <cols>
    <col min="1" max="1" width="6.21875" style="299" customWidth="1"/>
    <col min="2" max="2" width="15" style="299" customWidth="1"/>
    <col min="3" max="3" width="27.88671875" style="299" customWidth="1"/>
    <col min="4" max="4" width="40.33203125" style="299" customWidth="1"/>
    <col min="5" max="5" width="7.6640625" style="299" customWidth="1"/>
    <col min="6" max="6" width="7.109375" style="299" customWidth="1"/>
    <col min="7" max="7" width="8.88671875" style="299" customWidth="1"/>
    <col min="8" max="8" width="6.6640625" style="299" customWidth="1"/>
    <col min="9" max="9" width="8.6640625" style="299" customWidth="1"/>
    <col min="10" max="10" width="9" style="299"/>
    <col min="11" max="11" width="14.44140625" style="299" customWidth="1"/>
    <col min="12" max="12" width="16.44140625" style="299" customWidth="1"/>
    <col min="13" max="16384" width="9" style="299"/>
  </cols>
  <sheetData>
    <row r="1" spans="1:12" s="2939" customFormat="1" ht="15.6">
      <c r="A1" s="2939" t="s">
        <v>613</v>
      </c>
      <c r="B1" s="2940" t="s">
        <v>614</v>
      </c>
      <c r="C1" s="2940" t="s">
        <v>615</v>
      </c>
      <c r="D1" s="2940" t="s">
        <v>616</v>
      </c>
      <c r="E1" s="2940" t="s">
        <v>617</v>
      </c>
      <c r="F1" s="2940" t="s">
        <v>618</v>
      </c>
      <c r="G1" s="2940" t="s">
        <v>619</v>
      </c>
      <c r="H1" s="2940" t="s">
        <v>620</v>
      </c>
      <c r="I1" s="2940" t="s">
        <v>621</v>
      </c>
      <c r="J1" s="2940" t="s">
        <v>622</v>
      </c>
      <c r="K1" s="2941" t="s">
        <v>623</v>
      </c>
      <c r="L1" s="2942" t="s">
        <v>2476</v>
      </c>
    </row>
    <row r="2" spans="1:12" ht="15.6">
      <c r="A2" s="299">
        <v>1</v>
      </c>
      <c r="B2" s="2940" t="s">
        <v>635</v>
      </c>
      <c r="C2" s="2940" t="s">
        <v>636</v>
      </c>
      <c r="D2" s="2940" t="s">
        <v>2477</v>
      </c>
      <c r="E2" s="2940" t="s">
        <v>2478</v>
      </c>
      <c r="F2" s="2940" t="s">
        <v>2478</v>
      </c>
      <c r="G2" s="2940" t="s">
        <v>1035</v>
      </c>
      <c r="H2" s="2940" t="s">
        <v>552</v>
      </c>
      <c r="I2" s="2940" t="s">
        <v>552</v>
      </c>
      <c r="J2" s="2940" t="s">
        <v>643</v>
      </c>
      <c r="K2" s="2941">
        <v>1008.26</v>
      </c>
      <c r="L2" s="2942">
        <v>1512.39</v>
      </c>
    </row>
  </sheetData>
  <phoneticPr fontId="229"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P29" sqref="P29"/>
    </sheetView>
  </sheetViews>
  <sheetFormatPr defaultColWidth="13.77734375" defaultRowHeight="13.2"/>
  <cols>
    <col min="1" max="1" width="20.88671875" style="2740" customWidth="1"/>
    <col min="2" max="2" width="12" style="2741" customWidth="1"/>
    <col min="3" max="3" width="12.77734375" style="2741" customWidth="1"/>
    <col min="4" max="4" width="9.109375" style="2742" customWidth="1"/>
    <col min="5" max="5" width="15" style="2741" customWidth="1"/>
    <col min="6" max="10" width="8.88671875" style="2741" customWidth="1"/>
    <col min="11" max="12" width="12.33203125" style="2743" customWidth="1"/>
    <col min="13" max="13" width="8.6640625" style="2741" customWidth="1"/>
    <col min="14" max="14" width="11.88671875" style="2741" customWidth="1"/>
    <col min="15" max="15" width="8.44140625" style="2741" customWidth="1"/>
    <col min="16" max="17" width="10.88671875" style="2741" customWidth="1"/>
    <col min="18" max="19" width="12.44140625" style="2741" customWidth="1"/>
    <col min="20" max="20" width="12.109375" style="2741" customWidth="1"/>
    <col min="21" max="21" width="7.44140625" style="2741" customWidth="1"/>
    <col min="22" max="22" width="6.33203125" style="2741" customWidth="1"/>
    <col min="23" max="30" width="6.77734375" style="2741" customWidth="1"/>
    <col min="31" max="31" width="8" style="2741" customWidth="1"/>
    <col min="32" max="34" width="7.21875" style="2741" customWidth="1"/>
    <col min="35" max="39" width="8" style="2741" customWidth="1"/>
    <col min="40" max="40" width="13.77734375" style="2739"/>
    <col min="41" max="41" width="11.6640625" style="2739" customWidth="1"/>
    <col min="42" max="42" width="9.77734375" style="2739" customWidth="1"/>
    <col min="43" max="67" width="13.77734375" style="2739"/>
    <col min="68" max="16384" width="13.77734375" style="2741"/>
  </cols>
  <sheetData>
    <row r="1" spans="1:67" ht="17.399999999999999">
      <c r="A1" s="2744" t="s">
        <v>2479</v>
      </c>
      <c r="B1" s="2745"/>
      <c r="C1" s="778"/>
      <c r="D1" s="2746"/>
      <c r="E1" s="778"/>
      <c r="F1" s="778"/>
      <c r="G1" s="778"/>
      <c r="H1" s="778"/>
      <c r="I1" s="778"/>
      <c r="J1" s="778"/>
      <c r="K1" s="589"/>
      <c r="L1" s="589"/>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2519"/>
      <c r="AO1" s="2519"/>
      <c r="AP1" s="2519"/>
      <c r="AQ1" s="2519"/>
      <c r="AR1" s="2519"/>
    </row>
    <row r="2" spans="1:67" s="2736" customFormat="1" ht="14.4">
      <c r="A2" s="2747" t="s">
        <v>2480</v>
      </c>
      <c r="B2" s="2748">
        <f>项目基本情况!D3</f>
        <v>45311</v>
      </c>
      <c r="C2" s="2749"/>
      <c r="D2" s="2750"/>
      <c r="E2" s="2749"/>
      <c r="F2" s="2749"/>
      <c r="G2" s="2749"/>
      <c r="H2" s="2749"/>
      <c r="I2" s="2749"/>
      <c r="J2" s="2749"/>
      <c r="K2" s="2846"/>
      <c r="L2" s="2846"/>
      <c r="M2" s="2749"/>
      <c r="N2" s="2749"/>
      <c r="O2" s="2749"/>
      <c r="P2" s="2749"/>
      <c r="Q2" s="2749"/>
      <c r="R2" s="2749"/>
      <c r="S2" s="2749"/>
      <c r="T2" s="2749"/>
      <c r="U2" s="2749"/>
      <c r="V2" s="2749"/>
      <c r="W2" s="2749"/>
      <c r="X2" s="2749"/>
      <c r="Y2" s="2749"/>
      <c r="Z2" s="2749"/>
      <c r="AA2" s="2749"/>
      <c r="AB2" s="2749"/>
      <c r="AC2" s="2749"/>
      <c r="AD2" s="2749"/>
      <c r="AE2" s="2749"/>
      <c r="AF2" s="2749"/>
      <c r="AG2" s="2749"/>
      <c r="AH2" s="2749"/>
      <c r="AI2" s="2749"/>
      <c r="AJ2" s="2749"/>
      <c r="AK2" s="2749"/>
      <c r="AL2" s="2749"/>
      <c r="AM2" s="2749"/>
      <c r="AN2" s="2782"/>
      <c r="AO2" s="2782"/>
      <c r="AP2" s="2782"/>
      <c r="AQ2" s="2782"/>
      <c r="AR2" s="2782"/>
      <c r="AS2" s="2667"/>
      <c r="AT2" s="2667"/>
      <c r="AU2" s="2667"/>
      <c r="AV2" s="2667"/>
      <c r="AW2" s="2667"/>
      <c r="AX2" s="2667"/>
      <c r="AY2" s="2667"/>
      <c r="AZ2" s="2667"/>
      <c r="BA2" s="2667"/>
      <c r="BB2" s="2667"/>
      <c r="BC2" s="2667"/>
      <c r="BD2" s="2667"/>
      <c r="BE2" s="2667"/>
      <c r="BF2" s="2667"/>
      <c r="BG2" s="2667"/>
      <c r="BH2" s="2667"/>
      <c r="BI2" s="2667"/>
      <c r="BJ2" s="2667"/>
      <c r="BK2" s="2667"/>
      <c r="BL2" s="2667"/>
      <c r="BM2" s="2667"/>
      <c r="BN2" s="2667"/>
      <c r="BO2" s="2667"/>
    </row>
    <row r="3" spans="1:67" s="2736" customFormat="1" ht="13.8">
      <c r="A3" s="2751"/>
      <c r="B3" s="2752"/>
      <c r="C3" s="2749"/>
      <c r="D3" s="2750"/>
      <c r="E3" s="2749"/>
      <c r="F3" s="2749"/>
      <c r="G3" s="2749"/>
      <c r="H3" s="2749"/>
      <c r="I3" s="2749"/>
      <c r="J3" s="2749"/>
      <c r="K3" s="2846"/>
      <c r="L3" s="2846"/>
      <c r="M3" s="2749"/>
      <c r="N3" s="2749"/>
      <c r="O3" s="2749"/>
      <c r="P3" s="2749"/>
      <c r="Q3" s="2749"/>
      <c r="R3" s="2749"/>
      <c r="S3" s="2749"/>
      <c r="T3" s="2749"/>
      <c r="U3" s="2749"/>
      <c r="V3" s="2749"/>
      <c r="W3" s="2749"/>
      <c r="X3" s="2749"/>
      <c r="Y3" s="2749"/>
      <c r="Z3" s="2749"/>
      <c r="AA3" s="2749"/>
      <c r="AB3" s="2749"/>
      <c r="AC3" s="2749"/>
      <c r="AD3" s="2749"/>
      <c r="AE3" s="2749"/>
      <c r="AF3" s="2749"/>
      <c r="AG3" s="2749"/>
      <c r="AH3" s="2749"/>
      <c r="AI3" s="2749"/>
      <c r="AJ3" s="2749"/>
      <c r="AK3" s="2749"/>
      <c r="AL3" s="2749"/>
      <c r="AM3" s="2749"/>
      <c r="AN3" s="2782"/>
      <c r="AO3" s="2782"/>
      <c r="AP3" s="2782"/>
      <c r="AQ3" s="2782"/>
      <c r="AR3" s="2782"/>
      <c r="AS3" s="2667"/>
      <c r="AT3" s="2667"/>
      <c r="AU3" s="2667"/>
      <c r="AV3" s="2667"/>
      <c r="AW3" s="2667"/>
      <c r="AX3" s="2667"/>
      <c r="AY3" s="2667"/>
      <c r="AZ3" s="2667"/>
      <c r="BA3" s="2667"/>
      <c r="BB3" s="2667"/>
      <c r="BC3" s="2667"/>
      <c r="BD3" s="2667"/>
      <c r="BE3" s="2667"/>
      <c r="BF3" s="2667"/>
      <c r="BG3" s="2667"/>
      <c r="BH3" s="2667"/>
      <c r="BI3" s="2667"/>
      <c r="BJ3" s="2667"/>
      <c r="BK3" s="2667"/>
      <c r="BL3" s="2667"/>
      <c r="BM3" s="2667"/>
      <c r="BN3" s="2667"/>
      <c r="BO3" s="2667"/>
    </row>
    <row r="4" spans="1:67" s="2736" customFormat="1" ht="14.4">
      <c r="A4" s="2612" t="s">
        <v>2481</v>
      </c>
      <c r="B4" s="1716"/>
      <c r="C4" s="2753"/>
      <c r="D4" s="2754"/>
      <c r="E4" s="2753" t="s">
        <v>2482</v>
      </c>
      <c r="F4" s="2753"/>
      <c r="G4" s="2753"/>
      <c r="H4" s="2753"/>
      <c r="I4" s="2753"/>
      <c r="J4" s="2847"/>
      <c r="K4" s="2848"/>
      <c r="L4" s="2849"/>
      <c r="M4" s="2753"/>
      <c r="N4" s="2753" t="s">
        <v>2483</v>
      </c>
      <c r="O4" s="2753"/>
      <c r="P4" s="2753"/>
      <c r="Q4" s="2753"/>
      <c r="R4" s="2753"/>
      <c r="S4" s="2847"/>
      <c r="T4" s="2873" t="str">
        <f>'数据-汇总表'!I17</f>
        <v>按面积比例</v>
      </c>
      <c r="U4" s="1716" t="s">
        <v>2484</v>
      </c>
      <c r="V4" s="2753"/>
      <c r="W4" s="2753"/>
      <c r="X4" s="2753"/>
      <c r="Y4" s="2847"/>
      <c r="Z4" s="2900" t="s">
        <v>2485</v>
      </c>
      <c r="AA4" s="2900"/>
      <c r="AB4" s="2900"/>
      <c r="AC4" s="2900"/>
      <c r="AD4" s="2900"/>
      <c r="AE4" s="2901" t="s">
        <v>2486</v>
      </c>
      <c r="AF4" s="2900"/>
      <c r="AG4" s="2913"/>
      <c r="AH4" s="1716"/>
      <c r="AI4" s="2753"/>
      <c r="AJ4" s="2753"/>
      <c r="AK4" s="2753"/>
      <c r="AL4" s="2753"/>
      <c r="AM4" s="2847"/>
      <c r="AN4" s="2782"/>
      <c r="AO4" s="2782"/>
      <c r="AP4" s="2782"/>
      <c r="AQ4" s="2782"/>
      <c r="AR4" s="2782"/>
      <c r="AS4" s="2667"/>
      <c r="AT4" s="2667"/>
      <c r="AU4" s="2667"/>
      <c r="AV4" s="2667"/>
      <c r="AW4" s="2667"/>
      <c r="AX4" s="2667"/>
      <c r="AY4" s="2667"/>
      <c r="AZ4" s="2667"/>
      <c r="BA4" s="2667"/>
      <c r="BB4" s="2667"/>
      <c r="BC4" s="2667"/>
      <c r="BD4" s="2667"/>
      <c r="BE4" s="2667"/>
      <c r="BF4" s="2667"/>
      <c r="BG4" s="2667"/>
      <c r="BH4" s="2667"/>
      <c r="BI4" s="2667"/>
      <c r="BJ4" s="2667"/>
      <c r="BK4" s="2667"/>
      <c r="BL4" s="2667"/>
      <c r="BM4" s="2667"/>
      <c r="BN4" s="2667"/>
      <c r="BO4" s="2667"/>
    </row>
    <row r="5" spans="1:67" s="2737" customFormat="1" ht="57.6">
      <c r="A5" s="2755" t="s">
        <v>591</v>
      </c>
      <c r="B5" s="2756" t="s">
        <v>590</v>
      </c>
      <c r="C5" s="2757" t="s">
        <v>2487</v>
      </c>
      <c r="D5" s="2758" t="s">
        <v>2488</v>
      </c>
      <c r="E5" s="2759" t="s">
        <v>2489</v>
      </c>
      <c r="F5" s="2760" t="s">
        <v>2490</v>
      </c>
      <c r="G5" s="2759" t="s">
        <v>2491</v>
      </c>
      <c r="H5" s="2759" t="s">
        <v>2492</v>
      </c>
      <c r="I5" s="2759" t="s">
        <v>2493</v>
      </c>
      <c r="J5" s="2850" t="s">
        <v>2494</v>
      </c>
      <c r="K5" s="2851" t="s">
        <v>600</v>
      </c>
      <c r="L5" s="2852" t="s">
        <v>2495</v>
      </c>
      <c r="M5" s="2853" t="s">
        <v>2496</v>
      </c>
      <c r="N5" s="2854" t="s">
        <v>2497</v>
      </c>
      <c r="O5" s="2852" t="s">
        <v>2498</v>
      </c>
      <c r="P5" s="2855" t="s">
        <v>2499</v>
      </c>
      <c r="Q5" s="1421" t="s">
        <v>2500</v>
      </c>
      <c r="R5" s="2874" t="s">
        <v>2501</v>
      </c>
      <c r="S5" s="2875" t="s">
        <v>2502</v>
      </c>
      <c r="T5" s="2876" t="s">
        <v>2503</v>
      </c>
      <c r="U5" s="2877" t="s">
        <v>2504</v>
      </c>
      <c r="V5" s="2759" t="s">
        <v>2505</v>
      </c>
      <c r="W5" s="2759" t="s">
        <v>2506</v>
      </c>
      <c r="X5" s="1396"/>
      <c r="Y5" s="2624" t="s">
        <v>2507</v>
      </c>
      <c r="Z5" s="2902" t="s">
        <v>2504</v>
      </c>
      <c r="AA5" s="2759" t="s">
        <v>2505</v>
      </c>
      <c r="AB5" s="2759" t="s">
        <v>2506</v>
      </c>
      <c r="AC5" s="1396"/>
      <c r="AD5" s="1396" t="s">
        <v>2507</v>
      </c>
      <c r="AE5" s="2877" t="s">
        <v>2508</v>
      </c>
      <c r="AF5" s="2759" t="s">
        <v>2509</v>
      </c>
      <c r="AG5" s="2624" t="s">
        <v>2510</v>
      </c>
      <c r="AH5" s="2877" t="s">
        <v>2511</v>
      </c>
      <c r="AI5" s="2902" t="s">
        <v>2512</v>
      </c>
      <c r="AJ5" s="2902" t="s">
        <v>2513</v>
      </c>
      <c r="AK5" s="2759" t="s">
        <v>2514</v>
      </c>
      <c r="AL5" s="2759" t="s">
        <v>2515</v>
      </c>
      <c r="AM5" s="2624" t="s">
        <v>2516</v>
      </c>
      <c r="AN5" s="2914" t="s">
        <v>2517</v>
      </c>
      <c r="AO5" s="2932" t="s">
        <v>2518</v>
      </c>
      <c r="AP5" s="2933" t="s">
        <v>2519</v>
      </c>
      <c r="AQ5" s="2934" t="s">
        <v>2520</v>
      </c>
      <c r="AR5" s="2934" t="s">
        <v>2521</v>
      </c>
      <c r="AS5" s="2668"/>
      <c r="AT5" s="2668"/>
      <c r="AU5" s="2668"/>
      <c r="AV5" s="2668"/>
      <c r="AW5" s="2668"/>
      <c r="AX5" s="2668"/>
      <c r="AY5" s="2668"/>
      <c r="AZ5" s="2668"/>
      <c r="BA5" s="2668"/>
      <c r="BB5" s="2668"/>
      <c r="BC5" s="2668"/>
      <c r="BD5" s="2668"/>
      <c r="BE5" s="2668"/>
      <c r="BF5" s="2668"/>
      <c r="BG5" s="2668"/>
      <c r="BH5" s="2668"/>
      <c r="BI5" s="2668"/>
      <c r="BJ5" s="2668"/>
      <c r="BK5" s="2668"/>
      <c r="BL5" s="2668"/>
      <c r="BM5" s="2668"/>
      <c r="BN5" s="2668"/>
      <c r="BO5" s="2668"/>
    </row>
    <row r="6" spans="1:67" s="2736" customFormat="1" ht="13.8">
      <c r="A6" s="2761" t="str">
        <f>'数据-汇总表'!C19</f>
        <v>产权车位</v>
      </c>
      <c r="B6" s="2762" t="str">
        <f>IF(A6=0,"","经营性")</f>
        <v>经营性</v>
      </c>
      <c r="C6" s="2763" t="s">
        <v>550</v>
      </c>
      <c r="D6" s="2764">
        <f>SUMIF(项目基本情况!C$12:I$12,C6,项目基本情况!C$14:I$14)</f>
        <v>50</v>
      </c>
      <c r="E6" s="2765">
        <f>IF(B6="","",SUMIF(项目基本情况!C$12:I$12,C6,项目基本情况!C$13:I$13))</f>
        <v>62241</v>
      </c>
      <c r="F6" s="2766">
        <f>SUMIF(项目基本情况!C$12:I$12,C6,项目基本情况!C$15:I$15)</f>
        <v>46.38</v>
      </c>
      <c r="G6" s="2767">
        <f>IF(ISERROR(ROUND(POWER(1+H6,D6-F6)*(POWER(1+H6,F6)-1)/(POWER(1+H6,D6)-1),3)),0,ROUND(POWER(1+H6,D6-F6)*(POWER(1+H6,F6)-1)/(POWER(1+H6,D6)-1),3))</f>
        <v>0.97799999999999998</v>
      </c>
      <c r="H6" s="2768">
        <v>4.4999999999999998E-2</v>
      </c>
      <c r="I6" s="2768">
        <v>0.05</v>
      </c>
      <c r="J6" s="2769">
        <v>7.0000000000000007E-2</v>
      </c>
      <c r="K6" s="2856">
        <f>SUMIF('数据-汇总表'!C$19:C$33,A6,'数据-汇总表'!E$19:E$33)</f>
        <v>1032</v>
      </c>
      <c r="L6" s="2857">
        <v>5000</v>
      </c>
      <c r="M6" s="2858">
        <f t="shared" ref="M6:M14" si="0">ROUND(K6*L6/10000,0)</f>
        <v>516</v>
      </c>
      <c r="N6" s="2859">
        <v>1</v>
      </c>
      <c r="O6" s="2858" t="str">
        <f>IF($N$5="成新度","——",ROUND(M6*N6,0))</f>
        <v>——</v>
      </c>
      <c r="P6" s="2860" t="str">
        <f>IF($N$5="成新度","——",M6-O6)</f>
        <v>——</v>
      </c>
      <c r="Q6" s="2878">
        <v>0.03</v>
      </c>
      <c r="R6" s="2879">
        <f ca="1">SUMIF('数据-汇总表'!C$19:C$33,A6,'数据-汇总表'!R$19:R$27)</f>
        <v>0</v>
      </c>
      <c r="S6" s="2880">
        <f>IF('数据-汇总表'!$I$17="按面积比例",SUMIF('数据-汇总表'!C$19:C$33,A6,'数据-汇总表'!K$19:K$33),SUMIF('数据-汇总表'!C$19:C$33,A6,'数据-汇总表'!N$19:N$33))</f>
        <v>0</v>
      </c>
      <c r="T6" s="2881">
        <f>ROUND($L$14*S6/10000,0)</f>
        <v>0</v>
      </c>
      <c r="U6" s="2882">
        <v>1500</v>
      </c>
      <c r="V6" s="2883">
        <v>1.4999999999999999E-2</v>
      </c>
      <c r="W6" s="2883">
        <v>0.1</v>
      </c>
      <c r="X6" s="2884"/>
      <c r="Y6" s="2903">
        <v>1</v>
      </c>
      <c r="Z6" s="2904"/>
      <c r="AA6" s="2769"/>
      <c r="AB6" s="2769"/>
      <c r="AC6" s="2884"/>
      <c r="AD6" s="2905"/>
      <c r="AE6" s="2906">
        <f ca="1">IF(AN6="",0,SUMIF(INDIRECT("'"&amp;AN6&amp;"'"&amp;"!E:E"),$AE$5,INDIRECT("'"&amp;AN6&amp;"'"&amp;"!F:F")))</f>
        <v>0</v>
      </c>
      <c r="AF6" s="1691"/>
      <c r="AG6" s="1708">
        <f>IF(AF6="",0,AE6-AF6)</f>
        <v>0</v>
      </c>
      <c r="AH6" s="2915">
        <f>最新车位清单!A33</f>
        <v>32</v>
      </c>
      <c r="AI6" s="2916">
        <v>12</v>
      </c>
      <c r="AJ6" s="2917"/>
      <c r="AK6" s="2918">
        <v>3.0000000000000001E-3</v>
      </c>
      <c r="AL6" s="2919">
        <v>1E-3</v>
      </c>
      <c r="AM6" s="2920">
        <v>0.01</v>
      </c>
      <c r="AN6" s="2921"/>
      <c r="AO6" s="1594" t="e">
        <f ca="1">SUMIF(INDIRECT("'"&amp;AN6&amp;"'"&amp;"!A:A"),"总价",INDIRECT("'"&amp;AN6&amp;"'"&amp;"!B:B"))</f>
        <v>#REF!</v>
      </c>
      <c r="AP6" s="2935">
        <f>IF(C6="住宅",K6*L6,0)</f>
        <v>0</v>
      </c>
      <c r="AQ6" s="1594">
        <f>ROUND($L$14*$N$14*S6/10000,0)</f>
        <v>0</v>
      </c>
      <c r="AR6" s="1594">
        <f>ROUND($L$14*(1-$N$14)*S6/10000,0)</f>
        <v>0</v>
      </c>
      <c r="AS6" s="2667"/>
      <c r="AT6" s="2667"/>
      <c r="AU6" s="2667"/>
      <c r="AV6" s="2667"/>
      <c r="AW6" s="2667"/>
      <c r="AX6" s="2667"/>
      <c r="AY6" s="2667"/>
      <c r="AZ6" s="2667"/>
      <c r="BA6" s="2667"/>
      <c r="BB6" s="2667"/>
      <c r="BC6" s="2667"/>
      <c r="BD6" s="2667"/>
      <c r="BE6" s="2667"/>
      <c r="BF6" s="2667"/>
      <c r="BG6" s="2667"/>
      <c r="BH6" s="2667"/>
      <c r="BI6" s="2667"/>
      <c r="BJ6" s="2667"/>
      <c r="BK6" s="2667"/>
      <c r="BL6" s="2667"/>
      <c r="BM6" s="2667"/>
      <c r="BN6" s="2667"/>
      <c r="BO6" s="2667"/>
    </row>
    <row r="7" spans="1:67" s="2736" customFormat="1" ht="13.8">
      <c r="A7" s="2761" t="str">
        <f>'数据-汇总表'!C20</f>
        <v>仓储</v>
      </c>
      <c r="B7" s="2762" t="str">
        <f t="shared" ref="B7:B13" si="1">IF(A7=0,"","经营性")</f>
        <v>经营性</v>
      </c>
      <c r="C7" s="2763" t="s">
        <v>551</v>
      </c>
      <c r="D7" s="2764">
        <f>SUMIF(项目基本情况!C$12:I$12,C7,项目基本情况!C$14:I$14)</f>
        <v>50</v>
      </c>
      <c r="E7" s="2765">
        <f>IF(B7="","",SUMIF(项目基本情况!C$12:I$12,C7,项目基本情况!C$13:I$13))</f>
        <v>62241</v>
      </c>
      <c r="F7" s="2766">
        <f>SUMIF(项目基本情况!C$12:I$12,C7,项目基本情况!C$15:I$15)</f>
        <v>46.38</v>
      </c>
      <c r="G7" s="2767">
        <f t="shared" ref="G7:G13" si="2">IF(ISERROR(ROUND(POWER(1+H7,D7-F7)*(POWER(1+H7,F7)-1)/(POWER(1+H7,D7)-1),3)),0,ROUND(POWER(1+H7,D7-F7)*(POWER(1+H7,F7)-1)/(POWER(1+H7,D7)-1),3))</f>
        <v>0.97799999999999998</v>
      </c>
      <c r="H7" s="2768">
        <v>4.4999999999999998E-2</v>
      </c>
      <c r="I7" s="2768">
        <v>0.05</v>
      </c>
      <c r="J7" s="2769">
        <f>J6</f>
        <v>7.0000000000000007E-2</v>
      </c>
      <c r="K7" s="2856">
        <f>SUMIF('数据-汇总表'!C$19:C$33,A7,'数据-汇总表'!E$19:E$33)</f>
        <v>6410.4</v>
      </c>
      <c r="L7" s="2857">
        <f>L6</f>
        <v>5000</v>
      </c>
      <c r="M7" s="2858">
        <f t="shared" si="0"/>
        <v>3205</v>
      </c>
      <c r="N7" s="2859">
        <v>1</v>
      </c>
      <c r="O7" s="2858" t="str">
        <f t="shared" ref="O7:O14" si="3">IF($N$5="成新度","——",ROUND(M7*N7,0))</f>
        <v>——</v>
      </c>
      <c r="P7" s="2860" t="str">
        <f t="shared" ref="P7:P14" si="4">IF($N$5="成新度","——",M7-O7)</f>
        <v>——</v>
      </c>
      <c r="Q7" s="2878">
        <v>0.05</v>
      </c>
      <c r="R7" s="2879">
        <f ca="1">SUMIF('数据-汇总表'!C$19:C$33,A7,'数据-汇总表'!R$19:R$27)</f>
        <v>0</v>
      </c>
      <c r="S7" s="2880">
        <f>IF('数据-汇总表'!$I$17="按面积比例",SUMIF('数据-汇总表'!C$19:C$33,A7,'数据-汇总表'!K$19:K$33),SUMIF('数据-汇总表'!C$19:C$33,A7,'数据-汇总表'!N$19:N$33))</f>
        <v>0</v>
      </c>
      <c r="T7" s="2881">
        <f t="shared" ref="T7:T13" si="5">ROUND($L$14*S7/10000,0)</f>
        <v>0</v>
      </c>
      <c r="U7" s="2882">
        <v>1</v>
      </c>
      <c r="V7" s="2883">
        <v>1.4999999999999999E-2</v>
      </c>
      <c r="W7" s="2883">
        <v>0.1</v>
      </c>
      <c r="X7" s="2884"/>
      <c r="Y7" s="2903">
        <v>1</v>
      </c>
      <c r="Z7" s="2904"/>
      <c r="AA7" s="2769"/>
      <c r="AB7" s="2769"/>
      <c r="AC7" s="2884"/>
      <c r="AD7" s="2905"/>
      <c r="AE7" s="2906">
        <f t="shared" ref="AE7:AE13" ca="1" si="6">IF(AN7="",0,SUMIF(INDIRECT("'"&amp;AN7&amp;"'"&amp;"!E:E"),$AE$5,INDIRECT("'"&amp;AN7&amp;"'"&amp;"!F:F")))</f>
        <v>0</v>
      </c>
      <c r="AF7" s="1691"/>
      <c r="AG7" s="1708">
        <f t="shared" ref="AG7:AG13" si="7">IF(AF7="",0,AE7-AF7)</f>
        <v>0</v>
      </c>
      <c r="AH7" s="2915"/>
      <c r="AI7" s="2916">
        <v>365</v>
      </c>
      <c r="AJ7" s="2917"/>
      <c r="AK7" s="2918">
        <v>3.0000000000000001E-3</v>
      </c>
      <c r="AL7" s="2919">
        <v>1E-3</v>
      </c>
      <c r="AM7" s="2920">
        <v>0.01</v>
      </c>
      <c r="AN7" s="2921"/>
      <c r="AO7" s="1594" t="e">
        <f t="shared" ref="AO7:AO13" ca="1" si="8">SUMIF(INDIRECT("'"&amp;AN7&amp;"'"&amp;"!A:A"),"总价",INDIRECT("'"&amp;AN7&amp;"'"&amp;"!B:B"))</f>
        <v>#REF!</v>
      </c>
      <c r="AP7" s="2935">
        <f t="shared" ref="AP7:AP13" si="9">IF(C7="住宅",K7*L7,0)</f>
        <v>0</v>
      </c>
      <c r="AQ7" s="1594">
        <f t="shared" ref="AQ7:AQ13" si="10">ROUND($L$14*$N$14*S7/10000,0)</f>
        <v>0</v>
      </c>
      <c r="AR7" s="1594">
        <f t="shared" ref="AR7:AR13" si="11">ROUND($L$14*(1-$N$14)*S7/10000,0)</f>
        <v>0</v>
      </c>
      <c r="AS7" s="2667"/>
      <c r="AT7" s="2667"/>
      <c r="AU7" s="2667"/>
      <c r="AV7" s="2667"/>
      <c r="AW7" s="2667"/>
      <c r="AX7" s="2667"/>
      <c r="AY7" s="2667"/>
      <c r="AZ7" s="2667"/>
      <c r="BA7" s="2667"/>
      <c r="BB7" s="2667"/>
      <c r="BC7" s="2667"/>
      <c r="BD7" s="2667"/>
      <c r="BE7" s="2667"/>
      <c r="BF7" s="2667"/>
      <c r="BG7" s="2667"/>
      <c r="BH7" s="2667"/>
      <c r="BI7" s="2667"/>
      <c r="BJ7" s="2667"/>
      <c r="BK7" s="2667"/>
      <c r="BL7" s="2667"/>
      <c r="BM7" s="2667"/>
      <c r="BN7" s="2667"/>
      <c r="BO7" s="2667"/>
    </row>
    <row r="8" spans="1:67" s="2736" customFormat="1" ht="13.8">
      <c r="A8" s="2761" t="str">
        <f>'数据-汇总表'!C21</f>
        <v>地下商业</v>
      </c>
      <c r="B8" s="2762" t="str">
        <f t="shared" si="1"/>
        <v>经营性</v>
      </c>
      <c r="C8" s="2763" t="s">
        <v>552</v>
      </c>
      <c r="D8" s="2764">
        <f>SUMIF(项目基本情况!C$12:I$12,C8,项目基本情况!C$14:I$14)</f>
        <v>40</v>
      </c>
      <c r="E8" s="2765">
        <f>IF(B8="","",SUMIF(项目基本情况!C$12:I$12,C8,项目基本情况!C$13:I$13))</f>
        <v>58589</v>
      </c>
      <c r="F8" s="2766">
        <f>SUMIF(项目基本情况!C$12:I$12,C8,项目基本情况!C$15:I$15)</f>
        <v>36.369999999999997</v>
      </c>
      <c r="G8" s="2767">
        <f t="shared" si="2"/>
        <v>0.96399999999999997</v>
      </c>
      <c r="H8" s="2768">
        <f>H6</f>
        <v>4.4999999999999998E-2</v>
      </c>
      <c r="I8" s="2768">
        <v>5.5E-2</v>
      </c>
      <c r="J8" s="2769">
        <f>J6</f>
        <v>7.0000000000000007E-2</v>
      </c>
      <c r="K8" s="2856">
        <f>SUMIF('数据-汇总表'!C$19:C$33,A8,'数据-汇总表'!E$19:E$33)</f>
        <v>1008.26</v>
      </c>
      <c r="L8" s="2857">
        <f>L6</f>
        <v>5000</v>
      </c>
      <c r="M8" s="2858">
        <f t="shared" si="0"/>
        <v>504</v>
      </c>
      <c r="N8" s="2859">
        <v>1</v>
      </c>
      <c r="O8" s="2858" t="str">
        <f t="shared" si="3"/>
        <v>——</v>
      </c>
      <c r="P8" s="2860" t="str">
        <f t="shared" si="4"/>
        <v>——</v>
      </c>
      <c r="Q8" s="2878">
        <v>0.1</v>
      </c>
      <c r="R8" s="2879">
        <f ca="1">SUMIF('数据-汇总表'!C$19:C$33,A8,'数据-汇总表'!R$19:R$27)</f>
        <v>0</v>
      </c>
      <c r="S8" s="2880">
        <f>IF('数据-汇总表'!$I$17="按面积比例",SUMIF('数据-汇总表'!C$19:C$33,A8,'数据-汇总表'!K$19:K$33),SUMIF('数据-汇总表'!C$19:C$33,A8,'数据-汇总表'!N$19:N$33))</f>
        <v>0</v>
      </c>
      <c r="T8" s="2881">
        <f t="shared" si="5"/>
        <v>0</v>
      </c>
      <c r="U8" s="2885">
        <v>2</v>
      </c>
      <c r="V8" s="2886">
        <v>0.02</v>
      </c>
      <c r="W8" s="2886">
        <v>0.1</v>
      </c>
      <c r="X8" s="2884"/>
      <c r="Y8" s="2903">
        <v>1</v>
      </c>
      <c r="Z8" s="2904"/>
      <c r="AA8" s="2769"/>
      <c r="AB8" s="2769"/>
      <c r="AC8" s="2884"/>
      <c r="AD8" s="2905"/>
      <c r="AE8" s="2906">
        <f t="shared" ca="1" si="6"/>
        <v>36.369999999999997</v>
      </c>
      <c r="AF8" s="1691"/>
      <c r="AG8" s="1708">
        <f t="shared" si="7"/>
        <v>0</v>
      </c>
      <c r="AH8" s="2922"/>
      <c r="AI8" s="2916">
        <v>365</v>
      </c>
      <c r="AJ8" s="2917"/>
      <c r="AK8" s="2923">
        <v>3.0000000000000001E-3</v>
      </c>
      <c r="AL8" s="2924">
        <v>1E-3</v>
      </c>
      <c r="AM8" s="2925">
        <v>0.01</v>
      </c>
      <c r="AN8" s="2921" t="s">
        <v>266</v>
      </c>
      <c r="AO8" s="1594">
        <f t="shared" ca="1" si="8"/>
        <v>1045.4854</v>
      </c>
      <c r="AP8" s="2935">
        <f t="shared" si="9"/>
        <v>0</v>
      </c>
      <c r="AQ8" s="1594">
        <f t="shared" si="10"/>
        <v>0</v>
      </c>
      <c r="AR8" s="1594">
        <f t="shared" si="11"/>
        <v>0</v>
      </c>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row>
    <row r="9" spans="1:67" s="2736" customFormat="1" ht="13.8">
      <c r="A9" s="2761">
        <f>'数据-汇总表'!C22</f>
        <v>0</v>
      </c>
      <c r="B9" s="2762" t="str">
        <f t="shared" si="1"/>
        <v/>
      </c>
      <c r="C9" s="2763"/>
      <c r="D9" s="2764">
        <f>SUMIF(项目基本情况!C$12:I$12,C9,项目基本情况!C$14:I$14)</f>
        <v>0</v>
      </c>
      <c r="E9" s="2765" t="str">
        <f>IF(B9="","",SUMIF(项目基本情况!C$12:I$12,C9,项目基本情况!C$13:I$13))</f>
        <v/>
      </c>
      <c r="F9" s="2766">
        <f>SUMIF(项目基本情况!C$12:I$12,C9,项目基本情况!C$15:I$15)</f>
        <v>0</v>
      </c>
      <c r="G9" s="2767">
        <f t="shared" si="2"/>
        <v>0</v>
      </c>
      <c r="H9" s="2769"/>
      <c r="I9" s="2769"/>
      <c r="J9" s="2769"/>
      <c r="K9" s="2856">
        <f>SUMIF('数据-汇总表'!C$19:C$33,A9,'数据-汇总表'!E$19:E$33)</f>
        <v>0</v>
      </c>
      <c r="L9" s="2857"/>
      <c r="M9" s="2858">
        <f t="shared" si="0"/>
        <v>0</v>
      </c>
      <c r="N9" s="2859"/>
      <c r="O9" s="2858" t="str">
        <f t="shared" si="3"/>
        <v>——</v>
      </c>
      <c r="P9" s="2860" t="str">
        <f t="shared" si="4"/>
        <v>——</v>
      </c>
      <c r="Q9" s="2887"/>
      <c r="R9" s="2879">
        <f ca="1">SUMIF('数据-汇总表'!C$19:C$33,A9,'数据-汇总表'!R$19:R$27)</f>
        <v>0</v>
      </c>
      <c r="S9" s="2880">
        <f>IF('数据-汇总表'!$I$17="按面积比例",SUMIF('数据-汇总表'!C$19:C$33,A9,'数据-汇总表'!K$19:K$33),SUMIF('数据-汇总表'!C$19:C$33,A9,'数据-汇总表'!N$19:N$33))</f>
        <v>0</v>
      </c>
      <c r="T9" s="2881">
        <f t="shared" si="5"/>
        <v>0</v>
      </c>
      <c r="U9" s="2882"/>
      <c r="V9" s="2883"/>
      <c r="W9" s="2883"/>
      <c r="X9" s="2884"/>
      <c r="Y9" s="2903"/>
      <c r="Z9" s="2904"/>
      <c r="AA9" s="2769"/>
      <c r="AB9" s="2769"/>
      <c r="AC9" s="2884"/>
      <c r="AD9" s="2905"/>
      <c r="AE9" s="2906">
        <f t="shared" ca="1" si="6"/>
        <v>0</v>
      </c>
      <c r="AF9" s="1691"/>
      <c r="AG9" s="1708">
        <f t="shared" si="7"/>
        <v>0</v>
      </c>
      <c r="AH9" s="2915"/>
      <c r="AI9" s="2916"/>
      <c r="AJ9" s="2917"/>
      <c r="AK9" s="2918"/>
      <c r="AL9" s="2919"/>
      <c r="AM9" s="2920"/>
      <c r="AN9" s="2921"/>
      <c r="AO9" s="1594" t="e">
        <f t="shared" ca="1" si="8"/>
        <v>#REF!</v>
      </c>
      <c r="AP9" s="2935">
        <f t="shared" si="9"/>
        <v>0</v>
      </c>
      <c r="AQ9" s="1594">
        <f t="shared" si="10"/>
        <v>0</v>
      </c>
      <c r="AR9" s="1594">
        <f t="shared" si="11"/>
        <v>0</v>
      </c>
      <c r="AS9" s="2667"/>
      <c r="AT9" s="2667"/>
      <c r="AU9" s="2667"/>
      <c r="AV9" s="2667"/>
      <c r="AW9" s="2667"/>
      <c r="AX9" s="2667"/>
      <c r="AY9" s="2667"/>
      <c r="AZ9" s="2667"/>
      <c r="BA9" s="2667"/>
      <c r="BB9" s="2667"/>
      <c r="BC9" s="2667"/>
      <c r="BD9" s="2667"/>
      <c r="BE9" s="2667"/>
      <c r="BF9" s="2667"/>
      <c r="BG9" s="2667"/>
      <c r="BH9" s="2667"/>
      <c r="BI9" s="2667"/>
      <c r="BJ9" s="2667"/>
      <c r="BK9" s="2667"/>
      <c r="BL9" s="2667"/>
      <c r="BM9" s="2667"/>
      <c r="BN9" s="2667"/>
      <c r="BO9" s="2667"/>
    </row>
    <row r="10" spans="1:67" s="2736" customFormat="1" ht="13.8">
      <c r="A10" s="2761">
        <f>'数据-汇总表'!C23</f>
        <v>0</v>
      </c>
      <c r="B10" s="2762" t="str">
        <f t="shared" si="1"/>
        <v/>
      </c>
      <c r="C10" s="2763"/>
      <c r="D10" s="2764">
        <f>SUMIF(项目基本情况!C$12:I$12,C10,项目基本情况!C$14:I$14)</f>
        <v>0</v>
      </c>
      <c r="E10" s="2765" t="str">
        <f>IF(B10="","",SUMIF(项目基本情况!C$12:I$12,C10,项目基本情况!C$13:I$13))</f>
        <v/>
      </c>
      <c r="F10" s="2766">
        <f>SUMIF(项目基本情况!C$12:I$12,C10,项目基本情况!C$15:I$15)</f>
        <v>0</v>
      </c>
      <c r="G10" s="2767">
        <f t="shared" si="2"/>
        <v>0</v>
      </c>
      <c r="H10" s="2769"/>
      <c r="I10" s="2769"/>
      <c r="J10" s="2769"/>
      <c r="K10" s="2856">
        <f>SUMIF('数据-汇总表'!C$19:C$33,A10,'数据-汇总表'!E$19:E$33)</f>
        <v>0</v>
      </c>
      <c r="L10" s="2857"/>
      <c r="M10" s="2858">
        <f t="shared" si="0"/>
        <v>0</v>
      </c>
      <c r="N10" s="2859"/>
      <c r="O10" s="2858" t="str">
        <f t="shared" si="3"/>
        <v>——</v>
      </c>
      <c r="P10" s="2860" t="str">
        <f t="shared" si="4"/>
        <v>——</v>
      </c>
      <c r="Q10" s="2887"/>
      <c r="R10" s="2879">
        <f ca="1">SUMIF('数据-汇总表'!C$19:C$33,A10,'数据-汇总表'!R$19:R$27)</f>
        <v>0</v>
      </c>
      <c r="S10" s="2880">
        <f>IF('数据-汇总表'!$I$17="按面积比例",SUMIF('数据-汇总表'!C$19:C$33,A10,'数据-汇总表'!K$19:K$33),SUMIF('数据-汇总表'!C$19:C$33,A10,'数据-汇总表'!N$19:N$33))</f>
        <v>0</v>
      </c>
      <c r="T10" s="2881">
        <f t="shared" si="5"/>
        <v>0</v>
      </c>
      <c r="U10" s="2882"/>
      <c r="V10" s="2883"/>
      <c r="W10" s="2883"/>
      <c r="X10" s="2884"/>
      <c r="Y10" s="2903"/>
      <c r="Z10" s="2904"/>
      <c r="AA10" s="2769"/>
      <c r="AB10" s="2769"/>
      <c r="AC10" s="2884"/>
      <c r="AD10" s="2905"/>
      <c r="AE10" s="2906">
        <f t="shared" ca="1" si="6"/>
        <v>0</v>
      </c>
      <c r="AF10" s="1691"/>
      <c r="AG10" s="1708">
        <f t="shared" si="7"/>
        <v>0</v>
      </c>
      <c r="AH10" s="2915"/>
      <c r="AI10" s="2916"/>
      <c r="AJ10" s="2917"/>
      <c r="AK10" s="2918"/>
      <c r="AL10" s="2919"/>
      <c r="AM10" s="2920"/>
      <c r="AN10" s="2921"/>
      <c r="AO10" s="1594" t="e">
        <f t="shared" ca="1" si="8"/>
        <v>#REF!</v>
      </c>
      <c r="AP10" s="2935">
        <f t="shared" si="9"/>
        <v>0</v>
      </c>
      <c r="AQ10" s="1594">
        <f t="shared" si="10"/>
        <v>0</v>
      </c>
      <c r="AR10" s="1594">
        <f t="shared" si="11"/>
        <v>0</v>
      </c>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row>
    <row r="11" spans="1:67" s="2736" customFormat="1" ht="13.8">
      <c r="A11" s="2761">
        <f>'数据-汇总表'!C24</f>
        <v>0</v>
      </c>
      <c r="B11" s="2762" t="str">
        <f t="shared" si="1"/>
        <v/>
      </c>
      <c r="C11" s="2763"/>
      <c r="D11" s="2764">
        <f>SUMIF(项目基本情况!C$12:I$12,C11,项目基本情况!C$14:I$14)</f>
        <v>0</v>
      </c>
      <c r="E11" s="2765" t="str">
        <f>IF(B11="","",SUMIF(项目基本情况!C$12:I$12,C11,项目基本情况!C$13:I$13))</f>
        <v/>
      </c>
      <c r="F11" s="2766">
        <f>SUMIF(项目基本情况!C$12:I$12,C11,项目基本情况!C$15:I$15)</f>
        <v>0</v>
      </c>
      <c r="G11" s="2767">
        <f t="shared" si="2"/>
        <v>0</v>
      </c>
      <c r="H11" s="2769"/>
      <c r="I11" s="2769"/>
      <c r="J11" s="2769"/>
      <c r="K11" s="2856">
        <f>SUMIF('数据-汇总表'!C$19:C$33,A11,'数据-汇总表'!E$19:E$33)</f>
        <v>0</v>
      </c>
      <c r="L11" s="2861"/>
      <c r="M11" s="2858">
        <f t="shared" si="0"/>
        <v>0</v>
      </c>
      <c r="N11" s="2859"/>
      <c r="O11" s="2858" t="str">
        <f t="shared" si="3"/>
        <v>——</v>
      </c>
      <c r="P11" s="2860" t="str">
        <f t="shared" si="4"/>
        <v>——</v>
      </c>
      <c r="Q11" s="2887"/>
      <c r="R11" s="2879">
        <f ca="1">SUMIF('数据-汇总表'!C$19:C$33,A11,'数据-汇总表'!R$19:R$27)</f>
        <v>0</v>
      </c>
      <c r="S11" s="2880">
        <f>IF('数据-汇总表'!$I$17="按面积比例",SUMIF('数据-汇总表'!C$19:C$33,A11,'数据-汇总表'!K$19:K$33),SUMIF('数据-汇总表'!C$19:C$33,A11,'数据-汇总表'!N$19:N$33))</f>
        <v>0</v>
      </c>
      <c r="T11" s="2881">
        <f t="shared" si="5"/>
        <v>0</v>
      </c>
      <c r="U11" s="2882"/>
      <c r="V11" s="2769"/>
      <c r="W11" s="2769"/>
      <c r="X11" s="2884"/>
      <c r="Y11" s="2903"/>
      <c r="Z11" s="2907"/>
      <c r="AA11" s="2769"/>
      <c r="AB11" s="2769"/>
      <c r="AC11" s="2884"/>
      <c r="AD11" s="2905"/>
      <c r="AE11" s="2906">
        <f t="shared" ca="1" si="6"/>
        <v>0</v>
      </c>
      <c r="AF11" s="1691"/>
      <c r="AG11" s="1708">
        <f t="shared" si="7"/>
        <v>0</v>
      </c>
      <c r="AH11" s="2915"/>
      <c r="AI11" s="2916"/>
      <c r="AJ11" s="2917"/>
      <c r="AK11" s="2926"/>
      <c r="AL11" s="2927"/>
      <c r="AM11" s="2928"/>
      <c r="AN11" s="2921"/>
      <c r="AO11" s="1594" t="e">
        <f t="shared" ca="1" si="8"/>
        <v>#REF!</v>
      </c>
      <c r="AP11" s="2935">
        <f t="shared" si="9"/>
        <v>0</v>
      </c>
      <c r="AQ11" s="1594">
        <f t="shared" si="10"/>
        <v>0</v>
      </c>
      <c r="AR11" s="1594">
        <f t="shared" si="11"/>
        <v>0</v>
      </c>
      <c r="AS11" s="2667"/>
      <c r="AT11" s="2667"/>
      <c r="AU11" s="2667"/>
      <c r="AV11" s="2667"/>
      <c r="AW11" s="2667"/>
      <c r="AX11" s="2667"/>
      <c r="AY11" s="2667"/>
      <c r="AZ11" s="2667"/>
      <c r="BA11" s="2667"/>
      <c r="BB11" s="2667"/>
      <c r="BC11" s="2667"/>
      <c r="BD11" s="2667"/>
      <c r="BE11" s="2667"/>
      <c r="BF11" s="2667"/>
      <c r="BG11" s="2667"/>
      <c r="BH11" s="2667"/>
      <c r="BI11" s="2667"/>
      <c r="BJ11" s="2667"/>
      <c r="BK11" s="2667"/>
      <c r="BL11" s="2667"/>
      <c r="BM11" s="2667"/>
      <c r="BN11" s="2667"/>
      <c r="BO11" s="2667"/>
    </row>
    <row r="12" spans="1:67" s="2736" customFormat="1" ht="13.8">
      <c r="A12" s="2761">
        <f>'数据-汇总表'!C25</f>
        <v>0</v>
      </c>
      <c r="B12" s="2762" t="str">
        <f t="shared" si="1"/>
        <v/>
      </c>
      <c r="C12" s="2763"/>
      <c r="D12" s="2764">
        <f>SUMIF(项目基本情况!C$12:I$12,C12,项目基本情况!C$14:I$14)</f>
        <v>0</v>
      </c>
      <c r="E12" s="2765" t="str">
        <f>IF(B12="","",SUMIF(项目基本情况!C$12:I$12,C12,项目基本情况!C$13:I$13))</f>
        <v/>
      </c>
      <c r="F12" s="2766">
        <f>SUMIF(项目基本情况!C$12:I$12,C12,项目基本情况!C$15:I$15)</f>
        <v>0</v>
      </c>
      <c r="G12" s="2767">
        <f t="shared" si="2"/>
        <v>0</v>
      </c>
      <c r="H12" s="2769"/>
      <c r="I12" s="2769"/>
      <c r="J12" s="2769"/>
      <c r="K12" s="2856">
        <f>SUMIF('数据-汇总表'!C$19:C$33,A12,'数据-汇总表'!E$19:E$33)</f>
        <v>0</v>
      </c>
      <c r="L12" s="2861"/>
      <c r="M12" s="2858">
        <f t="shared" si="0"/>
        <v>0</v>
      </c>
      <c r="N12" s="2859"/>
      <c r="O12" s="2858" t="str">
        <f t="shared" si="3"/>
        <v>——</v>
      </c>
      <c r="P12" s="2860" t="str">
        <f t="shared" si="4"/>
        <v>——</v>
      </c>
      <c r="Q12" s="2887"/>
      <c r="R12" s="2879">
        <f ca="1">SUMIF('数据-汇总表'!C$19:C$33,A12,'数据-汇总表'!R$19:R$27)</f>
        <v>0</v>
      </c>
      <c r="S12" s="2880">
        <f>IF('数据-汇总表'!$I$17="按面积比例",SUMIF('数据-汇总表'!C$19:C$33,A12,'数据-汇总表'!K$19:K$33),SUMIF('数据-汇总表'!C$19:C$33,A12,'数据-汇总表'!N$19:N$33))</f>
        <v>0</v>
      </c>
      <c r="T12" s="2881">
        <f t="shared" si="5"/>
        <v>0</v>
      </c>
      <c r="U12" s="2882"/>
      <c r="V12" s="2769"/>
      <c r="W12" s="2769"/>
      <c r="X12" s="2884"/>
      <c r="Y12" s="2903"/>
      <c r="Z12" s="2907"/>
      <c r="AA12" s="2769"/>
      <c r="AB12" s="2769"/>
      <c r="AC12" s="2884"/>
      <c r="AD12" s="2905"/>
      <c r="AE12" s="2906">
        <f t="shared" ca="1" si="6"/>
        <v>0</v>
      </c>
      <c r="AF12" s="1691"/>
      <c r="AG12" s="1708">
        <f t="shared" si="7"/>
        <v>0</v>
      </c>
      <c r="AH12" s="2915"/>
      <c r="AI12" s="2916"/>
      <c r="AJ12" s="2917"/>
      <c r="AK12" s="2926"/>
      <c r="AL12" s="2927"/>
      <c r="AM12" s="2928"/>
      <c r="AN12" s="2921"/>
      <c r="AO12" s="1594" t="e">
        <f t="shared" ca="1" si="8"/>
        <v>#REF!</v>
      </c>
      <c r="AP12" s="2935">
        <f t="shared" si="9"/>
        <v>0</v>
      </c>
      <c r="AQ12" s="1594">
        <f t="shared" si="10"/>
        <v>0</v>
      </c>
      <c r="AR12" s="1594">
        <f t="shared" si="11"/>
        <v>0</v>
      </c>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row>
    <row r="13" spans="1:67" s="2736" customFormat="1" ht="13.8">
      <c r="A13" s="2761">
        <f>'数据-汇总表'!C26</f>
        <v>0</v>
      </c>
      <c r="B13" s="2762" t="str">
        <f t="shared" si="1"/>
        <v/>
      </c>
      <c r="C13" s="2763"/>
      <c r="D13" s="2764">
        <f>SUMIF(项目基本情况!C$12:I$12,C13,项目基本情况!C$14:I$14)</f>
        <v>0</v>
      </c>
      <c r="E13" s="2765" t="str">
        <f>IF(B13="","",SUMIF(项目基本情况!C$12:I$12,C13,项目基本情况!C$13:I$13))</f>
        <v/>
      </c>
      <c r="F13" s="2766">
        <f>SUMIF(项目基本情况!C$12:I$12,C13,项目基本情况!C$15:I$15)</f>
        <v>0</v>
      </c>
      <c r="G13" s="2767">
        <f t="shared" si="2"/>
        <v>0</v>
      </c>
      <c r="H13" s="2769"/>
      <c r="I13" s="2769"/>
      <c r="J13" s="2769"/>
      <c r="K13" s="2856">
        <f>SUMIF('数据-汇总表'!C$19:C$33,A13,'数据-汇总表'!E$19:E$33)</f>
        <v>0</v>
      </c>
      <c r="L13" s="2861"/>
      <c r="M13" s="2858">
        <f t="shared" si="0"/>
        <v>0</v>
      </c>
      <c r="N13" s="2862"/>
      <c r="O13" s="2858" t="str">
        <f t="shared" si="3"/>
        <v>——</v>
      </c>
      <c r="P13" s="2860" t="str">
        <f t="shared" si="4"/>
        <v>——</v>
      </c>
      <c r="Q13" s="2887"/>
      <c r="R13" s="2879">
        <f ca="1">SUMIF('数据-汇总表'!C$19:C$33,A13,'数据-汇总表'!R$19:R$27)</f>
        <v>0</v>
      </c>
      <c r="S13" s="2880">
        <f>IF('数据-汇总表'!$I$17="按面积比例",SUMIF('数据-汇总表'!C$19:C$33,A13,'数据-汇总表'!K$19:K$33),SUMIF('数据-汇总表'!C$19:C$33,A13,'数据-汇总表'!N$19:N$33))</f>
        <v>0</v>
      </c>
      <c r="T13" s="2881">
        <f t="shared" si="5"/>
        <v>0</v>
      </c>
      <c r="U13" s="2888"/>
      <c r="V13" s="2883"/>
      <c r="W13" s="2883"/>
      <c r="X13" s="2884"/>
      <c r="Y13" s="2903"/>
      <c r="Z13" s="2904"/>
      <c r="AA13" s="2769"/>
      <c r="AB13" s="2769"/>
      <c r="AC13" s="2884"/>
      <c r="AD13" s="2905"/>
      <c r="AE13" s="2906">
        <f t="shared" ca="1" si="6"/>
        <v>0</v>
      </c>
      <c r="AF13" s="1691"/>
      <c r="AG13" s="1708">
        <f t="shared" si="7"/>
        <v>0</v>
      </c>
      <c r="AH13" s="2915"/>
      <c r="AI13" s="2916"/>
      <c r="AJ13" s="2917"/>
      <c r="AK13" s="2918"/>
      <c r="AL13" s="2919"/>
      <c r="AM13" s="2920"/>
      <c r="AN13" s="2921"/>
      <c r="AO13" s="1594" t="e">
        <f t="shared" ca="1" si="8"/>
        <v>#REF!</v>
      </c>
      <c r="AP13" s="2935">
        <f t="shared" si="9"/>
        <v>0</v>
      </c>
      <c r="AQ13" s="1594">
        <f t="shared" si="10"/>
        <v>0</v>
      </c>
      <c r="AR13" s="1594">
        <f t="shared" si="11"/>
        <v>0</v>
      </c>
      <c r="AS13" s="2667"/>
      <c r="AT13" s="2667"/>
      <c r="AU13" s="2667"/>
      <c r="AV13" s="2667"/>
      <c r="AW13" s="2667"/>
      <c r="AX13" s="2667"/>
      <c r="AY13" s="2667"/>
      <c r="AZ13" s="2667"/>
      <c r="BA13" s="2667"/>
      <c r="BB13" s="2667"/>
      <c r="BC13" s="2667"/>
      <c r="BD13" s="2667"/>
      <c r="BE13" s="2667"/>
      <c r="BF13" s="2667"/>
      <c r="BG13" s="2667"/>
      <c r="BH13" s="2667"/>
      <c r="BI13" s="2667"/>
      <c r="BJ13" s="2667"/>
      <c r="BK13" s="2667"/>
      <c r="BL13" s="2667"/>
      <c r="BM13" s="2667"/>
      <c r="BN13" s="2667"/>
      <c r="BO13" s="2667"/>
    </row>
    <row r="14" spans="1:67" s="2736" customFormat="1" ht="14.4">
      <c r="A14" s="2770" t="s">
        <v>609</v>
      </c>
      <c r="B14" s="2762" t="s">
        <v>608</v>
      </c>
      <c r="C14" s="2771" t="s">
        <v>609</v>
      </c>
      <c r="D14" s="2764"/>
      <c r="E14" s="2765"/>
      <c r="F14" s="2766"/>
      <c r="G14" s="2767"/>
      <c r="H14" s="2772"/>
      <c r="I14" s="2772"/>
      <c r="J14" s="2772"/>
      <c r="K14" s="2856">
        <f>SUMIF('数据-汇总表'!C$19:C$33,A14,'数据-汇总表'!E$19:E$33)</f>
        <v>0</v>
      </c>
      <c r="L14" s="2861"/>
      <c r="M14" s="2858">
        <f t="shared" si="0"/>
        <v>0</v>
      </c>
      <c r="N14" s="2862"/>
      <c r="O14" s="2858" t="str">
        <f t="shared" si="3"/>
        <v>——</v>
      </c>
      <c r="P14" s="2860" t="str">
        <f t="shared" si="4"/>
        <v>——</v>
      </c>
      <c r="Q14" s="2889"/>
      <c r="R14" s="2879"/>
      <c r="S14" s="2880"/>
      <c r="T14" s="2881"/>
      <c r="U14" s="2890"/>
      <c r="V14" s="2891"/>
      <c r="W14" s="2891"/>
      <c r="X14" s="2892"/>
      <c r="Y14" s="2908"/>
      <c r="Z14" s="2909"/>
      <c r="AA14" s="2910"/>
      <c r="AB14" s="2910"/>
      <c r="AC14" s="2884"/>
      <c r="AD14" s="2892"/>
      <c r="AE14" s="2906"/>
      <c r="AF14" s="1594"/>
      <c r="AG14" s="1708"/>
      <c r="AH14" s="2906"/>
      <c r="AI14" s="1579"/>
      <c r="AJ14" s="1593"/>
      <c r="AK14" s="2929"/>
      <c r="AL14" s="2930"/>
      <c r="AM14" s="2931"/>
      <c r="AN14" s="2519"/>
      <c r="AO14" s="2782"/>
      <c r="AP14" s="2782"/>
      <c r="AQ14" s="2782"/>
      <c r="AR14" s="2782"/>
      <c r="AS14" s="2667"/>
      <c r="AT14" s="2667"/>
      <c r="AU14" s="2667"/>
      <c r="AV14" s="2667"/>
      <c r="AW14" s="2667"/>
      <c r="AX14" s="2667"/>
      <c r="AY14" s="2667"/>
      <c r="AZ14" s="2667"/>
      <c r="BA14" s="2667"/>
      <c r="BB14" s="2667"/>
      <c r="BC14" s="2667"/>
      <c r="BD14" s="2667"/>
      <c r="BE14" s="2667"/>
      <c r="BF14" s="2667"/>
      <c r="BG14" s="2667"/>
      <c r="BH14" s="2667"/>
      <c r="BI14" s="2667"/>
      <c r="BJ14" s="2667"/>
      <c r="BK14" s="2667"/>
      <c r="BL14" s="2667"/>
      <c r="BM14" s="2667"/>
      <c r="BN14" s="2667"/>
      <c r="BO14" s="2667"/>
    </row>
    <row r="15" spans="1:67" s="2736" customFormat="1" ht="28.8">
      <c r="A15" s="2770" t="s">
        <v>610</v>
      </c>
      <c r="B15" s="2762" t="s">
        <v>608</v>
      </c>
      <c r="C15" s="2771" t="s">
        <v>2522</v>
      </c>
      <c r="D15" s="2764"/>
      <c r="E15" s="2765"/>
      <c r="F15" s="2766"/>
      <c r="G15" s="2767"/>
      <c r="H15" s="2772"/>
      <c r="I15" s="2772"/>
      <c r="J15" s="2772"/>
      <c r="K15" s="2856">
        <f>SUMIF('数据-汇总表'!C$19:C$33,A15,'数据-汇总表'!E$19:E$33)</f>
        <v>0</v>
      </c>
      <c r="L15" s="2863"/>
      <c r="M15" s="2858"/>
      <c r="N15" s="2864"/>
      <c r="O15" s="2858"/>
      <c r="P15" s="2860"/>
      <c r="Q15" s="2889"/>
      <c r="R15" s="2879"/>
      <c r="S15" s="2880"/>
      <c r="T15" s="2881"/>
      <c r="U15" s="2890"/>
      <c r="V15" s="2891"/>
      <c r="W15" s="2891"/>
      <c r="X15" s="2892"/>
      <c r="Y15" s="2908"/>
      <c r="Z15" s="2909"/>
      <c r="AA15" s="2910"/>
      <c r="AB15" s="2910"/>
      <c r="AC15" s="2884"/>
      <c r="AD15" s="2892"/>
      <c r="AE15" s="2906"/>
      <c r="AF15" s="1594"/>
      <c r="AG15" s="1708"/>
      <c r="AH15" s="2906"/>
      <c r="AI15" s="1579"/>
      <c r="AJ15" s="1593"/>
      <c r="AK15" s="2929"/>
      <c r="AL15" s="2930"/>
      <c r="AM15" s="2931"/>
      <c r="AN15" s="2519"/>
      <c r="AO15" s="2782"/>
      <c r="AP15" s="2782"/>
      <c r="AQ15" s="2782"/>
      <c r="AR15" s="2782"/>
      <c r="AS15" s="2667"/>
      <c r="AT15" s="2667"/>
      <c r="AU15" s="2667"/>
      <c r="AV15" s="2667"/>
      <c r="AW15" s="2667"/>
      <c r="AX15" s="2667"/>
      <c r="AY15" s="2667"/>
      <c r="AZ15" s="2667"/>
      <c r="BA15" s="2667"/>
      <c r="BB15" s="2667"/>
      <c r="BC15" s="2667"/>
      <c r="BD15" s="2667"/>
      <c r="BE15" s="2667"/>
      <c r="BF15" s="2667"/>
      <c r="BG15" s="2667"/>
      <c r="BH15" s="2667"/>
      <c r="BI15" s="2667"/>
      <c r="BJ15" s="2667"/>
      <c r="BK15" s="2667"/>
      <c r="BL15" s="2667"/>
      <c r="BM15" s="2667"/>
      <c r="BN15" s="2667"/>
      <c r="BO15" s="2667"/>
    </row>
    <row r="16" spans="1:67" s="2736" customFormat="1" ht="14.4">
      <c r="A16" s="2773" t="s">
        <v>611</v>
      </c>
      <c r="B16" s="2774"/>
      <c r="C16" s="2574"/>
      <c r="D16" s="2775"/>
      <c r="E16" s="2774"/>
      <c r="F16" s="2774"/>
      <c r="G16" s="2776">
        <f>ROUND(SUMPRODUCT(G6:G13,K6:K13)/SUMPRODUCT((G6:G13&gt;0)*(K6:K13)),3)</f>
        <v>0.97599999999999998</v>
      </c>
      <c r="H16" s="2777">
        <f>ROUND(SUMPRODUCT(H6:H13,K6:K13)/SUMPRODUCT((H6:H13&gt;0)*(K6:K13)),3)</f>
        <v>4.4999999999999998E-2</v>
      </c>
      <c r="I16" s="2865"/>
      <c r="J16" s="2865"/>
      <c r="K16" s="2866">
        <f>SUM(K6:K15)</f>
        <v>8450.66</v>
      </c>
      <c r="L16" s="2867">
        <f>ROUND(M16*10000/SUM(K6:K14),0)</f>
        <v>5000</v>
      </c>
      <c r="M16" s="2867">
        <f>SUM(M6:M14)</f>
        <v>4225</v>
      </c>
      <c r="N16" s="2868">
        <f>ROUND(SUMPRODUCT(M6:M14,N6:N14)/M16,3)</f>
        <v>1</v>
      </c>
      <c r="O16" s="2867">
        <f>SUM(O6:O14)</f>
        <v>0</v>
      </c>
      <c r="P16" s="2867">
        <f>SUM(P6:P14)</f>
        <v>0</v>
      </c>
      <c r="Q16" s="2893">
        <f>ROUND(SUMPRODUCT(Q6:Q13,K6:K13)/SUMPRODUCT((Q6:Q13&gt;0)*(K6:K13)),2)</f>
        <v>0.05</v>
      </c>
      <c r="R16" s="2894">
        <f ca="1">SUM(R6:R13)</f>
        <v>0</v>
      </c>
      <c r="S16" s="2895">
        <f>SUM(S6:S13)</f>
        <v>0</v>
      </c>
      <c r="T16" s="2896">
        <f>IF(SUMIF(T6:T13,"&lt;9E307")=M14,SUMIF(T6:T13,"&lt;9E307"),"有误，请检查")</f>
        <v>0</v>
      </c>
      <c r="U16" s="2897"/>
      <c r="V16" s="2898"/>
      <c r="W16" s="2898"/>
      <c r="X16" s="2899"/>
      <c r="Y16" s="2911"/>
      <c r="Z16" s="2912"/>
      <c r="AA16" s="2898"/>
      <c r="AB16" s="2898"/>
      <c r="AC16" s="2899"/>
      <c r="AD16" s="2899"/>
      <c r="AE16" s="2897"/>
      <c r="AF16" s="2898"/>
      <c r="AG16" s="2911"/>
      <c r="AH16" s="2897"/>
      <c r="AI16" s="2912"/>
      <c r="AJ16" s="2912"/>
      <c r="AK16" s="2898"/>
      <c r="AL16" s="2898"/>
      <c r="AM16" s="2911"/>
      <c r="AN16" s="2519"/>
      <c r="AO16" s="2782"/>
      <c r="AP16" s="2782"/>
      <c r="AQ16" s="2782"/>
      <c r="AR16" s="2782"/>
      <c r="AS16" s="2667"/>
      <c r="AT16" s="2667"/>
      <c r="AU16" s="2667"/>
      <c r="AV16" s="2667"/>
      <c r="AW16" s="2667"/>
      <c r="AX16" s="2667"/>
      <c r="AY16" s="2667"/>
      <c r="AZ16" s="2667"/>
      <c r="BA16" s="2667"/>
      <c r="BB16" s="2667"/>
      <c r="BC16" s="2667"/>
      <c r="BD16" s="2667"/>
      <c r="BE16" s="2667"/>
      <c r="BF16" s="2667"/>
      <c r="BG16" s="2667"/>
      <c r="BH16" s="2667"/>
      <c r="BI16" s="2667"/>
      <c r="BJ16" s="2667"/>
      <c r="BK16" s="2667"/>
      <c r="BL16" s="2667"/>
      <c r="BM16" s="2667"/>
      <c r="BN16" s="2667"/>
      <c r="BO16" s="2667"/>
    </row>
    <row r="17" spans="1:67">
      <c r="A17" s="2778"/>
      <c r="B17" s="2779"/>
      <c r="C17" s="2519"/>
      <c r="D17" s="2780"/>
      <c r="E17" s="2780"/>
      <c r="F17" s="2519"/>
      <c r="G17" s="2519"/>
      <c r="H17" s="2519"/>
      <c r="I17" s="2519"/>
      <c r="J17" s="2519"/>
      <c r="K17" s="2869"/>
      <c r="L17" s="2869"/>
      <c r="M17" s="2519"/>
      <c r="N17" s="2519"/>
      <c r="O17" s="2519"/>
      <c r="P17" s="2519"/>
      <c r="Q17" s="2519"/>
      <c r="R17" s="2519"/>
      <c r="S17" s="2519"/>
      <c r="T17" s="2519"/>
      <c r="U17" s="2519"/>
      <c r="V17" s="2519"/>
      <c r="W17" s="2519"/>
      <c r="X17" s="2519"/>
      <c r="Y17" s="2519"/>
      <c r="Z17" s="2519"/>
      <c r="AA17" s="2519"/>
      <c r="AB17" s="2519"/>
      <c r="AC17" s="2519"/>
      <c r="AD17" s="2519"/>
      <c r="AE17" s="2519"/>
      <c r="AF17" s="2519"/>
      <c r="AG17" s="2519"/>
      <c r="AH17" s="2519"/>
      <c r="AI17" s="2519"/>
      <c r="AJ17" s="2519"/>
      <c r="AK17" s="2519"/>
      <c r="AL17" s="2519"/>
      <c r="AM17" s="2519"/>
      <c r="AN17" s="2519"/>
      <c r="AO17" s="2519"/>
      <c r="AP17" s="2519"/>
      <c r="AQ17" s="2519"/>
      <c r="AR17" s="2519"/>
    </row>
    <row r="18" spans="1:67" ht="14.4">
      <c r="A18" s="2612" t="s">
        <v>2523</v>
      </c>
      <c r="B18" s="2781"/>
      <c r="C18" s="2782"/>
      <c r="D18" s="2783"/>
      <c r="E18" s="2782"/>
      <c r="F18" s="2782"/>
      <c r="G18" s="2782"/>
      <c r="H18" s="2782"/>
      <c r="I18" s="2782"/>
      <c r="J18" s="2782"/>
      <c r="K18" s="2869"/>
      <c r="L18" s="2869"/>
      <c r="M18" s="2519"/>
      <c r="N18" s="2519"/>
      <c r="O18" s="2519"/>
      <c r="P18" s="2519"/>
      <c r="Q18" s="2519"/>
      <c r="R18" s="2519"/>
      <c r="S18" s="2519"/>
      <c r="T18" s="2519"/>
      <c r="U18" s="2519"/>
      <c r="V18" s="2519"/>
      <c r="W18" s="2519"/>
      <c r="X18" s="2519"/>
      <c r="Y18" s="2519"/>
      <c r="Z18" s="2519"/>
      <c r="AA18" s="2519"/>
      <c r="AB18" s="2519"/>
      <c r="AC18" s="2519"/>
      <c r="AD18" s="2519"/>
      <c r="AE18" s="2519"/>
      <c r="AF18" s="2519"/>
      <c r="AG18" s="2519"/>
      <c r="AH18" s="2519"/>
      <c r="AI18" s="2519"/>
      <c r="AJ18" s="2519"/>
      <c r="AK18" s="2519"/>
      <c r="AL18" s="2519"/>
      <c r="AM18" s="2519"/>
      <c r="AN18" s="2519"/>
      <c r="AO18" s="2519"/>
      <c r="AP18" s="2519"/>
      <c r="AQ18" s="2519"/>
      <c r="AR18" s="2519"/>
    </row>
    <row r="19" spans="1:67" ht="14.4">
      <c r="A19" s="2784" t="s">
        <v>2524</v>
      </c>
      <c r="B19" s="2785">
        <v>0</v>
      </c>
      <c r="C19" s="2786" t="s">
        <v>2525</v>
      </c>
      <c r="D19" s="2783"/>
      <c r="E19" s="2782"/>
      <c r="F19" s="2782"/>
      <c r="G19" s="2782"/>
      <c r="H19" s="2782"/>
      <c r="I19" s="2782"/>
      <c r="J19" s="2782"/>
      <c r="K19" s="2870" t="s">
        <v>2526</v>
      </c>
      <c r="L19" s="2869">
        <f>(L20*M20+L21*M21)/(M20+M21)</f>
        <v>2192.3076923076924</v>
      </c>
      <c r="M19" s="2519"/>
      <c r="N19" s="2519"/>
      <c r="O19" s="2519"/>
      <c r="P19" s="2519"/>
      <c r="Q19" s="2519"/>
      <c r="R19" s="2519"/>
      <c r="S19" s="2519"/>
      <c r="T19" s="2519"/>
      <c r="U19" s="2519">
        <v>7</v>
      </c>
      <c r="V19" s="2519">
        <v>0.3</v>
      </c>
      <c r="W19" s="2519"/>
      <c r="X19" s="2519"/>
      <c r="Y19" s="2519"/>
      <c r="Z19" s="2519"/>
      <c r="AA19" s="2519"/>
      <c r="AB19" s="2519"/>
      <c r="AC19" s="2519"/>
      <c r="AD19" s="2519"/>
      <c r="AE19" s="2519"/>
      <c r="AF19" s="2519"/>
      <c r="AG19" s="2519"/>
      <c r="AH19" s="2519"/>
      <c r="AI19" s="2519"/>
      <c r="AJ19" s="2519"/>
      <c r="AK19" s="2519"/>
      <c r="AL19" s="2519"/>
      <c r="AM19" s="2519"/>
      <c r="AN19" s="2519"/>
      <c r="AO19" s="2519"/>
      <c r="AP19" s="2519"/>
      <c r="AQ19" s="2519"/>
      <c r="AR19" s="2519"/>
    </row>
    <row r="20" spans="1:67" ht="14.4">
      <c r="A20" s="2787" t="s">
        <v>2527</v>
      </c>
      <c r="B20" s="2788">
        <v>2</v>
      </c>
      <c r="C20" s="2789" t="s">
        <v>2528</v>
      </c>
      <c r="D20" s="2783"/>
      <c r="E20" s="2782"/>
      <c r="F20" s="2782"/>
      <c r="G20" s="2782"/>
      <c r="H20" s="2782"/>
      <c r="I20" s="2782"/>
      <c r="J20" s="2782"/>
      <c r="K20" s="2871" t="s">
        <v>2529</v>
      </c>
      <c r="L20" s="2869">
        <v>1500</v>
      </c>
      <c r="M20" s="2519">
        <v>10</v>
      </c>
      <c r="N20" s="2519"/>
      <c r="O20" s="2519"/>
      <c r="P20" s="2519"/>
      <c r="Q20" s="2519"/>
      <c r="R20" s="2519"/>
      <c r="S20" s="2519"/>
      <c r="T20" s="2519"/>
      <c r="U20" s="2519"/>
      <c r="V20" s="2519">
        <f>U19*V19</f>
        <v>2.1</v>
      </c>
      <c r="W20" s="2519"/>
      <c r="X20" s="2519"/>
      <c r="Y20" s="2519"/>
      <c r="Z20" s="2519"/>
      <c r="AA20" s="2519"/>
      <c r="AB20" s="2519"/>
      <c r="AC20" s="2519"/>
      <c r="AD20" s="2519"/>
      <c r="AE20" s="2519"/>
      <c r="AF20" s="2519"/>
      <c r="AG20" s="2519"/>
      <c r="AH20" s="2519"/>
      <c r="AI20" s="2519"/>
      <c r="AJ20" s="2519"/>
      <c r="AK20" s="2519"/>
      <c r="AL20" s="2519"/>
      <c r="AM20" s="2519"/>
      <c r="AN20" s="2519"/>
      <c r="AO20" s="2519"/>
      <c r="AP20" s="2519"/>
      <c r="AQ20" s="2519"/>
      <c r="AR20" s="2519"/>
    </row>
    <row r="21" spans="1:67" ht="14.4">
      <c r="A21" s="2790" t="s">
        <v>2530</v>
      </c>
      <c r="B21" s="2788">
        <v>2</v>
      </c>
      <c r="C21" s="2782"/>
      <c r="D21" s="2783"/>
      <c r="E21" s="2782"/>
      <c r="F21" s="2782"/>
      <c r="G21" s="2782"/>
      <c r="H21" s="2782"/>
      <c r="I21" s="2782"/>
      <c r="J21" s="2782"/>
      <c r="K21" s="2871" t="s">
        <v>544</v>
      </c>
      <c r="L21" s="2869">
        <v>4500</v>
      </c>
      <c r="M21" s="2519">
        <v>3</v>
      </c>
      <c r="N21" s="2519"/>
      <c r="O21" s="2519"/>
      <c r="P21" s="2519"/>
      <c r="Q21" s="2519"/>
      <c r="R21" s="2519"/>
      <c r="S21" s="2519"/>
      <c r="T21" s="2519"/>
      <c r="U21" s="2519"/>
      <c r="V21" s="2519"/>
      <c r="W21" s="2519"/>
      <c r="X21" s="2519"/>
      <c r="Y21" s="2519"/>
      <c r="Z21" s="2519"/>
      <c r="AA21" s="2519"/>
      <c r="AB21" s="2519"/>
      <c r="AC21" s="2519"/>
      <c r="AD21" s="2519"/>
      <c r="AE21" s="2519"/>
      <c r="AF21" s="2519"/>
      <c r="AG21" s="2519"/>
      <c r="AH21" s="2519"/>
      <c r="AI21" s="2519"/>
      <c r="AJ21" s="2519"/>
      <c r="AK21" s="2519"/>
      <c r="AL21" s="2519"/>
      <c r="AM21" s="2519"/>
      <c r="AN21" s="2519"/>
      <c r="AO21" s="2519"/>
      <c r="AP21" s="2519"/>
      <c r="AQ21" s="2519"/>
      <c r="AR21" s="2519"/>
    </row>
    <row r="22" spans="1:67" ht="14.4">
      <c r="A22" s="2787" t="s">
        <v>2531</v>
      </c>
      <c r="B22" s="2791">
        <f>B19+B20</f>
        <v>2</v>
      </c>
      <c r="C22" s="2782"/>
      <c r="D22" s="2783"/>
      <c r="E22" s="2782"/>
      <c r="F22" s="2782"/>
      <c r="G22" s="2782"/>
      <c r="H22" s="2782"/>
      <c r="I22" s="2782"/>
      <c r="J22" s="2782"/>
      <c r="K22" s="2870" t="s">
        <v>2532</v>
      </c>
      <c r="L22" s="2869">
        <v>300</v>
      </c>
      <c r="M22" s="2519"/>
      <c r="N22" s="2519"/>
      <c r="O22" s="2519"/>
      <c r="P22" s="2519"/>
      <c r="Q22" s="2519"/>
      <c r="R22" s="2519"/>
      <c r="S22" s="2519"/>
      <c r="T22" s="2519"/>
      <c r="U22" s="2519"/>
      <c r="V22" s="2519"/>
      <c r="W22" s="2519"/>
      <c r="X22" s="2519"/>
      <c r="Y22" s="2519"/>
      <c r="Z22" s="2519"/>
      <c r="AA22" s="2519"/>
      <c r="AB22" s="2519"/>
      <c r="AC22" s="2519"/>
      <c r="AD22" s="2519"/>
      <c r="AE22" s="2519"/>
      <c r="AF22" s="2519"/>
      <c r="AG22" s="2519"/>
      <c r="AH22" s="2519"/>
      <c r="AI22" s="2519"/>
      <c r="AJ22" s="2519"/>
      <c r="AK22" s="2519"/>
      <c r="AL22" s="2519"/>
      <c r="AM22" s="2519"/>
      <c r="AN22" s="2519"/>
      <c r="AO22" s="2519"/>
      <c r="AP22" s="2519"/>
      <c r="AQ22" s="2519"/>
      <c r="AR22" s="2519"/>
    </row>
    <row r="23" spans="1:67" ht="14.4">
      <c r="A23" s="2790" t="s">
        <v>2533</v>
      </c>
      <c r="B23" s="2791">
        <f>B19+B21</f>
        <v>2</v>
      </c>
      <c r="C23" s="2782"/>
      <c r="D23" s="2783"/>
      <c r="E23" s="2782"/>
      <c r="F23" s="2782"/>
      <c r="G23" s="2782"/>
      <c r="H23" s="2782"/>
      <c r="I23" s="2782"/>
      <c r="J23" s="2782"/>
      <c r="K23" s="2870" t="s">
        <v>2534</v>
      </c>
      <c r="L23" s="2869">
        <v>800</v>
      </c>
      <c r="M23" s="2519"/>
      <c r="N23" s="2519"/>
      <c r="O23" s="2519"/>
      <c r="P23" s="2519"/>
      <c r="Q23" s="2519"/>
      <c r="R23" s="2519"/>
      <c r="S23" s="2519"/>
      <c r="T23" s="2519"/>
      <c r="U23" s="2519"/>
      <c r="V23" s="2519"/>
      <c r="W23" s="2519"/>
      <c r="X23" s="2519"/>
      <c r="Y23" s="2519"/>
      <c r="Z23" s="2519"/>
      <c r="AA23" s="2519"/>
      <c r="AB23" s="2519"/>
      <c r="AC23" s="2519"/>
      <c r="AD23" s="2519"/>
      <c r="AE23" s="2519"/>
      <c r="AF23" s="2519"/>
      <c r="AG23" s="2519"/>
      <c r="AH23" s="2519"/>
      <c r="AI23" s="2519"/>
      <c r="AJ23" s="2519"/>
      <c r="AK23" s="2519"/>
      <c r="AL23" s="2519"/>
      <c r="AM23" s="2519"/>
      <c r="AN23" s="2519"/>
      <c r="AO23" s="2519"/>
      <c r="AP23" s="2519"/>
      <c r="AQ23" s="2519"/>
      <c r="AR23" s="2519"/>
    </row>
    <row r="24" spans="1:67" ht="14.4">
      <c r="A24" s="2792" t="s">
        <v>2535</v>
      </c>
      <c r="B24" s="2793">
        <f>B20-B21</f>
        <v>0</v>
      </c>
      <c r="C24" s="2782"/>
      <c r="D24" s="2783"/>
      <c r="E24" s="2782"/>
      <c r="F24" s="2782"/>
      <c r="G24" s="2782"/>
      <c r="H24" s="2782"/>
      <c r="I24" s="2782"/>
      <c r="J24" s="2782"/>
      <c r="K24" s="2870" t="s">
        <v>4669</v>
      </c>
      <c r="L24" s="2869">
        <f>(L19+L22+L23)*M24</f>
        <v>164.61538461538464</v>
      </c>
      <c r="M24" s="3807">
        <v>0.05</v>
      </c>
      <c r="N24" s="2519"/>
      <c r="O24" s="2519"/>
      <c r="P24" s="2519"/>
      <c r="Q24" s="2519"/>
      <c r="R24" s="2519"/>
      <c r="S24" s="2519"/>
      <c r="T24" s="2519"/>
      <c r="U24" s="2519"/>
      <c r="V24" s="2519"/>
      <c r="W24" s="2519"/>
      <c r="X24" s="2519"/>
      <c r="Y24" s="2519"/>
      <c r="Z24" s="2519"/>
      <c r="AA24" s="2519"/>
      <c r="AB24" s="2519"/>
      <c r="AC24" s="2519"/>
      <c r="AD24" s="2519"/>
      <c r="AE24" s="2519"/>
      <c r="AF24" s="2519"/>
      <c r="AG24" s="2519"/>
      <c r="AH24" s="2519"/>
      <c r="AI24" s="2519"/>
      <c r="AJ24" s="2519"/>
      <c r="AK24" s="2519"/>
      <c r="AL24" s="2519"/>
      <c r="AM24" s="2519"/>
      <c r="AN24" s="2519"/>
      <c r="AO24" s="2519"/>
      <c r="AP24" s="2519"/>
      <c r="AQ24" s="2519"/>
      <c r="AR24" s="2519"/>
    </row>
    <row r="25" spans="1:67" ht="13.8">
      <c r="A25" s="2751"/>
      <c r="B25" s="2752"/>
      <c r="C25" s="2782"/>
      <c r="D25" s="2783"/>
      <c r="E25" s="2782"/>
      <c r="F25" s="2782"/>
      <c r="G25" s="2782"/>
      <c r="H25" s="2782"/>
      <c r="I25" s="2782"/>
      <c r="J25" s="2782"/>
      <c r="K25" s="2869"/>
      <c r="L25" s="2869">
        <f>L19+L22+L23+L24</f>
        <v>3456.9230769230771</v>
      </c>
      <c r="M25" s="2519"/>
      <c r="N25" s="2519"/>
      <c r="O25" s="2519"/>
      <c r="P25" s="2519"/>
      <c r="Q25" s="2519"/>
      <c r="R25" s="2519"/>
      <c r="S25" s="2519"/>
      <c r="T25" s="2519"/>
      <c r="U25" s="2519"/>
      <c r="V25" s="2519"/>
      <c r="W25" s="2519"/>
      <c r="X25" s="2519"/>
      <c r="Y25" s="2519"/>
      <c r="Z25" s="2519"/>
      <c r="AA25" s="2519"/>
      <c r="AB25" s="2519"/>
      <c r="AC25" s="2519"/>
      <c r="AD25" s="2519"/>
      <c r="AE25" s="2519"/>
      <c r="AF25" s="2519"/>
      <c r="AG25" s="2519"/>
      <c r="AH25" s="2519"/>
      <c r="AI25" s="2519"/>
      <c r="AJ25" s="2519"/>
      <c r="AK25" s="2519"/>
      <c r="AL25" s="2519"/>
      <c r="AM25" s="2519"/>
      <c r="AN25" s="2519"/>
      <c r="AO25" s="2519"/>
      <c r="AP25" s="2519"/>
      <c r="AQ25" s="2519"/>
      <c r="AR25" s="2519"/>
    </row>
    <row r="26" spans="1:67" ht="14.4">
      <c r="A26" s="2747" t="s">
        <v>2536</v>
      </c>
      <c r="B26" s="2794" t="s">
        <v>2537</v>
      </c>
      <c r="C26" s="2795" t="s">
        <v>2538</v>
      </c>
      <c r="D26" s="2783"/>
      <c r="E26" s="2782"/>
      <c r="F26" s="2782"/>
      <c r="G26" s="2782"/>
      <c r="H26" s="2782"/>
      <c r="I26" s="2782"/>
      <c r="J26" s="2782"/>
      <c r="K26" s="2869"/>
      <c r="L26" s="2869"/>
      <c r="M26" s="2519"/>
      <c r="N26" s="2519"/>
      <c r="O26" s="2519"/>
      <c r="P26" s="2519"/>
      <c r="Q26" s="2519"/>
      <c r="R26" s="2519"/>
      <c r="S26" s="2519"/>
      <c r="T26" s="2519"/>
      <c r="U26" s="2519"/>
      <c r="V26" s="2519"/>
      <c r="W26" s="2519"/>
      <c r="X26" s="2519"/>
      <c r="Y26" s="2519"/>
      <c r="Z26" s="2519"/>
      <c r="AA26" s="2519"/>
      <c r="AB26" s="2519"/>
      <c r="AC26" s="2519"/>
      <c r="AD26" s="2519"/>
      <c r="AE26" s="2519"/>
      <c r="AF26" s="2519"/>
      <c r="AG26" s="2519"/>
      <c r="AH26" s="2519"/>
      <c r="AI26" s="2519"/>
      <c r="AJ26" s="2519"/>
      <c r="AK26" s="2519"/>
      <c r="AL26" s="2519"/>
      <c r="AM26" s="2519"/>
      <c r="AN26" s="2519"/>
      <c r="AO26" s="2519"/>
      <c r="AP26" s="2519"/>
      <c r="AQ26" s="2519"/>
      <c r="AR26" s="2519"/>
    </row>
    <row r="27" spans="1:67" s="2738" customFormat="1" ht="28.8">
      <c r="A27" s="2796" t="s">
        <v>2539</v>
      </c>
      <c r="B27" s="2797">
        <v>160</v>
      </c>
      <c r="C27" s="2798" t="s">
        <v>2540</v>
      </c>
      <c r="D27" s="2799"/>
      <c r="E27" s="1590"/>
      <c r="F27" s="1590"/>
      <c r="G27" s="2782"/>
      <c r="H27" s="2782"/>
      <c r="I27" s="2782"/>
      <c r="J27" s="2782"/>
      <c r="K27" s="2869"/>
      <c r="L27" s="2869"/>
      <c r="M27" s="2519"/>
      <c r="N27" s="2519"/>
      <c r="O27" s="2519"/>
      <c r="P27" s="2519"/>
      <c r="Q27" s="2519"/>
      <c r="R27" s="2519"/>
      <c r="S27" s="2519"/>
      <c r="T27" s="2519"/>
      <c r="U27" s="2519"/>
      <c r="V27" s="2519"/>
      <c r="W27" s="2519"/>
      <c r="X27" s="2519"/>
      <c r="Y27" s="2519"/>
      <c r="Z27" s="2519"/>
      <c r="AA27" s="2519"/>
      <c r="AB27" s="2519"/>
      <c r="AC27" s="2519"/>
      <c r="AD27" s="2519"/>
      <c r="AE27" s="2519"/>
      <c r="AF27" s="2519"/>
      <c r="AG27" s="2519"/>
      <c r="AH27" s="2519"/>
      <c r="AI27" s="2519"/>
      <c r="AJ27" s="2519"/>
      <c r="AK27" s="2519"/>
      <c r="AL27" s="2519"/>
      <c r="AM27" s="2519"/>
      <c r="AN27" s="2519"/>
      <c r="AO27" s="2519"/>
      <c r="AP27" s="2519"/>
      <c r="AQ27" s="2519"/>
      <c r="AR27" s="2519"/>
      <c r="AS27" s="2507"/>
      <c r="AT27" s="2507"/>
      <c r="AU27" s="2507"/>
      <c r="AV27" s="2507"/>
      <c r="AW27" s="2507"/>
      <c r="AX27" s="2507"/>
      <c r="AY27" s="2507"/>
      <c r="AZ27" s="2507"/>
      <c r="BA27" s="2507"/>
      <c r="BB27" s="2507"/>
      <c r="BC27" s="2507"/>
      <c r="BD27" s="2507"/>
      <c r="BE27" s="2507"/>
      <c r="BF27" s="2507"/>
      <c r="BG27" s="2507"/>
      <c r="BH27" s="2507"/>
      <c r="BI27" s="2507"/>
      <c r="BJ27" s="2507"/>
      <c r="BK27" s="2507"/>
      <c r="BL27" s="2507"/>
      <c r="BM27" s="2507"/>
      <c r="BN27" s="2507"/>
      <c r="BO27" s="2507"/>
    </row>
    <row r="28" spans="1:67" s="2738" customFormat="1" ht="28.8">
      <c r="A28" s="2800" t="s">
        <v>2541</v>
      </c>
      <c r="B28" s="2801">
        <v>200</v>
      </c>
      <c r="C28" s="2802"/>
      <c r="D28" s="2799"/>
      <c r="E28" s="1590"/>
      <c r="F28" s="1590"/>
      <c r="G28" s="2782"/>
      <c r="H28" s="2782"/>
      <c r="I28" s="2782"/>
      <c r="J28" s="2782"/>
      <c r="K28" s="2869"/>
      <c r="L28" s="2869"/>
      <c r="M28" s="2519"/>
      <c r="N28" s="2519"/>
      <c r="O28" s="2519"/>
      <c r="P28" s="2519"/>
      <c r="Q28" s="2519"/>
      <c r="R28" s="2519"/>
      <c r="S28" s="2519"/>
      <c r="T28" s="2519"/>
      <c r="U28" s="2519"/>
      <c r="V28" s="2519"/>
      <c r="W28" s="2519"/>
      <c r="X28" s="2519"/>
      <c r="Y28" s="2519"/>
      <c r="Z28" s="2519"/>
      <c r="AA28" s="2519"/>
      <c r="AB28" s="2519"/>
      <c r="AC28" s="2519"/>
      <c r="AD28" s="2519"/>
      <c r="AE28" s="2519"/>
      <c r="AF28" s="2519"/>
      <c r="AG28" s="2519"/>
      <c r="AH28" s="2519"/>
      <c r="AI28" s="2519"/>
      <c r="AJ28" s="2519"/>
      <c r="AK28" s="2519"/>
      <c r="AL28" s="2519"/>
      <c r="AM28" s="2519"/>
      <c r="AN28" s="2519"/>
      <c r="AO28" s="2519"/>
      <c r="AP28" s="2519"/>
      <c r="AQ28" s="2519"/>
      <c r="AR28" s="2519"/>
      <c r="AS28" s="2507"/>
      <c r="AT28" s="2507"/>
      <c r="AU28" s="2507"/>
      <c r="AV28" s="2507"/>
      <c r="AW28" s="2507"/>
      <c r="AX28" s="2507"/>
      <c r="AY28" s="2507"/>
      <c r="AZ28" s="2507"/>
      <c r="BA28" s="2507"/>
      <c r="BB28" s="2507"/>
      <c r="BC28" s="2507"/>
      <c r="BD28" s="2507"/>
      <c r="BE28" s="2507"/>
      <c r="BF28" s="2507"/>
      <c r="BG28" s="2507"/>
      <c r="BH28" s="2507"/>
      <c r="BI28" s="2507"/>
      <c r="BJ28" s="2507"/>
      <c r="BK28" s="2507"/>
      <c r="BL28" s="2507"/>
      <c r="BM28" s="2507"/>
      <c r="BN28" s="2507"/>
      <c r="BO28" s="2507"/>
    </row>
    <row r="29" spans="1:67" s="2738" customFormat="1" ht="28.8">
      <c r="A29" s="2803" t="s">
        <v>2542</v>
      </c>
      <c r="B29" s="2804"/>
      <c r="C29" s="2805" t="s">
        <v>2543</v>
      </c>
      <c r="D29" s="2799"/>
      <c r="E29" s="1590"/>
      <c r="F29" s="1590"/>
      <c r="G29" s="2782"/>
      <c r="H29" s="2782"/>
      <c r="I29" s="2782"/>
      <c r="J29" s="2782"/>
      <c r="K29" s="2869"/>
      <c r="L29" s="2869"/>
      <c r="M29" s="2519"/>
      <c r="N29" s="2519"/>
      <c r="O29" s="2519"/>
      <c r="P29" s="2519"/>
      <c r="Q29" s="2519"/>
      <c r="R29" s="2519"/>
      <c r="S29" s="2519"/>
      <c r="T29" s="2519"/>
      <c r="U29" s="2519"/>
      <c r="V29" s="2519"/>
      <c r="W29" s="2519"/>
      <c r="X29" s="2519"/>
      <c r="Y29" s="2519"/>
      <c r="Z29" s="2519"/>
      <c r="AA29" s="2519"/>
      <c r="AB29" s="2519"/>
      <c r="AC29" s="2519"/>
      <c r="AD29" s="2519"/>
      <c r="AE29" s="2519"/>
      <c r="AF29" s="2519"/>
      <c r="AG29" s="2519"/>
      <c r="AH29" s="2519"/>
      <c r="AI29" s="2519"/>
      <c r="AJ29" s="2519"/>
      <c r="AK29" s="2519"/>
      <c r="AL29" s="2519"/>
      <c r="AM29" s="2519"/>
      <c r="AN29" s="2519"/>
      <c r="AO29" s="2519"/>
      <c r="AP29" s="2519"/>
      <c r="AQ29" s="2519"/>
      <c r="AR29" s="2519"/>
      <c r="AS29" s="2507"/>
      <c r="AT29" s="2507"/>
      <c r="AU29" s="2507"/>
      <c r="AV29" s="2507"/>
      <c r="AW29" s="2507"/>
      <c r="AX29" s="2507"/>
      <c r="AY29" s="2507"/>
      <c r="AZ29" s="2507"/>
      <c r="BA29" s="2507"/>
      <c r="BB29" s="2507"/>
      <c r="BC29" s="2507"/>
      <c r="BD29" s="2507"/>
      <c r="BE29" s="2507"/>
      <c r="BF29" s="2507"/>
      <c r="BG29" s="2507"/>
      <c r="BH29" s="2507"/>
      <c r="BI29" s="2507"/>
      <c r="BJ29" s="2507"/>
      <c r="BK29" s="2507"/>
      <c r="BL29" s="2507"/>
      <c r="BM29" s="2507"/>
      <c r="BN29" s="2507"/>
      <c r="BO29" s="2507"/>
    </row>
    <row r="30" spans="1:67" s="2738" customFormat="1" ht="28.8">
      <c r="A30" s="2806" t="s">
        <v>2544</v>
      </c>
      <c r="B30" s="2807">
        <v>200</v>
      </c>
      <c r="C30" s="2802"/>
      <c r="D30" s="2799"/>
      <c r="E30" s="1590"/>
      <c r="F30" s="1590"/>
      <c r="G30" s="2782"/>
      <c r="H30" s="2782"/>
      <c r="I30" s="2782"/>
      <c r="J30" s="2782"/>
      <c r="K30" s="2869"/>
      <c r="L30" s="2869"/>
      <c r="M30" s="2519"/>
      <c r="N30" s="2519"/>
      <c r="O30" s="2519"/>
      <c r="P30" s="2519"/>
      <c r="Q30" s="2519"/>
      <c r="R30" s="2519"/>
      <c r="S30" s="2519"/>
      <c r="T30" s="2519"/>
      <c r="U30" s="2519"/>
      <c r="V30" s="2519"/>
      <c r="W30" s="2519"/>
      <c r="X30" s="2519"/>
      <c r="Y30" s="2519"/>
      <c r="Z30" s="2519"/>
      <c r="AA30" s="2519"/>
      <c r="AB30" s="2519"/>
      <c r="AC30" s="2519"/>
      <c r="AD30" s="2519"/>
      <c r="AE30" s="2519"/>
      <c r="AF30" s="2519"/>
      <c r="AG30" s="2519"/>
      <c r="AH30" s="2519"/>
      <c r="AI30" s="2519"/>
      <c r="AJ30" s="2519"/>
      <c r="AK30" s="2519"/>
      <c r="AL30" s="2519"/>
      <c r="AM30" s="2519"/>
      <c r="AN30" s="2519"/>
      <c r="AO30" s="2519"/>
      <c r="AP30" s="2519"/>
      <c r="AQ30" s="2519"/>
      <c r="AR30" s="2519"/>
      <c r="AS30" s="2507"/>
      <c r="AT30" s="2507"/>
      <c r="AU30" s="2507"/>
      <c r="AV30" s="2507"/>
      <c r="AW30" s="2507"/>
      <c r="AX30" s="2507"/>
      <c r="AY30" s="2507"/>
      <c r="AZ30" s="2507"/>
      <c r="BA30" s="2507"/>
      <c r="BB30" s="2507"/>
      <c r="BC30" s="2507"/>
      <c r="BD30" s="2507"/>
      <c r="BE30" s="2507"/>
      <c r="BF30" s="2507"/>
      <c r="BG30" s="2507"/>
      <c r="BH30" s="2507"/>
      <c r="BI30" s="2507"/>
      <c r="BJ30" s="2507"/>
      <c r="BK30" s="2507"/>
      <c r="BL30" s="2507"/>
      <c r="BM30" s="2507"/>
      <c r="BN30" s="2507"/>
      <c r="BO30" s="2507"/>
    </row>
    <row r="31" spans="1:67" s="2738" customFormat="1" ht="28.8">
      <c r="A31" s="2800" t="s">
        <v>2545</v>
      </c>
      <c r="B31" s="2808">
        <f>B30-B32</f>
        <v>200</v>
      </c>
      <c r="C31" s="2809"/>
      <c r="D31" s="2799"/>
      <c r="E31" s="1590"/>
      <c r="F31" s="1590"/>
      <c r="G31" s="2782"/>
      <c r="H31" s="2782"/>
      <c r="I31" s="2782"/>
      <c r="J31" s="2782"/>
      <c r="K31" s="2869"/>
      <c r="L31" s="2869"/>
      <c r="M31" s="2519"/>
      <c r="N31" s="2519"/>
      <c r="O31" s="2519"/>
      <c r="P31" s="2519"/>
      <c r="Q31" s="2519"/>
      <c r="R31" s="2519"/>
      <c r="S31" s="2519"/>
      <c r="T31" s="2519"/>
      <c r="U31" s="2519"/>
      <c r="V31" s="2519"/>
      <c r="W31" s="2519"/>
      <c r="X31" s="2519"/>
      <c r="Y31" s="2519"/>
      <c r="Z31" s="2519"/>
      <c r="AA31" s="2519"/>
      <c r="AB31" s="2519"/>
      <c r="AC31" s="2519"/>
      <c r="AD31" s="2519"/>
      <c r="AE31" s="2519"/>
      <c r="AF31" s="2519"/>
      <c r="AG31" s="2519"/>
      <c r="AH31" s="2519"/>
      <c r="AI31" s="2519"/>
      <c r="AJ31" s="2519"/>
      <c r="AK31" s="2519"/>
      <c r="AL31" s="2519"/>
      <c r="AM31" s="2519"/>
      <c r="AN31" s="2519"/>
      <c r="AO31" s="2519"/>
      <c r="AP31" s="2519"/>
      <c r="AQ31" s="2519"/>
      <c r="AR31" s="2519"/>
      <c r="AS31" s="2507"/>
      <c r="AT31" s="2507"/>
      <c r="AU31" s="2507"/>
      <c r="AV31" s="2507"/>
      <c r="AW31" s="2507"/>
      <c r="AX31" s="2507"/>
      <c r="AY31" s="2507"/>
      <c r="AZ31" s="2507"/>
      <c r="BA31" s="2507"/>
      <c r="BB31" s="2507"/>
      <c r="BC31" s="2507"/>
      <c r="BD31" s="2507"/>
      <c r="BE31" s="2507"/>
      <c r="BF31" s="2507"/>
      <c r="BG31" s="2507"/>
      <c r="BH31" s="2507"/>
      <c r="BI31" s="2507"/>
      <c r="BJ31" s="2507"/>
      <c r="BK31" s="2507"/>
      <c r="BL31" s="2507"/>
      <c r="BM31" s="2507"/>
      <c r="BN31" s="2507"/>
      <c r="BO31" s="2507"/>
    </row>
    <row r="32" spans="1:67" s="2738" customFormat="1" ht="28.8">
      <c r="A32" s="2810" t="s">
        <v>2546</v>
      </c>
      <c r="B32" s="2811">
        <v>0</v>
      </c>
      <c r="C32" s="2802"/>
      <c r="D32" s="2783"/>
      <c r="E32" s="2782"/>
      <c r="F32" s="2782"/>
      <c r="G32" s="2782"/>
      <c r="H32" s="2782"/>
      <c r="I32" s="2782"/>
      <c r="J32" s="2782"/>
      <c r="K32" s="2869"/>
      <c r="L32" s="2869"/>
      <c r="M32" s="2519"/>
      <c r="N32" s="2519"/>
      <c r="O32" s="2519"/>
      <c r="P32" s="2519"/>
      <c r="Q32" s="2519"/>
      <c r="R32" s="2519"/>
      <c r="S32" s="2519"/>
      <c r="T32" s="2519"/>
      <c r="U32" s="2519"/>
      <c r="V32" s="2519"/>
      <c r="W32" s="2519"/>
      <c r="X32" s="2519"/>
      <c r="Y32" s="2519"/>
      <c r="Z32" s="2519"/>
      <c r="AA32" s="2519"/>
      <c r="AB32" s="2519"/>
      <c r="AC32" s="2519"/>
      <c r="AD32" s="2519"/>
      <c r="AE32" s="2519"/>
      <c r="AF32" s="2519"/>
      <c r="AG32" s="2519"/>
      <c r="AH32" s="2519"/>
      <c r="AI32" s="2519"/>
      <c r="AJ32" s="2519"/>
      <c r="AK32" s="2519"/>
      <c r="AL32" s="2519"/>
      <c r="AM32" s="2519"/>
      <c r="AN32" s="2519"/>
      <c r="AO32" s="2519"/>
      <c r="AP32" s="2519"/>
      <c r="AQ32" s="2519"/>
      <c r="AR32" s="2519"/>
      <c r="AS32" s="2507"/>
      <c r="AT32" s="2507"/>
      <c r="AU32" s="2507"/>
      <c r="AV32" s="2507"/>
      <c r="AW32" s="2507"/>
      <c r="AX32" s="2507"/>
      <c r="AY32" s="2507"/>
      <c r="AZ32" s="2507"/>
      <c r="BA32" s="2507"/>
      <c r="BB32" s="2507"/>
      <c r="BC32" s="2507"/>
      <c r="BD32" s="2507"/>
      <c r="BE32" s="2507"/>
      <c r="BF32" s="2507"/>
      <c r="BG32" s="2507"/>
      <c r="BH32" s="2507"/>
      <c r="BI32" s="2507"/>
      <c r="BJ32" s="2507"/>
      <c r="BK32" s="2507"/>
      <c r="BL32" s="2507"/>
      <c r="BM32" s="2507"/>
      <c r="BN32" s="2507"/>
      <c r="BO32" s="2507"/>
    </row>
    <row r="33" spans="1:67" s="2738" customFormat="1" ht="14.4">
      <c r="A33" s="2796" t="s">
        <v>2547</v>
      </c>
      <c r="B33" s="2812">
        <v>0.05</v>
      </c>
      <c r="C33" s="2813" t="s">
        <v>2548</v>
      </c>
      <c r="D33" s="2783"/>
      <c r="E33" s="2782"/>
      <c r="F33" s="2782"/>
      <c r="G33" s="2782"/>
      <c r="H33" s="2782"/>
      <c r="I33" s="2782"/>
      <c r="J33" s="2782"/>
      <c r="K33" s="2869"/>
      <c r="L33" s="2869"/>
      <c r="M33" s="2519"/>
      <c r="N33" s="2519"/>
      <c r="O33" s="2519"/>
      <c r="P33" s="2519"/>
      <c r="Q33" s="2519"/>
      <c r="R33" s="2519"/>
      <c r="S33" s="2519"/>
      <c r="T33" s="2519"/>
      <c r="U33" s="2519"/>
      <c r="V33" s="2519"/>
      <c r="W33" s="2519"/>
      <c r="X33" s="2519"/>
      <c r="Y33" s="2519"/>
      <c r="Z33" s="2519"/>
      <c r="AA33" s="2519"/>
      <c r="AB33" s="2519"/>
      <c r="AC33" s="2519"/>
      <c r="AD33" s="2519"/>
      <c r="AE33" s="2519"/>
      <c r="AF33" s="2519"/>
      <c r="AG33" s="2519"/>
      <c r="AH33" s="2519"/>
      <c r="AI33" s="2519"/>
      <c r="AJ33" s="2519"/>
      <c r="AK33" s="2519"/>
      <c r="AL33" s="2519"/>
      <c r="AM33" s="2519"/>
      <c r="AN33" s="2519"/>
      <c r="AO33" s="2519"/>
      <c r="AP33" s="2519"/>
      <c r="AQ33" s="2519"/>
      <c r="AR33" s="2519"/>
      <c r="AS33" s="2507"/>
      <c r="AT33" s="2507"/>
      <c r="AU33" s="2507"/>
      <c r="AV33" s="2507"/>
      <c r="AW33" s="2507"/>
      <c r="AX33" s="2507"/>
      <c r="AY33" s="2507"/>
      <c r="AZ33" s="2507"/>
      <c r="BA33" s="2507"/>
      <c r="BB33" s="2507"/>
      <c r="BC33" s="2507"/>
      <c r="BD33" s="2507"/>
      <c r="BE33" s="2507"/>
      <c r="BF33" s="2507"/>
      <c r="BG33" s="2507"/>
      <c r="BH33" s="2507"/>
      <c r="BI33" s="2507"/>
      <c r="BJ33" s="2507"/>
      <c r="BK33" s="2507"/>
      <c r="BL33" s="2507"/>
      <c r="BM33" s="2507"/>
      <c r="BN33" s="2507"/>
      <c r="BO33" s="2507"/>
    </row>
    <row r="34" spans="1:67" s="2738" customFormat="1" ht="14.4">
      <c r="A34" s="2800" t="s">
        <v>2549</v>
      </c>
      <c r="B34" s="2814">
        <v>0</v>
      </c>
      <c r="C34" s="2813" t="s">
        <v>2550</v>
      </c>
      <c r="D34" s="2815" t="s">
        <v>2551</v>
      </c>
      <c r="E34" s="2779"/>
      <c r="F34" s="2782"/>
      <c r="G34" s="2782"/>
      <c r="H34" s="2782"/>
      <c r="I34" s="2782"/>
      <c r="J34" s="2782"/>
      <c r="K34" s="2869"/>
      <c r="L34" s="2869"/>
      <c r="M34" s="2519"/>
      <c r="N34" s="2519"/>
      <c r="O34" s="2519"/>
      <c r="P34" s="2519"/>
      <c r="Q34" s="2519"/>
      <c r="R34" s="2519"/>
      <c r="S34" s="2519"/>
      <c r="T34" s="2519"/>
      <c r="U34" s="2519"/>
      <c r="V34" s="2519"/>
      <c r="W34" s="2519"/>
      <c r="X34" s="2519"/>
      <c r="Y34" s="2519"/>
      <c r="Z34" s="2519"/>
      <c r="AA34" s="2519"/>
      <c r="AB34" s="2519"/>
      <c r="AC34" s="2519"/>
      <c r="AD34" s="2519"/>
      <c r="AE34" s="2519"/>
      <c r="AF34" s="2519"/>
      <c r="AG34" s="2519"/>
      <c r="AH34" s="2519"/>
      <c r="AI34" s="2519"/>
      <c r="AJ34" s="2519"/>
      <c r="AK34" s="2519"/>
      <c r="AL34" s="2519"/>
      <c r="AM34" s="2519"/>
      <c r="AN34" s="2519"/>
      <c r="AO34" s="2519"/>
      <c r="AP34" s="2519"/>
      <c r="AQ34" s="2519"/>
      <c r="AR34" s="2519"/>
      <c r="AS34" s="2507"/>
      <c r="AT34" s="2507"/>
      <c r="AU34" s="2507"/>
      <c r="AV34" s="2507"/>
      <c r="AW34" s="2507"/>
      <c r="AX34" s="2507"/>
      <c r="AY34" s="2507"/>
      <c r="AZ34" s="2507"/>
      <c r="BA34" s="2507"/>
      <c r="BB34" s="2507"/>
      <c r="BC34" s="2507"/>
      <c r="BD34" s="2507"/>
      <c r="BE34" s="2507"/>
      <c r="BF34" s="2507"/>
      <c r="BG34" s="2507"/>
      <c r="BH34" s="2507"/>
      <c r="BI34" s="2507"/>
      <c r="BJ34" s="2507"/>
      <c r="BK34" s="2507"/>
      <c r="BL34" s="2507"/>
      <c r="BM34" s="2507"/>
      <c r="BN34" s="2507"/>
      <c r="BO34" s="2507"/>
    </row>
    <row r="35" spans="1:67" s="2738" customFormat="1" ht="14.4">
      <c r="A35" s="2800" t="s">
        <v>2552</v>
      </c>
      <c r="B35" s="2801">
        <v>200</v>
      </c>
      <c r="C35" s="2813" t="s">
        <v>2553</v>
      </c>
      <c r="D35" s="2799"/>
      <c r="E35" s="1590"/>
      <c r="F35" s="1590"/>
      <c r="G35" s="2782"/>
      <c r="H35" s="2782"/>
      <c r="I35" s="2782"/>
      <c r="J35" s="2782"/>
      <c r="K35" s="2869"/>
      <c r="L35" s="2869"/>
      <c r="M35" s="2519"/>
      <c r="N35" s="2519"/>
      <c r="O35" s="2519"/>
      <c r="P35" s="2519"/>
      <c r="Q35" s="2519"/>
      <c r="R35" s="2519"/>
      <c r="S35" s="2519"/>
      <c r="T35" s="2519"/>
      <c r="U35" s="2519"/>
      <c r="V35" s="2519"/>
      <c r="W35" s="2519"/>
      <c r="X35" s="2519"/>
      <c r="Y35" s="2519"/>
      <c r="Z35" s="2519"/>
      <c r="AA35" s="2519"/>
      <c r="AB35" s="2519"/>
      <c r="AC35" s="2519"/>
      <c r="AD35" s="2519"/>
      <c r="AE35" s="2519"/>
      <c r="AF35" s="2519"/>
      <c r="AG35" s="2519"/>
      <c r="AH35" s="2519"/>
      <c r="AI35" s="2519"/>
      <c r="AJ35" s="2519"/>
      <c r="AK35" s="2519"/>
      <c r="AL35" s="2519"/>
      <c r="AM35" s="2519"/>
      <c r="AN35" s="2519"/>
      <c r="AO35" s="2519"/>
      <c r="AP35" s="2519"/>
      <c r="AQ35" s="2519"/>
      <c r="AR35" s="2519"/>
      <c r="AS35" s="2507"/>
      <c r="AT35" s="2507"/>
      <c r="AU35" s="2507"/>
      <c r="AV35" s="2507"/>
      <c r="AW35" s="2507"/>
      <c r="AX35" s="2507"/>
      <c r="AY35" s="2507"/>
      <c r="AZ35" s="2507"/>
      <c r="BA35" s="2507"/>
      <c r="BB35" s="2507"/>
      <c r="BC35" s="2507"/>
      <c r="BD35" s="2507"/>
      <c r="BE35" s="2507"/>
      <c r="BF35" s="2507"/>
      <c r="BG35" s="2507"/>
      <c r="BH35" s="2507"/>
      <c r="BI35" s="2507"/>
      <c r="BJ35" s="2507"/>
      <c r="BK35" s="2507"/>
      <c r="BL35" s="2507"/>
      <c r="BM35" s="2507"/>
      <c r="BN35" s="2507"/>
      <c r="BO35" s="2507"/>
    </row>
    <row r="36" spans="1:67" ht="14.4">
      <c r="A36" s="2803" t="s">
        <v>2554</v>
      </c>
      <c r="B36" s="2816">
        <v>1.4999999999999999E-2</v>
      </c>
      <c r="C36" s="2813" t="s">
        <v>2555</v>
      </c>
      <c r="D36" s="2783"/>
      <c r="E36" s="2782"/>
      <c r="F36" s="2782"/>
      <c r="G36" s="2782"/>
      <c r="H36" s="2782"/>
      <c r="I36" s="2782"/>
      <c r="J36" s="2782"/>
      <c r="K36" s="2869"/>
      <c r="L36" s="2869"/>
      <c r="M36" s="2519"/>
      <c r="N36" s="2519"/>
      <c r="O36" s="2519"/>
      <c r="P36" s="2519"/>
      <c r="Q36" s="2519"/>
      <c r="R36" s="2519"/>
      <c r="S36" s="2519"/>
      <c r="T36" s="2519"/>
      <c r="U36" s="2519"/>
      <c r="V36" s="2519"/>
      <c r="W36" s="2519"/>
      <c r="X36" s="2519"/>
      <c r="Y36" s="2519"/>
      <c r="Z36" s="2519"/>
      <c r="AA36" s="2519"/>
      <c r="AB36" s="2519"/>
      <c r="AC36" s="2519"/>
      <c r="AD36" s="2519"/>
      <c r="AE36" s="2519"/>
      <c r="AF36" s="2519"/>
      <c r="AG36" s="2519"/>
      <c r="AH36" s="2519"/>
      <c r="AI36" s="2519"/>
      <c r="AJ36" s="2519"/>
      <c r="AK36" s="2519"/>
      <c r="AL36" s="2519"/>
      <c r="AM36" s="2519"/>
      <c r="AN36" s="2519"/>
      <c r="AO36" s="2519"/>
      <c r="AP36" s="2519"/>
      <c r="AQ36" s="2519"/>
      <c r="AR36" s="2519"/>
    </row>
    <row r="37" spans="1:67" ht="14.4">
      <c r="A37" s="2806" t="s">
        <v>2556</v>
      </c>
      <c r="B37" s="2817">
        <v>0.02</v>
      </c>
      <c r="C37" s="2813" t="s">
        <v>2557</v>
      </c>
      <c r="D37" s="2783"/>
      <c r="E37" s="2782"/>
      <c r="F37" s="2782"/>
      <c r="G37" s="2782"/>
      <c r="H37" s="2782"/>
      <c r="I37" s="2782"/>
      <c r="J37" s="2782"/>
      <c r="K37" s="2869"/>
      <c r="L37" s="2869"/>
      <c r="M37" s="2519"/>
      <c r="N37" s="2519"/>
      <c r="O37" s="2519"/>
      <c r="P37" s="2519"/>
      <c r="Q37" s="2519"/>
      <c r="R37" s="2519"/>
      <c r="S37" s="2519"/>
      <c r="T37" s="2519"/>
      <c r="U37" s="2519"/>
      <c r="V37" s="2519"/>
      <c r="W37" s="2519"/>
      <c r="X37" s="2519"/>
      <c r="Y37" s="2519"/>
      <c r="Z37" s="2519"/>
      <c r="AA37" s="2519"/>
      <c r="AB37" s="2519"/>
      <c r="AC37" s="2519"/>
      <c r="AD37" s="2519"/>
      <c r="AE37" s="2519"/>
      <c r="AF37" s="2519"/>
      <c r="AG37" s="2519"/>
      <c r="AH37" s="2519"/>
      <c r="AI37" s="2519"/>
      <c r="AJ37" s="2519"/>
      <c r="AK37" s="2519"/>
      <c r="AL37" s="2519"/>
      <c r="AM37" s="2519"/>
      <c r="AN37" s="2519"/>
      <c r="AO37" s="2519"/>
      <c r="AP37" s="2519"/>
      <c r="AQ37" s="2519"/>
      <c r="AR37" s="2519"/>
    </row>
    <row r="38" spans="1:67" ht="14.4">
      <c r="A38" s="2800" t="s">
        <v>2558</v>
      </c>
      <c r="B38" s="2814">
        <v>0.02</v>
      </c>
      <c r="C38" s="2813" t="s">
        <v>2557</v>
      </c>
      <c r="D38" s="2783"/>
      <c r="E38" s="2782"/>
      <c r="F38" s="2782"/>
      <c r="G38" s="2782"/>
      <c r="H38" s="2782"/>
      <c r="I38" s="2782"/>
      <c r="J38" s="2782"/>
      <c r="K38" s="2869"/>
      <c r="L38" s="2869"/>
      <c r="M38" s="2519"/>
      <c r="N38" s="2519"/>
      <c r="O38" s="2519"/>
      <c r="P38" s="2519"/>
      <c r="Q38" s="2519"/>
      <c r="R38" s="2519"/>
      <c r="S38" s="2519"/>
      <c r="T38" s="2519"/>
      <c r="U38" s="2519"/>
      <c r="V38" s="2519"/>
      <c r="W38" s="2519"/>
      <c r="X38" s="2519"/>
      <c r="Y38" s="2519"/>
      <c r="Z38" s="2519"/>
      <c r="AA38" s="2519"/>
      <c r="AB38" s="2519"/>
      <c r="AC38" s="2519"/>
      <c r="AD38" s="2519"/>
      <c r="AE38" s="2519"/>
      <c r="AF38" s="2519"/>
      <c r="AG38" s="2519"/>
      <c r="AH38" s="2519"/>
      <c r="AI38" s="2519"/>
      <c r="AJ38" s="2519"/>
      <c r="AK38" s="2519"/>
      <c r="AL38" s="2519"/>
      <c r="AM38" s="2519"/>
      <c r="AN38" s="2519"/>
      <c r="AO38" s="2519"/>
      <c r="AP38" s="2519"/>
      <c r="AQ38" s="2519"/>
      <c r="AR38" s="2519"/>
    </row>
    <row r="39" spans="1:67" ht="14.4">
      <c r="A39" s="2810" t="s">
        <v>2559</v>
      </c>
      <c r="B39" s="2818">
        <f ca="1">存贷款利率!I1</f>
        <v>1.4999999999999999E-2</v>
      </c>
      <c r="C39" s="2819"/>
      <c r="D39" s="2783"/>
      <c r="E39" s="2782"/>
      <c r="F39" s="2782"/>
      <c r="G39" s="2782"/>
      <c r="H39" s="2782"/>
      <c r="I39" s="2782"/>
      <c r="J39" s="2782"/>
      <c r="K39" s="2869"/>
      <c r="L39" s="2869"/>
      <c r="M39" s="2519"/>
      <c r="N39" s="2519"/>
      <c r="O39" s="2519"/>
      <c r="P39" s="2519"/>
      <c r="Q39" s="2519"/>
      <c r="R39" s="2519"/>
      <c r="S39" s="2519"/>
      <c r="T39" s="2519"/>
      <c r="U39" s="2519"/>
      <c r="V39" s="2519"/>
      <c r="W39" s="2519"/>
      <c r="X39" s="2519"/>
      <c r="Y39" s="2519"/>
      <c r="Z39" s="2519"/>
      <c r="AA39" s="2519"/>
      <c r="AB39" s="2519"/>
      <c r="AC39" s="2519"/>
      <c r="AD39" s="2519"/>
      <c r="AE39" s="2519"/>
      <c r="AF39" s="2519"/>
      <c r="AG39" s="2519"/>
      <c r="AH39" s="2519"/>
      <c r="AI39" s="2519"/>
      <c r="AJ39" s="2519"/>
      <c r="AK39" s="2519"/>
      <c r="AL39" s="2519"/>
      <c r="AM39" s="2519"/>
      <c r="AN39" s="2519"/>
      <c r="AO39" s="2519"/>
      <c r="AP39" s="2519"/>
      <c r="AQ39" s="2519"/>
      <c r="AR39" s="2519"/>
    </row>
    <row r="40" spans="1:67" ht="13.8">
      <c r="A40" s="2820" t="s">
        <v>2560</v>
      </c>
      <c r="B40" s="2821">
        <f ca="1">IF(A40="利息：取LPR",存贷款利率!G1,存贷款利率!G1+C40)</f>
        <v>3.4500000000000003E-2</v>
      </c>
      <c r="C40" s="2822">
        <v>5.0000000000000001E-3</v>
      </c>
      <c r="D40" s="2519"/>
      <c r="E40" s="2783"/>
      <c r="F40" s="2782"/>
      <c r="G40" s="2782"/>
      <c r="H40" s="2782"/>
      <c r="I40" s="2782"/>
      <c r="J40" s="2782"/>
      <c r="K40" s="2869"/>
      <c r="L40" s="2869"/>
      <c r="M40" s="2519"/>
      <c r="N40" s="2519"/>
      <c r="O40" s="2519"/>
      <c r="P40" s="2519"/>
      <c r="Q40" s="2519"/>
      <c r="R40" s="2519"/>
      <c r="S40" s="2519"/>
      <c r="T40" s="2519"/>
      <c r="U40" s="2519"/>
      <c r="V40" s="2519"/>
      <c r="W40" s="2519"/>
      <c r="X40" s="2519"/>
      <c r="Y40" s="2519"/>
      <c r="Z40" s="2519"/>
      <c r="AA40" s="2519"/>
      <c r="AB40" s="2519"/>
      <c r="AC40" s="2519"/>
      <c r="AD40" s="2519"/>
      <c r="AE40" s="2519"/>
      <c r="AF40" s="2519"/>
      <c r="AG40" s="2519"/>
      <c r="AH40" s="2519"/>
      <c r="AI40" s="2519"/>
      <c r="AJ40" s="2519"/>
      <c r="AK40" s="2519"/>
      <c r="AL40" s="2519"/>
      <c r="AM40" s="2519"/>
      <c r="AN40" s="2519"/>
      <c r="AO40" s="2519"/>
      <c r="AP40" s="2519"/>
      <c r="AQ40" s="2519"/>
      <c r="AR40" s="2519"/>
    </row>
    <row r="41" spans="1:67" ht="14.4">
      <c r="A41" s="2796" t="s">
        <v>2561</v>
      </c>
      <c r="B41" s="2823">
        <f>B42+B43</f>
        <v>5.6000000000000001E-2</v>
      </c>
      <c r="C41" s="2809"/>
      <c r="D41" s="2519"/>
      <c r="E41" s="2783"/>
      <c r="F41" s="2782"/>
      <c r="G41" s="2782"/>
      <c r="H41" s="2782"/>
      <c r="I41" s="2782"/>
      <c r="J41" s="2782"/>
      <c r="K41" s="2869"/>
      <c r="L41" s="2869"/>
      <c r="M41" s="2519"/>
      <c r="N41" s="2519"/>
      <c r="O41" s="2519"/>
      <c r="P41" s="2519"/>
      <c r="Q41" s="2519"/>
      <c r="R41" s="2519"/>
      <c r="S41" s="2519"/>
      <c r="T41" s="2519"/>
      <c r="U41" s="2519"/>
      <c r="V41" s="2519"/>
      <c r="W41" s="2519"/>
      <c r="X41" s="2519"/>
      <c r="Y41" s="2519"/>
      <c r="Z41" s="2519"/>
      <c r="AA41" s="2519"/>
      <c r="AB41" s="2519"/>
      <c r="AC41" s="2519"/>
      <c r="AD41" s="2519"/>
      <c r="AE41" s="2519"/>
      <c r="AF41" s="2519"/>
      <c r="AG41" s="2519"/>
      <c r="AH41" s="2519"/>
      <c r="AI41" s="2519"/>
      <c r="AJ41" s="2519"/>
      <c r="AK41" s="2519"/>
      <c r="AL41" s="2519"/>
      <c r="AM41" s="2519"/>
      <c r="AN41" s="2519"/>
      <c r="AO41" s="2519"/>
      <c r="AP41" s="2519"/>
      <c r="AQ41" s="2519"/>
      <c r="AR41" s="2519"/>
    </row>
    <row r="42" spans="1:67" ht="14.4">
      <c r="A42" s="2824" t="s">
        <v>2562</v>
      </c>
      <c r="B42" s="2825">
        <v>0.05</v>
      </c>
      <c r="C42" s="2826">
        <f>IF(B2&lt;DATE(2016,5,1),0,B42)</f>
        <v>0.05</v>
      </c>
      <c r="D42" s="2783"/>
      <c r="E42" s="2782"/>
      <c r="F42" s="2782"/>
      <c r="G42" s="2782"/>
      <c r="H42" s="2782"/>
      <c r="I42" s="2782"/>
      <c r="J42" s="2782"/>
      <c r="K42" s="2869"/>
      <c r="L42" s="2869"/>
      <c r="M42" s="2519"/>
      <c r="N42" s="2519"/>
      <c r="O42" s="2519"/>
      <c r="P42" s="2519"/>
      <c r="Q42" s="2519"/>
      <c r="R42" s="2519"/>
      <c r="S42" s="2519"/>
      <c r="T42" s="2519"/>
      <c r="U42" s="2519"/>
      <c r="V42" s="2519"/>
      <c r="W42" s="2519"/>
      <c r="X42" s="2519"/>
      <c r="Y42" s="2519"/>
      <c r="Z42" s="2519"/>
      <c r="AA42" s="2519"/>
      <c r="AB42" s="2519"/>
      <c r="AC42" s="2519"/>
      <c r="AD42" s="2519"/>
      <c r="AE42" s="2519"/>
      <c r="AF42" s="2519"/>
      <c r="AG42" s="2519"/>
      <c r="AH42" s="2519"/>
      <c r="AI42" s="2519"/>
      <c r="AJ42" s="2519"/>
      <c r="AK42" s="2519"/>
      <c r="AL42" s="2519"/>
      <c r="AM42" s="2519"/>
      <c r="AN42" s="2519"/>
      <c r="AO42" s="2519"/>
      <c r="AP42" s="2519"/>
      <c r="AQ42" s="2519"/>
      <c r="AR42" s="2519"/>
    </row>
    <row r="43" spans="1:67" ht="14.4">
      <c r="A43" s="2824" t="s">
        <v>2563</v>
      </c>
      <c r="B43" s="2827">
        <f>B42*(B44+B45+B46)+B47</f>
        <v>6.0000000000000001E-3</v>
      </c>
      <c r="C43" s="2809"/>
      <c r="D43" s="2783"/>
      <c r="E43" s="2782"/>
      <c r="F43" s="2782"/>
      <c r="G43" s="2782"/>
      <c r="H43" s="2782"/>
      <c r="I43" s="2782"/>
      <c r="J43" s="2782"/>
      <c r="K43" s="2869"/>
      <c r="L43" s="2869"/>
      <c r="M43" s="2519"/>
      <c r="N43" s="2519"/>
      <c r="O43" s="2519"/>
      <c r="P43" s="2519"/>
      <c r="Q43" s="2519"/>
      <c r="R43" s="2519"/>
      <c r="S43" s="2519"/>
      <c r="T43" s="2519"/>
      <c r="U43" s="2519"/>
      <c r="V43" s="2519"/>
      <c r="W43" s="2519"/>
      <c r="X43" s="2519"/>
      <c r="Y43" s="2519"/>
      <c r="Z43" s="2519"/>
      <c r="AA43" s="2519"/>
      <c r="AB43" s="2519"/>
      <c r="AC43" s="2519"/>
      <c r="AD43" s="2519"/>
      <c r="AE43" s="2519"/>
      <c r="AF43" s="2519"/>
      <c r="AG43" s="2519"/>
      <c r="AH43" s="2519"/>
      <c r="AI43" s="2519"/>
      <c r="AJ43" s="2519"/>
      <c r="AK43" s="2519"/>
      <c r="AL43" s="2519"/>
      <c r="AM43" s="2519"/>
      <c r="AN43" s="2519"/>
      <c r="AO43" s="2519"/>
      <c r="AP43" s="2519"/>
      <c r="AQ43" s="2519"/>
      <c r="AR43" s="2519"/>
    </row>
    <row r="44" spans="1:67" ht="14.4">
      <c r="A44" s="2828" t="s">
        <v>2564</v>
      </c>
      <c r="B44" s="2829">
        <v>7.0000000000000007E-2</v>
      </c>
      <c r="C44" s="2813" t="s">
        <v>2565</v>
      </c>
      <c r="D44" s="2783"/>
      <c r="E44" s="2782"/>
      <c r="F44" s="2782"/>
      <c r="G44" s="2782"/>
      <c r="H44" s="2782"/>
      <c r="I44" s="2782"/>
      <c r="J44" s="2782"/>
      <c r="K44" s="2869"/>
      <c r="L44" s="2869"/>
      <c r="M44" s="2519"/>
      <c r="N44" s="2519"/>
      <c r="O44" s="2519"/>
      <c r="P44" s="2519"/>
      <c r="Q44" s="2519"/>
      <c r="R44" s="2519"/>
      <c r="S44" s="2519"/>
      <c r="T44" s="2519"/>
      <c r="U44" s="2519"/>
      <c r="V44" s="2519"/>
      <c r="W44" s="2519"/>
      <c r="X44" s="2519"/>
      <c r="Y44" s="2519"/>
      <c r="Z44" s="2519"/>
      <c r="AA44" s="2519"/>
      <c r="AB44" s="2519"/>
      <c r="AC44" s="2519"/>
      <c r="AD44" s="2519"/>
      <c r="AE44" s="2519"/>
      <c r="AF44" s="2519"/>
      <c r="AG44" s="2519"/>
      <c r="AH44" s="2519"/>
      <c r="AI44" s="2519"/>
      <c r="AJ44" s="2519"/>
      <c r="AK44" s="2519"/>
      <c r="AL44" s="2519"/>
      <c r="AM44" s="2519"/>
      <c r="AN44" s="2519"/>
      <c r="AO44" s="2519"/>
      <c r="AP44" s="2519"/>
      <c r="AQ44" s="2519"/>
      <c r="AR44" s="2519"/>
    </row>
    <row r="45" spans="1:67" ht="14.4">
      <c r="A45" s="2828" t="s">
        <v>2566</v>
      </c>
      <c r="B45" s="2825">
        <v>0.03</v>
      </c>
      <c r="C45" s="2805" t="s">
        <v>2567</v>
      </c>
      <c r="D45" s="2783"/>
      <c r="E45" s="2782"/>
      <c r="F45" s="2782"/>
      <c r="G45" s="2782"/>
      <c r="H45" s="2782"/>
      <c r="I45" s="2782"/>
      <c r="J45" s="2782"/>
      <c r="K45" s="2869"/>
      <c r="L45" s="2869"/>
      <c r="M45" s="2519"/>
      <c r="N45" s="2519"/>
      <c r="O45" s="2519"/>
      <c r="P45" s="2519"/>
      <c r="Q45" s="2519"/>
      <c r="R45" s="2519"/>
      <c r="S45" s="2519"/>
      <c r="T45" s="2519"/>
      <c r="U45" s="2519"/>
      <c r="V45" s="2519"/>
      <c r="W45" s="2519"/>
      <c r="X45" s="2519"/>
      <c r="Y45" s="2519"/>
      <c r="Z45" s="2519"/>
      <c r="AA45" s="2519"/>
      <c r="AB45" s="2519"/>
      <c r="AC45" s="2519"/>
      <c r="AD45" s="2519"/>
      <c r="AE45" s="2519"/>
      <c r="AF45" s="2519"/>
      <c r="AG45" s="2519"/>
      <c r="AH45" s="2519"/>
      <c r="AI45" s="2519"/>
      <c r="AJ45" s="2519"/>
      <c r="AK45" s="2519"/>
      <c r="AL45" s="2519"/>
      <c r="AM45" s="2519"/>
      <c r="AN45" s="2519"/>
      <c r="AO45" s="2519"/>
      <c r="AP45" s="2519"/>
      <c r="AQ45" s="2519"/>
      <c r="AR45" s="2519"/>
    </row>
    <row r="46" spans="1:67" ht="14.4">
      <c r="A46" s="2828" t="s">
        <v>2568</v>
      </c>
      <c r="B46" s="2825">
        <v>0.02</v>
      </c>
      <c r="C46" s="2805" t="s">
        <v>2569</v>
      </c>
      <c r="D46" s="2783"/>
      <c r="E46" s="2782"/>
      <c r="F46" s="2782"/>
      <c r="G46" s="2782"/>
      <c r="H46" s="2782"/>
      <c r="I46" s="2782"/>
      <c r="J46" s="2782"/>
      <c r="K46" s="2869"/>
      <c r="L46" s="2869"/>
      <c r="M46" s="2519"/>
      <c r="N46" s="2519"/>
      <c r="O46" s="2519"/>
      <c r="P46" s="2519"/>
      <c r="Q46" s="2519"/>
      <c r="R46" s="2519"/>
      <c r="S46" s="2519"/>
      <c r="T46" s="2519"/>
      <c r="U46" s="2519"/>
      <c r="V46" s="2519"/>
      <c r="W46" s="2519"/>
      <c r="X46" s="2519"/>
      <c r="Y46" s="2519"/>
      <c r="Z46" s="2519"/>
      <c r="AA46" s="2519"/>
      <c r="AB46" s="2519"/>
      <c r="AC46" s="2519"/>
      <c r="AD46" s="2519"/>
      <c r="AE46" s="2519"/>
      <c r="AF46" s="2519"/>
      <c r="AG46" s="2519"/>
      <c r="AH46" s="2519"/>
      <c r="AI46" s="2519"/>
      <c r="AJ46" s="2519"/>
      <c r="AK46" s="2519"/>
      <c r="AL46" s="2519"/>
      <c r="AM46" s="2519"/>
      <c r="AN46" s="2519"/>
      <c r="AO46" s="2519"/>
      <c r="AP46" s="2519"/>
      <c r="AQ46" s="2519"/>
      <c r="AR46" s="2519"/>
    </row>
    <row r="47" spans="1:67" ht="14.4">
      <c r="A47" s="2830" t="s">
        <v>2570</v>
      </c>
      <c r="B47" s="2831"/>
      <c r="C47" s="2832" t="s">
        <v>2571</v>
      </c>
      <c r="D47" s="2783"/>
      <c r="E47" s="2782"/>
      <c r="F47" s="2782"/>
      <c r="G47" s="2782"/>
      <c r="H47" s="2782"/>
      <c r="I47" s="2782"/>
      <c r="J47" s="2782"/>
      <c r="K47" s="2869"/>
      <c r="L47" s="2869"/>
      <c r="M47" s="2519"/>
      <c r="N47" s="2519"/>
      <c r="O47" s="2519"/>
      <c r="P47" s="2519"/>
      <c r="Q47" s="2519"/>
      <c r="R47" s="2519"/>
      <c r="S47" s="2519"/>
      <c r="T47" s="2519"/>
      <c r="U47" s="2519"/>
      <c r="V47" s="2519"/>
      <c r="W47" s="2519"/>
      <c r="X47" s="2519"/>
      <c r="Y47" s="2519"/>
      <c r="Z47" s="2519"/>
      <c r="AA47" s="2519"/>
      <c r="AB47" s="2519"/>
      <c r="AC47" s="2519"/>
      <c r="AD47" s="2519"/>
      <c r="AE47" s="2519"/>
      <c r="AF47" s="2519"/>
      <c r="AG47" s="2519"/>
      <c r="AH47" s="2519"/>
      <c r="AI47" s="2519"/>
      <c r="AJ47" s="2519"/>
      <c r="AK47" s="2519"/>
      <c r="AL47" s="2519"/>
      <c r="AM47" s="2519"/>
      <c r="AN47" s="2519"/>
      <c r="AO47" s="2519"/>
      <c r="AP47" s="2519"/>
      <c r="AQ47" s="2519"/>
      <c r="AR47" s="2519"/>
    </row>
    <row r="48" spans="1:67" ht="14.4">
      <c r="A48" s="2833" t="s">
        <v>2572</v>
      </c>
      <c r="B48" s="2834">
        <v>0.03</v>
      </c>
      <c r="C48" s="2805" t="s">
        <v>2567</v>
      </c>
      <c r="D48" s="2783"/>
      <c r="E48" s="2782"/>
      <c r="F48" s="2782"/>
      <c r="G48" s="2782"/>
      <c r="H48" s="2782"/>
      <c r="I48" s="2782"/>
      <c r="J48" s="2782"/>
      <c r="K48" s="2869"/>
      <c r="L48" s="2869"/>
      <c r="M48" s="2519"/>
      <c r="N48" s="2519"/>
      <c r="O48" s="2519"/>
      <c r="P48" s="2519"/>
      <c r="Q48" s="2519"/>
      <c r="R48" s="2519"/>
      <c r="S48" s="2519"/>
      <c r="T48" s="2519"/>
      <c r="U48" s="2519"/>
      <c r="V48" s="2519"/>
      <c r="W48" s="2519"/>
      <c r="X48" s="2519"/>
      <c r="Y48" s="2519"/>
      <c r="Z48" s="2519"/>
      <c r="AA48" s="2519"/>
      <c r="AB48" s="2519"/>
      <c r="AC48" s="2519"/>
      <c r="AD48" s="2519"/>
      <c r="AE48" s="2519"/>
      <c r="AF48" s="2519"/>
      <c r="AG48" s="2519"/>
      <c r="AH48" s="2519"/>
      <c r="AI48" s="2519"/>
      <c r="AJ48" s="2519"/>
      <c r="AK48" s="2519"/>
      <c r="AL48" s="2519"/>
      <c r="AM48" s="2519"/>
      <c r="AN48" s="2519"/>
      <c r="AO48" s="2519"/>
      <c r="AP48" s="2519"/>
      <c r="AQ48" s="2519"/>
      <c r="AR48" s="2519"/>
    </row>
    <row r="49" spans="1:44" ht="14.4">
      <c r="A49" s="2810" t="s">
        <v>2573</v>
      </c>
      <c r="B49" s="2825">
        <v>5.0000000000000001E-4</v>
      </c>
      <c r="C49" s="2805" t="s">
        <v>2574</v>
      </c>
      <c r="D49" s="2783"/>
      <c r="E49" s="2782"/>
      <c r="F49" s="2782"/>
      <c r="G49" s="2782"/>
      <c r="H49" s="2782"/>
      <c r="I49" s="2782"/>
      <c r="J49" s="2782"/>
      <c r="K49" s="2869"/>
      <c r="L49" s="2869"/>
      <c r="M49" s="2519"/>
      <c r="N49" s="2519"/>
      <c r="O49" s="2519"/>
      <c r="P49" s="2519"/>
      <c r="Q49" s="2519"/>
      <c r="R49" s="2519"/>
      <c r="S49" s="2519"/>
      <c r="T49" s="2519"/>
      <c r="U49" s="2519"/>
      <c r="V49" s="2519"/>
      <c r="W49" s="2519"/>
      <c r="X49" s="2519"/>
      <c r="Y49" s="2519"/>
      <c r="Z49" s="2519"/>
      <c r="AA49" s="2519"/>
      <c r="AB49" s="2519"/>
      <c r="AC49" s="2519"/>
      <c r="AD49" s="2519"/>
      <c r="AE49" s="2519"/>
      <c r="AF49" s="2519"/>
      <c r="AG49" s="2519"/>
      <c r="AH49" s="2519"/>
      <c r="AI49" s="2519"/>
      <c r="AJ49" s="2519"/>
      <c r="AK49" s="2519"/>
      <c r="AL49" s="2519"/>
      <c r="AM49" s="2519"/>
      <c r="AN49" s="2519"/>
      <c r="AO49" s="2519"/>
      <c r="AP49" s="2519"/>
      <c r="AQ49" s="2519"/>
      <c r="AR49" s="2519"/>
    </row>
    <row r="50" spans="1:44" ht="14.4">
      <c r="A50" s="2835" t="s">
        <v>2575</v>
      </c>
      <c r="B50" s="2836">
        <v>1.2E-2</v>
      </c>
      <c r="C50" s="1590"/>
      <c r="D50" s="2783"/>
      <c r="E50" s="2782"/>
      <c r="F50" s="2782"/>
      <c r="G50" s="2782"/>
      <c r="H50" s="2782"/>
      <c r="I50" s="2782"/>
      <c r="J50" s="2782"/>
      <c r="K50" s="2869"/>
      <c r="L50" s="2869"/>
      <c r="M50" s="2519"/>
      <c r="N50" s="2519"/>
      <c r="O50" s="2519"/>
      <c r="P50" s="2519"/>
      <c r="Q50" s="2519"/>
      <c r="R50" s="2519"/>
      <c r="S50" s="2519"/>
      <c r="T50" s="2519"/>
      <c r="U50" s="2519"/>
      <c r="V50" s="2519"/>
      <c r="W50" s="2519"/>
      <c r="X50" s="2519"/>
      <c r="Y50" s="2519"/>
      <c r="Z50" s="2519"/>
      <c r="AA50" s="2519"/>
      <c r="AB50" s="2519"/>
      <c r="AC50" s="2519"/>
      <c r="AD50" s="2519"/>
      <c r="AE50" s="2519"/>
      <c r="AF50" s="2519"/>
      <c r="AG50" s="2519"/>
      <c r="AH50" s="2519"/>
      <c r="AI50" s="2519"/>
      <c r="AJ50" s="2519"/>
      <c r="AK50" s="2519"/>
      <c r="AL50" s="2519"/>
      <c r="AM50" s="2519"/>
      <c r="AN50" s="2519"/>
      <c r="AO50" s="2519"/>
      <c r="AP50" s="2519"/>
      <c r="AQ50" s="2519"/>
      <c r="AR50" s="2519"/>
    </row>
    <row r="51" spans="1:44" ht="14.4">
      <c r="A51" s="2803" t="s">
        <v>2576</v>
      </c>
      <c r="B51" s="2837">
        <v>0.12</v>
      </c>
      <c r="C51" s="1590"/>
      <c r="D51" s="2783"/>
      <c r="E51" s="2782"/>
      <c r="F51" s="2782"/>
      <c r="G51" s="2782"/>
      <c r="H51" s="2782"/>
      <c r="I51" s="2782"/>
      <c r="J51" s="2782"/>
      <c r="K51" s="2869"/>
      <c r="L51" s="2869"/>
      <c r="M51" s="2519"/>
      <c r="N51" s="2519"/>
      <c r="O51" s="2519"/>
      <c r="P51" s="2519"/>
      <c r="Q51" s="2519"/>
      <c r="R51" s="2519"/>
      <c r="S51" s="2519"/>
      <c r="T51" s="2519"/>
      <c r="U51" s="2519"/>
      <c r="V51" s="2519"/>
      <c r="W51" s="2519"/>
      <c r="X51" s="2519"/>
      <c r="Y51" s="2519"/>
      <c r="Z51" s="2519"/>
      <c r="AA51" s="2519"/>
      <c r="AB51" s="2519"/>
      <c r="AC51" s="2519"/>
      <c r="AD51" s="2519"/>
      <c r="AE51" s="2519"/>
      <c r="AF51" s="2519"/>
      <c r="AG51" s="2519"/>
      <c r="AH51" s="2519"/>
      <c r="AI51" s="2519"/>
      <c r="AJ51" s="2519"/>
      <c r="AK51" s="2519"/>
      <c r="AL51" s="2519"/>
      <c r="AM51" s="2519"/>
      <c r="AN51" s="2519"/>
      <c r="AO51" s="2519"/>
      <c r="AP51" s="2519"/>
      <c r="AQ51" s="2519"/>
      <c r="AR51" s="2519"/>
    </row>
    <row r="52" spans="1:44" ht="14.4">
      <c r="A52" s="2835" t="s">
        <v>2577</v>
      </c>
      <c r="B52" s="2838">
        <f>SUMIF(A54:A63,B53,B54:B63)</f>
        <v>0</v>
      </c>
      <c r="C52" s="1590"/>
      <c r="D52" s="2783"/>
      <c r="E52" s="2782"/>
      <c r="F52" s="2782"/>
      <c r="G52" s="2782"/>
      <c r="H52" s="2782"/>
      <c r="I52" s="2782"/>
      <c r="J52" s="2782"/>
      <c r="K52" s="2869"/>
      <c r="L52" s="2869"/>
      <c r="M52" s="2519"/>
      <c r="N52" s="2519"/>
      <c r="O52" s="2519"/>
      <c r="P52" s="2519"/>
      <c r="Q52" s="2519"/>
      <c r="R52" s="2519"/>
      <c r="S52" s="2519"/>
      <c r="T52" s="2519"/>
      <c r="U52" s="2519"/>
      <c r="V52" s="2519"/>
      <c r="W52" s="2519"/>
      <c r="X52" s="2519"/>
      <c r="Y52" s="2519"/>
      <c r="Z52" s="2519"/>
      <c r="AA52" s="2519"/>
      <c r="AB52" s="2519"/>
      <c r="AC52" s="2519"/>
      <c r="AD52" s="2519"/>
      <c r="AE52" s="2519"/>
      <c r="AF52" s="2519"/>
      <c r="AG52" s="2519"/>
      <c r="AH52" s="2519"/>
      <c r="AI52" s="2519"/>
      <c r="AJ52" s="2519"/>
      <c r="AK52" s="2519"/>
      <c r="AL52" s="2519"/>
      <c r="AM52" s="2519"/>
      <c r="AN52" s="2519"/>
      <c r="AO52" s="2519"/>
      <c r="AP52" s="2519"/>
      <c r="AQ52" s="2519"/>
      <c r="AR52" s="2519"/>
    </row>
    <row r="53" spans="1:44" ht="28.8">
      <c r="A53" s="2800" t="s">
        <v>2578</v>
      </c>
      <c r="B53" s="2839"/>
      <c r="C53" s="1590" t="s">
        <v>2579</v>
      </c>
      <c r="D53" s="2840" t="s">
        <v>2580</v>
      </c>
      <c r="E53" s="2782"/>
      <c r="F53" s="2782"/>
      <c r="G53" s="2782"/>
      <c r="H53" s="2782"/>
      <c r="I53" s="2782"/>
      <c r="J53" s="2782"/>
      <c r="K53" s="2869"/>
      <c r="L53" s="2869"/>
      <c r="M53" s="2519"/>
      <c r="N53" s="2519"/>
      <c r="O53" s="2519"/>
      <c r="P53" s="2519"/>
      <c r="Q53" s="2519"/>
      <c r="R53" s="2519"/>
      <c r="S53" s="2519"/>
      <c r="T53" s="2519"/>
      <c r="U53" s="2519"/>
      <c r="V53" s="2519"/>
      <c r="W53" s="2519"/>
      <c r="X53" s="2519"/>
      <c r="Y53" s="2519"/>
      <c r="Z53" s="2519"/>
      <c r="AA53" s="2519"/>
      <c r="AB53" s="2519"/>
      <c r="AC53" s="2519"/>
      <c r="AD53" s="2519"/>
      <c r="AE53" s="2519"/>
      <c r="AF53" s="2519"/>
      <c r="AG53" s="2519"/>
      <c r="AH53" s="2519"/>
      <c r="AI53" s="2519"/>
      <c r="AJ53" s="2519"/>
      <c r="AK53" s="2519"/>
      <c r="AL53" s="2519"/>
      <c r="AM53" s="2519"/>
      <c r="AN53" s="2519"/>
      <c r="AO53" s="2519"/>
      <c r="AP53" s="2519"/>
      <c r="AQ53" s="2519"/>
      <c r="AR53" s="2519"/>
    </row>
    <row r="54" spans="1:44" ht="14.4">
      <c r="A54" s="2841" t="s">
        <v>2581</v>
      </c>
      <c r="B54" s="2842"/>
      <c r="C54" s="1590">
        <v>30</v>
      </c>
      <c r="D54" s="2783"/>
      <c r="E54" s="2782"/>
      <c r="F54" s="2782"/>
      <c r="G54" s="2782"/>
      <c r="H54" s="2782"/>
      <c r="I54" s="2782"/>
      <c r="J54" s="2782"/>
      <c r="K54" s="2869"/>
      <c r="L54" s="2869"/>
      <c r="M54" s="2519"/>
      <c r="N54" s="2519"/>
      <c r="O54" s="2519"/>
      <c r="P54" s="2519"/>
      <c r="Q54" s="2519"/>
      <c r="R54" s="2519"/>
      <c r="S54" s="2519"/>
      <c r="T54" s="2519"/>
      <c r="U54" s="2519"/>
      <c r="V54" s="2519"/>
      <c r="W54" s="2519"/>
      <c r="X54" s="2519"/>
      <c r="Y54" s="2519"/>
      <c r="Z54" s="2519"/>
      <c r="AA54" s="2519"/>
      <c r="AB54" s="2519"/>
      <c r="AC54" s="2519"/>
      <c r="AD54" s="2519"/>
      <c r="AE54" s="2519"/>
      <c r="AF54" s="2519"/>
      <c r="AG54" s="2519"/>
      <c r="AH54" s="2519"/>
      <c r="AI54" s="2519"/>
      <c r="AJ54" s="2519"/>
      <c r="AK54" s="2519"/>
      <c r="AL54" s="2519"/>
      <c r="AM54" s="2519"/>
      <c r="AN54" s="2519"/>
      <c r="AO54" s="2519"/>
      <c r="AP54" s="2519"/>
      <c r="AQ54" s="2519"/>
      <c r="AR54" s="2519"/>
    </row>
    <row r="55" spans="1:44" ht="14.4">
      <c r="A55" s="2841" t="s">
        <v>2582</v>
      </c>
      <c r="B55" s="2842"/>
      <c r="C55" s="1590">
        <v>24</v>
      </c>
      <c r="D55" s="2783"/>
      <c r="E55" s="2782"/>
      <c r="F55" s="2782"/>
      <c r="G55" s="2782"/>
      <c r="H55" s="2782"/>
      <c r="I55" s="2872"/>
      <c r="J55" s="2782"/>
      <c r="K55" s="2869"/>
      <c r="L55" s="2869"/>
      <c r="M55" s="2519"/>
      <c r="N55" s="2519"/>
      <c r="O55" s="2519"/>
      <c r="P55" s="2519"/>
      <c r="Q55" s="2519"/>
      <c r="R55" s="2519"/>
      <c r="S55" s="2519"/>
      <c r="T55" s="2519"/>
      <c r="U55" s="2519"/>
      <c r="V55" s="2519"/>
      <c r="W55" s="2519"/>
      <c r="X55" s="2519"/>
      <c r="Y55" s="2519"/>
      <c r="Z55" s="2519"/>
      <c r="AA55" s="2519"/>
      <c r="AB55" s="2519"/>
      <c r="AC55" s="2519"/>
      <c r="AD55" s="2519"/>
      <c r="AE55" s="2519"/>
      <c r="AF55" s="2519"/>
      <c r="AG55" s="2519"/>
      <c r="AH55" s="2519"/>
      <c r="AI55" s="2519"/>
      <c r="AJ55" s="2519"/>
      <c r="AK55" s="2519"/>
      <c r="AL55" s="2519"/>
      <c r="AM55" s="2519"/>
      <c r="AN55" s="2519"/>
      <c r="AO55" s="2519"/>
      <c r="AP55" s="2519"/>
      <c r="AQ55" s="2519"/>
      <c r="AR55" s="2519"/>
    </row>
    <row r="56" spans="1:44" ht="14.4">
      <c r="A56" s="2841" t="s">
        <v>2583</v>
      </c>
      <c r="B56" s="2842"/>
      <c r="C56" s="1590">
        <v>18</v>
      </c>
      <c r="D56" s="2783"/>
      <c r="E56" s="2782"/>
      <c r="F56" s="2782"/>
      <c r="G56" s="2782"/>
      <c r="H56" s="2782"/>
      <c r="I56" s="2782"/>
      <c r="J56" s="2782"/>
      <c r="K56" s="2869"/>
      <c r="L56" s="2869"/>
      <c r="M56" s="2519"/>
      <c r="N56" s="2519"/>
      <c r="O56" s="2519"/>
      <c r="P56" s="2519"/>
      <c r="Q56" s="2519"/>
      <c r="R56" s="2519"/>
      <c r="S56" s="2519"/>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row>
    <row r="57" spans="1:44" ht="14.4">
      <c r="A57" s="2841" t="s">
        <v>2584</v>
      </c>
      <c r="B57" s="2842"/>
      <c r="C57" s="1590">
        <v>12</v>
      </c>
      <c r="D57" s="2783"/>
      <c r="E57" s="2782"/>
      <c r="F57" s="2782"/>
      <c r="G57" s="2782"/>
      <c r="H57" s="2782"/>
      <c r="I57" s="2782"/>
      <c r="J57" s="2782"/>
      <c r="K57" s="2869"/>
      <c r="L57" s="2869"/>
      <c r="M57" s="2519"/>
      <c r="N57" s="2519"/>
      <c r="O57" s="2519"/>
      <c r="P57" s="2519"/>
      <c r="Q57" s="2519"/>
      <c r="R57" s="2519"/>
      <c r="S57" s="2519"/>
      <c r="T57" s="2519"/>
      <c r="U57" s="2519"/>
      <c r="V57" s="2519"/>
      <c r="W57" s="2519"/>
      <c r="X57" s="2519"/>
      <c r="Y57" s="2519"/>
      <c r="Z57" s="2519"/>
      <c r="AA57" s="2519"/>
      <c r="AB57" s="2519"/>
      <c r="AC57" s="2519"/>
      <c r="AD57" s="2519"/>
      <c r="AE57" s="2519"/>
      <c r="AF57" s="2519"/>
      <c r="AG57" s="2519"/>
      <c r="AH57" s="2519"/>
      <c r="AI57" s="2519"/>
      <c r="AJ57" s="2519"/>
      <c r="AK57" s="2519"/>
      <c r="AL57" s="2519"/>
      <c r="AM57" s="2519"/>
      <c r="AN57" s="2519"/>
      <c r="AO57" s="2519"/>
      <c r="AP57" s="2519"/>
      <c r="AQ57" s="2519"/>
      <c r="AR57" s="2519"/>
    </row>
    <row r="58" spans="1:44" ht="14.4">
      <c r="A58" s="2841" t="s">
        <v>2585</v>
      </c>
      <c r="B58" s="2842"/>
      <c r="C58" s="1590">
        <v>3</v>
      </c>
      <c r="D58" s="2783"/>
      <c r="E58" s="2782"/>
      <c r="F58" s="2782"/>
      <c r="G58" s="2782"/>
      <c r="H58" s="2782"/>
      <c r="I58" s="2782"/>
      <c r="J58" s="2782"/>
      <c r="K58" s="2869"/>
      <c r="L58" s="2869"/>
      <c r="M58" s="2519"/>
      <c r="N58" s="2519"/>
      <c r="O58" s="2519"/>
      <c r="P58" s="2519"/>
      <c r="Q58" s="2519"/>
      <c r="R58" s="2519"/>
      <c r="S58" s="2519"/>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row>
    <row r="59" spans="1:44" ht="14.4">
      <c r="A59" s="2841" t="s">
        <v>2586</v>
      </c>
      <c r="B59" s="2842"/>
      <c r="C59" s="1590">
        <v>1.5</v>
      </c>
      <c r="D59" s="2783"/>
      <c r="E59" s="2782"/>
      <c r="F59" s="2782"/>
      <c r="G59" s="2782"/>
      <c r="H59" s="2782"/>
      <c r="I59" s="2782"/>
      <c r="J59" s="2782"/>
      <c r="K59" s="2869"/>
      <c r="L59" s="2869"/>
      <c r="M59" s="2519"/>
      <c r="N59" s="2519"/>
      <c r="O59" s="2519"/>
      <c r="P59" s="2519"/>
      <c r="Q59" s="2519"/>
      <c r="R59" s="2519"/>
      <c r="S59" s="2519"/>
      <c r="T59" s="2519"/>
      <c r="U59" s="2519"/>
      <c r="V59" s="2519"/>
      <c r="W59" s="2519"/>
      <c r="X59" s="2519"/>
      <c r="Y59" s="2519"/>
      <c r="Z59" s="2519"/>
      <c r="AA59" s="2519"/>
      <c r="AB59" s="2519"/>
      <c r="AC59" s="2519"/>
      <c r="AD59" s="2519"/>
      <c r="AE59" s="2519"/>
      <c r="AF59" s="2519"/>
      <c r="AG59" s="2519"/>
      <c r="AH59" s="2519"/>
      <c r="AI59" s="2519"/>
      <c r="AJ59" s="2519"/>
      <c r="AK59" s="2519"/>
      <c r="AL59" s="2519"/>
      <c r="AM59" s="2519"/>
      <c r="AN59" s="2519"/>
      <c r="AO59" s="2519"/>
      <c r="AP59" s="2519"/>
      <c r="AQ59" s="2519"/>
      <c r="AR59" s="2519"/>
    </row>
    <row r="60" spans="1:44" ht="14.4">
      <c r="A60" s="2841" t="s">
        <v>2587</v>
      </c>
      <c r="B60" s="2842"/>
      <c r="C60" s="2782"/>
      <c r="D60" s="2783"/>
      <c r="E60" s="2782"/>
      <c r="F60" s="2782"/>
      <c r="G60" s="2782"/>
      <c r="H60" s="2782"/>
      <c r="I60" s="2782"/>
      <c r="J60" s="2782"/>
      <c r="K60" s="2869"/>
      <c r="L60" s="2869"/>
      <c r="M60" s="2519"/>
      <c r="N60" s="2519"/>
      <c r="O60" s="2519"/>
      <c r="P60" s="2519"/>
      <c r="Q60" s="2519"/>
      <c r="R60" s="2519"/>
      <c r="S60" s="2519"/>
      <c r="T60" s="2519"/>
      <c r="U60" s="2519"/>
      <c r="V60" s="2519"/>
      <c r="W60" s="2519"/>
      <c r="X60" s="2519"/>
      <c r="Y60" s="2519"/>
      <c r="Z60" s="2519"/>
      <c r="AA60" s="2519"/>
      <c r="AB60" s="2519"/>
      <c r="AC60" s="2519"/>
      <c r="AD60" s="2519"/>
      <c r="AE60" s="2519"/>
      <c r="AF60" s="2519"/>
      <c r="AG60" s="2519"/>
      <c r="AH60" s="2519"/>
      <c r="AI60" s="2519"/>
      <c r="AJ60" s="2519"/>
      <c r="AK60" s="2519"/>
      <c r="AL60" s="2519"/>
      <c r="AM60" s="2519"/>
      <c r="AN60" s="2519"/>
      <c r="AO60" s="2519"/>
      <c r="AP60" s="2519"/>
      <c r="AQ60" s="2519"/>
      <c r="AR60" s="2519"/>
    </row>
    <row r="61" spans="1:44" ht="14.4">
      <c r="A61" s="2841" t="s">
        <v>2588</v>
      </c>
      <c r="B61" s="2842"/>
      <c r="C61" s="2782"/>
      <c r="D61" s="2783"/>
      <c r="E61" s="2782"/>
      <c r="F61" s="2782"/>
      <c r="G61" s="2782"/>
      <c r="H61" s="2782"/>
      <c r="I61" s="2782"/>
      <c r="J61" s="2782"/>
      <c r="K61" s="2869"/>
      <c r="L61" s="2869"/>
      <c r="M61" s="2519"/>
      <c r="N61" s="2519"/>
      <c r="O61" s="2519"/>
      <c r="P61" s="2519"/>
      <c r="Q61" s="2519"/>
      <c r="R61" s="2519"/>
      <c r="S61" s="2519"/>
      <c r="T61" s="2519"/>
      <c r="U61" s="2519"/>
      <c r="V61" s="2519"/>
      <c r="W61" s="2519"/>
      <c r="X61" s="2519"/>
      <c r="Y61" s="2519"/>
      <c r="Z61" s="2519"/>
      <c r="AA61" s="2519"/>
      <c r="AB61" s="2519"/>
      <c r="AC61" s="2519"/>
      <c r="AD61" s="2519"/>
      <c r="AE61" s="2519"/>
      <c r="AF61" s="2519"/>
      <c r="AG61" s="2519"/>
      <c r="AH61" s="2519"/>
      <c r="AI61" s="2519"/>
      <c r="AJ61" s="2519"/>
      <c r="AK61" s="2519"/>
      <c r="AL61" s="2519"/>
      <c r="AM61" s="2519"/>
      <c r="AN61" s="2519"/>
      <c r="AO61" s="2519"/>
      <c r="AP61" s="2519"/>
      <c r="AQ61" s="2519"/>
      <c r="AR61" s="2519"/>
    </row>
    <row r="62" spans="1:44" ht="14.4">
      <c r="A62" s="2841" t="s">
        <v>2589</v>
      </c>
      <c r="B62" s="2842"/>
      <c r="C62" s="2782"/>
      <c r="D62" s="2783"/>
      <c r="E62" s="2782"/>
      <c r="F62" s="2782"/>
      <c r="G62" s="2782"/>
      <c r="H62" s="2782"/>
      <c r="I62" s="2782"/>
      <c r="J62" s="2782"/>
      <c r="K62" s="2869"/>
      <c r="L62" s="2869"/>
      <c r="M62" s="2519"/>
      <c r="N62" s="2519"/>
      <c r="O62" s="2519"/>
      <c r="P62" s="2519"/>
      <c r="Q62" s="2519"/>
      <c r="R62" s="2519"/>
      <c r="S62" s="2519"/>
      <c r="T62" s="2519"/>
      <c r="U62" s="2519"/>
      <c r="V62" s="2519"/>
      <c r="W62" s="2519"/>
      <c r="X62" s="2519"/>
      <c r="Y62" s="2519"/>
      <c r="Z62" s="2519"/>
      <c r="AA62" s="2519"/>
      <c r="AB62" s="2519"/>
      <c r="AC62" s="2519"/>
      <c r="AD62" s="2519"/>
      <c r="AE62" s="2519"/>
      <c r="AF62" s="2519"/>
      <c r="AG62" s="2519"/>
      <c r="AH62" s="2519"/>
      <c r="AI62" s="2519"/>
      <c r="AJ62" s="2519"/>
      <c r="AK62" s="2519"/>
      <c r="AL62" s="2519"/>
      <c r="AM62" s="2519"/>
      <c r="AN62" s="2519"/>
      <c r="AO62" s="2519"/>
      <c r="AP62" s="2519"/>
      <c r="AQ62" s="2519"/>
      <c r="AR62" s="2519"/>
    </row>
    <row r="63" spans="1:44" ht="14.4">
      <c r="A63" s="2843" t="s">
        <v>2590</v>
      </c>
      <c r="B63" s="2844"/>
      <c r="C63" s="2782"/>
      <c r="D63" s="2783"/>
      <c r="E63" s="2782"/>
      <c r="F63" s="2782"/>
      <c r="G63" s="2782"/>
      <c r="H63" s="2782"/>
      <c r="I63" s="2782"/>
      <c r="J63" s="2782"/>
      <c r="K63" s="2869"/>
      <c r="L63" s="2869"/>
      <c r="M63" s="2519"/>
      <c r="N63" s="2519"/>
      <c r="O63" s="2519"/>
      <c r="P63" s="2519"/>
      <c r="Q63" s="2519"/>
      <c r="R63" s="2519"/>
      <c r="S63" s="2519"/>
      <c r="T63" s="2519"/>
      <c r="U63" s="2519"/>
      <c r="V63" s="2519"/>
      <c r="W63" s="2519"/>
      <c r="X63" s="2519"/>
      <c r="Y63" s="2519"/>
      <c r="Z63" s="2519"/>
      <c r="AA63" s="2519"/>
      <c r="AB63" s="2519"/>
      <c r="AC63" s="2519"/>
      <c r="AD63" s="2519"/>
      <c r="AE63" s="2519"/>
      <c r="AF63" s="2519"/>
      <c r="AG63" s="2519"/>
      <c r="AH63" s="2519"/>
      <c r="AI63" s="2519"/>
      <c r="AJ63" s="2519"/>
      <c r="AK63" s="2519"/>
      <c r="AL63" s="2519"/>
      <c r="AM63" s="2519"/>
      <c r="AN63" s="2519"/>
      <c r="AO63" s="2519"/>
      <c r="AP63" s="2519"/>
      <c r="AQ63" s="2519"/>
      <c r="AR63" s="2519"/>
    </row>
    <row r="64" spans="1:44" s="2588" customFormat="1">
      <c r="A64" s="2845"/>
      <c r="B64" s="2519"/>
      <c r="C64" s="2519"/>
      <c r="D64" s="2780"/>
      <c r="E64" s="2519"/>
      <c r="F64" s="2519"/>
      <c r="G64" s="2519"/>
      <c r="H64" s="2519"/>
      <c r="I64" s="2519"/>
      <c r="J64" s="2519"/>
      <c r="K64" s="2869"/>
      <c r="L64" s="2869"/>
      <c r="M64" s="2519"/>
      <c r="N64" s="2519"/>
      <c r="O64" s="2519"/>
      <c r="P64" s="2519"/>
      <c r="Q64" s="2519"/>
      <c r="R64" s="2519"/>
      <c r="S64" s="2519"/>
      <c r="T64" s="2519"/>
      <c r="U64" s="2519"/>
      <c r="V64" s="2519"/>
      <c r="W64" s="2519"/>
      <c r="X64" s="2519"/>
      <c r="Y64" s="2519"/>
      <c r="Z64" s="2519"/>
      <c r="AA64" s="2519"/>
      <c r="AB64" s="2519"/>
      <c r="AC64" s="2519"/>
      <c r="AD64" s="2519"/>
      <c r="AE64" s="2519"/>
      <c r="AF64" s="2519"/>
      <c r="AG64" s="2519"/>
      <c r="AH64" s="2519"/>
      <c r="AI64" s="2519"/>
      <c r="AJ64" s="2519"/>
      <c r="AK64" s="2519"/>
      <c r="AL64" s="2519"/>
      <c r="AM64" s="2519"/>
      <c r="AN64" s="2519"/>
      <c r="AO64" s="2519"/>
      <c r="AP64" s="2519"/>
      <c r="AQ64" s="2519"/>
      <c r="AR64" s="2519"/>
    </row>
    <row r="65" spans="1:44" s="2588" customFormat="1">
      <c r="A65" s="2845"/>
      <c r="B65" s="2519"/>
      <c r="C65" s="2519"/>
      <c r="D65" s="2780"/>
      <c r="E65" s="2519"/>
      <c r="F65" s="2519"/>
      <c r="G65" s="2519"/>
      <c r="H65" s="2519"/>
      <c r="I65" s="2519"/>
      <c r="J65" s="2519"/>
      <c r="K65" s="2869"/>
      <c r="L65" s="2869"/>
      <c r="M65" s="2519"/>
      <c r="N65" s="2519"/>
      <c r="O65" s="2519"/>
      <c r="P65" s="2519"/>
      <c r="Q65" s="2519"/>
      <c r="R65" s="2519"/>
      <c r="S65" s="2519"/>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row>
    <row r="66" spans="1:44" s="2588" customFormat="1">
      <c r="A66" s="2845"/>
      <c r="B66" s="2519"/>
      <c r="C66" s="2519"/>
      <c r="D66" s="2780"/>
      <c r="E66" s="2519"/>
      <c r="F66" s="2519"/>
      <c r="G66" s="2519"/>
      <c r="H66" s="2519"/>
      <c r="I66" s="2519"/>
      <c r="J66" s="2519"/>
      <c r="K66" s="2869"/>
      <c r="L66" s="2869"/>
      <c r="M66" s="2519"/>
      <c r="N66" s="2519"/>
      <c r="O66" s="2519"/>
      <c r="P66" s="2519"/>
      <c r="Q66" s="2519"/>
      <c r="R66" s="2519"/>
      <c r="S66" s="2519"/>
      <c r="T66" s="2519"/>
      <c r="U66" s="2519"/>
      <c r="V66" s="2519"/>
      <c r="W66" s="2519"/>
      <c r="X66" s="2519"/>
      <c r="Y66" s="2519"/>
      <c r="Z66" s="2519"/>
      <c r="AA66" s="2519"/>
      <c r="AB66" s="2519"/>
      <c r="AC66" s="2519"/>
      <c r="AD66" s="2519"/>
      <c r="AE66" s="2519"/>
      <c r="AF66" s="2519"/>
      <c r="AG66" s="2519"/>
      <c r="AH66" s="2519"/>
      <c r="AI66" s="2519"/>
      <c r="AJ66" s="2519"/>
      <c r="AK66" s="2519"/>
      <c r="AL66" s="2519"/>
      <c r="AM66" s="2519"/>
      <c r="AN66" s="2519"/>
      <c r="AO66" s="2519"/>
      <c r="AP66" s="2519"/>
      <c r="AQ66" s="2519"/>
      <c r="AR66" s="2519"/>
    </row>
    <row r="67" spans="1:44" s="2588" customFormat="1">
      <c r="A67" s="2845"/>
      <c r="B67" s="2519"/>
      <c r="C67" s="2519"/>
      <c r="D67" s="2780"/>
      <c r="E67" s="2519"/>
      <c r="F67" s="2519"/>
      <c r="G67" s="2519"/>
      <c r="H67" s="2519"/>
      <c r="I67" s="2519"/>
      <c r="J67" s="2519"/>
      <c r="K67" s="2869"/>
      <c r="L67" s="2869"/>
      <c r="M67" s="2519"/>
      <c r="N67" s="2519"/>
      <c r="O67" s="2519"/>
      <c r="P67" s="2519"/>
      <c r="Q67" s="2519"/>
      <c r="R67" s="2519"/>
      <c r="S67" s="2519"/>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row>
    <row r="68" spans="1:44" s="2588" customFormat="1">
      <c r="A68" s="2845"/>
      <c r="B68" s="2519"/>
      <c r="C68" s="2519"/>
      <c r="D68" s="2780"/>
      <c r="E68" s="2519"/>
      <c r="F68" s="2519"/>
      <c r="G68" s="2519"/>
      <c r="H68" s="2519"/>
      <c r="I68" s="2519"/>
      <c r="J68" s="2519"/>
      <c r="K68" s="2869"/>
      <c r="L68" s="2869"/>
      <c r="M68" s="2519"/>
      <c r="N68" s="2519"/>
      <c r="O68" s="2519"/>
      <c r="P68" s="2519"/>
      <c r="Q68" s="2519"/>
      <c r="R68" s="2519"/>
      <c r="S68" s="2519"/>
      <c r="T68" s="2519"/>
      <c r="U68" s="2519"/>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R68" s="2519"/>
    </row>
    <row r="69" spans="1:44" s="2588" customFormat="1">
      <c r="A69" s="1961"/>
      <c r="D69" s="2936"/>
      <c r="K69" s="641"/>
      <c r="L69" s="641"/>
    </row>
    <row r="70" spans="1:44" s="2588" customFormat="1">
      <c r="A70" s="1961"/>
      <c r="D70" s="2936"/>
      <c r="K70" s="641"/>
      <c r="L70" s="641"/>
    </row>
    <row r="71" spans="1:44" s="2588" customFormat="1">
      <c r="A71" s="1961"/>
      <c r="D71" s="2936"/>
      <c r="K71" s="641"/>
      <c r="L71" s="641"/>
    </row>
    <row r="72" spans="1:44" s="2588" customFormat="1">
      <c r="A72" s="1961"/>
      <c r="D72" s="2936"/>
      <c r="K72" s="641"/>
      <c r="L72" s="641"/>
    </row>
    <row r="73" spans="1:44" s="2588" customFormat="1">
      <c r="A73" s="1961"/>
      <c r="D73" s="2936"/>
      <c r="K73" s="641"/>
      <c r="L73" s="641"/>
    </row>
    <row r="74" spans="1:44" s="2588" customFormat="1">
      <c r="A74" s="1961"/>
      <c r="D74" s="2936"/>
      <c r="K74" s="641"/>
      <c r="L74" s="641"/>
    </row>
    <row r="75" spans="1:44" s="2588" customFormat="1">
      <c r="A75" s="1961"/>
      <c r="D75" s="2936"/>
      <c r="K75" s="641"/>
      <c r="L75" s="641"/>
    </row>
    <row r="76" spans="1:44" s="2588" customFormat="1">
      <c r="A76" s="1961"/>
      <c r="D76" s="2936"/>
      <c r="K76" s="641"/>
      <c r="L76" s="641"/>
    </row>
    <row r="77" spans="1:44" s="2588" customFormat="1">
      <c r="A77" s="1961"/>
      <c r="D77" s="2936"/>
      <c r="K77" s="641"/>
      <c r="L77" s="641"/>
    </row>
    <row r="78" spans="1:44" s="2588" customFormat="1">
      <c r="A78" s="1961"/>
      <c r="D78" s="2936"/>
      <c r="K78" s="641"/>
      <c r="L78" s="641"/>
    </row>
    <row r="79" spans="1:44" s="2588" customFormat="1">
      <c r="A79" s="1961"/>
      <c r="D79" s="2936"/>
      <c r="K79" s="641"/>
      <c r="L79" s="641"/>
    </row>
    <row r="80" spans="1:44" s="2588" customFormat="1">
      <c r="A80" s="1961"/>
      <c r="D80" s="2936"/>
      <c r="K80" s="641"/>
      <c r="L80" s="641"/>
    </row>
    <row r="81" spans="1:12" s="2588" customFormat="1">
      <c r="A81" s="1961"/>
      <c r="D81" s="2936"/>
      <c r="K81" s="641"/>
      <c r="L81" s="641"/>
    </row>
    <row r="82" spans="1:12" s="2588" customFormat="1">
      <c r="A82" s="1961"/>
      <c r="D82" s="2936"/>
      <c r="K82" s="641"/>
      <c r="L82" s="641"/>
    </row>
    <row r="83" spans="1:12" s="2588" customFormat="1">
      <c r="A83" s="1961"/>
      <c r="D83" s="2936"/>
      <c r="K83" s="641"/>
      <c r="L83" s="641"/>
    </row>
    <row r="84" spans="1:12" s="2588" customFormat="1">
      <c r="A84" s="1961"/>
      <c r="D84" s="2936"/>
      <c r="K84" s="641"/>
      <c r="L84" s="641"/>
    </row>
    <row r="85" spans="1:12" s="2588" customFormat="1">
      <c r="A85" s="1961"/>
      <c r="D85" s="2936"/>
      <c r="K85" s="641"/>
      <c r="L85" s="641"/>
    </row>
    <row r="86" spans="1:12" s="2588" customFormat="1">
      <c r="A86" s="1961"/>
      <c r="D86" s="2936"/>
      <c r="K86" s="641"/>
      <c r="L86" s="641"/>
    </row>
    <row r="87" spans="1:12" s="2588" customFormat="1">
      <c r="A87" s="1961"/>
      <c r="D87" s="2936"/>
      <c r="K87" s="641"/>
      <c r="L87" s="641"/>
    </row>
    <row r="88" spans="1:12" s="2588" customFormat="1">
      <c r="A88" s="1961"/>
      <c r="D88" s="2936"/>
      <c r="K88" s="641"/>
      <c r="L88" s="641"/>
    </row>
    <row r="89" spans="1:12" s="2588" customFormat="1">
      <c r="A89" s="1961"/>
      <c r="D89" s="2936"/>
      <c r="K89" s="641"/>
      <c r="L89" s="641"/>
    </row>
    <row r="90" spans="1:12" s="2588" customFormat="1">
      <c r="A90" s="1961"/>
      <c r="D90" s="2936"/>
      <c r="K90" s="641"/>
      <c r="L90" s="641"/>
    </row>
    <row r="91" spans="1:12" s="2588" customFormat="1">
      <c r="A91" s="1961"/>
      <c r="D91" s="2936"/>
      <c r="K91" s="641"/>
      <c r="L91" s="641"/>
    </row>
    <row r="92" spans="1:12" s="2588" customFormat="1">
      <c r="A92" s="1961"/>
      <c r="D92" s="2936"/>
      <c r="K92" s="641"/>
      <c r="L92" s="641"/>
    </row>
    <row r="93" spans="1:12" s="2588" customFormat="1">
      <c r="A93" s="1961"/>
      <c r="D93" s="2936"/>
      <c r="K93" s="641"/>
      <c r="L93" s="641"/>
    </row>
    <row r="94" spans="1:12" s="2588" customFormat="1">
      <c r="A94" s="1961"/>
      <c r="D94" s="2936"/>
      <c r="K94" s="641"/>
      <c r="L94" s="641"/>
    </row>
    <row r="95" spans="1:12" s="2588" customFormat="1">
      <c r="A95" s="1961"/>
      <c r="D95" s="2936"/>
      <c r="K95" s="641"/>
      <c r="L95" s="641"/>
    </row>
    <row r="96" spans="1:12" s="2588" customFormat="1">
      <c r="A96" s="1961"/>
      <c r="D96" s="2936"/>
      <c r="K96" s="641"/>
      <c r="L96" s="641"/>
    </row>
    <row r="97" spans="1:12" s="2588" customFormat="1">
      <c r="A97" s="1961"/>
      <c r="D97" s="2936"/>
      <c r="K97" s="641"/>
      <c r="L97" s="641"/>
    </row>
    <row r="98" spans="1:12" s="2588" customFormat="1">
      <c r="A98" s="1961"/>
      <c r="D98" s="2936"/>
      <c r="K98" s="641"/>
      <c r="L98" s="641"/>
    </row>
    <row r="99" spans="1:12" s="2588" customFormat="1">
      <c r="A99" s="1961"/>
      <c r="D99" s="2936"/>
      <c r="K99" s="641"/>
      <c r="L99" s="641"/>
    </row>
    <row r="100" spans="1:12" s="2588" customFormat="1">
      <c r="A100" s="1961"/>
      <c r="D100" s="2936"/>
      <c r="K100" s="641"/>
      <c r="L100" s="641"/>
    </row>
    <row r="101" spans="1:12" s="2588" customFormat="1">
      <c r="A101" s="1961"/>
      <c r="D101" s="2936"/>
      <c r="K101" s="641"/>
      <c r="L101" s="641"/>
    </row>
    <row r="102" spans="1:12" s="2588" customFormat="1">
      <c r="A102" s="1961"/>
      <c r="D102" s="2936"/>
      <c r="K102" s="641"/>
      <c r="L102" s="641"/>
    </row>
    <row r="103" spans="1:12" s="2588" customFormat="1">
      <c r="A103" s="1961"/>
      <c r="D103" s="2936"/>
      <c r="K103" s="641"/>
      <c r="L103" s="641"/>
    </row>
    <row r="104" spans="1:12" s="2588" customFormat="1">
      <c r="A104" s="1961"/>
      <c r="D104" s="2936"/>
      <c r="K104" s="641"/>
      <c r="L104" s="641"/>
    </row>
    <row r="105" spans="1:12" s="2588" customFormat="1">
      <c r="A105" s="1961"/>
      <c r="D105" s="2936"/>
      <c r="K105" s="641"/>
      <c r="L105" s="641"/>
    </row>
    <row r="106" spans="1:12" s="2588" customFormat="1">
      <c r="A106" s="1961"/>
      <c r="D106" s="2936"/>
      <c r="K106" s="641"/>
      <c r="L106" s="641"/>
    </row>
    <row r="107" spans="1:12" s="2588" customFormat="1">
      <c r="A107" s="1961"/>
      <c r="D107" s="2936"/>
      <c r="K107" s="641"/>
      <c r="L107" s="641"/>
    </row>
    <row r="108" spans="1:12" s="2588" customFormat="1">
      <c r="A108" s="1961"/>
      <c r="D108" s="2936"/>
      <c r="K108" s="641"/>
      <c r="L108" s="641"/>
    </row>
    <row r="109" spans="1:12" s="2588" customFormat="1">
      <c r="A109" s="1961"/>
      <c r="D109" s="2936"/>
      <c r="K109" s="641"/>
      <c r="L109" s="641"/>
    </row>
    <row r="110" spans="1:12" s="2588" customFormat="1">
      <c r="A110" s="1961"/>
      <c r="D110" s="2936"/>
      <c r="K110" s="641"/>
      <c r="L110" s="641"/>
    </row>
    <row r="111" spans="1:12" s="2588" customFormat="1">
      <c r="A111" s="1961"/>
      <c r="D111" s="2936"/>
      <c r="K111" s="641"/>
      <c r="L111" s="641"/>
    </row>
    <row r="112" spans="1:12" s="2588" customFormat="1">
      <c r="A112" s="1961"/>
      <c r="D112" s="2936"/>
      <c r="K112" s="641"/>
      <c r="L112" s="641"/>
    </row>
    <row r="113" spans="1:12" s="2588" customFormat="1">
      <c r="A113" s="1961"/>
      <c r="D113" s="2936"/>
      <c r="K113" s="641"/>
      <c r="L113" s="641"/>
    </row>
    <row r="114" spans="1:12" s="2588" customFormat="1">
      <c r="A114" s="1961"/>
      <c r="D114" s="2936"/>
      <c r="K114" s="641"/>
      <c r="L114" s="641"/>
    </row>
    <row r="115" spans="1:12" s="2588" customFormat="1">
      <c r="A115" s="1961"/>
      <c r="D115" s="2936"/>
      <c r="K115" s="641"/>
      <c r="L115" s="641"/>
    </row>
    <row r="116" spans="1:12" s="2588" customFormat="1">
      <c r="A116" s="1961"/>
      <c r="D116" s="2936"/>
      <c r="K116" s="641"/>
      <c r="L116" s="641"/>
    </row>
    <row r="117" spans="1:12" s="2588" customFormat="1">
      <c r="A117" s="1961"/>
      <c r="D117" s="2936"/>
      <c r="K117" s="641"/>
      <c r="L117" s="641"/>
    </row>
    <row r="118" spans="1:12" s="2588" customFormat="1">
      <c r="A118" s="1961"/>
      <c r="D118" s="2936"/>
      <c r="K118" s="641"/>
      <c r="L118" s="641"/>
    </row>
    <row r="119" spans="1:12" s="2588" customFormat="1">
      <c r="A119" s="1961"/>
      <c r="D119" s="2936"/>
      <c r="K119" s="641"/>
      <c r="L119" s="641"/>
    </row>
    <row r="120" spans="1:12" s="2588" customFormat="1">
      <c r="A120" s="1961"/>
      <c r="D120" s="2936"/>
      <c r="K120" s="641"/>
      <c r="L120" s="641"/>
    </row>
    <row r="121" spans="1:12" s="2588" customFormat="1">
      <c r="A121" s="1961"/>
      <c r="D121" s="2936"/>
      <c r="K121" s="641"/>
      <c r="L121" s="641"/>
    </row>
    <row r="122" spans="1:12" s="2588" customFormat="1">
      <c r="A122" s="1961"/>
      <c r="D122" s="2936"/>
      <c r="K122" s="641"/>
      <c r="L122" s="641"/>
    </row>
    <row r="123" spans="1:12" s="2588" customFormat="1">
      <c r="A123" s="1961"/>
      <c r="D123" s="2936"/>
      <c r="K123" s="641"/>
      <c r="L123" s="641"/>
    </row>
    <row r="124" spans="1:12" s="2588" customFormat="1">
      <c r="A124" s="1961"/>
      <c r="D124" s="2936"/>
      <c r="K124" s="641"/>
      <c r="L124" s="641"/>
    </row>
    <row r="125" spans="1:12" s="2588" customFormat="1">
      <c r="A125" s="1961"/>
      <c r="D125" s="2936"/>
      <c r="K125" s="641"/>
      <c r="L125" s="641"/>
    </row>
    <row r="126" spans="1:12" s="2588" customFormat="1">
      <c r="A126" s="1961"/>
      <c r="D126" s="2936"/>
      <c r="K126" s="641"/>
      <c r="L126" s="641"/>
    </row>
    <row r="127" spans="1:12" s="2588" customFormat="1">
      <c r="A127" s="1961"/>
      <c r="D127" s="2936"/>
      <c r="K127" s="641"/>
      <c r="L127" s="641"/>
    </row>
    <row r="128" spans="1:12" s="2588" customFormat="1">
      <c r="A128" s="1961"/>
      <c r="D128" s="2936"/>
      <c r="K128" s="641"/>
      <c r="L128" s="641"/>
    </row>
    <row r="129" spans="1:12" s="2588" customFormat="1">
      <c r="A129" s="1961"/>
      <c r="D129" s="2936"/>
      <c r="K129" s="641"/>
      <c r="L129" s="641"/>
    </row>
    <row r="130" spans="1:12" s="2588" customFormat="1">
      <c r="A130" s="1961"/>
      <c r="D130" s="2936"/>
      <c r="K130" s="641"/>
      <c r="L130" s="641"/>
    </row>
    <row r="131" spans="1:12" s="2588" customFormat="1">
      <c r="A131" s="1961"/>
      <c r="D131" s="2936"/>
      <c r="K131" s="641"/>
      <c r="L131" s="641"/>
    </row>
    <row r="132" spans="1:12" s="2588" customFormat="1">
      <c r="A132" s="1961"/>
      <c r="D132" s="2936"/>
      <c r="K132" s="641"/>
      <c r="L132" s="641"/>
    </row>
    <row r="133" spans="1:12" s="2588" customFormat="1">
      <c r="A133" s="1961"/>
      <c r="D133" s="2936"/>
      <c r="K133" s="641"/>
      <c r="L133" s="641"/>
    </row>
    <row r="134" spans="1:12" s="2739" customFormat="1">
      <c r="A134" s="2937"/>
      <c r="D134" s="2938"/>
      <c r="K134" s="543"/>
      <c r="L134" s="543"/>
    </row>
    <row r="135" spans="1:12" s="2739" customFormat="1">
      <c r="A135" s="2937"/>
      <c r="D135" s="2938"/>
      <c r="K135" s="543"/>
      <c r="L135" s="543"/>
    </row>
    <row r="136" spans="1:12" s="2739" customFormat="1">
      <c r="A136" s="2937"/>
      <c r="D136" s="2938"/>
      <c r="K136" s="543"/>
      <c r="L136" s="543"/>
    </row>
    <row r="137" spans="1:12" s="2739" customFormat="1">
      <c r="A137" s="2937"/>
      <c r="D137" s="2938"/>
      <c r="K137" s="543"/>
      <c r="L137" s="543"/>
    </row>
    <row r="138" spans="1:12" s="2739" customFormat="1">
      <c r="A138" s="2937"/>
      <c r="D138" s="2938"/>
      <c r="K138" s="543"/>
      <c r="L138" s="543"/>
    </row>
    <row r="139" spans="1:12" s="2739" customFormat="1">
      <c r="A139" s="2937"/>
      <c r="D139" s="2938"/>
      <c r="K139" s="543"/>
      <c r="L139" s="543"/>
    </row>
    <row r="140" spans="1:12" s="2739" customFormat="1">
      <c r="A140" s="2937"/>
      <c r="D140" s="2938"/>
      <c r="K140" s="543"/>
      <c r="L140" s="543"/>
    </row>
    <row r="141" spans="1:12" s="2739" customFormat="1">
      <c r="A141" s="2937"/>
      <c r="D141" s="2938"/>
      <c r="K141" s="543"/>
      <c r="L141" s="543"/>
    </row>
    <row r="142" spans="1:12" s="2739" customFormat="1">
      <c r="A142" s="2937"/>
      <c r="D142" s="2938"/>
      <c r="K142" s="543"/>
      <c r="L142" s="543"/>
    </row>
    <row r="143" spans="1:12" s="2739" customFormat="1">
      <c r="A143" s="2937"/>
      <c r="D143" s="2938"/>
      <c r="K143" s="543"/>
      <c r="L143" s="543"/>
    </row>
    <row r="144" spans="1:12" s="2739" customFormat="1">
      <c r="A144" s="2937"/>
      <c r="D144" s="2938"/>
      <c r="K144" s="543"/>
      <c r="L144" s="543"/>
    </row>
    <row r="145" spans="1:12" s="2739" customFormat="1">
      <c r="A145" s="2937"/>
      <c r="D145" s="2938"/>
      <c r="K145" s="543"/>
      <c r="L145" s="543"/>
    </row>
    <row r="146" spans="1:12" s="2739" customFormat="1">
      <c r="A146" s="2937"/>
      <c r="D146" s="2938"/>
      <c r="K146" s="543"/>
      <c r="L146" s="543"/>
    </row>
    <row r="147" spans="1:12" s="2739" customFormat="1">
      <c r="A147" s="2937"/>
      <c r="D147" s="2938"/>
      <c r="K147" s="543"/>
      <c r="L147" s="543"/>
    </row>
    <row r="148" spans="1:12" s="2739" customFormat="1">
      <c r="A148" s="2937"/>
      <c r="D148" s="2938"/>
      <c r="K148" s="543"/>
      <c r="L148" s="543"/>
    </row>
    <row r="149" spans="1:12" s="2739" customFormat="1">
      <c r="A149" s="2937"/>
      <c r="D149" s="2938"/>
      <c r="K149" s="543"/>
      <c r="L149" s="543"/>
    </row>
    <row r="150" spans="1:12" s="2739" customFormat="1">
      <c r="A150" s="2937"/>
      <c r="D150" s="2938"/>
      <c r="K150" s="543"/>
      <c r="L150" s="543"/>
    </row>
    <row r="151" spans="1:12" s="2739" customFormat="1">
      <c r="A151" s="2937"/>
      <c r="D151" s="2938"/>
      <c r="K151" s="543"/>
      <c r="L151" s="543"/>
    </row>
    <row r="152" spans="1:12" s="2739" customFormat="1">
      <c r="A152" s="2937"/>
      <c r="D152" s="2938"/>
      <c r="K152" s="543"/>
      <c r="L152" s="543"/>
    </row>
    <row r="153" spans="1:12" s="2739" customFormat="1">
      <c r="A153" s="2937"/>
      <c r="D153" s="2938"/>
      <c r="K153" s="543"/>
      <c r="L153" s="543"/>
    </row>
    <row r="154" spans="1:12" s="2739" customFormat="1">
      <c r="A154" s="2937"/>
      <c r="D154" s="2938"/>
      <c r="K154" s="543"/>
      <c r="L154" s="543"/>
    </row>
    <row r="155" spans="1:12" s="2739" customFormat="1">
      <c r="A155" s="2937"/>
      <c r="D155" s="2938"/>
      <c r="K155" s="543"/>
      <c r="L155" s="543"/>
    </row>
    <row r="156" spans="1:12" s="2739" customFormat="1">
      <c r="A156" s="2937"/>
      <c r="D156" s="2938"/>
      <c r="K156" s="543"/>
      <c r="L156" s="543"/>
    </row>
    <row r="157" spans="1:12" s="2739" customFormat="1">
      <c r="A157" s="2937"/>
      <c r="D157" s="2938"/>
      <c r="K157" s="543"/>
      <c r="L157" s="543"/>
    </row>
    <row r="158" spans="1:12" s="2739" customFormat="1">
      <c r="A158" s="2937"/>
      <c r="D158" s="2938"/>
      <c r="K158" s="543"/>
      <c r="L158" s="543"/>
    </row>
    <row r="159" spans="1:12" s="2739" customFormat="1">
      <c r="A159" s="2937"/>
      <c r="D159" s="2938"/>
      <c r="K159" s="543"/>
      <c r="L159" s="543"/>
    </row>
    <row r="160" spans="1:12" s="2739" customFormat="1">
      <c r="A160" s="2937"/>
      <c r="D160" s="2938"/>
      <c r="K160" s="543"/>
      <c r="L160" s="543"/>
    </row>
    <row r="161" spans="1:12" s="2739" customFormat="1">
      <c r="A161" s="2937"/>
      <c r="D161" s="2938"/>
      <c r="K161" s="543"/>
      <c r="L161" s="543"/>
    </row>
    <row r="162" spans="1:12" s="2739" customFormat="1">
      <c r="A162" s="2937"/>
      <c r="D162" s="2938"/>
      <c r="K162" s="543"/>
      <c r="L162" s="543"/>
    </row>
    <row r="163" spans="1:12" s="2739" customFormat="1">
      <c r="A163" s="2937"/>
      <c r="D163" s="2938"/>
      <c r="K163" s="543"/>
      <c r="L163" s="543"/>
    </row>
    <row r="164" spans="1:12" s="2739" customFormat="1">
      <c r="A164" s="2937"/>
      <c r="D164" s="2938"/>
      <c r="K164" s="543"/>
      <c r="L164" s="543"/>
    </row>
    <row r="165" spans="1:12" s="2739" customFormat="1">
      <c r="A165" s="2937"/>
      <c r="D165" s="2938"/>
      <c r="K165" s="543"/>
      <c r="L165" s="543"/>
    </row>
    <row r="166" spans="1:12" s="2739" customFormat="1">
      <c r="A166" s="2937"/>
      <c r="D166" s="2938"/>
      <c r="K166" s="543"/>
      <c r="L166" s="543"/>
    </row>
    <row r="167" spans="1:12" s="2739" customFormat="1">
      <c r="A167" s="2937"/>
      <c r="D167" s="2938"/>
      <c r="K167" s="543"/>
      <c r="L167" s="543"/>
    </row>
    <row r="168" spans="1:12" s="2739" customFormat="1">
      <c r="A168" s="2937"/>
      <c r="D168" s="2938"/>
      <c r="K168" s="543"/>
      <c r="L168" s="543"/>
    </row>
    <row r="169" spans="1:12" s="2739" customFormat="1">
      <c r="A169" s="2937"/>
      <c r="D169" s="2938"/>
      <c r="K169" s="543"/>
      <c r="L169" s="543"/>
    </row>
    <row r="170" spans="1:12" s="2739" customFormat="1">
      <c r="A170" s="2937"/>
      <c r="D170" s="2938"/>
      <c r="K170" s="543"/>
      <c r="L170" s="543"/>
    </row>
    <row r="171" spans="1:12" s="2739" customFormat="1">
      <c r="A171" s="2937"/>
      <c r="D171" s="2938"/>
      <c r="K171" s="543"/>
      <c r="L171" s="543"/>
    </row>
    <row r="172" spans="1:12" s="2739" customFormat="1">
      <c r="A172" s="2937"/>
      <c r="D172" s="2938"/>
      <c r="K172" s="543"/>
      <c r="L172" s="543"/>
    </row>
    <row r="173" spans="1:12" s="2739" customFormat="1">
      <c r="A173" s="2937"/>
      <c r="D173" s="2938"/>
      <c r="K173" s="543"/>
      <c r="L173" s="543"/>
    </row>
    <row r="174" spans="1:12" s="2739" customFormat="1">
      <c r="A174" s="2937"/>
      <c r="D174" s="2938"/>
      <c r="K174" s="543"/>
      <c r="L174" s="543"/>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667" customWidth="1"/>
    <col min="2" max="2" width="24.44140625" style="2668" customWidth="1"/>
    <col min="3" max="3" width="24.44140625" style="2669" customWidth="1"/>
    <col min="4" max="4" width="2.6640625" style="2669" customWidth="1"/>
    <col min="5" max="5" width="5.88671875" style="2669" customWidth="1"/>
    <col min="6" max="6" width="27" style="2668" customWidth="1"/>
    <col min="7" max="7" width="27" style="2670" customWidth="1"/>
    <col min="8" max="8" width="11.88671875" style="2671" customWidth="1"/>
    <col min="9" max="9" width="16.77734375" style="2672" customWidth="1"/>
    <col min="10" max="10" width="2.6640625" style="2671" customWidth="1"/>
    <col min="11" max="11" width="11.88671875" style="2671" customWidth="1"/>
    <col min="12" max="12" width="16.77734375" style="2672" customWidth="1"/>
    <col min="13" max="13" width="2.6640625" style="2671" customWidth="1"/>
    <col min="14" max="14" width="11.88671875" style="2671" customWidth="1"/>
    <col min="15" max="15" width="16.77734375" style="2672" customWidth="1"/>
    <col min="16" max="16" width="2.6640625" style="2671" customWidth="1"/>
    <col min="17" max="17" width="11.88671875" style="2671" customWidth="1"/>
    <col min="18" max="18" width="16.77734375" style="2673" customWidth="1"/>
    <col min="19" max="29" width="9" style="2508"/>
    <col min="30" max="16384" width="9" style="2667"/>
  </cols>
  <sheetData>
    <row r="1" spans="1:29" s="2665" customFormat="1" ht="17.399999999999999">
      <c r="A1" s="3553" t="s">
        <v>2591</v>
      </c>
      <c r="B1" s="3554"/>
      <c r="C1" s="3554"/>
      <c r="D1" s="3554"/>
      <c r="E1" s="3554"/>
      <c r="F1" s="3554"/>
      <c r="G1" s="3554"/>
      <c r="H1" s="2674"/>
      <c r="I1" s="2726"/>
      <c r="J1" s="2674"/>
      <c r="K1" s="2674"/>
      <c r="L1" s="2726"/>
      <c r="M1" s="2674"/>
      <c r="N1" s="2674"/>
      <c r="O1" s="2726"/>
      <c r="P1" s="2674"/>
      <c r="Q1" s="2733"/>
      <c r="R1" s="2734"/>
      <c r="S1" s="2735"/>
      <c r="T1" s="2735"/>
      <c r="U1" s="2735"/>
      <c r="V1" s="2735"/>
      <c r="W1" s="2735"/>
      <c r="X1" s="2735"/>
      <c r="Y1" s="2735"/>
      <c r="Z1" s="2735"/>
      <c r="AA1" s="2735"/>
      <c r="AB1" s="2735"/>
      <c r="AC1" s="2735"/>
    </row>
    <row r="2" spans="1:29">
      <c r="A2" s="2675"/>
      <c r="B2" s="2676"/>
      <c r="C2" s="2677" t="s">
        <v>2592</v>
      </c>
      <c r="D2" s="2678"/>
      <c r="E2" s="2675"/>
      <c r="F2" s="2679"/>
      <c r="G2" s="2677" t="s">
        <v>2593</v>
      </c>
      <c r="H2" s="2508"/>
      <c r="I2" s="2508"/>
      <c r="J2" s="2508"/>
      <c r="K2" s="2508"/>
      <c r="L2" s="2508"/>
      <c r="M2" s="2508"/>
      <c r="N2" s="2508"/>
      <c r="O2" s="2508"/>
      <c r="P2" s="2508"/>
      <c r="Q2" s="2508"/>
      <c r="R2" s="2508"/>
    </row>
    <row r="3" spans="1:29" ht="48">
      <c r="A3" s="2680" t="s">
        <v>2594</v>
      </c>
      <c r="B3" s="2681" t="s">
        <v>2595</v>
      </c>
      <c r="C3" s="2682" t="s">
        <v>2596</v>
      </c>
      <c r="D3" s="2683"/>
      <c r="E3" s="2684" t="s">
        <v>2594</v>
      </c>
      <c r="F3" s="2685" t="s">
        <v>2597</v>
      </c>
      <c r="G3" s="2686" t="s">
        <v>2598</v>
      </c>
      <c r="H3" s="2508"/>
      <c r="I3" s="2508"/>
      <c r="J3" s="2508"/>
      <c r="K3" s="2508"/>
      <c r="L3" s="2508"/>
      <c r="M3" s="2508"/>
      <c r="N3" s="2508"/>
      <c r="O3" s="2508"/>
      <c r="P3" s="2508"/>
      <c r="Q3" s="2508"/>
      <c r="R3" s="2508"/>
    </row>
    <row r="4" spans="1:29" ht="37.200000000000003">
      <c r="A4" s="2684"/>
      <c r="B4" s="742" t="s">
        <v>2599</v>
      </c>
      <c r="C4" s="2687" t="s">
        <v>2600</v>
      </c>
      <c r="D4" s="2683"/>
      <c r="E4" s="2688"/>
      <c r="F4" s="1823" t="s">
        <v>2601</v>
      </c>
      <c r="G4" s="2689" t="s">
        <v>2602</v>
      </c>
      <c r="H4" s="2508"/>
      <c r="I4" s="2508"/>
      <c r="J4" s="2508"/>
      <c r="K4" s="2508"/>
      <c r="L4" s="2508"/>
      <c r="M4" s="2508"/>
      <c r="N4" s="2508"/>
      <c r="O4" s="2508"/>
      <c r="P4" s="2508"/>
      <c r="Q4" s="2508"/>
      <c r="R4" s="2508"/>
    </row>
    <row r="5" spans="1:29" ht="37.200000000000003">
      <c r="A5" s="2684"/>
      <c r="B5" s="742" t="s">
        <v>2603</v>
      </c>
      <c r="C5" s="2687" t="s">
        <v>2604</v>
      </c>
      <c r="D5" s="2683"/>
      <c r="E5" s="2688"/>
      <c r="F5" s="742" t="s">
        <v>553</v>
      </c>
      <c r="G5" s="2689" t="s">
        <v>2605</v>
      </c>
      <c r="H5" s="2508"/>
      <c r="I5" s="2508"/>
      <c r="J5" s="2508"/>
      <c r="K5" s="2508"/>
      <c r="L5" s="2508"/>
      <c r="M5" s="2508"/>
      <c r="N5" s="2508"/>
      <c r="O5" s="2508"/>
      <c r="P5" s="2508"/>
      <c r="Q5" s="2508"/>
      <c r="R5" s="2508"/>
    </row>
    <row r="6" spans="1:29" ht="48">
      <c r="A6" s="2684"/>
      <c r="B6" s="742" t="s">
        <v>2601</v>
      </c>
      <c r="C6" s="2689" t="s">
        <v>2602</v>
      </c>
      <c r="D6" s="2683"/>
      <c r="E6" s="2688"/>
      <c r="F6" s="742" t="s">
        <v>2606</v>
      </c>
      <c r="G6" s="2689" t="s">
        <v>2607</v>
      </c>
      <c r="H6" s="2508"/>
      <c r="I6" s="2508"/>
      <c r="J6" s="2508"/>
      <c r="K6" s="2508"/>
      <c r="L6" s="2508"/>
      <c r="M6" s="2508"/>
      <c r="N6" s="2508"/>
      <c r="O6" s="2508"/>
      <c r="P6" s="2508"/>
      <c r="Q6" s="2508"/>
      <c r="R6" s="2508"/>
    </row>
    <row r="7" spans="1:29" ht="36">
      <c r="A7" s="2684"/>
      <c r="B7" s="742" t="s">
        <v>553</v>
      </c>
      <c r="C7" s="2689" t="s">
        <v>2605</v>
      </c>
      <c r="D7" s="2690"/>
      <c r="E7" s="2691"/>
      <c r="F7" s="2692" t="s">
        <v>2608</v>
      </c>
      <c r="G7" s="2693" t="s">
        <v>2609</v>
      </c>
      <c r="H7" s="2508"/>
      <c r="I7" s="2508"/>
      <c r="J7" s="2508"/>
      <c r="K7" s="2508"/>
      <c r="L7" s="2508"/>
      <c r="M7" s="2508"/>
      <c r="N7" s="2508"/>
      <c r="O7" s="2508"/>
      <c r="P7" s="2508"/>
      <c r="Q7" s="2508"/>
      <c r="R7" s="2508"/>
    </row>
    <row r="8" spans="1:29" ht="24">
      <c r="A8" s="2684"/>
      <c r="B8" s="742" t="s">
        <v>2606</v>
      </c>
      <c r="C8" s="2689" t="s">
        <v>2607</v>
      </c>
      <c r="D8" s="2690"/>
      <c r="E8" s="2690"/>
      <c r="F8" s="864"/>
      <c r="G8" s="864"/>
      <c r="H8" s="2508"/>
      <c r="I8" s="2508"/>
      <c r="J8" s="2508"/>
      <c r="K8" s="2508"/>
      <c r="L8" s="2508"/>
      <c r="M8" s="2508"/>
      <c r="N8" s="2508"/>
      <c r="O8" s="2508"/>
      <c r="P8" s="2508"/>
      <c r="Q8" s="2508"/>
      <c r="R8" s="2508"/>
    </row>
    <row r="9" spans="1:29" ht="24">
      <c r="A9" s="2684"/>
      <c r="B9" s="742" t="s">
        <v>2610</v>
      </c>
      <c r="C9" s="2687" t="s">
        <v>2611</v>
      </c>
      <c r="D9" s="2683"/>
      <c r="E9" s="2690"/>
      <c r="F9" s="864"/>
      <c r="G9" s="864"/>
      <c r="H9" s="2508"/>
      <c r="I9" s="2508"/>
      <c r="J9" s="2508"/>
      <c r="K9" s="2508"/>
      <c r="L9" s="2508"/>
      <c r="M9" s="2508"/>
      <c r="N9" s="2508"/>
      <c r="O9" s="2508"/>
      <c r="P9" s="2508"/>
      <c r="Q9" s="2508"/>
      <c r="R9" s="2508"/>
    </row>
    <row r="10" spans="1:29" s="2666" customFormat="1">
      <c r="A10" s="2694"/>
      <c r="B10" s="2695" t="s">
        <v>2612</v>
      </c>
      <c r="C10" s="2696"/>
      <c r="D10" s="2683"/>
      <c r="E10" s="2683"/>
      <c r="F10" s="864"/>
      <c r="G10" s="864"/>
      <c r="H10" s="2697"/>
      <c r="I10" s="2727"/>
      <c r="J10" s="2728"/>
      <c r="K10" s="2697"/>
      <c r="L10" s="2727"/>
      <c r="M10" s="2728"/>
      <c r="N10" s="2697"/>
      <c r="O10" s="2727"/>
      <c r="P10" s="2728"/>
      <c r="Q10" s="2697"/>
      <c r="R10" s="2727"/>
      <c r="S10" s="2508"/>
      <c r="T10" s="2508"/>
      <c r="U10" s="2508"/>
      <c r="V10" s="2508"/>
      <c r="W10" s="2508"/>
      <c r="X10" s="2508"/>
      <c r="Y10" s="2508"/>
      <c r="Z10" s="2508"/>
      <c r="AA10" s="2508"/>
      <c r="AB10" s="2508"/>
      <c r="AC10" s="2508"/>
    </row>
    <row r="11" spans="1:29" s="2666" customFormat="1">
      <c r="A11" s="2698"/>
      <c r="B11" s="2690"/>
      <c r="C11" s="2683"/>
      <c r="D11" s="2683"/>
      <c r="E11" s="2683"/>
      <c r="F11" s="2690"/>
      <c r="G11" s="2699"/>
      <c r="H11" s="2697"/>
      <c r="I11" s="2727"/>
      <c r="J11" s="2728"/>
      <c r="K11" s="2697"/>
      <c r="L11" s="2727"/>
      <c r="M11" s="2728"/>
      <c r="N11" s="2697"/>
      <c r="O11" s="2727"/>
      <c r="P11" s="2728"/>
      <c r="Q11" s="2697"/>
      <c r="R11" s="2727"/>
      <c r="S11" s="2508"/>
      <c r="T11" s="2508"/>
      <c r="U11" s="2508"/>
      <c r="V11" s="2508"/>
      <c r="W11" s="2508"/>
      <c r="X11" s="2508"/>
      <c r="Y11" s="2508"/>
      <c r="Z11" s="2508"/>
      <c r="AA11" s="2508"/>
      <c r="AB11" s="2508"/>
      <c r="AC11" s="2508"/>
    </row>
    <row r="12" spans="1:29" s="2665" customFormat="1" ht="17.399999999999999">
      <c r="A12" s="2698"/>
      <c r="B12" s="2690"/>
      <c r="C12" s="2683"/>
      <c r="D12" s="2700"/>
      <c r="E12" s="2683"/>
      <c r="F12" s="2690"/>
      <c r="G12" s="2699"/>
      <c r="H12" s="2701"/>
      <c r="I12" s="2729"/>
      <c r="J12" s="2701"/>
      <c r="K12" s="2701"/>
      <c r="L12" s="2730"/>
      <c r="M12" s="2701"/>
      <c r="N12" s="2731"/>
      <c r="O12" s="2732"/>
      <c r="P12" s="2731"/>
      <c r="Q12" s="2731"/>
      <c r="R12" s="2734"/>
      <c r="S12" s="2735"/>
      <c r="T12" s="2735"/>
      <c r="U12" s="2735"/>
      <c r="V12" s="2735"/>
      <c r="W12" s="2735"/>
      <c r="X12" s="2735"/>
      <c r="Y12" s="2735"/>
      <c r="Z12" s="2735"/>
      <c r="AA12" s="2735"/>
      <c r="AB12" s="2735"/>
      <c r="AC12" s="2735"/>
    </row>
    <row r="13" spans="1:29" ht="14.4">
      <c r="A13" s="2702" t="s">
        <v>2613</v>
      </c>
      <c r="B13" s="2700"/>
      <c r="C13" s="2700"/>
      <c r="D13" s="2698"/>
      <c r="E13" s="2700"/>
      <c r="F13" s="2700"/>
      <c r="G13" s="2700"/>
    </row>
    <row r="14" spans="1:29">
      <c r="A14" s="2703"/>
      <c r="B14" s="2703"/>
      <c r="C14" s="2704" t="s">
        <v>2592</v>
      </c>
      <c r="D14" s="2683"/>
      <c r="E14" s="2705"/>
      <c r="F14" s="2705"/>
      <c r="G14" s="2677" t="s">
        <v>2593</v>
      </c>
    </row>
    <row r="15" spans="1:29" ht="52.8">
      <c r="A15" s="2706" t="s">
        <v>2594</v>
      </c>
      <c r="B15" s="2707" t="s">
        <v>2595</v>
      </c>
      <c r="C15" s="2708" t="str">
        <f>C3</f>
        <v>估价对象周边居住用地比例、居住小区规模和社区发展完善程度，综合评价居住社区成熟度一般</v>
      </c>
      <c r="D15" s="2683"/>
      <c r="E15" s="2709" t="s">
        <v>2594</v>
      </c>
      <c r="F15" s="2707" t="s">
        <v>2597</v>
      </c>
      <c r="G15" s="2710" t="str">
        <f>G3</f>
        <v>估价对象位于XX开发区，园区建设成熟度XX，产业集聚程度XX</v>
      </c>
    </row>
    <row r="16" spans="1:29" ht="39.6">
      <c r="A16" s="2711"/>
      <c r="B16" s="2712" t="s">
        <v>2599</v>
      </c>
      <c r="C16" s="2713" t="str">
        <f>C4</f>
        <v>估价对象位于XX商圈，周边商业氛围成熟，人流量大，商业繁华度好</v>
      </c>
      <c r="D16" s="2683"/>
      <c r="E16" s="2714"/>
      <c r="F16" s="2715" t="s">
        <v>2601</v>
      </c>
      <c r="G16" s="2716" t="str">
        <f>G4</f>
        <v>估价对象周边道路状况、公共交通通达情况、停车便捷程度，综合评价交通便捷度较好</v>
      </c>
    </row>
    <row r="17" spans="1:18" ht="39.6">
      <c r="A17" s="2711"/>
      <c r="B17" s="2712" t="s">
        <v>2603</v>
      </c>
      <c r="C17" s="2713" t="str">
        <f>C5</f>
        <v>估价对象位于XX商圈，周边办公楼项目较多，入驻率高，办公集聚程度较好</v>
      </c>
      <c r="D17" s="2690"/>
      <c r="E17" s="2714"/>
      <c r="F17" s="2715" t="s">
        <v>2614</v>
      </c>
      <c r="G17" s="2717"/>
    </row>
    <row r="18" spans="1:18" ht="52.8">
      <c r="A18" s="2711"/>
      <c r="B18" s="2715" t="s">
        <v>2601</v>
      </c>
      <c r="C18" s="2716" t="str">
        <f>C6</f>
        <v>估价对象周边道路状况、公共交通通达情况、停车便捷程度，综合评价交通便捷度较好</v>
      </c>
      <c r="D18" s="2690"/>
      <c r="E18" s="2714"/>
      <c r="F18" s="2715" t="s">
        <v>2608</v>
      </c>
      <c r="G18" s="2716" t="str">
        <f>G7</f>
        <v>该园区内是否有污染型企业，绿化情况，卫生条件，整体环境状况判断</v>
      </c>
    </row>
    <row r="19" spans="1:18" ht="26.4">
      <c r="A19" s="2711"/>
      <c r="B19" s="2715" t="s">
        <v>2614</v>
      </c>
      <c r="C19" s="2717"/>
      <c r="D19" s="2683"/>
      <c r="E19" s="2714"/>
      <c r="F19" s="742" t="s">
        <v>553</v>
      </c>
      <c r="G19" s="2716" t="str">
        <f>G5</f>
        <v>估价对象所在区域公共配套设施齐备情况</v>
      </c>
    </row>
    <row r="20" spans="1:18" ht="26.4">
      <c r="A20" s="2711"/>
      <c r="B20" s="2715" t="s">
        <v>2615</v>
      </c>
      <c r="C20" s="2713" t="str">
        <f>C9</f>
        <v>区域自然环境：；人文环境；综合评价环境状况一般</v>
      </c>
      <c r="D20" s="2690"/>
      <c r="E20" s="2714"/>
      <c r="F20" s="742" t="s">
        <v>2606</v>
      </c>
      <c r="G20" s="2716" t="str">
        <f>G6</f>
        <v>估价对象所在区域基础设施水平</v>
      </c>
    </row>
    <row r="21" spans="1:18" ht="26.4">
      <c r="A21" s="2711"/>
      <c r="B21" s="742" t="s">
        <v>553</v>
      </c>
      <c r="C21" s="2716" t="str">
        <f>C7</f>
        <v>估价对象所在区域公共配套设施齐备情况</v>
      </c>
      <c r="D21" s="2683"/>
      <c r="E21" s="2714"/>
      <c r="F21" s="2715" t="s">
        <v>2616</v>
      </c>
      <c r="G21" s="2718"/>
    </row>
    <row r="22" spans="1:18" ht="13.5" customHeight="1">
      <c r="A22" s="2711"/>
      <c r="B22" s="742" t="s">
        <v>2606</v>
      </c>
      <c r="C22" s="2716" t="str">
        <f>C8</f>
        <v>估价对象所在区域基础设施水平</v>
      </c>
      <c r="D22" s="2683"/>
      <c r="E22" s="2714"/>
      <c r="F22" s="2715" t="s">
        <v>2612</v>
      </c>
      <c r="G22" s="2717"/>
    </row>
    <row r="23" spans="1:18" s="2508" customFormat="1">
      <c r="A23" s="2711"/>
      <c r="B23" s="2715" t="s">
        <v>2616</v>
      </c>
      <c r="C23" s="2718"/>
      <c r="D23" s="1961"/>
      <c r="E23" s="2719"/>
      <c r="F23" s="2720" t="s">
        <v>498</v>
      </c>
      <c r="G23" s="2721"/>
      <c r="H23" s="2671"/>
      <c r="I23" s="2672"/>
      <c r="J23" s="2671"/>
      <c r="K23" s="2671"/>
      <c r="L23" s="2672"/>
      <c r="M23" s="2671"/>
      <c r="N23" s="2671"/>
      <c r="O23" s="2672"/>
      <c r="P23" s="2671"/>
      <c r="Q23" s="2671"/>
      <c r="R23" s="2673"/>
    </row>
    <row r="24" spans="1:18" s="2508" customFormat="1">
      <c r="A24" s="2722"/>
      <c r="B24" s="2720" t="s">
        <v>2612</v>
      </c>
      <c r="C24" s="2723">
        <f>C10</f>
        <v>0</v>
      </c>
      <c r="D24" s="1961"/>
      <c r="E24" s="2724"/>
      <c r="F24" s="2724"/>
      <c r="G24" s="2725"/>
      <c r="H24" s="2671"/>
      <c r="I24" s="2672"/>
      <c r="J24" s="2671"/>
      <c r="K24" s="2671"/>
      <c r="L24" s="2672"/>
      <c r="M24" s="2671"/>
      <c r="N24" s="2671"/>
      <c r="O24" s="2672"/>
      <c r="P24" s="2671"/>
      <c r="Q24" s="2671"/>
      <c r="R24" s="2673"/>
    </row>
    <row r="25" spans="1:18" s="2508" customFormat="1">
      <c r="B25" s="2671"/>
      <c r="C25" s="2671"/>
      <c r="D25" s="2671"/>
      <c r="H25" s="2671"/>
      <c r="I25" s="2672"/>
      <c r="J25" s="2671"/>
      <c r="K25" s="2671"/>
      <c r="L25" s="2672"/>
      <c r="M25" s="2671"/>
      <c r="N25" s="2671"/>
      <c r="O25" s="2672"/>
      <c r="P25" s="2671"/>
      <c r="Q25" s="2671"/>
      <c r="R25" s="2673"/>
    </row>
    <row r="26" spans="1:18" s="2508" customFormat="1">
      <c r="B26" s="2671"/>
      <c r="C26" s="2671"/>
      <c r="D26" s="2671"/>
      <c r="H26" s="2671"/>
      <c r="I26" s="2672"/>
      <c r="J26" s="2671"/>
      <c r="K26" s="2671"/>
      <c r="L26" s="2672"/>
      <c r="M26" s="2671"/>
      <c r="N26" s="2671"/>
      <c r="O26" s="2672"/>
      <c r="P26" s="2671"/>
      <c r="Q26" s="2671"/>
      <c r="R26" s="2673"/>
    </row>
    <row r="27" spans="1:18" s="2508" customFormat="1">
      <c r="B27" s="2671"/>
      <c r="C27" s="2671"/>
      <c r="D27" s="2671"/>
      <c r="H27" s="2671"/>
      <c r="I27" s="2672"/>
      <c r="J27" s="2671"/>
      <c r="K27" s="2671"/>
      <c r="L27" s="2672"/>
      <c r="M27" s="2671"/>
      <c r="N27" s="2671"/>
      <c r="O27" s="2672"/>
      <c r="P27" s="2671"/>
      <c r="Q27" s="2671"/>
      <c r="R27" s="2673"/>
    </row>
    <row r="28" spans="1:18" s="2508" customFormat="1">
      <c r="B28" s="2671"/>
      <c r="C28" s="2671"/>
      <c r="D28" s="2671"/>
      <c r="H28" s="2671"/>
      <c r="I28" s="2672"/>
      <c r="J28" s="2671"/>
      <c r="K28" s="2671"/>
      <c r="L28" s="2672"/>
      <c r="M28" s="2671"/>
      <c r="N28" s="2671"/>
      <c r="O28" s="2672"/>
      <c r="P28" s="2671"/>
      <c r="Q28" s="2671"/>
      <c r="R28" s="2673"/>
    </row>
    <row r="29" spans="1:18" s="2508" customFormat="1">
      <c r="B29" s="2671"/>
      <c r="C29" s="2671"/>
      <c r="D29" s="2671"/>
      <c r="H29" s="2671"/>
      <c r="I29" s="2672"/>
      <c r="J29" s="2671"/>
      <c r="K29" s="2671"/>
      <c r="L29" s="2672"/>
      <c r="M29" s="2671"/>
      <c r="N29" s="2671"/>
      <c r="O29" s="2672"/>
      <c r="P29" s="2671"/>
      <c r="Q29" s="2671"/>
      <c r="R29" s="2673"/>
    </row>
    <row r="30" spans="1:18" s="2508" customFormat="1">
      <c r="B30" s="2671"/>
      <c r="C30" s="2671"/>
      <c r="D30" s="2671"/>
      <c r="H30" s="2671"/>
      <c r="I30" s="2672"/>
      <c r="J30" s="2671"/>
      <c r="K30" s="2671"/>
      <c r="L30" s="2672"/>
      <c r="M30" s="2671"/>
      <c r="N30" s="2671"/>
      <c r="O30" s="2672"/>
      <c r="P30" s="2671"/>
      <c r="Q30" s="2671"/>
      <c r="R30" s="2673"/>
    </row>
    <row r="31" spans="1:18" s="2508" customFormat="1">
      <c r="B31" s="2671"/>
      <c r="C31" s="2671"/>
      <c r="D31" s="2671"/>
      <c r="H31" s="2671"/>
      <c r="I31" s="2672"/>
      <c r="J31" s="2671"/>
      <c r="K31" s="2671"/>
      <c r="L31" s="2672"/>
      <c r="M31" s="2671"/>
      <c r="N31" s="2671"/>
      <c r="O31" s="2672"/>
      <c r="P31" s="2671"/>
      <c r="Q31" s="2671"/>
      <c r="R31" s="2673"/>
    </row>
    <row r="32" spans="1:18" s="2508" customFormat="1">
      <c r="B32" s="2671"/>
      <c r="C32" s="2671"/>
      <c r="D32" s="2671"/>
      <c r="H32" s="2671"/>
      <c r="I32" s="2672"/>
      <c r="J32" s="2671"/>
      <c r="K32" s="2671"/>
      <c r="L32" s="2672"/>
      <c r="M32" s="2671"/>
      <c r="N32" s="2671"/>
      <c r="O32" s="2672"/>
      <c r="P32" s="2671"/>
      <c r="Q32" s="2671"/>
      <c r="R32" s="2673"/>
    </row>
    <row r="33" spans="2:18" s="2508" customFormat="1">
      <c r="B33" s="2671"/>
      <c r="C33" s="2671"/>
      <c r="D33" s="2671"/>
      <c r="H33" s="2671"/>
      <c r="I33" s="2672"/>
      <c r="J33" s="2671"/>
      <c r="K33" s="2671"/>
      <c r="L33" s="2672"/>
      <c r="M33" s="2671"/>
      <c r="N33" s="2671"/>
      <c r="O33" s="2672"/>
      <c r="P33" s="2671"/>
      <c r="Q33" s="2671"/>
      <c r="R33" s="2673"/>
    </row>
    <row r="34" spans="2:18" s="2508" customFormat="1">
      <c r="B34" s="2671"/>
      <c r="C34" s="2671"/>
      <c r="D34" s="2671"/>
      <c r="H34" s="2671"/>
      <c r="I34" s="2672"/>
      <c r="J34" s="2671"/>
      <c r="K34" s="2671"/>
      <c r="L34" s="2672"/>
      <c r="M34" s="2671"/>
      <c r="N34" s="2671"/>
      <c r="O34" s="2672"/>
      <c r="P34" s="2671"/>
      <c r="Q34" s="2671"/>
      <c r="R34" s="2673"/>
    </row>
    <row r="35" spans="2:18" s="2508" customFormat="1">
      <c r="B35" s="2671"/>
      <c r="C35" s="2671"/>
      <c r="D35" s="2671"/>
      <c r="H35" s="2671"/>
      <c r="I35" s="2672"/>
      <c r="J35" s="2671"/>
      <c r="K35" s="2671"/>
      <c r="L35" s="2672"/>
      <c r="M35" s="2671"/>
      <c r="N35" s="2671"/>
      <c r="O35" s="2672"/>
      <c r="P35" s="2671"/>
      <c r="Q35" s="2671"/>
      <c r="R35" s="2673"/>
    </row>
    <row r="36" spans="2:18" s="2508" customFormat="1">
      <c r="B36" s="2671"/>
      <c r="C36" s="2671"/>
      <c r="D36" s="2671"/>
      <c r="H36" s="2671"/>
      <c r="I36" s="2672"/>
      <c r="J36" s="2671"/>
      <c r="K36" s="2671"/>
      <c r="L36" s="2672"/>
      <c r="M36" s="2671"/>
      <c r="N36" s="2671"/>
      <c r="O36" s="2672"/>
      <c r="P36" s="2671"/>
      <c r="Q36" s="2671"/>
      <c r="R36" s="2673"/>
    </row>
    <row r="37" spans="2:18" s="2508" customFormat="1">
      <c r="B37" s="2671"/>
      <c r="C37" s="2671"/>
      <c r="D37" s="2671"/>
      <c r="H37" s="2671"/>
      <c r="I37" s="2672"/>
      <c r="J37" s="2671"/>
      <c r="K37" s="2671"/>
      <c r="L37" s="2672"/>
      <c r="M37" s="2671"/>
      <c r="N37" s="2671"/>
      <c r="O37" s="2672"/>
      <c r="P37" s="2671"/>
      <c r="Q37" s="2671"/>
      <c r="R37" s="2673"/>
    </row>
    <row r="38" spans="2:18" s="2508" customFormat="1">
      <c r="B38" s="2671"/>
      <c r="C38" s="2671"/>
      <c r="D38" s="2671"/>
      <c r="E38" s="2671"/>
      <c r="F38" s="2671"/>
      <c r="G38" s="2672"/>
      <c r="H38" s="2671"/>
      <c r="I38" s="2672"/>
      <c r="J38" s="2671"/>
      <c r="K38" s="2671"/>
      <c r="L38" s="2672"/>
      <c r="M38" s="2671"/>
      <c r="N38" s="2671"/>
      <c r="O38" s="2672"/>
      <c r="P38" s="2671"/>
      <c r="Q38" s="2671"/>
      <c r="R38" s="2673"/>
    </row>
    <row r="39" spans="2:18" s="2508" customFormat="1">
      <c r="B39" s="2671"/>
      <c r="C39" s="2671"/>
      <c r="D39" s="2671"/>
      <c r="E39" s="2671"/>
      <c r="F39" s="2671"/>
      <c r="G39" s="2672"/>
      <c r="H39" s="2671"/>
      <c r="I39" s="2672"/>
      <c r="J39" s="2671"/>
      <c r="K39" s="2671"/>
      <c r="L39" s="2672"/>
      <c r="M39" s="2671"/>
      <c r="N39" s="2671"/>
      <c r="O39" s="2672"/>
      <c r="P39" s="2671"/>
      <c r="Q39" s="2671"/>
      <c r="R39" s="2673"/>
    </row>
    <row r="40" spans="2:18" s="2508" customFormat="1">
      <c r="B40" s="2671"/>
      <c r="C40" s="2671"/>
      <c r="D40" s="2671"/>
      <c r="E40" s="2671"/>
      <c r="F40" s="2671"/>
      <c r="G40" s="2672"/>
      <c r="H40" s="2671"/>
      <c r="I40" s="2672"/>
      <c r="J40" s="2671"/>
      <c r="K40" s="2671"/>
      <c r="L40" s="2672"/>
      <c r="M40" s="2671"/>
      <c r="N40" s="2671"/>
      <c r="O40" s="2672"/>
      <c r="P40" s="2671"/>
      <c r="Q40" s="2671"/>
      <c r="R40" s="2673"/>
    </row>
    <row r="41" spans="2:18" s="2508" customFormat="1">
      <c r="B41" s="2671"/>
      <c r="C41" s="2671"/>
      <c r="D41" s="2671"/>
      <c r="E41" s="2671"/>
      <c r="F41" s="2671"/>
      <c r="G41" s="2672"/>
      <c r="H41" s="2671"/>
      <c r="I41" s="2672"/>
      <c r="J41" s="2671"/>
      <c r="K41" s="2671"/>
      <c r="L41" s="2672"/>
      <c r="M41" s="2671"/>
      <c r="N41" s="2671"/>
      <c r="O41" s="2672"/>
      <c r="P41" s="2671"/>
      <c r="Q41" s="2671"/>
      <c r="R41" s="2673"/>
    </row>
    <row r="42" spans="2:18" s="2508" customFormat="1">
      <c r="B42" s="2671"/>
      <c r="C42" s="2671"/>
      <c r="D42" s="2671"/>
      <c r="E42" s="2671"/>
      <c r="F42" s="2671"/>
      <c r="G42" s="2672"/>
      <c r="H42" s="2671"/>
      <c r="I42" s="2672"/>
      <c r="J42" s="2671"/>
      <c r="K42" s="2671"/>
      <c r="L42" s="2672"/>
      <c r="M42" s="2671"/>
      <c r="N42" s="2671"/>
      <c r="O42" s="2672"/>
      <c r="P42" s="2671"/>
      <c r="Q42" s="2671"/>
      <c r="R42" s="2673"/>
    </row>
    <row r="43" spans="2:18" s="2508" customFormat="1">
      <c r="B43" s="2671"/>
      <c r="C43" s="2671"/>
      <c r="D43" s="2671"/>
      <c r="E43" s="2671"/>
      <c r="F43" s="2671"/>
      <c r="G43" s="2672"/>
      <c r="H43" s="2671"/>
      <c r="I43" s="2672"/>
      <c r="J43" s="2671"/>
      <c r="K43" s="2671"/>
      <c r="L43" s="2672"/>
      <c r="M43" s="2671"/>
      <c r="N43" s="2671"/>
      <c r="O43" s="2672"/>
      <c r="P43" s="2671"/>
      <c r="Q43" s="2671"/>
      <c r="R43" s="2673"/>
    </row>
    <row r="44" spans="2:18" s="2508" customFormat="1">
      <c r="B44" s="2671"/>
      <c r="C44" s="2671"/>
      <c r="D44" s="2671"/>
      <c r="E44" s="2671"/>
      <c r="F44" s="2671"/>
      <c r="G44" s="2672"/>
      <c r="H44" s="2671"/>
      <c r="I44" s="2672"/>
      <c r="J44" s="2671"/>
      <c r="K44" s="2671"/>
      <c r="L44" s="2672"/>
      <c r="M44" s="2671"/>
      <c r="N44" s="2671"/>
      <c r="O44" s="2672"/>
      <c r="P44" s="2671"/>
      <c r="Q44" s="2671"/>
      <c r="R44" s="2673"/>
    </row>
    <row r="45" spans="2:18" s="2508" customFormat="1">
      <c r="B45" s="2671"/>
      <c r="C45" s="2671"/>
      <c r="D45" s="2671"/>
      <c r="E45" s="2671"/>
      <c r="F45" s="2671"/>
      <c r="G45" s="2672"/>
      <c r="H45" s="2671"/>
      <c r="I45" s="2672"/>
      <c r="J45" s="2671"/>
      <c r="K45" s="2671"/>
      <c r="L45" s="2672"/>
      <c r="M45" s="2671"/>
      <c r="N45" s="2671"/>
      <c r="O45" s="2672"/>
      <c r="P45" s="2671"/>
      <c r="Q45" s="2671"/>
      <c r="R45" s="2673"/>
    </row>
    <row r="46" spans="2:18" s="2508" customFormat="1">
      <c r="B46" s="2671"/>
      <c r="C46" s="2671"/>
      <c r="D46" s="2671"/>
      <c r="E46" s="2671"/>
      <c r="F46" s="2671"/>
      <c r="G46" s="2672"/>
      <c r="H46" s="2671"/>
      <c r="I46" s="2672"/>
      <c r="J46" s="2671"/>
      <c r="K46" s="2671"/>
      <c r="L46" s="2672"/>
      <c r="M46" s="2671"/>
      <c r="N46" s="2671"/>
      <c r="O46" s="2672"/>
      <c r="P46" s="2671"/>
      <c r="Q46" s="2671"/>
      <c r="R46" s="2673"/>
    </row>
    <row r="47" spans="2:18" s="2508" customFormat="1">
      <c r="B47" s="2671"/>
      <c r="C47" s="2671"/>
      <c r="D47" s="2671"/>
      <c r="E47" s="2671"/>
      <c r="F47" s="2671"/>
      <c r="G47" s="2672"/>
      <c r="H47" s="2671"/>
      <c r="I47" s="2672"/>
      <c r="J47" s="2671"/>
      <c r="K47" s="2671"/>
      <c r="L47" s="2672"/>
      <c r="M47" s="2671"/>
      <c r="N47" s="2671"/>
      <c r="O47" s="2672"/>
      <c r="P47" s="2671"/>
      <c r="Q47" s="2671"/>
      <c r="R47" s="2673"/>
    </row>
    <row r="48" spans="2:18" s="2508" customFormat="1">
      <c r="B48" s="2671"/>
      <c r="C48" s="2671"/>
      <c r="D48" s="2671"/>
      <c r="E48" s="2671"/>
      <c r="F48" s="2671"/>
      <c r="G48" s="2672"/>
      <c r="H48" s="2671"/>
      <c r="I48" s="2672"/>
      <c r="J48" s="2671"/>
      <c r="K48" s="2671"/>
      <c r="L48" s="2672"/>
      <c r="M48" s="2671"/>
      <c r="N48" s="2671"/>
      <c r="O48" s="2672"/>
      <c r="P48" s="2671"/>
      <c r="Q48" s="2671"/>
      <c r="R48" s="2673"/>
    </row>
    <row r="49" spans="2:18" s="2508" customFormat="1">
      <c r="B49" s="2671"/>
      <c r="C49" s="2671"/>
      <c r="D49" s="2671"/>
      <c r="E49" s="2671"/>
      <c r="F49" s="2671"/>
      <c r="G49" s="2672"/>
      <c r="H49" s="2671"/>
      <c r="I49" s="2672"/>
      <c r="J49" s="2671"/>
      <c r="K49" s="2671"/>
      <c r="L49" s="2672"/>
      <c r="M49" s="2671"/>
      <c r="N49" s="2671"/>
      <c r="O49" s="2672"/>
      <c r="P49" s="2671"/>
      <c r="Q49" s="2671"/>
      <c r="R49" s="2673"/>
    </row>
    <row r="50" spans="2:18" s="2508" customFormat="1">
      <c r="B50" s="2671"/>
      <c r="C50" s="2671"/>
      <c r="D50" s="2671"/>
      <c r="E50" s="2671"/>
      <c r="F50" s="2671"/>
      <c r="G50" s="2672"/>
      <c r="H50" s="2671"/>
      <c r="I50" s="2672"/>
      <c r="J50" s="2671"/>
      <c r="K50" s="2671"/>
      <c r="L50" s="2672"/>
      <c r="M50" s="2671"/>
      <c r="N50" s="2671"/>
      <c r="O50" s="2672"/>
      <c r="P50" s="2671"/>
      <c r="Q50" s="2671"/>
      <c r="R50" s="2673"/>
    </row>
    <row r="51" spans="2:18" s="2508" customFormat="1">
      <c r="B51" s="2671"/>
      <c r="C51" s="2671"/>
      <c r="D51" s="2671"/>
      <c r="E51" s="2671"/>
      <c r="F51" s="2671"/>
      <c r="G51" s="2672"/>
      <c r="H51" s="2671"/>
      <c r="I51" s="2672"/>
      <c r="J51" s="2671"/>
      <c r="K51" s="2671"/>
      <c r="L51" s="2672"/>
      <c r="M51" s="2671"/>
      <c r="N51" s="2671"/>
      <c r="O51" s="2672"/>
      <c r="P51" s="2671"/>
      <c r="Q51" s="2671"/>
      <c r="R51" s="2673"/>
    </row>
    <row r="52" spans="2:18" s="2508" customFormat="1">
      <c r="B52" s="2671"/>
      <c r="C52" s="2671"/>
      <c r="D52" s="2671"/>
      <c r="E52" s="2671"/>
      <c r="F52" s="2671"/>
      <c r="G52" s="2672"/>
      <c r="H52" s="2671"/>
      <c r="I52" s="2672"/>
      <c r="J52" s="2671"/>
      <c r="K52" s="2671"/>
      <c r="L52" s="2672"/>
      <c r="M52" s="2671"/>
      <c r="N52" s="2671"/>
      <c r="O52" s="2672"/>
      <c r="P52" s="2671"/>
      <c r="Q52" s="2671"/>
      <c r="R52" s="2673"/>
    </row>
    <row r="53" spans="2:18" s="2508" customFormat="1">
      <c r="B53" s="2671"/>
      <c r="C53" s="2671"/>
      <c r="D53" s="2671"/>
      <c r="E53" s="2671"/>
      <c r="F53" s="2671"/>
      <c r="G53" s="2672"/>
      <c r="H53" s="2671"/>
      <c r="I53" s="2672"/>
      <c r="J53" s="2671"/>
      <c r="K53" s="2671"/>
      <c r="L53" s="2672"/>
      <c r="M53" s="2671"/>
      <c r="N53" s="2671"/>
      <c r="O53" s="2672"/>
      <c r="P53" s="2671"/>
      <c r="Q53" s="2671"/>
      <c r="R53" s="2673"/>
    </row>
    <row r="54" spans="2:18" s="2508" customFormat="1">
      <c r="B54" s="2671"/>
      <c r="C54" s="2671"/>
      <c r="D54" s="2671"/>
      <c r="E54" s="2671"/>
      <c r="F54" s="2671"/>
      <c r="G54" s="2672"/>
      <c r="H54" s="2671"/>
      <c r="I54" s="2672"/>
      <c r="J54" s="2671"/>
      <c r="K54" s="2671"/>
      <c r="L54" s="2672"/>
      <c r="M54" s="2671"/>
      <c r="N54" s="2671"/>
      <c r="O54" s="2672"/>
      <c r="P54" s="2671"/>
      <c r="Q54" s="2671"/>
      <c r="R54" s="2673"/>
    </row>
    <row r="55" spans="2:18" s="2508" customFormat="1">
      <c r="B55" s="2671"/>
      <c r="C55" s="2671"/>
      <c r="D55" s="2671"/>
      <c r="E55" s="2671"/>
      <c r="F55" s="2671"/>
      <c r="G55" s="2672"/>
      <c r="H55" s="2671"/>
      <c r="I55" s="2672"/>
      <c r="J55" s="2671"/>
      <c r="K55" s="2671"/>
      <c r="L55" s="2672"/>
      <c r="M55" s="2671"/>
      <c r="N55" s="2671"/>
      <c r="O55" s="2672"/>
      <c r="P55" s="2671"/>
      <c r="Q55" s="2671"/>
      <c r="R55" s="2673"/>
    </row>
    <row r="56" spans="2:18" s="2508" customFormat="1">
      <c r="B56" s="2671"/>
      <c r="C56" s="2671"/>
      <c r="D56" s="2671"/>
      <c r="E56" s="2671"/>
      <c r="F56" s="2671"/>
      <c r="G56" s="2672"/>
      <c r="H56" s="2671"/>
      <c r="I56" s="2672"/>
      <c r="J56" s="2671"/>
      <c r="K56" s="2671"/>
      <c r="L56" s="2672"/>
      <c r="M56" s="2671"/>
      <c r="N56" s="2671"/>
      <c r="O56" s="2672"/>
      <c r="P56" s="2671"/>
      <c r="Q56" s="2671"/>
      <c r="R56" s="2673"/>
    </row>
    <row r="57" spans="2:18" s="2508" customFormat="1">
      <c r="B57" s="2671"/>
      <c r="C57" s="2671"/>
      <c r="D57" s="2671"/>
      <c r="E57" s="2671"/>
      <c r="F57" s="2671"/>
      <c r="G57" s="2672"/>
      <c r="H57" s="2671"/>
      <c r="I57" s="2672"/>
      <c r="J57" s="2671"/>
      <c r="K57" s="2671"/>
      <c r="L57" s="2672"/>
      <c r="M57" s="2671"/>
      <c r="N57" s="2671"/>
      <c r="O57" s="2672"/>
      <c r="P57" s="2671"/>
      <c r="Q57" s="2671"/>
      <c r="R57" s="2673"/>
    </row>
    <row r="58" spans="2:18" s="2508" customFormat="1">
      <c r="B58" s="2671"/>
      <c r="C58" s="2671"/>
      <c r="D58" s="2671"/>
      <c r="E58" s="2671"/>
      <c r="F58" s="2671"/>
      <c r="G58" s="2672"/>
      <c r="H58" s="2671"/>
      <c r="I58" s="2672"/>
      <c r="J58" s="2671"/>
      <c r="K58" s="2671"/>
      <c r="L58" s="2672"/>
      <c r="M58" s="2671"/>
      <c r="N58" s="2671"/>
      <c r="O58" s="2672"/>
      <c r="P58" s="2671"/>
      <c r="Q58" s="2671"/>
      <c r="R58" s="2673"/>
    </row>
    <row r="59" spans="2:18" s="2508" customFormat="1">
      <c r="B59" s="2671"/>
      <c r="C59" s="2671"/>
      <c r="D59" s="2671"/>
      <c r="E59" s="2671"/>
      <c r="F59" s="2671"/>
      <c r="G59" s="2672"/>
      <c r="H59" s="2671"/>
      <c r="I59" s="2672"/>
      <c r="J59" s="2671"/>
      <c r="K59" s="2671"/>
      <c r="L59" s="2672"/>
      <c r="M59" s="2671"/>
      <c r="N59" s="2671"/>
      <c r="O59" s="2672"/>
      <c r="P59" s="2671"/>
      <c r="Q59" s="2671"/>
      <c r="R59" s="2673"/>
    </row>
    <row r="60" spans="2:18" s="2508" customFormat="1">
      <c r="B60" s="2671"/>
      <c r="C60" s="2671"/>
      <c r="D60" s="2671"/>
      <c r="E60" s="2671"/>
      <c r="F60" s="2671"/>
      <c r="G60" s="2672"/>
      <c r="H60" s="2671"/>
      <c r="I60" s="2672"/>
      <c r="J60" s="2671"/>
      <c r="K60" s="2671"/>
      <c r="L60" s="2672"/>
      <c r="M60" s="2671"/>
      <c r="N60" s="2671"/>
      <c r="O60" s="2672"/>
      <c r="P60" s="2671"/>
      <c r="Q60" s="2671"/>
      <c r="R60" s="2673"/>
    </row>
    <row r="61" spans="2:18" s="2508" customFormat="1">
      <c r="B61" s="2671"/>
      <c r="C61" s="2671"/>
      <c r="D61" s="2671"/>
      <c r="E61" s="2671"/>
      <c r="F61" s="2671"/>
      <c r="G61" s="2672"/>
      <c r="H61" s="2671"/>
      <c r="I61" s="2672"/>
      <c r="J61" s="2671"/>
      <c r="K61" s="2671"/>
      <c r="L61" s="2672"/>
      <c r="M61" s="2671"/>
      <c r="N61" s="2671"/>
      <c r="O61" s="2672"/>
      <c r="P61" s="2671"/>
      <c r="Q61" s="2671"/>
      <c r="R61" s="2673"/>
    </row>
    <row r="62" spans="2:18" s="2508" customFormat="1">
      <c r="B62" s="2671"/>
      <c r="C62" s="2671"/>
      <c r="D62" s="2671"/>
      <c r="E62" s="2671"/>
      <c r="F62" s="2671"/>
      <c r="G62" s="2672"/>
      <c r="H62" s="2671"/>
      <c r="I62" s="2672"/>
      <c r="J62" s="2671"/>
      <c r="K62" s="2671"/>
      <c r="L62" s="2672"/>
      <c r="M62" s="2671"/>
      <c r="N62" s="2671"/>
      <c r="O62" s="2672"/>
      <c r="P62" s="2671"/>
      <c r="Q62" s="2671"/>
      <c r="R62" s="2673"/>
    </row>
    <row r="63" spans="2:18" s="2508" customFormat="1">
      <c r="B63" s="2671"/>
      <c r="C63" s="2671"/>
      <c r="D63" s="2671"/>
      <c r="E63" s="2671"/>
      <c r="F63" s="2671"/>
      <c r="G63" s="2672"/>
      <c r="H63" s="2671"/>
      <c r="I63" s="2672"/>
      <c r="J63" s="2671"/>
      <c r="K63" s="2671"/>
      <c r="L63" s="2672"/>
      <c r="M63" s="2671"/>
      <c r="N63" s="2671"/>
      <c r="O63" s="2672"/>
      <c r="P63" s="2671"/>
      <c r="Q63" s="2671"/>
      <c r="R63" s="2673"/>
    </row>
    <row r="64" spans="2:18" s="2508" customFormat="1">
      <c r="B64" s="2671"/>
      <c r="C64" s="2671"/>
      <c r="D64" s="2671"/>
      <c r="E64" s="2671"/>
      <c r="F64" s="2671"/>
      <c r="G64" s="2672"/>
      <c r="H64" s="2671"/>
      <c r="I64" s="2672"/>
      <c r="J64" s="2671"/>
      <c r="K64" s="2671"/>
      <c r="L64" s="2672"/>
      <c r="M64" s="2671"/>
      <c r="N64" s="2671"/>
      <c r="O64" s="2672"/>
      <c r="P64" s="2671"/>
      <c r="Q64" s="2671"/>
      <c r="R64" s="2673"/>
    </row>
    <row r="65" spans="2:18" s="2508" customFormat="1">
      <c r="B65" s="2671"/>
      <c r="C65" s="2671"/>
      <c r="D65" s="2671"/>
      <c r="E65" s="2671"/>
      <c r="F65" s="2671"/>
      <c r="G65" s="2672"/>
      <c r="H65" s="2671"/>
      <c r="I65" s="2672"/>
      <c r="J65" s="2671"/>
      <c r="K65" s="2671"/>
      <c r="L65" s="2672"/>
      <c r="M65" s="2671"/>
      <c r="N65" s="2671"/>
      <c r="O65" s="2672"/>
      <c r="P65" s="2671"/>
      <c r="Q65" s="2671"/>
      <c r="R65" s="2673"/>
    </row>
    <row r="66" spans="2:18" s="2508" customFormat="1">
      <c r="B66" s="2671"/>
      <c r="C66" s="2671"/>
      <c r="D66" s="2671"/>
      <c r="E66" s="2671"/>
      <c r="F66" s="2671"/>
      <c r="G66" s="2672"/>
      <c r="H66" s="2671"/>
      <c r="I66" s="2672"/>
      <c r="J66" s="2671"/>
      <c r="K66" s="2671"/>
      <c r="L66" s="2672"/>
      <c r="M66" s="2671"/>
      <c r="N66" s="2671"/>
      <c r="O66" s="2672"/>
      <c r="P66" s="2671"/>
      <c r="Q66" s="2671"/>
      <c r="R66" s="2673"/>
    </row>
    <row r="67" spans="2:18" s="2508" customFormat="1">
      <c r="B67" s="2671"/>
      <c r="C67" s="2671"/>
      <c r="D67" s="2671"/>
      <c r="E67" s="2671"/>
      <c r="F67" s="2671"/>
      <c r="G67" s="2672"/>
      <c r="H67" s="2671"/>
      <c r="I67" s="2672"/>
      <c r="J67" s="2671"/>
      <c r="K67" s="2671"/>
      <c r="L67" s="2672"/>
      <c r="M67" s="2671"/>
      <c r="N67" s="2671"/>
      <c r="O67" s="2672"/>
      <c r="P67" s="2671"/>
      <c r="Q67" s="2671"/>
      <c r="R67" s="2673"/>
    </row>
    <row r="68" spans="2:18" s="2508" customFormat="1">
      <c r="B68" s="2671"/>
      <c r="C68" s="2671"/>
      <c r="D68" s="2671"/>
      <c r="E68" s="2671"/>
      <c r="F68" s="2671"/>
      <c r="G68" s="2672"/>
      <c r="H68" s="2671"/>
      <c r="I68" s="2672"/>
      <c r="J68" s="2671"/>
      <c r="K68" s="2671"/>
      <c r="L68" s="2672"/>
      <c r="M68" s="2671"/>
      <c r="N68" s="2671"/>
      <c r="O68" s="2672"/>
      <c r="P68" s="2671"/>
      <c r="Q68" s="2671"/>
      <c r="R68" s="2673"/>
    </row>
    <row r="69" spans="2:18" s="2508" customFormat="1">
      <c r="B69" s="2671"/>
      <c r="C69" s="2671"/>
      <c r="D69" s="2671"/>
      <c r="E69" s="2671"/>
      <c r="F69" s="2671"/>
      <c r="G69" s="2672"/>
      <c r="H69" s="2671"/>
      <c r="I69" s="2672"/>
      <c r="J69" s="2671"/>
      <c r="K69" s="2671"/>
      <c r="L69" s="2672"/>
      <c r="M69" s="2671"/>
      <c r="N69" s="2671"/>
      <c r="O69" s="2672"/>
      <c r="P69" s="2671"/>
      <c r="Q69" s="2671"/>
      <c r="R69" s="2673"/>
    </row>
    <row r="70" spans="2:18" s="2508" customFormat="1">
      <c r="B70" s="2671"/>
      <c r="C70" s="2671"/>
      <c r="D70" s="2671"/>
      <c r="E70" s="2671"/>
      <c r="F70" s="2671"/>
      <c r="G70" s="2672"/>
      <c r="H70" s="2671"/>
      <c r="I70" s="2672"/>
      <c r="J70" s="2671"/>
      <c r="K70" s="2671"/>
      <c r="L70" s="2672"/>
      <c r="M70" s="2671"/>
      <c r="N70" s="2671"/>
      <c r="O70" s="2672"/>
      <c r="P70" s="2671"/>
      <c r="Q70" s="2671"/>
      <c r="R70" s="2673"/>
    </row>
    <row r="71" spans="2:18" s="2508" customFormat="1">
      <c r="B71" s="2671"/>
      <c r="C71" s="2671"/>
      <c r="D71" s="2671"/>
      <c r="E71" s="2671"/>
      <c r="F71" s="2671"/>
      <c r="G71" s="2672"/>
      <c r="H71" s="2671"/>
      <c r="I71" s="2672"/>
      <c r="J71" s="2671"/>
      <c r="K71" s="2671"/>
      <c r="L71" s="2672"/>
      <c r="M71" s="2671"/>
      <c r="N71" s="2671"/>
      <c r="O71" s="2672"/>
      <c r="P71" s="2671"/>
      <c r="Q71" s="2671"/>
      <c r="R71" s="2673"/>
    </row>
    <row r="72" spans="2:18" s="2508" customFormat="1">
      <c r="B72" s="2671"/>
      <c r="C72" s="2671"/>
      <c r="D72" s="2671"/>
      <c r="E72" s="2671"/>
      <c r="F72" s="2671"/>
      <c r="G72" s="2672"/>
      <c r="H72" s="2671"/>
      <c r="I72" s="2672"/>
      <c r="J72" s="2671"/>
      <c r="K72" s="2671"/>
      <c r="L72" s="2672"/>
      <c r="M72" s="2671"/>
      <c r="N72" s="2671"/>
      <c r="O72" s="2672"/>
      <c r="P72" s="2671"/>
      <c r="Q72" s="2671"/>
      <c r="R72" s="2673"/>
    </row>
    <row r="73" spans="2:18" s="2508" customFormat="1">
      <c r="B73" s="2671"/>
      <c r="C73" s="2671"/>
      <c r="D73" s="2671"/>
      <c r="E73" s="2671"/>
      <c r="F73" s="2671"/>
      <c r="G73" s="2672"/>
      <c r="H73" s="2671"/>
      <c r="I73" s="2672"/>
      <c r="J73" s="2671"/>
      <c r="K73" s="2671"/>
      <c r="L73" s="2672"/>
      <c r="M73" s="2671"/>
      <c r="N73" s="2671"/>
      <c r="O73" s="2672"/>
      <c r="P73" s="2671"/>
      <c r="Q73" s="2671"/>
      <c r="R73" s="2673"/>
    </row>
    <row r="74" spans="2:18" s="2508" customFormat="1">
      <c r="B74" s="2671"/>
      <c r="C74" s="2671"/>
      <c r="D74" s="2671"/>
      <c r="E74" s="2671"/>
      <c r="F74" s="2671"/>
      <c r="G74" s="2672"/>
      <c r="H74" s="2671"/>
      <c r="I74" s="2672"/>
      <c r="J74" s="2671"/>
      <c r="K74" s="2671"/>
      <c r="L74" s="2672"/>
      <c r="M74" s="2671"/>
      <c r="N74" s="2671"/>
      <c r="O74" s="2672"/>
      <c r="P74" s="2671"/>
      <c r="Q74" s="2671"/>
      <c r="R74" s="2673"/>
    </row>
    <row r="75" spans="2:18" s="2508" customFormat="1">
      <c r="B75" s="2671"/>
      <c r="C75" s="2671"/>
      <c r="D75" s="2671"/>
      <c r="E75" s="2671"/>
      <c r="F75" s="2671"/>
      <c r="G75" s="2672"/>
      <c r="H75" s="2671"/>
      <c r="I75" s="2672"/>
      <c r="J75" s="2671"/>
      <c r="K75" s="2671"/>
      <c r="L75" s="2672"/>
      <c r="M75" s="2671"/>
      <c r="N75" s="2671"/>
      <c r="O75" s="2672"/>
      <c r="P75" s="2671"/>
      <c r="Q75" s="2671"/>
      <c r="R75" s="2673"/>
    </row>
    <row r="76" spans="2:18" s="2508" customFormat="1">
      <c r="B76" s="2671"/>
      <c r="C76" s="2671"/>
      <c r="D76" s="2671"/>
      <c r="E76" s="2671"/>
      <c r="F76" s="2671"/>
      <c r="G76" s="2672"/>
      <c r="H76" s="2671"/>
      <c r="I76" s="2672"/>
      <c r="J76" s="2671"/>
      <c r="K76" s="2671"/>
      <c r="L76" s="2672"/>
      <c r="M76" s="2671"/>
      <c r="N76" s="2671"/>
      <c r="O76" s="2672"/>
      <c r="P76" s="2671"/>
      <c r="Q76" s="2671"/>
      <c r="R76" s="2673"/>
    </row>
    <row r="77" spans="2:18" s="2508" customFormat="1">
      <c r="B77" s="2671"/>
      <c r="C77" s="2671"/>
      <c r="D77" s="2671"/>
      <c r="E77" s="2671"/>
      <c r="F77" s="2671"/>
      <c r="G77" s="2672"/>
      <c r="H77" s="2671"/>
      <c r="I77" s="2672"/>
      <c r="J77" s="2671"/>
      <c r="K77" s="2671"/>
      <c r="L77" s="2672"/>
      <c r="M77" s="2671"/>
      <c r="N77" s="2671"/>
      <c r="O77" s="2672"/>
      <c r="P77" s="2671"/>
      <c r="Q77" s="2671"/>
      <c r="R77" s="2673"/>
    </row>
    <row r="78" spans="2:18" s="2508" customFormat="1">
      <c r="B78" s="2671"/>
      <c r="C78" s="2671"/>
      <c r="D78" s="2671"/>
      <c r="E78" s="2671"/>
      <c r="F78" s="2671"/>
      <c r="G78" s="2672"/>
      <c r="H78" s="2671"/>
      <c r="I78" s="2672"/>
      <c r="J78" s="2671"/>
      <c r="K78" s="2671"/>
      <c r="L78" s="2672"/>
      <c r="M78" s="2671"/>
      <c r="N78" s="2671"/>
      <c r="O78" s="2672"/>
      <c r="P78" s="2671"/>
      <c r="Q78" s="2671"/>
      <c r="R78" s="2673"/>
    </row>
    <row r="79" spans="2:18" s="2508" customFormat="1">
      <c r="B79" s="2671"/>
      <c r="C79" s="2671"/>
      <c r="D79" s="2671"/>
      <c r="E79" s="2671"/>
      <c r="F79" s="2671"/>
      <c r="G79" s="2672"/>
      <c r="H79" s="2671"/>
      <c r="I79" s="2672"/>
      <c r="J79" s="2671"/>
      <c r="K79" s="2671"/>
      <c r="L79" s="2672"/>
      <c r="M79" s="2671"/>
      <c r="N79" s="2671"/>
      <c r="O79" s="2672"/>
      <c r="P79" s="2671"/>
      <c r="Q79" s="2671"/>
      <c r="R79" s="2673"/>
    </row>
    <row r="80" spans="2:18" s="2508" customFormat="1">
      <c r="B80" s="2671"/>
      <c r="C80" s="2671"/>
      <c r="D80" s="2671"/>
      <c r="E80" s="2671"/>
      <c r="F80" s="2671"/>
      <c r="G80" s="2672"/>
      <c r="H80" s="2671"/>
      <c r="I80" s="2672"/>
      <c r="J80" s="2671"/>
      <c r="K80" s="2671"/>
      <c r="L80" s="2672"/>
      <c r="M80" s="2671"/>
      <c r="N80" s="2671"/>
      <c r="O80" s="2672"/>
      <c r="P80" s="2671"/>
      <c r="Q80" s="2671"/>
      <c r="R80" s="2673"/>
    </row>
    <row r="81" spans="2:18" s="2508" customFormat="1">
      <c r="B81" s="2671"/>
      <c r="C81" s="2671"/>
      <c r="D81" s="2671"/>
      <c r="E81" s="2671"/>
      <c r="F81" s="2671"/>
      <c r="G81" s="2672"/>
      <c r="H81" s="2671"/>
      <c r="I81" s="2672"/>
      <c r="J81" s="2671"/>
      <c r="K81" s="2671"/>
      <c r="L81" s="2672"/>
      <c r="M81" s="2671"/>
      <c r="N81" s="2671"/>
      <c r="O81" s="2672"/>
      <c r="P81" s="2671"/>
      <c r="Q81" s="2671"/>
      <c r="R81" s="2673"/>
    </row>
    <row r="82" spans="2:18" s="2508" customFormat="1">
      <c r="B82" s="2671"/>
      <c r="C82" s="2671"/>
      <c r="D82" s="2671"/>
      <c r="E82" s="2671"/>
      <c r="F82" s="2671"/>
      <c r="G82" s="2672"/>
      <c r="H82" s="2671"/>
      <c r="I82" s="2672"/>
      <c r="J82" s="2671"/>
      <c r="K82" s="2671"/>
      <c r="L82" s="2672"/>
      <c r="M82" s="2671"/>
      <c r="N82" s="2671"/>
      <c r="O82" s="2672"/>
      <c r="P82" s="2671"/>
      <c r="Q82" s="2671"/>
      <c r="R82" s="2673"/>
    </row>
    <row r="83" spans="2:18" s="2508" customFormat="1">
      <c r="B83" s="2671"/>
      <c r="C83" s="2671"/>
      <c r="D83" s="2671"/>
      <c r="E83" s="2671"/>
      <c r="F83" s="2671"/>
      <c r="G83" s="2672"/>
      <c r="H83" s="2671"/>
      <c r="I83" s="2672"/>
      <c r="J83" s="2671"/>
      <c r="K83" s="2671"/>
      <c r="L83" s="2672"/>
      <c r="M83" s="2671"/>
      <c r="N83" s="2671"/>
      <c r="O83" s="2672"/>
      <c r="P83" s="2671"/>
      <c r="Q83" s="2671"/>
      <c r="R83" s="2673"/>
    </row>
    <row r="84" spans="2:18" s="2508" customFormat="1">
      <c r="B84" s="2671"/>
      <c r="C84" s="2671"/>
      <c r="D84" s="2671"/>
      <c r="E84" s="2671"/>
      <c r="F84" s="2671"/>
      <c r="G84" s="2672"/>
      <c r="H84" s="2671"/>
      <c r="I84" s="2672"/>
      <c r="J84" s="2671"/>
      <c r="K84" s="2671"/>
      <c r="L84" s="2672"/>
      <c r="M84" s="2671"/>
      <c r="N84" s="2671"/>
      <c r="O84" s="2672"/>
      <c r="P84" s="2671"/>
      <c r="Q84" s="2671"/>
      <c r="R84" s="2673"/>
    </row>
    <row r="85" spans="2:18" s="2508" customFormat="1">
      <c r="B85" s="2671"/>
      <c r="C85" s="2671"/>
      <c r="D85" s="2671"/>
      <c r="E85" s="2671"/>
      <c r="F85" s="2671"/>
      <c r="G85" s="2672"/>
      <c r="H85" s="2671"/>
      <c r="I85" s="2672"/>
      <c r="J85" s="2671"/>
      <c r="K85" s="2671"/>
      <c r="L85" s="2672"/>
      <c r="M85" s="2671"/>
      <c r="N85" s="2671"/>
      <c r="O85" s="2672"/>
      <c r="P85" s="2671"/>
      <c r="Q85" s="2671"/>
      <c r="R85" s="2673"/>
    </row>
    <row r="86" spans="2:18" s="2508" customFormat="1">
      <c r="B86" s="2671"/>
      <c r="C86" s="2671"/>
      <c r="D86" s="2671"/>
      <c r="E86" s="2671"/>
      <c r="F86" s="2671"/>
      <c r="G86" s="2672"/>
      <c r="H86" s="2671"/>
      <c r="I86" s="2672"/>
      <c r="J86" s="2671"/>
      <c r="K86" s="2671"/>
      <c r="L86" s="2672"/>
      <c r="M86" s="2671"/>
      <c r="N86" s="2671"/>
      <c r="O86" s="2672"/>
      <c r="P86" s="2671"/>
      <c r="Q86" s="2671"/>
      <c r="R86" s="2673"/>
    </row>
    <row r="87" spans="2:18" s="2508" customFormat="1">
      <c r="B87" s="2671"/>
      <c r="C87" s="2671"/>
      <c r="D87" s="2671"/>
      <c r="E87" s="2671"/>
      <c r="F87" s="2671"/>
      <c r="G87" s="2672"/>
      <c r="H87" s="2671"/>
      <c r="I87" s="2672"/>
      <c r="J87" s="2671"/>
      <c r="K87" s="2671"/>
      <c r="L87" s="2672"/>
      <c r="M87" s="2671"/>
      <c r="N87" s="2671"/>
      <c r="O87" s="2672"/>
      <c r="P87" s="2671"/>
      <c r="Q87" s="2671"/>
      <c r="R87" s="2673"/>
    </row>
    <row r="88" spans="2:18" s="2508" customFormat="1">
      <c r="B88" s="2671"/>
      <c r="C88" s="2671"/>
      <c r="D88" s="2671"/>
      <c r="E88" s="2671"/>
      <c r="F88" s="2671"/>
      <c r="G88" s="2672"/>
      <c r="H88" s="2671"/>
      <c r="I88" s="2672"/>
      <c r="J88" s="2671"/>
      <c r="K88" s="2671"/>
      <c r="L88" s="2672"/>
      <c r="M88" s="2671"/>
      <c r="N88" s="2671"/>
      <c r="O88" s="2672"/>
      <c r="P88" s="2671"/>
      <c r="Q88" s="2671"/>
      <c r="R88" s="2673"/>
    </row>
    <row r="89" spans="2:18" s="2508" customFormat="1">
      <c r="B89" s="2671"/>
      <c r="C89" s="2671"/>
      <c r="D89" s="2671"/>
      <c r="E89" s="2671"/>
      <c r="F89" s="2671"/>
      <c r="G89" s="2672"/>
      <c r="H89" s="2671"/>
      <c r="I89" s="2672"/>
      <c r="J89" s="2671"/>
      <c r="K89" s="2671"/>
      <c r="L89" s="2672"/>
      <c r="M89" s="2671"/>
      <c r="N89" s="2671"/>
      <c r="O89" s="2672"/>
      <c r="P89" s="2671"/>
      <c r="Q89" s="2671"/>
      <c r="R89" s="2673"/>
    </row>
    <row r="90" spans="2:18" s="2508" customFormat="1">
      <c r="B90" s="2671"/>
      <c r="C90" s="2671"/>
      <c r="D90" s="2671"/>
      <c r="E90" s="2671"/>
      <c r="F90" s="2671"/>
      <c r="G90" s="2672"/>
      <c r="H90" s="2671"/>
      <c r="I90" s="2672"/>
      <c r="J90" s="2671"/>
      <c r="K90" s="2671"/>
      <c r="L90" s="2672"/>
      <c r="M90" s="2671"/>
      <c r="N90" s="2671"/>
      <c r="O90" s="2672"/>
      <c r="P90" s="2671"/>
      <c r="Q90" s="2671"/>
      <c r="R90" s="2673"/>
    </row>
    <row r="91" spans="2:18" s="2508" customFormat="1">
      <c r="B91" s="2671"/>
      <c r="C91" s="2671"/>
      <c r="D91" s="2671"/>
      <c r="E91" s="2671"/>
      <c r="F91" s="2671"/>
      <c r="G91" s="2672"/>
      <c r="H91" s="2671"/>
      <c r="I91" s="2672"/>
      <c r="J91" s="2671"/>
      <c r="K91" s="2671"/>
      <c r="L91" s="2672"/>
      <c r="M91" s="2671"/>
      <c r="N91" s="2671"/>
      <c r="O91" s="2672"/>
      <c r="P91" s="2671"/>
      <c r="Q91" s="2671"/>
      <c r="R91" s="2673"/>
    </row>
    <row r="92" spans="2:18" s="2508" customFormat="1">
      <c r="B92" s="2671"/>
      <c r="C92" s="2671"/>
      <c r="D92" s="2671"/>
      <c r="E92" s="2671"/>
      <c r="F92" s="2671"/>
      <c r="G92" s="2672"/>
      <c r="H92" s="2671"/>
      <c r="I92" s="2672"/>
      <c r="J92" s="2671"/>
      <c r="K92" s="2671"/>
      <c r="L92" s="2672"/>
      <c r="M92" s="2671"/>
      <c r="N92" s="2671"/>
      <c r="O92" s="2672"/>
      <c r="P92" s="2671"/>
      <c r="Q92" s="2671"/>
      <c r="R92" s="2673"/>
    </row>
    <row r="93" spans="2:18" s="2508" customFormat="1">
      <c r="B93" s="2671"/>
      <c r="C93" s="2671"/>
      <c r="D93" s="2671"/>
      <c r="E93" s="2671"/>
      <c r="F93" s="2671"/>
      <c r="G93" s="2672"/>
      <c r="H93" s="2671"/>
      <c r="I93" s="2672"/>
      <c r="J93" s="2671"/>
      <c r="K93" s="2671"/>
      <c r="L93" s="2672"/>
      <c r="M93" s="2671"/>
      <c r="N93" s="2671"/>
      <c r="O93" s="2672"/>
      <c r="P93" s="2671"/>
      <c r="Q93" s="2671"/>
      <c r="R93" s="2673"/>
    </row>
    <row r="94" spans="2:18" s="2508" customFormat="1">
      <c r="B94" s="2671"/>
      <c r="C94" s="2671"/>
      <c r="D94" s="2671"/>
      <c r="E94" s="2671"/>
      <c r="F94" s="2671"/>
      <c r="G94" s="2672"/>
      <c r="H94" s="2671"/>
      <c r="I94" s="2672"/>
      <c r="J94" s="2671"/>
      <c r="K94" s="2671"/>
      <c r="L94" s="2672"/>
      <c r="M94" s="2671"/>
      <c r="N94" s="2671"/>
      <c r="O94" s="2672"/>
      <c r="P94" s="2671"/>
      <c r="Q94" s="2671"/>
      <c r="R94" s="2673"/>
    </row>
    <row r="95" spans="2:18" s="2508" customFormat="1">
      <c r="B95" s="2671"/>
      <c r="C95" s="2671"/>
      <c r="D95" s="2671"/>
      <c r="E95" s="2671"/>
      <c r="F95" s="2671"/>
      <c r="G95" s="2672"/>
      <c r="H95" s="2671"/>
      <c r="I95" s="2672"/>
      <c r="J95" s="2671"/>
      <c r="K95" s="2671"/>
      <c r="L95" s="2672"/>
      <c r="M95" s="2671"/>
      <c r="N95" s="2671"/>
      <c r="O95" s="2672"/>
      <c r="P95" s="2671"/>
      <c r="Q95" s="2671"/>
      <c r="R95" s="2673"/>
    </row>
    <row r="96" spans="2:18" s="2508" customFormat="1">
      <c r="B96" s="2671"/>
      <c r="C96" s="2671"/>
      <c r="D96" s="2671"/>
      <c r="E96" s="2671"/>
      <c r="F96" s="2671"/>
      <c r="G96" s="2672"/>
      <c r="H96" s="2671"/>
      <c r="I96" s="2672"/>
      <c r="J96" s="2671"/>
      <c r="K96" s="2671"/>
      <c r="L96" s="2672"/>
      <c r="M96" s="2671"/>
      <c r="N96" s="2671"/>
      <c r="O96" s="2672"/>
      <c r="P96" s="2671"/>
      <c r="Q96" s="2671"/>
      <c r="R96" s="2673"/>
    </row>
    <row r="97" spans="2:18" s="2508" customFormat="1">
      <c r="B97" s="2671"/>
      <c r="C97" s="2671"/>
      <c r="D97" s="2671"/>
      <c r="E97" s="2671"/>
      <c r="F97" s="2671"/>
      <c r="G97" s="2672"/>
      <c r="H97" s="2671"/>
      <c r="I97" s="2672"/>
      <c r="J97" s="2671"/>
      <c r="K97" s="2671"/>
      <c r="L97" s="2672"/>
      <c r="M97" s="2671"/>
      <c r="N97" s="2671"/>
      <c r="O97" s="2672"/>
      <c r="P97" s="2671"/>
      <c r="Q97" s="2671"/>
      <c r="R97" s="2673"/>
    </row>
    <row r="98" spans="2:18" s="2508" customFormat="1">
      <c r="B98" s="2671"/>
      <c r="C98" s="2671"/>
      <c r="D98" s="2671"/>
      <c r="E98" s="2671"/>
      <c r="F98" s="2671"/>
      <c r="G98" s="2672"/>
      <c r="H98" s="2671"/>
      <c r="I98" s="2672"/>
      <c r="J98" s="2671"/>
      <c r="K98" s="2671"/>
      <c r="L98" s="2672"/>
      <c r="M98" s="2671"/>
      <c r="N98" s="2671"/>
      <c r="O98" s="2672"/>
      <c r="P98" s="2671"/>
      <c r="Q98" s="2671"/>
      <c r="R98" s="2673"/>
    </row>
    <row r="99" spans="2:18" s="2508" customFormat="1">
      <c r="B99" s="2671"/>
      <c r="C99" s="2671"/>
      <c r="D99" s="2671"/>
      <c r="E99" s="2671"/>
      <c r="F99" s="2671"/>
      <c r="G99" s="2672"/>
      <c r="H99" s="2671"/>
      <c r="I99" s="2672"/>
      <c r="J99" s="2671"/>
      <c r="K99" s="2671"/>
      <c r="L99" s="2672"/>
      <c r="M99" s="2671"/>
      <c r="N99" s="2671"/>
      <c r="O99" s="2672"/>
      <c r="P99" s="2671"/>
      <c r="Q99" s="2671"/>
      <c r="R99" s="2673"/>
    </row>
    <row r="100" spans="2:18" s="2508" customFormat="1">
      <c r="B100" s="2671"/>
      <c r="C100" s="2671"/>
      <c r="D100" s="2671"/>
      <c r="E100" s="2671"/>
      <c r="F100" s="2671"/>
      <c r="G100" s="2672"/>
      <c r="H100" s="2671"/>
      <c r="I100" s="2672"/>
      <c r="J100" s="2671"/>
      <c r="K100" s="2671"/>
      <c r="L100" s="2672"/>
      <c r="M100" s="2671"/>
      <c r="N100" s="2671"/>
      <c r="O100" s="2672"/>
      <c r="P100" s="2671"/>
      <c r="Q100" s="2671"/>
      <c r="R100" s="2673"/>
    </row>
    <row r="101" spans="2:18" s="2508" customFormat="1">
      <c r="B101" s="2671"/>
      <c r="C101" s="2671"/>
      <c r="D101" s="2671"/>
      <c r="E101" s="2671"/>
      <c r="F101" s="2671"/>
      <c r="G101" s="2672"/>
      <c r="H101" s="2671"/>
      <c r="I101" s="2672"/>
      <c r="J101" s="2671"/>
      <c r="K101" s="2671"/>
      <c r="L101" s="2672"/>
      <c r="M101" s="2671"/>
      <c r="N101" s="2671"/>
      <c r="O101" s="2672"/>
      <c r="P101" s="2671"/>
      <c r="Q101" s="2671"/>
      <c r="R101" s="2673"/>
    </row>
    <row r="102" spans="2:18" s="2508" customFormat="1">
      <c r="B102" s="2671"/>
      <c r="C102" s="2671"/>
      <c r="D102" s="2671"/>
      <c r="E102" s="2671"/>
      <c r="F102" s="2671"/>
      <c r="G102" s="2672"/>
      <c r="H102" s="2671"/>
      <c r="I102" s="2672"/>
      <c r="J102" s="2671"/>
      <c r="K102" s="2671"/>
      <c r="L102" s="2672"/>
      <c r="M102" s="2671"/>
      <c r="N102" s="2671"/>
      <c r="O102" s="2672"/>
      <c r="P102" s="2671"/>
      <c r="Q102" s="2671"/>
      <c r="R102" s="2673"/>
    </row>
    <row r="103" spans="2:18" s="2508" customFormat="1">
      <c r="B103" s="2671"/>
      <c r="C103" s="2671"/>
      <c r="D103" s="2671"/>
      <c r="E103" s="2671"/>
      <c r="F103" s="2671"/>
      <c r="G103" s="2672"/>
      <c r="H103" s="2671"/>
      <c r="I103" s="2672"/>
      <c r="J103" s="2671"/>
      <c r="K103" s="2671"/>
      <c r="L103" s="2672"/>
      <c r="M103" s="2671"/>
      <c r="N103" s="2671"/>
      <c r="O103" s="2672"/>
      <c r="P103" s="2671"/>
      <c r="Q103" s="2671"/>
      <c r="R103" s="2673"/>
    </row>
    <row r="104" spans="2:18" s="2508" customFormat="1">
      <c r="B104" s="2671"/>
      <c r="C104" s="2671"/>
      <c r="D104" s="2671"/>
      <c r="E104" s="2671"/>
      <c r="F104" s="2671"/>
      <c r="G104" s="2672"/>
      <c r="H104" s="2671"/>
      <c r="I104" s="2672"/>
      <c r="J104" s="2671"/>
      <c r="K104" s="2671"/>
      <c r="L104" s="2672"/>
      <c r="M104" s="2671"/>
      <c r="N104" s="2671"/>
      <c r="O104" s="2672"/>
      <c r="P104" s="2671"/>
      <c r="Q104" s="2671"/>
      <c r="R104" s="2673"/>
    </row>
    <row r="105" spans="2:18" s="2508" customFormat="1">
      <c r="B105" s="2671"/>
      <c r="C105" s="2671"/>
      <c r="D105" s="2671"/>
      <c r="E105" s="2671"/>
      <c r="F105" s="2671"/>
      <c r="G105" s="2672"/>
      <c r="H105" s="2671"/>
      <c r="I105" s="2672"/>
      <c r="J105" s="2671"/>
      <c r="K105" s="2671"/>
      <c r="L105" s="2672"/>
      <c r="M105" s="2671"/>
      <c r="N105" s="2671"/>
      <c r="O105" s="2672"/>
      <c r="P105" s="2671"/>
      <c r="Q105" s="2671"/>
      <c r="R105" s="2673"/>
    </row>
    <row r="106" spans="2:18" s="2508" customFormat="1">
      <c r="B106" s="2671"/>
      <c r="C106" s="2671"/>
      <c r="D106" s="2671"/>
      <c r="E106" s="2671"/>
      <c r="F106" s="2671"/>
      <c r="G106" s="2672"/>
      <c r="H106" s="2671"/>
      <c r="I106" s="2672"/>
      <c r="J106" s="2671"/>
      <c r="K106" s="2671"/>
      <c r="L106" s="2672"/>
      <c r="M106" s="2671"/>
      <c r="N106" s="2671"/>
      <c r="O106" s="2672"/>
      <c r="P106" s="2671"/>
      <c r="Q106" s="2671"/>
      <c r="R106" s="2673"/>
    </row>
    <row r="107" spans="2:18" s="2508" customFormat="1">
      <c r="B107" s="2671"/>
      <c r="C107" s="2671"/>
      <c r="D107" s="2671"/>
      <c r="E107" s="2671"/>
      <c r="F107" s="2671"/>
      <c r="G107" s="2672"/>
      <c r="H107" s="2671"/>
      <c r="I107" s="2672"/>
      <c r="J107" s="2671"/>
      <c r="K107" s="2671"/>
      <c r="L107" s="2672"/>
      <c r="M107" s="2671"/>
      <c r="N107" s="2671"/>
      <c r="O107" s="2672"/>
      <c r="P107" s="2671"/>
      <c r="Q107" s="2671"/>
      <c r="R107" s="2673"/>
    </row>
    <row r="108" spans="2:18" s="2508" customFormat="1">
      <c r="B108" s="2671"/>
      <c r="C108" s="2671"/>
      <c r="D108" s="2671"/>
      <c r="E108" s="2671"/>
      <c r="F108" s="2671"/>
      <c r="G108" s="2672"/>
      <c r="H108" s="2671"/>
      <c r="I108" s="2672"/>
      <c r="J108" s="2671"/>
      <c r="K108" s="2671"/>
      <c r="L108" s="2672"/>
      <c r="M108" s="2671"/>
      <c r="N108" s="2671"/>
      <c r="O108" s="2672"/>
      <c r="P108" s="2671"/>
      <c r="Q108" s="2671"/>
      <c r="R108" s="2673"/>
    </row>
    <row r="109" spans="2:18" s="2508" customFormat="1">
      <c r="B109" s="2671"/>
      <c r="C109" s="2671"/>
      <c r="D109" s="2671"/>
      <c r="E109" s="2671"/>
      <c r="F109" s="2671"/>
      <c r="G109" s="2672"/>
      <c r="H109" s="2671"/>
      <c r="I109" s="2672"/>
      <c r="J109" s="2671"/>
      <c r="K109" s="2671"/>
      <c r="L109" s="2672"/>
      <c r="M109" s="2671"/>
      <c r="N109" s="2671"/>
      <c r="O109" s="2672"/>
      <c r="P109" s="2671"/>
      <c r="Q109" s="2671"/>
      <c r="R109" s="2673"/>
    </row>
    <row r="110" spans="2:18" s="2508" customFormat="1">
      <c r="B110" s="2671"/>
      <c r="C110" s="2671"/>
      <c r="D110" s="2671"/>
      <c r="E110" s="2671"/>
      <c r="F110" s="2671"/>
      <c r="G110" s="2672"/>
      <c r="H110" s="2671"/>
      <c r="I110" s="2672"/>
      <c r="J110" s="2671"/>
      <c r="K110" s="2671"/>
      <c r="L110" s="2672"/>
      <c r="M110" s="2671"/>
      <c r="N110" s="2671"/>
      <c r="O110" s="2672"/>
      <c r="P110" s="2671"/>
      <c r="Q110" s="2671"/>
      <c r="R110" s="2673"/>
    </row>
    <row r="111" spans="2:18" s="2508" customFormat="1">
      <c r="B111" s="2671"/>
      <c r="C111" s="2671"/>
      <c r="D111" s="2671"/>
      <c r="E111" s="2671"/>
      <c r="F111" s="2671"/>
      <c r="G111" s="2672"/>
      <c r="H111" s="2671"/>
      <c r="I111" s="2672"/>
      <c r="J111" s="2671"/>
      <c r="K111" s="2671"/>
      <c r="L111" s="2672"/>
      <c r="M111" s="2671"/>
      <c r="N111" s="2671"/>
      <c r="O111" s="2672"/>
      <c r="P111" s="2671"/>
      <c r="Q111" s="2671"/>
      <c r="R111" s="2673"/>
    </row>
    <row r="112" spans="2:18" s="2508" customFormat="1">
      <c r="B112" s="2671"/>
      <c r="C112" s="2671"/>
      <c r="D112" s="2671"/>
      <c r="E112" s="2671"/>
      <c r="F112" s="2671"/>
      <c r="G112" s="2672"/>
      <c r="H112" s="2671"/>
      <c r="I112" s="2672"/>
      <c r="J112" s="2671"/>
      <c r="K112" s="2671"/>
      <c r="L112" s="2672"/>
      <c r="M112" s="2671"/>
      <c r="N112" s="2671"/>
      <c r="O112" s="2672"/>
      <c r="P112" s="2671"/>
      <c r="Q112" s="2671"/>
      <c r="R112" s="2673"/>
    </row>
    <row r="113" spans="2:18" s="2508" customFormat="1">
      <c r="B113" s="2671"/>
      <c r="C113" s="2671"/>
      <c r="D113" s="2671"/>
      <c r="E113" s="2671"/>
      <c r="F113" s="2671"/>
      <c r="G113" s="2672"/>
      <c r="H113" s="2671"/>
      <c r="I113" s="2672"/>
      <c r="J113" s="2671"/>
      <c r="K113" s="2671"/>
      <c r="L113" s="2672"/>
      <c r="M113" s="2671"/>
      <c r="N113" s="2671"/>
      <c r="O113" s="2672"/>
      <c r="P113" s="2671"/>
      <c r="Q113" s="2671"/>
      <c r="R113" s="2673"/>
    </row>
    <row r="114" spans="2:18" s="2508" customFormat="1">
      <c r="B114" s="2671"/>
      <c r="C114" s="2671"/>
      <c r="D114" s="2671"/>
      <c r="E114" s="2671"/>
      <c r="F114" s="2671"/>
      <c r="G114" s="2672"/>
      <c r="H114" s="2671"/>
      <c r="I114" s="2672"/>
      <c r="J114" s="2671"/>
      <c r="K114" s="2671"/>
      <c r="L114" s="2672"/>
      <c r="M114" s="2671"/>
      <c r="N114" s="2671"/>
      <c r="O114" s="2672"/>
      <c r="P114" s="2671"/>
      <c r="Q114" s="2671"/>
      <c r="R114" s="2673"/>
    </row>
    <row r="115" spans="2:18" s="2508" customFormat="1">
      <c r="B115" s="2671"/>
      <c r="C115" s="2671"/>
      <c r="D115" s="2671"/>
      <c r="E115" s="2671"/>
      <c r="F115" s="2671"/>
      <c r="G115" s="2672"/>
      <c r="H115" s="2671"/>
      <c r="I115" s="2672"/>
      <c r="J115" s="2671"/>
      <c r="K115" s="2671"/>
      <c r="L115" s="2672"/>
      <c r="M115" s="2671"/>
      <c r="N115" s="2671"/>
      <c r="O115" s="2672"/>
      <c r="P115" s="2671"/>
      <c r="Q115" s="2671"/>
      <c r="R115" s="2673"/>
    </row>
    <row r="116" spans="2:18" s="2508" customFormat="1">
      <c r="B116" s="2671"/>
      <c r="C116" s="2671"/>
      <c r="D116" s="2671"/>
      <c r="E116" s="2671"/>
      <c r="F116" s="2671"/>
      <c r="G116" s="2672"/>
      <c r="H116" s="2671"/>
      <c r="I116" s="2672"/>
      <c r="J116" s="2671"/>
      <c r="K116" s="2671"/>
      <c r="L116" s="2672"/>
      <c r="M116" s="2671"/>
      <c r="N116" s="2671"/>
      <c r="O116" s="2672"/>
      <c r="P116" s="2671"/>
      <c r="Q116" s="2671"/>
      <c r="R116" s="2673"/>
    </row>
    <row r="117" spans="2:18" s="2508" customFormat="1">
      <c r="B117" s="2671"/>
      <c r="C117" s="2671"/>
      <c r="D117" s="2671"/>
      <c r="E117" s="2671"/>
      <c r="F117" s="2671"/>
      <c r="G117" s="2672"/>
      <c r="H117" s="2671"/>
      <c r="I117" s="2672"/>
      <c r="J117" s="2671"/>
      <c r="K117" s="2671"/>
      <c r="L117" s="2672"/>
      <c r="M117" s="2671"/>
      <c r="N117" s="2671"/>
      <c r="O117" s="2672"/>
      <c r="P117" s="2671"/>
      <c r="Q117" s="2671"/>
      <c r="R117" s="2673"/>
    </row>
    <row r="118" spans="2:18" s="2508" customFormat="1">
      <c r="B118" s="2671"/>
      <c r="C118" s="2671"/>
      <c r="D118" s="2671"/>
      <c r="E118" s="2671"/>
      <c r="F118" s="2671"/>
      <c r="G118" s="2672"/>
      <c r="H118" s="2671"/>
      <c r="I118" s="2672"/>
      <c r="J118" s="2671"/>
      <c r="K118" s="2671"/>
      <c r="L118" s="2672"/>
      <c r="M118" s="2671"/>
      <c r="N118" s="2671"/>
      <c r="O118" s="2672"/>
      <c r="P118" s="2671"/>
      <c r="Q118" s="2671"/>
      <c r="R118" s="2673"/>
    </row>
    <row r="119" spans="2:18" s="2508" customFormat="1">
      <c r="B119" s="2671"/>
      <c r="C119" s="2671"/>
      <c r="D119" s="2671"/>
      <c r="E119" s="2671"/>
      <c r="F119" s="2671"/>
      <c r="G119" s="2672"/>
      <c r="H119" s="2671"/>
      <c r="I119" s="2672"/>
      <c r="J119" s="2671"/>
      <c r="K119" s="2671"/>
      <c r="L119" s="2672"/>
      <c r="M119" s="2671"/>
      <c r="N119" s="2671"/>
      <c r="O119" s="2672"/>
      <c r="P119" s="2671"/>
      <c r="Q119" s="2671"/>
      <c r="R119" s="2673"/>
    </row>
    <row r="120" spans="2:18" s="2508" customFormat="1">
      <c r="B120" s="2671"/>
      <c r="C120" s="2671"/>
      <c r="D120" s="2671"/>
      <c r="E120" s="2671"/>
      <c r="F120" s="2671"/>
      <c r="G120" s="2672"/>
      <c r="H120" s="2671"/>
      <c r="I120" s="2672"/>
      <c r="J120" s="2671"/>
      <c r="K120" s="2671"/>
      <c r="L120" s="2672"/>
      <c r="M120" s="2671"/>
      <c r="N120" s="2671"/>
      <c r="O120" s="2672"/>
      <c r="P120" s="2671"/>
      <c r="Q120" s="2671"/>
      <c r="R120" s="2673"/>
    </row>
    <row r="121" spans="2:18" s="2508" customFormat="1">
      <c r="B121" s="2671"/>
      <c r="C121" s="2671"/>
      <c r="D121" s="2671"/>
      <c r="E121" s="2671"/>
      <c r="F121" s="2671"/>
      <c r="G121" s="2672"/>
      <c r="H121" s="2671"/>
      <c r="I121" s="2672"/>
      <c r="J121" s="2671"/>
      <c r="K121" s="2671"/>
      <c r="L121" s="2672"/>
      <c r="M121" s="2671"/>
      <c r="N121" s="2671"/>
      <c r="O121" s="2672"/>
      <c r="P121" s="2671"/>
      <c r="Q121" s="2671"/>
      <c r="R121" s="2673"/>
    </row>
    <row r="122" spans="2:18" s="2508" customFormat="1">
      <c r="B122" s="2671"/>
      <c r="C122" s="2671"/>
      <c r="D122" s="2671"/>
      <c r="E122" s="2671"/>
      <c r="F122" s="2671"/>
      <c r="G122" s="2672"/>
      <c r="H122" s="2671"/>
      <c r="I122" s="2672"/>
      <c r="J122" s="2671"/>
      <c r="K122" s="2671"/>
      <c r="L122" s="2672"/>
      <c r="M122" s="2671"/>
      <c r="N122" s="2671"/>
      <c r="O122" s="2672"/>
      <c r="P122" s="2671"/>
      <c r="Q122" s="2671"/>
      <c r="R122" s="2673"/>
    </row>
    <row r="123" spans="2:18" s="2508" customFormat="1">
      <c r="B123" s="2671"/>
      <c r="C123" s="2671"/>
      <c r="D123" s="2671"/>
      <c r="E123" s="2671"/>
      <c r="F123" s="2671"/>
      <c r="G123" s="2672"/>
      <c r="H123" s="2671"/>
      <c r="I123" s="2672"/>
      <c r="J123" s="2671"/>
      <c r="K123" s="2671"/>
      <c r="L123" s="2672"/>
      <c r="M123" s="2671"/>
      <c r="N123" s="2671"/>
      <c r="O123" s="2672"/>
      <c r="P123" s="2671"/>
      <c r="Q123" s="2671"/>
      <c r="R123" s="2673"/>
    </row>
    <row r="124" spans="2:18" s="2508" customFormat="1">
      <c r="B124" s="2671"/>
      <c r="C124" s="2671"/>
      <c r="D124" s="2671"/>
      <c r="E124" s="2671"/>
      <c r="F124" s="2671"/>
      <c r="G124" s="2672"/>
      <c r="H124" s="2671"/>
      <c r="I124" s="2672"/>
      <c r="J124" s="2671"/>
      <c r="K124" s="2671"/>
      <c r="L124" s="2672"/>
      <c r="M124" s="2671"/>
      <c r="N124" s="2671"/>
      <c r="O124" s="2672"/>
      <c r="P124" s="2671"/>
      <c r="Q124" s="2671"/>
      <c r="R124" s="2673"/>
    </row>
    <row r="125" spans="2:18" s="2508" customFormat="1">
      <c r="B125" s="2671"/>
      <c r="C125" s="2671"/>
      <c r="D125" s="2671"/>
      <c r="E125" s="2671"/>
      <c r="F125" s="2671"/>
      <c r="G125" s="2672"/>
      <c r="H125" s="2671"/>
      <c r="I125" s="2672"/>
      <c r="J125" s="2671"/>
      <c r="K125" s="2671"/>
      <c r="L125" s="2672"/>
      <c r="M125" s="2671"/>
      <c r="N125" s="2671"/>
      <c r="O125" s="2672"/>
      <c r="P125" s="2671"/>
      <c r="Q125" s="2671"/>
      <c r="R125" s="2673"/>
    </row>
    <row r="126" spans="2:18" s="2508" customFormat="1">
      <c r="B126" s="2671"/>
      <c r="C126" s="2671"/>
      <c r="D126" s="2671"/>
      <c r="E126" s="2671"/>
      <c r="F126" s="2671"/>
      <c r="G126" s="2672"/>
      <c r="H126" s="2671"/>
      <c r="I126" s="2672"/>
      <c r="J126" s="2671"/>
      <c r="K126" s="2671"/>
      <c r="L126" s="2672"/>
      <c r="M126" s="2671"/>
      <c r="N126" s="2671"/>
      <c r="O126" s="2672"/>
      <c r="P126" s="2671"/>
      <c r="Q126" s="2671"/>
      <c r="R126" s="2673"/>
    </row>
    <row r="127" spans="2:18" s="2508" customFormat="1">
      <c r="B127" s="2671"/>
      <c r="C127" s="2671"/>
      <c r="D127" s="2671"/>
      <c r="E127" s="2671"/>
      <c r="F127" s="2671"/>
      <c r="G127" s="2672"/>
      <c r="H127" s="2671"/>
      <c r="I127" s="2672"/>
      <c r="J127" s="2671"/>
      <c r="K127" s="2671"/>
      <c r="L127" s="2672"/>
      <c r="M127" s="2671"/>
      <c r="N127" s="2671"/>
      <c r="O127" s="2672"/>
      <c r="P127" s="2671"/>
      <c r="Q127" s="2671"/>
      <c r="R127" s="2673"/>
    </row>
    <row r="128" spans="2:18" s="2508" customFormat="1">
      <c r="B128" s="2671"/>
      <c r="C128" s="2671"/>
      <c r="D128" s="2671"/>
      <c r="E128" s="2671"/>
      <c r="F128" s="2671"/>
      <c r="G128" s="2672"/>
      <c r="H128" s="2671"/>
      <c r="I128" s="2672"/>
      <c r="J128" s="2671"/>
      <c r="K128" s="2671"/>
      <c r="L128" s="2672"/>
      <c r="M128" s="2671"/>
      <c r="N128" s="2671"/>
      <c r="O128" s="2672"/>
      <c r="P128" s="2671"/>
      <c r="Q128" s="2671"/>
      <c r="R128" s="2673"/>
    </row>
    <row r="129" spans="2:18" s="2508" customFormat="1">
      <c r="B129" s="2671"/>
      <c r="C129" s="2671"/>
      <c r="D129" s="2671"/>
      <c r="E129" s="2671"/>
      <c r="F129" s="2671"/>
      <c r="G129" s="2672"/>
      <c r="H129" s="2671"/>
      <c r="I129" s="2672"/>
      <c r="J129" s="2671"/>
      <c r="K129" s="2671"/>
      <c r="L129" s="2672"/>
      <c r="M129" s="2671"/>
      <c r="N129" s="2671"/>
      <c r="O129" s="2672"/>
      <c r="P129" s="2671"/>
      <c r="Q129" s="2671"/>
      <c r="R129" s="2673"/>
    </row>
    <row r="130" spans="2:18" s="2508" customFormat="1">
      <c r="B130" s="2671"/>
      <c r="C130" s="2671"/>
      <c r="D130" s="2671"/>
      <c r="E130" s="2671"/>
      <c r="F130" s="2671"/>
      <c r="G130" s="2672"/>
      <c r="H130" s="2671"/>
      <c r="I130" s="2672"/>
      <c r="J130" s="2671"/>
      <c r="K130" s="2671"/>
      <c r="L130" s="2672"/>
      <c r="M130" s="2671"/>
      <c r="N130" s="2671"/>
      <c r="O130" s="2672"/>
      <c r="P130" s="2671"/>
      <c r="Q130" s="2671"/>
      <c r="R130" s="2673"/>
    </row>
    <row r="131" spans="2:18" s="2508" customFormat="1">
      <c r="B131" s="2671"/>
      <c r="C131" s="2671"/>
      <c r="D131" s="2671"/>
      <c r="E131" s="2671"/>
      <c r="F131" s="2671"/>
      <c r="G131" s="2672"/>
      <c r="H131" s="2671"/>
      <c r="I131" s="2672"/>
      <c r="J131" s="2671"/>
      <c r="K131" s="2671"/>
      <c r="L131" s="2672"/>
      <c r="M131" s="2671"/>
      <c r="N131" s="2671"/>
      <c r="O131" s="2672"/>
      <c r="P131" s="2671"/>
      <c r="Q131" s="2671"/>
      <c r="R131" s="2673"/>
    </row>
    <row r="132" spans="2:18" s="2508" customFormat="1">
      <c r="B132" s="2671"/>
      <c r="C132" s="2671"/>
      <c r="D132" s="2671"/>
      <c r="E132" s="2671"/>
      <c r="F132" s="2671"/>
      <c r="G132" s="2672"/>
      <c r="H132" s="2671"/>
      <c r="I132" s="2672"/>
      <c r="J132" s="2671"/>
      <c r="K132" s="2671"/>
      <c r="L132" s="2672"/>
      <c r="M132" s="2671"/>
      <c r="N132" s="2671"/>
      <c r="O132" s="2672"/>
      <c r="P132" s="2671"/>
      <c r="Q132" s="2671"/>
      <c r="R132" s="2673"/>
    </row>
    <row r="133" spans="2:18" s="2508" customFormat="1">
      <c r="B133" s="2671"/>
      <c r="C133" s="2671"/>
      <c r="D133" s="2671"/>
      <c r="E133" s="2671"/>
      <c r="F133" s="2671"/>
      <c r="G133" s="2672"/>
      <c r="H133" s="2671"/>
      <c r="I133" s="2672"/>
      <c r="J133" s="2671"/>
      <c r="K133" s="2671"/>
      <c r="L133" s="2672"/>
      <c r="M133" s="2671"/>
      <c r="N133" s="2671"/>
      <c r="O133" s="2672"/>
      <c r="P133" s="2671"/>
      <c r="Q133" s="2671"/>
      <c r="R133" s="2673"/>
    </row>
    <row r="134" spans="2:18" s="2508" customFormat="1">
      <c r="B134" s="2671"/>
      <c r="C134" s="2671"/>
      <c r="D134" s="2671"/>
      <c r="E134" s="2671"/>
      <c r="F134" s="2671"/>
      <c r="G134" s="2672"/>
      <c r="H134" s="2671"/>
      <c r="I134" s="2672"/>
      <c r="J134" s="2671"/>
      <c r="K134" s="2671"/>
      <c r="L134" s="2672"/>
      <c r="M134" s="2671"/>
      <c r="N134" s="2671"/>
      <c r="O134" s="2672"/>
      <c r="P134" s="2671"/>
      <c r="Q134" s="2671"/>
      <c r="R134" s="2673"/>
    </row>
    <row r="135" spans="2:18" s="2508" customFormat="1">
      <c r="B135" s="2671"/>
      <c r="C135" s="2671"/>
      <c r="D135" s="2671"/>
      <c r="E135" s="2671"/>
      <c r="F135" s="2671"/>
      <c r="G135" s="2672"/>
      <c r="H135" s="2671"/>
      <c r="I135" s="2672"/>
      <c r="J135" s="2671"/>
      <c r="K135" s="2671"/>
      <c r="L135" s="2672"/>
      <c r="M135" s="2671"/>
      <c r="N135" s="2671"/>
      <c r="O135" s="2672"/>
      <c r="P135" s="2671"/>
      <c r="Q135" s="2671"/>
      <c r="R135" s="2673"/>
    </row>
    <row r="136" spans="2:18" s="2508" customFormat="1">
      <c r="B136" s="2671"/>
      <c r="C136" s="2671"/>
      <c r="D136" s="2671"/>
      <c r="E136" s="2671"/>
      <c r="F136" s="2671"/>
      <c r="G136" s="2672"/>
      <c r="H136" s="2671"/>
      <c r="I136" s="2672"/>
      <c r="J136" s="2671"/>
      <c r="K136" s="2671"/>
      <c r="L136" s="2672"/>
      <c r="M136" s="2671"/>
      <c r="N136" s="2671"/>
      <c r="O136" s="2672"/>
      <c r="P136" s="2671"/>
      <c r="Q136" s="2671"/>
      <c r="R136" s="2673"/>
    </row>
    <row r="137" spans="2:18" s="2508" customFormat="1">
      <c r="B137" s="2671"/>
      <c r="C137" s="2671"/>
      <c r="D137" s="2671"/>
      <c r="E137" s="2671"/>
      <c r="F137" s="2671"/>
      <c r="G137" s="2672"/>
      <c r="H137" s="2671"/>
      <c r="I137" s="2672"/>
      <c r="J137" s="2671"/>
      <c r="K137" s="2671"/>
      <c r="L137" s="2672"/>
      <c r="M137" s="2671"/>
      <c r="N137" s="2671"/>
      <c r="O137" s="2672"/>
      <c r="P137" s="2671"/>
      <c r="Q137" s="2671"/>
      <c r="R137" s="2673"/>
    </row>
    <row r="138" spans="2:18" s="2508" customFormat="1">
      <c r="B138" s="2671"/>
      <c r="C138" s="2671"/>
      <c r="D138" s="2671"/>
      <c r="E138" s="2671"/>
      <c r="F138" s="2671"/>
      <c r="G138" s="2672"/>
      <c r="H138" s="2671"/>
      <c r="I138" s="2672"/>
      <c r="J138" s="2671"/>
      <c r="K138" s="2671"/>
      <c r="L138" s="2672"/>
      <c r="M138" s="2671"/>
      <c r="N138" s="2671"/>
      <c r="O138" s="2672"/>
      <c r="P138" s="2671"/>
      <c r="Q138" s="2671"/>
      <c r="R138" s="2673"/>
    </row>
    <row r="139" spans="2:18" s="2508" customFormat="1">
      <c r="B139" s="2671"/>
      <c r="C139" s="2671"/>
      <c r="D139" s="2671"/>
      <c r="E139" s="2671"/>
      <c r="F139" s="2671"/>
      <c r="G139" s="2672"/>
      <c r="H139" s="2671"/>
      <c r="I139" s="2672"/>
      <c r="J139" s="2671"/>
      <c r="K139" s="2671"/>
      <c r="L139" s="2672"/>
      <c r="M139" s="2671"/>
      <c r="N139" s="2671"/>
      <c r="O139" s="2672"/>
      <c r="P139" s="2671"/>
      <c r="Q139" s="2671"/>
      <c r="R139" s="2673"/>
    </row>
    <row r="140" spans="2:18" s="2508" customFormat="1">
      <c r="B140" s="2671"/>
      <c r="C140" s="2671"/>
      <c r="D140" s="2671"/>
      <c r="E140" s="2671"/>
      <c r="F140" s="2671"/>
      <c r="G140" s="2672"/>
      <c r="H140" s="2671"/>
      <c r="I140" s="2672"/>
      <c r="J140" s="2671"/>
      <c r="K140" s="2671"/>
      <c r="L140" s="2672"/>
      <c r="M140" s="2671"/>
      <c r="N140" s="2671"/>
      <c r="O140" s="2672"/>
      <c r="P140" s="2671"/>
      <c r="Q140" s="2671"/>
      <c r="R140" s="2673"/>
    </row>
    <row r="141" spans="2:18" s="2508" customFormat="1">
      <c r="B141" s="2671"/>
      <c r="C141" s="2671"/>
      <c r="D141" s="2671"/>
      <c r="E141" s="2671"/>
      <c r="F141" s="2671"/>
      <c r="G141" s="2672"/>
      <c r="H141" s="2671"/>
      <c r="I141" s="2672"/>
      <c r="J141" s="2671"/>
      <c r="K141" s="2671"/>
      <c r="L141" s="2672"/>
      <c r="M141" s="2671"/>
      <c r="N141" s="2671"/>
      <c r="O141" s="2672"/>
      <c r="P141" s="2671"/>
      <c r="Q141" s="2671"/>
      <c r="R141" s="2673"/>
    </row>
    <row r="142" spans="2:18" s="2508" customFormat="1">
      <c r="B142" s="2671"/>
      <c r="C142" s="2671"/>
      <c r="D142" s="2671"/>
      <c r="E142" s="2671"/>
      <c r="F142" s="2671"/>
      <c r="G142" s="2672"/>
      <c r="H142" s="2671"/>
      <c r="I142" s="2672"/>
      <c r="J142" s="2671"/>
      <c r="K142" s="2671"/>
      <c r="L142" s="2672"/>
      <c r="M142" s="2671"/>
      <c r="N142" s="2671"/>
      <c r="O142" s="2672"/>
      <c r="P142" s="2671"/>
      <c r="Q142" s="2671"/>
      <c r="R142" s="2673"/>
    </row>
    <row r="143" spans="2:18" s="2508" customFormat="1">
      <c r="B143" s="2671"/>
      <c r="C143" s="2671"/>
      <c r="D143" s="2671"/>
      <c r="E143" s="2671"/>
      <c r="F143" s="2671"/>
      <c r="G143" s="2672"/>
      <c r="H143" s="2671"/>
      <c r="I143" s="2672"/>
      <c r="J143" s="2671"/>
      <c r="K143" s="2671"/>
      <c r="L143" s="2672"/>
      <c r="M143" s="2671"/>
      <c r="N143" s="2671"/>
      <c r="O143" s="2672"/>
      <c r="P143" s="2671"/>
      <c r="Q143" s="2671"/>
      <c r="R143" s="2673"/>
    </row>
    <row r="144" spans="2:18" s="2508" customFormat="1">
      <c r="B144" s="2671"/>
      <c r="C144" s="2671"/>
      <c r="D144" s="2671"/>
      <c r="E144" s="2671"/>
      <c r="F144" s="2671"/>
      <c r="G144" s="2672"/>
      <c r="H144" s="2671"/>
      <c r="I144" s="2672"/>
      <c r="J144" s="2671"/>
      <c r="K144" s="2671"/>
      <c r="L144" s="2672"/>
      <c r="M144" s="2671"/>
      <c r="N144" s="2671"/>
      <c r="O144" s="2672"/>
      <c r="P144" s="2671"/>
      <c r="Q144" s="2671"/>
      <c r="R144" s="2673"/>
    </row>
    <row r="145" spans="2:18" s="2508" customFormat="1">
      <c r="B145" s="2671"/>
      <c r="C145" s="2671"/>
      <c r="D145" s="2671"/>
      <c r="E145" s="2671"/>
      <c r="F145" s="2671"/>
      <c r="G145" s="2672"/>
      <c r="H145" s="2671"/>
      <c r="I145" s="2672"/>
      <c r="J145" s="2671"/>
      <c r="K145" s="2671"/>
      <c r="L145" s="2672"/>
      <c r="M145" s="2671"/>
      <c r="N145" s="2671"/>
      <c r="O145" s="2672"/>
      <c r="P145" s="2671"/>
      <c r="Q145" s="2671"/>
      <c r="R145" s="2673"/>
    </row>
    <row r="146" spans="2:18" s="2508" customFormat="1">
      <c r="B146" s="2671"/>
      <c r="C146" s="2671"/>
      <c r="D146" s="2671"/>
      <c r="E146" s="2671"/>
      <c r="F146" s="2671"/>
      <c r="G146" s="2672"/>
      <c r="H146" s="2671"/>
      <c r="I146" s="2672"/>
      <c r="J146" s="2671"/>
      <c r="K146" s="2671"/>
      <c r="L146" s="2672"/>
      <c r="M146" s="2671"/>
      <c r="N146" s="2671"/>
      <c r="O146" s="2672"/>
      <c r="P146" s="2671"/>
      <c r="Q146" s="2671"/>
      <c r="R146" s="2673"/>
    </row>
    <row r="147" spans="2:18" s="2508" customFormat="1">
      <c r="B147" s="2671"/>
      <c r="C147" s="2671"/>
      <c r="D147" s="2671"/>
      <c r="E147" s="2671"/>
      <c r="F147" s="2671"/>
      <c r="G147" s="2672"/>
      <c r="H147" s="2671"/>
      <c r="I147" s="2672"/>
      <c r="J147" s="2671"/>
      <c r="K147" s="2671"/>
      <c r="L147" s="2672"/>
      <c r="M147" s="2671"/>
      <c r="N147" s="2671"/>
      <c r="O147" s="2672"/>
      <c r="P147" s="2671"/>
      <c r="Q147" s="2671"/>
      <c r="R147" s="2673"/>
    </row>
    <row r="148" spans="2:18" s="2508" customFormat="1">
      <c r="B148" s="2671"/>
      <c r="C148" s="2671"/>
      <c r="D148" s="2671"/>
      <c r="E148" s="2671"/>
      <c r="F148" s="2671"/>
      <c r="G148" s="2672"/>
      <c r="H148" s="2671"/>
      <c r="I148" s="2672"/>
      <c r="J148" s="2671"/>
      <c r="K148" s="2671"/>
      <c r="L148" s="2672"/>
      <c r="M148" s="2671"/>
      <c r="N148" s="2671"/>
      <c r="O148" s="2672"/>
      <c r="P148" s="2671"/>
      <c r="Q148" s="2671"/>
      <c r="R148" s="2673"/>
    </row>
    <row r="149" spans="2:18" s="2508" customFormat="1">
      <c r="B149" s="2671"/>
      <c r="C149" s="2671"/>
      <c r="D149" s="2671"/>
      <c r="E149" s="2671"/>
      <c r="F149" s="2671"/>
      <c r="G149" s="2672"/>
      <c r="H149" s="2671"/>
      <c r="I149" s="2672"/>
      <c r="J149" s="2671"/>
      <c r="K149" s="2671"/>
      <c r="L149" s="2672"/>
      <c r="M149" s="2671"/>
      <c r="N149" s="2671"/>
      <c r="O149" s="2672"/>
      <c r="P149" s="2671"/>
      <c r="Q149" s="2671"/>
      <c r="R149" s="2673"/>
    </row>
    <row r="150" spans="2:18" s="2508" customFormat="1">
      <c r="B150" s="2671"/>
      <c r="C150" s="2671"/>
      <c r="D150" s="2671"/>
      <c r="E150" s="2671"/>
      <c r="F150" s="2671"/>
      <c r="G150" s="2672"/>
      <c r="H150" s="2671"/>
      <c r="I150" s="2672"/>
      <c r="J150" s="2671"/>
      <c r="K150" s="2671"/>
      <c r="L150" s="2672"/>
      <c r="M150" s="2671"/>
      <c r="N150" s="2671"/>
      <c r="O150" s="2672"/>
      <c r="P150" s="2671"/>
      <c r="Q150" s="2671"/>
      <c r="R150" s="2673"/>
    </row>
    <row r="151" spans="2:18" s="2508" customFormat="1">
      <c r="B151" s="2671"/>
      <c r="C151" s="2671"/>
      <c r="D151" s="2671"/>
      <c r="E151" s="2671"/>
      <c r="F151" s="2671"/>
      <c r="G151" s="2672"/>
      <c r="H151" s="2671"/>
      <c r="I151" s="2672"/>
      <c r="J151" s="2671"/>
      <c r="K151" s="2671"/>
      <c r="L151" s="2672"/>
      <c r="M151" s="2671"/>
      <c r="N151" s="2671"/>
      <c r="O151" s="2672"/>
      <c r="P151" s="2671"/>
      <c r="Q151" s="2671"/>
      <c r="R151" s="2673"/>
    </row>
    <row r="152" spans="2:18" s="2508" customFormat="1">
      <c r="B152" s="2671"/>
      <c r="C152" s="2671"/>
      <c r="D152" s="2671"/>
      <c r="E152" s="2671"/>
      <c r="F152" s="2671"/>
      <c r="G152" s="2672"/>
      <c r="H152" s="2671"/>
      <c r="I152" s="2672"/>
      <c r="J152" s="2671"/>
      <c r="K152" s="2671"/>
      <c r="L152" s="2672"/>
      <c r="M152" s="2671"/>
      <c r="N152" s="2671"/>
      <c r="O152" s="2672"/>
      <c r="P152" s="2671"/>
      <c r="Q152" s="2671"/>
      <c r="R152" s="2673"/>
    </row>
    <row r="153" spans="2:18" s="2508" customFormat="1">
      <c r="B153" s="2671"/>
      <c r="C153" s="2671"/>
      <c r="D153" s="2671"/>
      <c r="E153" s="2671"/>
      <c r="F153" s="2671"/>
      <c r="G153" s="2672"/>
      <c r="H153" s="2671"/>
      <c r="I153" s="2672"/>
      <c r="J153" s="2671"/>
      <c r="K153" s="2671"/>
      <c r="L153" s="2672"/>
      <c r="M153" s="2671"/>
      <c r="N153" s="2671"/>
      <c r="O153" s="2672"/>
      <c r="P153" s="2671"/>
      <c r="Q153" s="2671"/>
      <c r="R153" s="2673"/>
    </row>
    <row r="154" spans="2:18" s="2508" customFormat="1">
      <c r="B154" s="2671"/>
      <c r="C154" s="2671"/>
      <c r="D154" s="2671"/>
      <c r="E154" s="2671"/>
      <c r="F154" s="2671"/>
      <c r="G154" s="2672"/>
      <c r="H154" s="2671"/>
      <c r="I154" s="2672"/>
      <c r="J154" s="2671"/>
      <c r="K154" s="2671"/>
      <c r="L154" s="2672"/>
      <c r="M154" s="2671"/>
      <c r="N154" s="2671"/>
      <c r="O154" s="2672"/>
      <c r="P154" s="2671"/>
      <c r="Q154" s="2671"/>
      <c r="R154" s="2673"/>
    </row>
    <row r="155" spans="2:18" s="2508" customFormat="1">
      <c r="B155" s="2671"/>
      <c r="C155" s="2671"/>
      <c r="D155" s="2671"/>
      <c r="E155" s="2671"/>
      <c r="F155" s="2671"/>
      <c r="G155" s="2672"/>
      <c r="H155" s="2671"/>
      <c r="I155" s="2672"/>
      <c r="J155" s="2671"/>
      <c r="K155" s="2671"/>
      <c r="L155" s="2672"/>
      <c r="M155" s="2671"/>
      <c r="N155" s="2671"/>
      <c r="O155" s="2672"/>
      <c r="P155" s="2671"/>
      <c r="Q155" s="2671"/>
      <c r="R155" s="2673"/>
    </row>
    <row r="156" spans="2:18" s="2508" customFormat="1">
      <c r="B156" s="2671"/>
      <c r="C156" s="2671"/>
      <c r="D156" s="2671"/>
      <c r="E156" s="2671"/>
      <c r="F156" s="2671"/>
      <c r="G156" s="2672"/>
      <c r="H156" s="2671"/>
      <c r="I156" s="2672"/>
      <c r="J156" s="2671"/>
      <c r="K156" s="2671"/>
      <c r="L156" s="2672"/>
      <c r="M156" s="2671"/>
      <c r="N156" s="2671"/>
      <c r="O156" s="2672"/>
      <c r="P156" s="2671"/>
      <c r="Q156" s="2671"/>
      <c r="R156" s="2673"/>
    </row>
    <row r="157" spans="2:18" s="2508" customFormat="1">
      <c r="B157" s="2671"/>
      <c r="C157" s="2671"/>
      <c r="D157" s="2671"/>
      <c r="E157" s="2671"/>
      <c r="F157" s="2671"/>
      <c r="G157" s="2672"/>
      <c r="H157" s="2671"/>
      <c r="I157" s="2672"/>
      <c r="J157" s="2671"/>
      <c r="K157" s="2671"/>
      <c r="L157" s="2672"/>
      <c r="M157" s="2671"/>
      <c r="N157" s="2671"/>
      <c r="O157" s="2672"/>
      <c r="P157" s="2671"/>
      <c r="Q157" s="2671"/>
      <c r="R157" s="2673"/>
    </row>
    <row r="158" spans="2:18" s="2508" customFormat="1">
      <c r="B158" s="2671"/>
      <c r="C158" s="2671"/>
      <c r="D158" s="2671"/>
      <c r="E158" s="2671"/>
      <c r="F158" s="2671"/>
      <c r="G158" s="2672"/>
      <c r="H158" s="2671"/>
      <c r="I158" s="2672"/>
      <c r="J158" s="2671"/>
      <c r="K158" s="2671"/>
      <c r="L158" s="2672"/>
      <c r="M158" s="2671"/>
      <c r="N158" s="2671"/>
      <c r="O158" s="2672"/>
      <c r="P158" s="2671"/>
      <c r="Q158" s="2671"/>
      <c r="R158" s="2673"/>
    </row>
    <row r="159" spans="2:18" s="2508" customFormat="1">
      <c r="B159" s="2671"/>
      <c r="C159" s="2671"/>
      <c r="D159" s="2671"/>
      <c r="E159" s="2671"/>
      <c r="F159" s="2671"/>
      <c r="G159" s="2672"/>
      <c r="H159" s="2671"/>
      <c r="I159" s="2672"/>
      <c r="J159" s="2671"/>
      <c r="K159" s="2671"/>
      <c r="L159" s="2672"/>
      <c r="M159" s="2671"/>
      <c r="N159" s="2671"/>
      <c r="O159" s="2672"/>
      <c r="P159" s="2671"/>
      <c r="Q159" s="2671"/>
      <c r="R159" s="2673"/>
    </row>
    <row r="160" spans="2:18" s="2508" customFormat="1">
      <c r="B160" s="2671"/>
      <c r="C160" s="2671"/>
      <c r="D160" s="2671"/>
      <c r="E160" s="2671"/>
      <c r="F160" s="2671"/>
      <c r="G160" s="2672"/>
      <c r="H160" s="2671"/>
      <c r="I160" s="2672"/>
      <c r="J160" s="2671"/>
      <c r="K160" s="2671"/>
      <c r="L160" s="2672"/>
      <c r="M160" s="2671"/>
      <c r="N160" s="2671"/>
      <c r="O160" s="2672"/>
      <c r="P160" s="2671"/>
      <c r="Q160" s="2671"/>
      <c r="R160" s="2673"/>
    </row>
    <row r="161" spans="2:18" s="2508" customFormat="1">
      <c r="B161" s="2671"/>
      <c r="C161" s="2671"/>
      <c r="D161" s="2671"/>
      <c r="E161" s="2671"/>
      <c r="F161" s="2671"/>
      <c r="G161" s="2672"/>
      <c r="H161" s="2671"/>
      <c r="I161" s="2672"/>
      <c r="J161" s="2671"/>
      <c r="K161" s="2671"/>
      <c r="L161" s="2672"/>
      <c r="M161" s="2671"/>
      <c r="N161" s="2671"/>
      <c r="O161" s="2672"/>
      <c r="P161" s="2671"/>
      <c r="Q161" s="2671"/>
      <c r="R161" s="2673"/>
    </row>
    <row r="162" spans="2:18" s="2508" customFormat="1">
      <c r="B162" s="2671"/>
      <c r="C162" s="2671"/>
      <c r="D162" s="2671"/>
      <c r="E162" s="2671"/>
      <c r="F162" s="2671"/>
      <c r="G162" s="2672"/>
      <c r="H162" s="2671"/>
      <c r="I162" s="2672"/>
      <c r="J162" s="2671"/>
      <c r="K162" s="2671"/>
      <c r="L162" s="2672"/>
      <c r="M162" s="2671"/>
      <c r="N162" s="2671"/>
      <c r="O162" s="2672"/>
      <c r="P162" s="2671"/>
      <c r="Q162" s="2671"/>
      <c r="R162" s="2673"/>
    </row>
    <row r="163" spans="2:18" s="2508" customFormat="1">
      <c r="B163" s="2671"/>
      <c r="C163" s="2671"/>
      <c r="D163" s="2671"/>
      <c r="E163" s="2671"/>
      <c r="F163" s="2671"/>
      <c r="G163" s="2672"/>
      <c r="H163" s="2671"/>
      <c r="I163" s="2672"/>
      <c r="J163" s="2671"/>
      <c r="K163" s="2671"/>
      <c r="L163" s="2672"/>
      <c r="M163" s="2671"/>
      <c r="N163" s="2671"/>
      <c r="O163" s="2672"/>
      <c r="P163" s="2671"/>
      <c r="Q163" s="2671"/>
      <c r="R163" s="2673"/>
    </row>
    <row r="164" spans="2:18" s="2508" customFormat="1">
      <c r="B164" s="2671"/>
      <c r="C164" s="2671"/>
      <c r="D164" s="2671"/>
      <c r="E164" s="2671"/>
      <c r="F164" s="2671"/>
      <c r="G164" s="2672"/>
      <c r="H164" s="2671"/>
      <c r="I164" s="2672"/>
      <c r="J164" s="2671"/>
      <c r="K164" s="2671"/>
      <c r="L164" s="2672"/>
      <c r="M164" s="2671"/>
      <c r="N164" s="2671"/>
      <c r="O164" s="2672"/>
      <c r="P164" s="2671"/>
      <c r="Q164" s="2671"/>
      <c r="R164" s="2673"/>
    </row>
    <row r="165" spans="2:18" s="2508" customFormat="1">
      <c r="B165" s="2671"/>
      <c r="C165" s="2671"/>
      <c r="D165" s="2671"/>
      <c r="E165" s="2671"/>
      <c r="F165" s="2671"/>
      <c r="G165" s="2672"/>
      <c r="H165" s="2671"/>
      <c r="I165" s="2672"/>
      <c r="J165" s="2671"/>
      <c r="K165" s="2671"/>
      <c r="L165" s="2672"/>
      <c r="M165" s="2671"/>
      <c r="N165" s="2671"/>
      <c r="O165" s="2672"/>
      <c r="P165" s="2671"/>
      <c r="Q165" s="2671"/>
      <c r="R165" s="2673"/>
    </row>
    <row r="166" spans="2:18" s="2508" customFormat="1">
      <c r="B166" s="2671"/>
      <c r="C166" s="2671"/>
      <c r="D166" s="2671"/>
      <c r="E166" s="2671"/>
      <c r="F166" s="2671"/>
      <c r="G166" s="2672"/>
      <c r="H166" s="2671"/>
      <c r="I166" s="2672"/>
      <c r="J166" s="2671"/>
      <c r="K166" s="2671"/>
      <c r="L166" s="2672"/>
      <c r="M166" s="2671"/>
      <c r="N166" s="2671"/>
      <c r="O166" s="2672"/>
      <c r="P166" s="2671"/>
      <c r="Q166" s="2671"/>
      <c r="R166" s="2673"/>
    </row>
    <row r="167" spans="2:18" s="2508" customFormat="1">
      <c r="B167" s="2671"/>
      <c r="C167" s="2671"/>
      <c r="D167" s="2671"/>
      <c r="E167" s="2671"/>
      <c r="F167" s="2671"/>
      <c r="G167" s="2672"/>
      <c r="H167" s="2671"/>
      <c r="I167" s="2672"/>
      <c r="J167" s="2671"/>
      <c r="K167" s="2671"/>
      <c r="L167" s="2672"/>
      <c r="M167" s="2671"/>
      <c r="N167" s="2671"/>
      <c r="O167" s="2672"/>
      <c r="P167" s="2671"/>
      <c r="Q167" s="2671"/>
      <c r="R167" s="2673"/>
    </row>
    <row r="168" spans="2:18" s="2508" customFormat="1">
      <c r="B168" s="2671"/>
      <c r="C168" s="2671"/>
      <c r="D168" s="2671"/>
      <c r="E168" s="2671"/>
      <c r="F168" s="2671"/>
      <c r="G168" s="2672"/>
      <c r="H168" s="2671"/>
      <c r="I168" s="2672"/>
      <c r="J168" s="2671"/>
      <c r="K168" s="2671"/>
      <c r="L168" s="2672"/>
      <c r="M168" s="2671"/>
      <c r="N168" s="2671"/>
      <c r="O168" s="2672"/>
      <c r="P168" s="2671"/>
      <c r="Q168" s="2671"/>
      <c r="R168" s="2673"/>
    </row>
    <row r="169" spans="2:18" s="2508" customFormat="1">
      <c r="B169" s="2671"/>
      <c r="C169" s="2671"/>
      <c r="D169" s="2671"/>
      <c r="E169" s="2671"/>
      <c r="F169" s="2671"/>
      <c r="G169" s="2672"/>
      <c r="H169" s="2671"/>
      <c r="I169" s="2672"/>
      <c r="J169" s="2671"/>
      <c r="K169" s="2671"/>
      <c r="L169" s="2672"/>
      <c r="M169" s="2671"/>
      <c r="N169" s="2671"/>
      <c r="O169" s="2672"/>
      <c r="P169" s="2671"/>
      <c r="Q169" s="2671"/>
      <c r="R169" s="2673"/>
    </row>
    <row r="170" spans="2:18" s="2508" customFormat="1">
      <c r="B170" s="2671"/>
      <c r="C170" s="2671"/>
      <c r="D170" s="2671"/>
      <c r="E170" s="2671"/>
      <c r="F170" s="2671"/>
      <c r="G170" s="2672"/>
      <c r="H170" s="2671"/>
      <c r="I170" s="2672"/>
      <c r="J170" s="2671"/>
      <c r="K170" s="2671"/>
      <c r="L170" s="2672"/>
      <c r="M170" s="2671"/>
      <c r="N170" s="2671"/>
      <c r="O170" s="2672"/>
      <c r="P170" s="2671"/>
      <c r="Q170" s="2671"/>
      <c r="R170" s="2673"/>
    </row>
    <row r="171" spans="2:18" s="2508" customFormat="1">
      <c r="B171" s="2671"/>
      <c r="C171" s="2671"/>
      <c r="D171" s="2671"/>
      <c r="E171" s="2671"/>
      <c r="F171" s="2671"/>
      <c r="G171" s="2672"/>
      <c r="H171" s="2671"/>
      <c r="I171" s="2672"/>
      <c r="J171" s="2671"/>
      <c r="K171" s="2671"/>
      <c r="L171" s="2672"/>
      <c r="M171" s="2671"/>
      <c r="N171" s="2671"/>
      <c r="O171" s="2672"/>
      <c r="P171" s="2671"/>
      <c r="Q171" s="2671"/>
      <c r="R171" s="2673"/>
    </row>
    <row r="172" spans="2:18" s="2508" customFormat="1">
      <c r="B172" s="2671"/>
      <c r="C172" s="2671"/>
      <c r="D172" s="2671"/>
      <c r="E172" s="2671"/>
      <c r="F172" s="2671"/>
      <c r="G172" s="2672"/>
      <c r="H172" s="2671"/>
      <c r="I172" s="2672"/>
      <c r="J172" s="2671"/>
      <c r="K172" s="2671"/>
      <c r="L172" s="2672"/>
      <c r="M172" s="2671"/>
      <c r="N172" s="2671"/>
      <c r="O172" s="2672"/>
      <c r="P172" s="2671"/>
      <c r="Q172" s="2671"/>
      <c r="R172" s="2673"/>
    </row>
    <row r="173" spans="2:18" s="2508" customFormat="1">
      <c r="B173" s="2671"/>
      <c r="C173" s="2671"/>
      <c r="D173" s="2671"/>
      <c r="E173" s="2671"/>
      <c r="F173" s="2671"/>
      <c r="G173" s="2672"/>
      <c r="H173" s="2671"/>
      <c r="I173" s="2672"/>
      <c r="J173" s="2671"/>
      <c r="K173" s="2671"/>
      <c r="L173" s="2672"/>
      <c r="M173" s="2671"/>
      <c r="N173" s="2671"/>
      <c r="O173" s="2672"/>
      <c r="P173" s="2671"/>
      <c r="Q173" s="2671"/>
      <c r="R173" s="2673"/>
    </row>
    <row r="174" spans="2:18" s="2508" customFormat="1">
      <c r="B174" s="2671"/>
      <c r="C174" s="2671"/>
      <c r="D174" s="2671"/>
      <c r="E174" s="2671"/>
      <c r="F174" s="2671"/>
      <c r="G174" s="2672"/>
      <c r="H174" s="2671"/>
      <c r="I174" s="2672"/>
      <c r="J174" s="2671"/>
      <c r="K174" s="2671"/>
      <c r="L174" s="2672"/>
      <c r="M174" s="2671"/>
      <c r="N174" s="2671"/>
      <c r="O174" s="2672"/>
      <c r="P174" s="2671"/>
      <c r="Q174" s="2671"/>
      <c r="R174" s="2673"/>
    </row>
    <row r="175" spans="2:18" s="2508" customFormat="1">
      <c r="B175" s="2671"/>
      <c r="C175" s="2671"/>
      <c r="D175" s="2671"/>
      <c r="E175" s="2671"/>
      <c r="F175" s="2671"/>
      <c r="G175" s="2672"/>
      <c r="H175" s="2671"/>
      <c r="I175" s="2672"/>
      <c r="J175" s="2671"/>
      <c r="K175" s="2671"/>
      <c r="L175" s="2672"/>
      <c r="M175" s="2671"/>
      <c r="N175" s="2671"/>
      <c r="O175" s="2672"/>
      <c r="P175" s="2671"/>
      <c r="Q175" s="2671"/>
      <c r="R175" s="2673"/>
    </row>
    <row r="176" spans="2:18" s="2508" customFormat="1">
      <c r="B176" s="2671"/>
      <c r="C176" s="2671"/>
      <c r="D176" s="2671"/>
      <c r="E176" s="2671"/>
      <c r="F176" s="2671"/>
      <c r="G176" s="2672"/>
      <c r="H176" s="2671"/>
      <c r="I176" s="2672"/>
      <c r="J176" s="2671"/>
      <c r="K176" s="2671"/>
      <c r="L176" s="2672"/>
      <c r="M176" s="2671"/>
      <c r="N176" s="2671"/>
      <c r="O176" s="2672"/>
      <c r="P176" s="2671"/>
      <c r="Q176" s="2671"/>
      <c r="R176" s="2673"/>
    </row>
    <row r="177" spans="1:18" s="2508" customFormat="1">
      <c r="B177" s="2671"/>
      <c r="C177" s="2671"/>
      <c r="D177" s="2671"/>
      <c r="E177" s="2671"/>
      <c r="F177" s="2671"/>
      <c r="G177" s="2672"/>
      <c r="H177" s="2671"/>
      <c r="I177" s="2672"/>
      <c r="J177" s="2671"/>
      <c r="K177" s="2671"/>
      <c r="L177" s="2672"/>
      <c r="M177" s="2671"/>
      <c r="N177" s="2671"/>
      <c r="O177" s="2672"/>
      <c r="P177" s="2671"/>
      <c r="Q177" s="2671"/>
      <c r="R177" s="2673"/>
    </row>
    <row r="178" spans="1:18" s="2508" customFormat="1">
      <c r="B178" s="2671"/>
      <c r="C178" s="2671"/>
      <c r="D178" s="2671"/>
      <c r="E178" s="2671"/>
      <c r="F178" s="2671"/>
      <c r="G178" s="2672"/>
      <c r="H178" s="2671"/>
      <c r="I178" s="2672"/>
      <c r="J178" s="2671"/>
      <c r="K178" s="2671"/>
      <c r="L178" s="2672"/>
      <c r="M178" s="2671"/>
      <c r="N178" s="2671"/>
      <c r="O178" s="2672"/>
      <c r="P178" s="2671"/>
      <c r="Q178" s="2671"/>
      <c r="R178" s="2673"/>
    </row>
    <row r="179" spans="1:18" s="2508" customFormat="1">
      <c r="B179" s="2671"/>
      <c r="C179" s="2671"/>
      <c r="D179" s="2671"/>
      <c r="E179" s="2671"/>
      <c r="F179" s="2671"/>
      <c r="G179" s="2672"/>
      <c r="H179" s="2671"/>
      <c r="I179" s="2672"/>
      <c r="J179" s="2671"/>
      <c r="K179" s="2671"/>
      <c r="L179" s="2672"/>
      <c r="M179" s="2671"/>
      <c r="N179" s="2671"/>
      <c r="O179" s="2672"/>
      <c r="P179" s="2671"/>
      <c r="Q179" s="2671"/>
      <c r="R179" s="2673"/>
    </row>
    <row r="180" spans="1:18" s="2508" customFormat="1">
      <c r="B180" s="2671"/>
      <c r="C180" s="2671"/>
      <c r="D180" s="2671"/>
      <c r="E180" s="2671"/>
      <c r="F180" s="2671"/>
      <c r="G180" s="2672"/>
      <c r="H180" s="2671"/>
      <c r="I180" s="2672"/>
      <c r="J180" s="2671"/>
      <c r="K180" s="2671"/>
      <c r="L180" s="2672"/>
      <c r="M180" s="2671"/>
      <c r="N180" s="2671"/>
      <c r="O180" s="2672"/>
      <c r="P180" s="2671"/>
      <c r="Q180" s="2671"/>
      <c r="R180" s="2673"/>
    </row>
    <row r="181" spans="1:18" s="2508" customFormat="1">
      <c r="B181" s="2671"/>
      <c r="C181" s="2671"/>
      <c r="D181" s="2671"/>
      <c r="E181" s="2671"/>
      <c r="F181" s="2671"/>
      <c r="G181" s="2672"/>
      <c r="H181" s="2671"/>
      <c r="I181" s="2672"/>
      <c r="J181" s="2671"/>
      <c r="K181" s="2671"/>
      <c r="L181" s="2672"/>
      <c r="M181" s="2671"/>
      <c r="N181" s="2671"/>
      <c r="O181" s="2672"/>
      <c r="P181" s="2671"/>
      <c r="Q181" s="2671"/>
      <c r="R181" s="2673"/>
    </row>
    <row r="182" spans="1:18" s="2508" customFormat="1">
      <c r="B182" s="2671"/>
      <c r="C182" s="2671"/>
      <c r="D182" s="2671"/>
      <c r="E182" s="2671"/>
      <c r="F182" s="2671"/>
      <c r="G182" s="2672"/>
      <c r="H182" s="2671"/>
      <c r="I182" s="2672"/>
      <c r="J182" s="2671"/>
      <c r="K182" s="2671"/>
      <c r="L182" s="2672"/>
      <c r="M182" s="2671"/>
      <c r="N182" s="2671"/>
      <c r="O182" s="2672"/>
      <c r="P182" s="2671"/>
      <c r="Q182" s="2671"/>
      <c r="R182" s="2673"/>
    </row>
    <row r="183" spans="1:18" s="2508" customFormat="1">
      <c r="B183" s="2671"/>
      <c r="C183" s="2671"/>
      <c r="D183" s="2671"/>
      <c r="E183" s="2671"/>
      <c r="F183" s="2671"/>
      <c r="G183" s="2672"/>
      <c r="H183" s="2671"/>
      <c r="I183" s="2672"/>
      <c r="J183" s="2671"/>
      <c r="K183" s="2671"/>
      <c r="L183" s="2672"/>
      <c r="M183" s="2671"/>
      <c r="N183" s="2671"/>
      <c r="O183" s="2672"/>
      <c r="P183" s="2671"/>
      <c r="Q183" s="2671"/>
      <c r="R183" s="2673"/>
    </row>
    <row r="184" spans="1:18" s="2508" customFormat="1">
      <c r="B184" s="2671"/>
      <c r="C184" s="2671"/>
      <c r="D184" s="2671"/>
      <c r="E184" s="2671"/>
      <c r="F184" s="2671"/>
      <c r="G184" s="2672"/>
      <c r="H184" s="2671"/>
      <c r="I184" s="2672"/>
      <c r="J184" s="2671"/>
      <c r="K184" s="2671"/>
      <c r="L184" s="2672"/>
      <c r="M184" s="2671"/>
      <c r="N184" s="2671"/>
      <c r="O184" s="2672"/>
      <c r="P184" s="2671"/>
      <c r="Q184" s="2671"/>
      <c r="R184" s="2673"/>
    </row>
    <row r="185" spans="1:18" s="2508" customFormat="1">
      <c r="B185" s="2671"/>
      <c r="C185" s="2671"/>
      <c r="D185" s="2671"/>
      <c r="E185" s="2671"/>
      <c r="F185" s="2671"/>
      <c r="G185" s="2672"/>
      <c r="H185" s="2671"/>
      <c r="I185" s="2672"/>
      <c r="J185" s="2671"/>
      <c r="K185" s="2671"/>
      <c r="L185" s="2672"/>
      <c r="M185" s="2671"/>
      <c r="N185" s="2671"/>
      <c r="O185" s="2672"/>
      <c r="P185" s="2671"/>
      <c r="Q185" s="2671"/>
      <c r="R185" s="2673"/>
    </row>
    <row r="186" spans="1:18">
      <c r="A186" s="2508"/>
      <c r="B186" s="2671"/>
      <c r="C186" s="2671"/>
      <c r="E186" s="2671"/>
      <c r="F186" s="2671"/>
      <c r="G186" s="2672"/>
    </row>
    <row r="187" spans="1:18">
      <c r="A187" s="2508"/>
      <c r="B187" s="2671"/>
      <c r="C187" s="2671"/>
      <c r="E187" s="2671"/>
      <c r="F187" s="2671"/>
      <c r="G187" s="2672"/>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G32" sqref="G32"/>
    </sheetView>
  </sheetViews>
  <sheetFormatPr defaultColWidth="9" defaultRowHeight="14.4"/>
  <cols>
    <col min="1" max="1" width="25" style="2649" customWidth="1"/>
    <col min="2" max="9" width="15.77734375" style="2649" customWidth="1"/>
    <col min="10" max="16384" width="9" style="2649"/>
  </cols>
  <sheetData>
    <row r="1" spans="1:11" ht="16.2">
      <c r="A1" s="2650" t="s">
        <v>2617</v>
      </c>
      <c r="B1" s="2650">
        <f>SUM(B14:B23)</f>
        <v>8450.66</v>
      </c>
      <c r="C1" s="2651"/>
      <c r="D1" s="2651"/>
      <c r="E1" s="2651"/>
      <c r="F1" s="2651"/>
      <c r="G1" s="2652"/>
      <c r="H1" s="2653"/>
      <c r="I1" s="2653"/>
      <c r="J1" s="2653"/>
      <c r="K1" s="2653"/>
    </row>
    <row r="2" spans="1:11" ht="16.2">
      <c r="A2" s="2650" t="s">
        <v>2618</v>
      </c>
      <c r="B2" s="2650">
        <f>SUM(C14:C23)</f>
        <v>0</v>
      </c>
      <c r="C2" s="2651"/>
      <c r="D2" s="2651"/>
      <c r="E2" s="2651"/>
      <c r="F2" s="2651"/>
      <c r="G2" s="2652"/>
      <c r="H2" s="2653"/>
      <c r="I2" s="2653"/>
      <c r="J2" s="2653"/>
      <c r="K2" s="2653"/>
    </row>
    <row r="3" spans="1:11" ht="15.6">
      <c r="A3" s="2650" t="s">
        <v>2619</v>
      </c>
      <c r="B3" s="2654">
        <f>项目基本情况!D3</f>
        <v>45311</v>
      </c>
      <c r="C3" s="2651"/>
      <c r="D3" s="2651"/>
      <c r="E3" s="2651"/>
      <c r="F3" s="2651"/>
      <c r="G3" s="2652"/>
      <c r="H3" s="2653"/>
      <c r="I3" s="2653"/>
      <c r="J3" s="2653"/>
      <c r="K3" s="2653"/>
    </row>
    <row r="4" spans="1:11" ht="31.2">
      <c r="A4" s="2650" t="s">
        <v>2620</v>
      </c>
      <c r="B4" s="2650" t="s">
        <v>2621</v>
      </c>
      <c r="C4" s="2650" t="s">
        <v>2622</v>
      </c>
      <c r="D4" s="2650" t="s">
        <v>2623</v>
      </c>
      <c r="E4" s="2651"/>
      <c r="F4" s="2652"/>
      <c r="G4" s="2652"/>
      <c r="H4" s="2653"/>
      <c r="I4" s="2653"/>
      <c r="J4" s="2653"/>
      <c r="K4" s="2653"/>
    </row>
    <row r="5" spans="1:11" ht="15.6">
      <c r="A5" s="2650" t="s">
        <v>2624</v>
      </c>
      <c r="B5" s="2650">
        <f ca="1">SUM(D14:D23)</f>
        <v>18909</v>
      </c>
      <c r="C5" s="2650">
        <f ca="1">IF(B5=D14,结果表产权车位!H102,ROUND(B5*10000/$B$1,0))</f>
        <v>22376</v>
      </c>
      <c r="D5" s="2650" t="e">
        <f ca="1">ROUND(B5*10000/$B$2,0)</f>
        <v>#DIV/0!</v>
      </c>
      <c r="E5" s="2651"/>
      <c r="F5" s="2652"/>
      <c r="G5" s="2652"/>
      <c r="H5" s="2653"/>
      <c r="I5" s="2653"/>
      <c r="J5" s="2653"/>
      <c r="K5" s="2653"/>
    </row>
    <row r="6" spans="1:11" ht="15.6">
      <c r="A6" s="2650" t="s">
        <v>2625</v>
      </c>
      <c r="B6" s="2650">
        <f>SUM(G14:G23)</f>
        <v>0</v>
      </c>
      <c r="C6" s="2650">
        <f ca="1">IF(B6=G14,结果表产权车位!H108,ROUND(B6*10000/$B$1,0))</f>
        <v>14370</v>
      </c>
      <c r="D6" s="2650" t="e">
        <f>ROUND(B6*10000/$B$2,0)</f>
        <v>#DIV/0!</v>
      </c>
      <c r="E6" s="2651"/>
      <c r="F6" s="2652"/>
      <c r="G6" s="2652"/>
      <c r="H6" s="2653"/>
      <c r="I6" s="2653"/>
      <c r="J6" s="2653"/>
      <c r="K6" s="2653"/>
    </row>
    <row r="7" spans="1:11" ht="15.6">
      <c r="A7" s="2650" t="s">
        <v>2626</v>
      </c>
      <c r="B7" s="2650">
        <f>SUM(H14:H23)</f>
        <v>0</v>
      </c>
      <c r="C7" s="2650" t="str">
        <f>IF(B7=H14,结果表产权车位!H110,ROUND(B7*10000/$B$1,0))</f>
        <v>——</v>
      </c>
      <c r="D7" s="2650" t="e">
        <f>ROUND(B7*10000/$B$2,0)</f>
        <v>#DIV/0!</v>
      </c>
      <c r="E7" s="2651"/>
      <c r="F7" s="2652"/>
      <c r="G7" s="2652"/>
      <c r="H7" s="2653"/>
      <c r="I7" s="2653"/>
      <c r="J7" s="2653"/>
      <c r="K7" s="2653"/>
    </row>
    <row r="8" spans="1:11" ht="15.6">
      <c r="A8" s="2650" t="s">
        <v>338</v>
      </c>
      <c r="B8" s="2650">
        <f>SUM(I14:I23)</f>
        <v>0</v>
      </c>
      <c r="C8" s="2650" t="str">
        <f>IF(B8=I14,结果表产权车位!H112,ROUND(B8*10000/$B$1,0))</f>
        <v>——</v>
      </c>
      <c r="D8" s="2650" t="e">
        <f>ROUND(B8*10000/$B$2,0)</f>
        <v>#DIV/0!</v>
      </c>
      <c r="E8" s="2651"/>
      <c r="F8" s="2652"/>
      <c r="G8" s="2652"/>
      <c r="H8" s="2653"/>
      <c r="I8" s="2653"/>
      <c r="J8" s="2653"/>
      <c r="K8" s="2653"/>
    </row>
    <row r="9" spans="1:11" ht="15.6">
      <c r="A9" s="2650" t="s">
        <v>2627</v>
      </c>
      <c r="B9" s="2655"/>
      <c r="C9" s="2651"/>
      <c r="D9" s="2651"/>
      <c r="E9" s="2651"/>
      <c r="F9" s="2652"/>
      <c r="G9" s="2652"/>
      <c r="H9" s="2653"/>
      <c r="I9" s="2653"/>
      <c r="J9" s="2653"/>
      <c r="K9" s="2653"/>
    </row>
    <row r="10" spans="1:11" ht="15.6">
      <c r="A10" s="2650" t="s">
        <v>2628</v>
      </c>
      <c r="B10" s="2650">
        <f>IF(E10="",0,ROUND(B1*(E10*365/G10)/10000,0))</f>
        <v>0</v>
      </c>
      <c r="C10" s="2650" t="s">
        <v>2629</v>
      </c>
      <c r="D10" s="2650" t="s">
        <v>2628</v>
      </c>
      <c r="E10" s="2656"/>
      <c r="F10" s="2657" t="s">
        <v>2630</v>
      </c>
      <c r="G10" s="2658"/>
      <c r="H10" s="2653"/>
      <c r="I10" s="2653"/>
      <c r="J10" s="2653"/>
      <c r="K10" s="2653"/>
    </row>
    <row r="11" spans="1:11" ht="15.6">
      <c r="A11" s="2650" t="s">
        <v>2631</v>
      </c>
      <c r="B11" s="2655"/>
      <c r="C11" s="2651"/>
      <c r="D11" s="2651"/>
      <c r="E11" s="2651"/>
      <c r="F11" s="2652"/>
      <c r="G11" s="2652"/>
      <c r="H11" s="2653"/>
      <c r="I11" s="2653"/>
      <c r="J11" s="2653"/>
      <c r="K11" s="2653"/>
    </row>
    <row r="12" spans="1:11" ht="15.6">
      <c r="A12" s="2651"/>
      <c r="B12" s="2651"/>
      <c r="C12" s="2651"/>
      <c r="D12" s="2651"/>
      <c r="E12" s="2651"/>
      <c r="F12" s="2652"/>
      <c r="G12" s="2652"/>
      <c r="H12" s="2653"/>
      <c r="I12" s="2653"/>
      <c r="J12" s="2653"/>
      <c r="K12" s="2653"/>
    </row>
    <row r="13" spans="1:11" ht="31.8">
      <c r="A13" s="2659" t="s">
        <v>2632</v>
      </c>
      <c r="B13" s="2660" t="s">
        <v>2617</v>
      </c>
      <c r="C13" s="2660" t="s">
        <v>2618</v>
      </c>
      <c r="D13" s="2660" t="s">
        <v>2633</v>
      </c>
      <c r="E13" s="2650" t="s">
        <v>2622</v>
      </c>
      <c r="F13" s="2650" t="s">
        <v>2623</v>
      </c>
      <c r="G13" s="2660" t="s">
        <v>2634</v>
      </c>
      <c r="H13" s="2660" t="s">
        <v>2635</v>
      </c>
      <c r="I13" s="2660" t="s">
        <v>2636</v>
      </c>
      <c r="J13" s="2652"/>
      <c r="K13" s="2653"/>
    </row>
    <row r="14" spans="1:11" ht="15.6">
      <c r="A14" s="2661" t="s">
        <v>550</v>
      </c>
      <c r="B14" s="2662">
        <f>'数据-基础表'!I13</f>
        <v>1032</v>
      </c>
      <c r="C14" s="2662"/>
      <c r="D14" s="2662">
        <f ca="1">结果表产权车位!G19</f>
        <v>1483</v>
      </c>
      <c r="E14" s="2662">
        <f ca="1">ROUND(D14*10000/B14,0)</f>
        <v>14370</v>
      </c>
      <c r="F14" s="2662" t="e">
        <f ca="1">ROUND(D14*10000/C14,0)</f>
        <v>#DIV/0!</v>
      </c>
      <c r="G14" s="2662"/>
      <c r="H14" s="2662"/>
      <c r="I14" s="2662"/>
      <c r="J14" s="2652"/>
      <c r="K14" s="2653"/>
    </row>
    <row r="15" spans="1:11" ht="15.6">
      <c r="A15" s="2661" t="s">
        <v>551</v>
      </c>
      <c r="B15" s="2663">
        <f>'数据-基础表'!K13</f>
        <v>6410.4</v>
      </c>
      <c r="C15" s="2663"/>
      <c r="D15" s="2663">
        <f ca="1">结果表仓储!G19</f>
        <v>15930</v>
      </c>
      <c r="E15" s="2662">
        <f t="shared" ref="E15:E23" ca="1" si="0">ROUND(D15*10000/B15,0)</f>
        <v>24850</v>
      </c>
      <c r="F15" s="2662" t="e">
        <f t="shared" ref="F15:F23" ca="1" si="1">ROUND(D15*10000/C15,0)</f>
        <v>#DIV/0!</v>
      </c>
      <c r="G15" s="2664"/>
      <c r="H15" s="2664"/>
      <c r="I15" s="2663"/>
      <c r="J15" s="2652"/>
      <c r="K15" s="2653"/>
    </row>
    <row r="16" spans="1:11" ht="15.6">
      <c r="A16" s="2661" t="s">
        <v>552</v>
      </c>
      <c r="B16" s="2663">
        <f>'数据-基础表'!M13</f>
        <v>1008.26</v>
      </c>
      <c r="C16" s="2663"/>
      <c r="D16" s="2663">
        <f ca="1">结果表地下商业!G19</f>
        <v>1496</v>
      </c>
      <c r="E16" s="2662">
        <f t="shared" ca="1" si="0"/>
        <v>14837</v>
      </c>
      <c r="F16" s="2662" t="e">
        <f t="shared" ca="1" si="1"/>
        <v>#DIV/0!</v>
      </c>
      <c r="G16" s="2664"/>
      <c r="H16" s="2664"/>
      <c r="I16" s="2663"/>
      <c r="J16" s="2653"/>
      <c r="K16" s="2653"/>
    </row>
    <row r="17" spans="1:11" ht="15.6">
      <c r="A17" s="2661" t="s">
        <v>2637</v>
      </c>
      <c r="B17" s="2663"/>
      <c r="C17" s="2663"/>
      <c r="D17" s="2663"/>
      <c r="E17" s="2662" t="e">
        <f t="shared" si="0"/>
        <v>#DIV/0!</v>
      </c>
      <c r="F17" s="2662" t="e">
        <f t="shared" si="1"/>
        <v>#DIV/0!</v>
      </c>
      <c r="G17" s="2664"/>
      <c r="H17" s="2664"/>
      <c r="I17" s="2663"/>
      <c r="J17" s="2653"/>
      <c r="K17" s="2653"/>
    </row>
    <row r="18" spans="1:11" ht="15.6">
      <c r="A18" s="2661" t="s">
        <v>2638</v>
      </c>
      <c r="B18" s="2663"/>
      <c r="C18" s="2663"/>
      <c r="D18" s="2663"/>
      <c r="E18" s="2662" t="e">
        <f t="shared" si="0"/>
        <v>#DIV/0!</v>
      </c>
      <c r="F18" s="2662" t="e">
        <f t="shared" si="1"/>
        <v>#DIV/0!</v>
      </c>
      <c r="G18" s="2663"/>
      <c r="H18" s="2663"/>
      <c r="I18" s="2663"/>
      <c r="J18" s="2653"/>
      <c r="K18" s="2653"/>
    </row>
    <row r="19" spans="1:11" ht="15.6">
      <c r="A19" s="2661" t="s">
        <v>2639</v>
      </c>
      <c r="B19" s="2663"/>
      <c r="C19" s="2663"/>
      <c r="D19" s="2663"/>
      <c r="E19" s="2662" t="e">
        <f t="shared" si="0"/>
        <v>#DIV/0!</v>
      </c>
      <c r="F19" s="2662" t="e">
        <f t="shared" si="1"/>
        <v>#DIV/0!</v>
      </c>
      <c r="G19" s="2663"/>
      <c r="H19" s="2663"/>
      <c r="I19" s="2663"/>
      <c r="J19" s="2653"/>
      <c r="K19" s="2653"/>
    </row>
    <row r="20" spans="1:11" ht="15.6">
      <c r="A20" s="2661" t="s">
        <v>2640</v>
      </c>
      <c r="B20" s="2663"/>
      <c r="C20" s="2663"/>
      <c r="D20" s="2663"/>
      <c r="E20" s="2662" t="e">
        <f t="shared" si="0"/>
        <v>#DIV/0!</v>
      </c>
      <c r="F20" s="2662" t="e">
        <f t="shared" si="1"/>
        <v>#DIV/0!</v>
      </c>
      <c r="G20" s="2663"/>
      <c r="H20" s="2663"/>
      <c r="I20" s="2663"/>
      <c r="J20" s="2653"/>
      <c r="K20" s="2653"/>
    </row>
    <row r="21" spans="1:11" ht="15.6">
      <c r="A21" s="2661" t="s">
        <v>2641</v>
      </c>
      <c r="B21" s="2663"/>
      <c r="C21" s="2663"/>
      <c r="D21" s="2663"/>
      <c r="E21" s="2662" t="e">
        <f t="shared" si="0"/>
        <v>#DIV/0!</v>
      </c>
      <c r="F21" s="2662" t="e">
        <f t="shared" si="1"/>
        <v>#DIV/0!</v>
      </c>
      <c r="G21" s="2663"/>
      <c r="H21" s="2663"/>
      <c r="I21" s="2663"/>
      <c r="J21" s="2653"/>
      <c r="K21" s="2653"/>
    </row>
    <row r="22" spans="1:11" ht="15.6">
      <c r="A22" s="2661" t="s">
        <v>2642</v>
      </c>
      <c r="B22" s="2663"/>
      <c r="C22" s="2663"/>
      <c r="D22" s="2663"/>
      <c r="E22" s="2662" t="e">
        <f t="shared" si="0"/>
        <v>#DIV/0!</v>
      </c>
      <c r="F22" s="2662" t="e">
        <f t="shared" si="1"/>
        <v>#DIV/0!</v>
      </c>
      <c r="G22" s="2663"/>
      <c r="H22" s="2663"/>
      <c r="I22" s="2663"/>
      <c r="J22" s="2653"/>
      <c r="K22" s="2653"/>
    </row>
    <row r="23" spans="1:11" ht="15.6">
      <c r="A23" s="2661" t="s">
        <v>2643</v>
      </c>
      <c r="B23" s="2663"/>
      <c r="C23" s="2663"/>
      <c r="D23" s="2663"/>
      <c r="E23" s="2655" t="e">
        <f t="shared" si="0"/>
        <v>#DIV/0!</v>
      </c>
      <c r="F23" s="2655" t="e">
        <f t="shared" si="1"/>
        <v>#DIV/0!</v>
      </c>
      <c r="G23" s="2663"/>
      <c r="H23" s="2663"/>
      <c r="I23" s="2663"/>
      <c r="J23" s="2653"/>
      <c r="K23" s="2653"/>
    </row>
    <row r="24" spans="1:11">
      <c r="A24" s="2653"/>
      <c r="B24" s="2653"/>
      <c r="C24" s="2653"/>
      <c r="D24" s="2653"/>
      <c r="E24" s="2653"/>
      <c r="F24" s="2653"/>
      <c r="G24" s="2653"/>
      <c r="H24" s="2653"/>
      <c r="I24" s="2653"/>
      <c r="J24" s="2653"/>
      <c r="K24" s="2653"/>
    </row>
    <row r="25" spans="1:11">
      <c r="A25" s="2653"/>
      <c r="B25" s="2653"/>
      <c r="C25" s="2653"/>
      <c r="D25" s="2653"/>
      <c r="E25" s="2653"/>
      <c r="F25" s="2653"/>
      <c r="G25" s="2653"/>
      <c r="H25" s="2653"/>
      <c r="I25" s="2653"/>
      <c r="J25" s="2653"/>
      <c r="K25" s="2653"/>
    </row>
    <row r="26" spans="1:11">
      <c r="A26" s="2653"/>
      <c r="B26" s="2653"/>
      <c r="C26" s="2653"/>
      <c r="D26" s="2653"/>
      <c r="E26" s="2653"/>
      <c r="F26" s="2653"/>
      <c r="G26" s="2653"/>
      <c r="H26" s="2653"/>
      <c r="I26" s="2653"/>
      <c r="J26" s="2653"/>
      <c r="K26" s="2653"/>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G23" sqref="G23"/>
    </sheetView>
  </sheetViews>
  <sheetFormatPr defaultColWidth="12.6640625" defaultRowHeight="21.75" customHeight="1"/>
  <cols>
    <col min="1" max="2" width="12.6640625" style="1678"/>
    <col min="3" max="4" width="12.6640625" style="1678" customWidth="1"/>
    <col min="5" max="9" width="12.6640625" style="1678"/>
    <col min="10" max="11" width="12.6640625" style="545" customWidth="1"/>
    <col min="12" max="12" width="12.6640625" style="545"/>
    <col min="13" max="13" width="14.109375" style="545" customWidth="1"/>
    <col min="14" max="26" width="12.6640625" style="545"/>
    <col min="27" max="35" width="12.6640625" style="1677"/>
    <col min="36" max="16384" width="12.6640625" style="1678"/>
  </cols>
  <sheetData>
    <row r="1" spans="1:12" ht="21.75" customHeight="1">
      <c r="A1" s="1679" t="s">
        <v>2644</v>
      </c>
      <c r="B1" s="1680"/>
      <c r="C1" s="1681" t="s">
        <v>605</v>
      </c>
      <c r="D1" s="1680"/>
      <c r="E1" s="1680"/>
      <c r="F1" s="1682" t="s">
        <v>2645</v>
      </c>
      <c r="G1" s="1683"/>
      <c r="H1" s="1684" t="str">
        <f>IF(G1="现房","——","估价对象范围")</f>
        <v>估价对象范围</v>
      </c>
      <c r="I1" s="1821"/>
    </row>
    <row r="2" spans="1:12" ht="21.75" customHeight="1">
      <c r="A2" s="3632" t="str">
        <f>项目基本情况!S2</f>
        <v>北京市房地产</v>
      </c>
      <c r="B2" s="3633"/>
      <c r="C2" s="3633"/>
      <c r="D2" s="3633"/>
      <c r="E2" s="3633"/>
      <c r="F2" s="3633"/>
      <c r="G2" s="3633"/>
      <c r="H2" s="3633"/>
      <c r="I2" s="3634"/>
    </row>
    <row r="3" spans="1:12" ht="13.2">
      <c r="A3" s="3635" t="s">
        <v>2646</v>
      </c>
      <c r="B3" s="3636"/>
      <c r="C3" s="3636"/>
      <c r="D3" s="3636"/>
      <c r="E3" s="3636"/>
      <c r="F3" s="3636"/>
      <c r="G3" s="3636"/>
      <c r="H3" s="3636"/>
      <c r="I3" s="3636"/>
    </row>
    <row r="4" spans="1:12" ht="14.4">
      <c r="A4" s="1685" t="s">
        <v>2647</v>
      </c>
      <c r="B4" s="1686" t="s">
        <v>2648</v>
      </c>
      <c r="C4" s="1687" t="s">
        <v>311</v>
      </c>
      <c r="D4" s="1687" t="s">
        <v>2649</v>
      </c>
      <c r="E4" s="3637" t="s">
        <v>2650</v>
      </c>
      <c r="F4" s="3638"/>
      <c r="G4" s="3638"/>
      <c r="H4" s="3638"/>
      <c r="I4" s="3639"/>
      <c r="K4" s="546" t="str">
        <f>IF(ISNUMBER(FIND("比较法",结果表产权车位!C4)),"比较法",IF(ISNUMBER(FIND("成本法",结果表产权车位!C4)),"成本法",IF(ISNUMBER(FIND("假设开发法",结果表产权车位!C4)),"假设开发法",IF(ISNUMBER(FIND("收益法",结果表产权车位!C4)),"收益法","基准地价系数修正法"))))</f>
        <v>基准地价系数修正法</v>
      </c>
      <c r="L4" s="546" t="str">
        <f>IF(ISNUMBER(FIND("比较法",结果表产权车位!D4)),"比较法",IF(ISNUMBER(FIND("成本法",结果表产权车位!D4)),"成本法",IF(ISNUMBER(FIND("假设开发法",结果表产权车位!D4)),"假设开发法",IF(ISNUMBER(FIND("收益法",结果表产权车位!D4)),"收益法","基准地价系数修正法"))))</f>
        <v>成本法</v>
      </c>
    </row>
    <row r="5" spans="1:12" ht="13.2">
      <c r="A5" s="3565" t="s">
        <v>2651</v>
      </c>
      <c r="B5" s="3573">
        <v>25</v>
      </c>
      <c r="C5" s="3576"/>
      <c r="D5" s="3579"/>
      <c r="E5" s="741" t="s">
        <v>2652</v>
      </c>
      <c r="F5" s="1692"/>
      <c r="G5" s="1692"/>
      <c r="H5" s="1692"/>
      <c r="I5" s="1823"/>
    </row>
    <row r="6" spans="1:12" ht="13.2">
      <c r="A6" s="3565"/>
      <c r="B6" s="3573"/>
      <c r="C6" s="3577"/>
      <c r="D6" s="3579"/>
      <c r="E6" s="741" t="s">
        <v>2653</v>
      </c>
      <c r="F6" s="1692"/>
      <c r="G6" s="1692"/>
      <c r="H6" s="1692"/>
      <c r="I6" s="1823"/>
    </row>
    <row r="7" spans="1:12" ht="13.2">
      <c r="A7" s="3565"/>
      <c r="B7" s="3573"/>
      <c r="C7" s="3578"/>
      <c r="D7" s="3579"/>
      <c r="E7" s="741" t="s">
        <v>2654</v>
      </c>
      <c r="F7" s="1692"/>
      <c r="G7" s="1692"/>
      <c r="H7" s="1692"/>
      <c r="I7" s="1823"/>
    </row>
    <row r="8" spans="1:12" ht="13.2">
      <c r="A8" s="3565" t="s">
        <v>2655</v>
      </c>
      <c r="B8" s="3573">
        <v>15</v>
      </c>
      <c r="C8" s="3576"/>
      <c r="D8" s="3579"/>
      <c r="E8" s="741" t="s">
        <v>2656</v>
      </c>
      <c r="F8" s="1692"/>
      <c r="G8" s="1692"/>
      <c r="H8" s="1692"/>
      <c r="I8" s="1823"/>
    </row>
    <row r="9" spans="1:12" ht="13.2">
      <c r="A9" s="3565"/>
      <c r="B9" s="3573"/>
      <c r="C9" s="3578"/>
      <c r="D9" s="3579"/>
      <c r="E9" s="741" t="s">
        <v>2657</v>
      </c>
      <c r="F9" s="1692"/>
      <c r="G9" s="1692"/>
      <c r="H9" s="1692"/>
      <c r="I9" s="1823"/>
    </row>
    <row r="10" spans="1:12" ht="13.2">
      <c r="A10" s="3565" t="s">
        <v>2658</v>
      </c>
      <c r="B10" s="3573">
        <v>15</v>
      </c>
      <c r="C10" s="3576"/>
      <c r="D10" s="3579"/>
      <c r="E10" s="741" t="s">
        <v>2659</v>
      </c>
      <c r="F10" s="1692"/>
      <c r="G10" s="1692"/>
      <c r="H10" s="1692"/>
      <c r="I10" s="1823"/>
    </row>
    <row r="11" spans="1:12" ht="13.2">
      <c r="A11" s="3565"/>
      <c r="B11" s="3573"/>
      <c r="C11" s="3578"/>
      <c r="D11" s="3579"/>
      <c r="E11" s="741" t="s">
        <v>2660</v>
      </c>
      <c r="F11" s="1692"/>
      <c r="G11" s="1692"/>
      <c r="H11" s="1692"/>
      <c r="I11" s="1823"/>
    </row>
    <row r="12" spans="1:12" ht="13.2">
      <c r="A12" s="3565" t="s">
        <v>2661</v>
      </c>
      <c r="B12" s="3573">
        <v>15</v>
      </c>
      <c r="C12" s="3576"/>
      <c r="D12" s="3579"/>
      <c r="E12" s="741" t="s">
        <v>2662</v>
      </c>
      <c r="F12" s="1692"/>
      <c r="G12" s="1692"/>
      <c r="H12" s="1692"/>
      <c r="I12" s="1823"/>
    </row>
    <row r="13" spans="1:12" ht="13.2">
      <c r="A13" s="3565"/>
      <c r="B13" s="3573"/>
      <c r="C13" s="3578"/>
      <c r="D13" s="3579"/>
      <c r="E13" s="741" t="s">
        <v>2663</v>
      </c>
      <c r="F13" s="1692"/>
      <c r="G13" s="1692"/>
      <c r="H13" s="1692"/>
      <c r="I13" s="1823"/>
    </row>
    <row r="14" spans="1:12" ht="13.2">
      <c r="A14" s="3565" t="s">
        <v>2664</v>
      </c>
      <c r="B14" s="3573">
        <v>30</v>
      </c>
      <c r="C14" s="3576">
        <v>7</v>
      </c>
      <c r="D14" s="3579">
        <v>3</v>
      </c>
      <c r="E14" s="741" t="s">
        <v>2665</v>
      </c>
      <c r="F14" s="1692"/>
      <c r="G14" s="1692"/>
      <c r="H14" s="1692"/>
      <c r="I14" s="1823"/>
    </row>
    <row r="15" spans="1:12" ht="13.2">
      <c r="A15" s="3565"/>
      <c r="B15" s="3573"/>
      <c r="C15" s="3577"/>
      <c r="D15" s="3579"/>
      <c r="E15" s="741" t="s">
        <v>2666</v>
      </c>
      <c r="F15" s="1692"/>
      <c r="G15" s="1692"/>
      <c r="H15" s="1692"/>
      <c r="I15" s="1823"/>
    </row>
    <row r="16" spans="1:12" ht="13.2">
      <c r="A16" s="3565"/>
      <c r="B16" s="3573"/>
      <c r="C16" s="3578"/>
      <c r="D16" s="3579"/>
      <c r="E16" s="741" t="s">
        <v>2667</v>
      </c>
      <c r="F16" s="1692"/>
      <c r="G16" s="1692"/>
      <c r="H16" s="1692"/>
      <c r="I16" s="1823"/>
    </row>
    <row r="17" spans="1:36" ht="14.4">
      <c r="A17" s="1693" t="s">
        <v>2668</v>
      </c>
      <c r="B17" s="1694"/>
      <c r="C17" s="1695">
        <f>SUM(C5:C16)</f>
        <v>7</v>
      </c>
      <c r="D17" s="1695">
        <f>SUM(D5:D16)</f>
        <v>3</v>
      </c>
      <c r="E17" s="588"/>
      <c r="F17" s="588"/>
      <c r="G17" s="588"/>
      <c r="H17" s="588"/>
      <c r="I17" s="588"/>
      <c r="K17" s="701"/>
      <c r="L17" s="701" t="s">
        <v>2669</v>
      </c>
      <c r="M17" s="701" t="s">
        <v>2670</v>
      </c>
    </row>
    <row r="18" spans="1:36" ht="31.95" customHeight="1">
      <c r="A18" s="1696" t="s">
        <v>2671</v>
      </c>
      <c r="B18" s="1697"/>
      <c r="C18" s="1698">
        <f>ROUND(C17/SUM(C17:D17),2)</f>
        <v>0.7</v>
      </c>
      <c r="D18" s="1698">
        <f>1-C18</f>
        <v>0.30000000000000004</v>
      </c>
      <c r="E18" s="3640" t="s">
        <v>2672</v>
      </c>
      <c r="F18" s="3641"/>
      <c r="G18" s="3641"/>
      <c r="H18" s="3641"/>
      <c r="I18" s="3641"/>
      <c r="K18" s="701" t="s">
        <v>458</v>
      </c>
      <c r="L18" s="701">
        <f>IF(C1="",'数据-汇总表'!E3,SUMIF(项目类型,C1,'数据-汇总表'!E17:E26)+SUMIF(项目类型,C1,'数据-汇总表'!I17:I26))</f>
        <v>1032</v>
      </c>
      <c r="M18" s="701">
        <f>IF(C1="",'数据-汇总表'!E3,SUMIF(项目类型,C1,'数据-汇总表'!E17:E26))</f>
        <v>1032</v>
      </c>
    </row>
    <row r="19" spans="1:36" ht="14.4">
      <c r="A19" s="1699" t="s">
        <v>2673</v>
      </c>
      <c r="B19" s="1700" t="s">
        <v>2674</v>
      </c>
      <c r="C19" s="1701">
        <f ca="1">SUMIF(INDIRECT("'"&amp;C4&amp;"'"&amp;"!A:A"),结果表产权车位!B19,INDIRECT("'"&amp;C4&amp;"'"&amp;"!B:B"))</f>
        <v>1632</v>
      </c>
      <c r="D19" s="1702">
        <f ca="1">SUMIF(INDIRECT("'"&amp;D4&amp;"'"&amp;"!A:A"),结果表产权车位!B19,INDIRECT("'"&amp;D4&amp;"'"&amp;"!B:B"))</f>
        <v>1136</v>
      </c>
      <c r="E19" s="1699" t="s">
        <v>2675</v>
      </c>
      <c r="F19" s="1700" t="s">
        <v>2674</v>
      </c>
      <c r="G19" s="1703">
        <f ca="1">ROUND(C19*$C$18+D19*$D$18,0)</f>
        <v>1483</v>
      </c>
      <c r="H19" s="1704" t="s">
        <v>2676</v>
      </c>
      <c r="I19" s="588"/>
      <c r="K19" s="701" t="s">
        <v>462</v>
      </c>
      <c r="L19" s="701">
        <f>IF(C1="",'数据-汇总表'!D3,SUMIF(项目类型,C1,'数据-汇总表'!D17:D26)+SUMIF(项目类型,C1,'数据-汇总表'!H17:H27))</f>
        <v>0</v>
      </c>
      <c r="M19" s="701">
        <f>IF(C1="",'数据-汇总表'!D3,SUMIF(项目类型,C1,'数据-汇总表'!D17:D26))</f>
        <v>0</v>
      </c>
    </row>
    <row r="20" spans="1:36" ht="14.4">
      <c r="A20" s="1705"/>
      <c r="B20" s="1706" t="s">
        <v>2677</v>
      </c>
      <c r="C20" s="1707">
        <f ca="1">SUMIF(INDIRECT("'"&amp;C4&amp;"'"&amp;"!A:A"),结果表产权车位!B20,INDIRECT("'"&amp;C4&amp;"'"&amp;"!B:B"))</f>
        <v>15814</v>
      </c>
      <c r="D20" s="1708">
        <f ca="1">SUMIF(INDIRECT("'"&amp;D4&amp;"'"&amp;"!A:A"),结果表产权车位!B20,INDIRECT("'"&amp;D4&amp;"'"&amp;"!B:B"))</f>
        <v>11008</v>
      </c>
      <c r="E20" s="1705"/>
      <c r="F20" s="1706" t="s">
        <v>2677</v>
      </c>
      <c r="G20" s="1709">
        <f ca="1">ROUND(C20*$C$18+D20*$D$18,0)</f>
        <v>14372</v>
      </c>
      <c r="H20" s="857" t="s">
        <v>2678</v>
      </c>
      <c r="I20" s="588"/>
    </row>
    <row r="21" spans="1:36" ht="15" customHeight="1">
      <c r="A21" s="1710"/>
      <c r="B21" s="1711" t="s">
        <v>2679</v>
      </c>
      <c r="C21" s="1712" t="e">
        <f ca="1">ROUND(C19*10000/L19,0)</f>
        <v>#DIV/0!</v>
      </c>
      <c r="D21" s="1713" t="e">
        <f ca="1">ROUND(D19*10000/L19,0)</f>
        <v>#DIV/0!</v>
      </c>
      <c r="E21" s="1710"/>
      <c r="F21" s="1711" t="s">
        <v>2679</v>
      </c>
      <c r="G21" s="1714" t="e">
        <f ca="1">ROUND(G19*10000/L19,0)</f>
        <v>#DIV/0!</v>
      </c>
      <c r="H21" s="1715" t="s">
        <v>2678</v>
      </c>
      <c r="I21" s="588"/>
    </row>
    <row r="22" spans="1:36" ht="14.4">
      <c r="A22" s="1716" t="s">
        <v>2680</v>
      </c>
      <c r="B22" s="1717"/>
      <c r="C22" s="1718"/>
      <c r="D22" s="1719">
        <f ca="1">IF(C19&lt;D19,D19/C19-1,C19/D19-1)</f>
        <v>0.43661971830985924</v>
      </c>
      <c r="E22" s="588"/>
      <c r="F22" s="588"/>
      <c r="G22" s="588"/>
      <c r="H22" s="588"/>
      <c r="I22" s="588"/>
    </row>
    <row r="23" spans="1:36" ht="13.2">
      <c r="A23" s="1680"/>
      <c r="B23" s="1680"/>
      <c r="C23" s="1680"/>
      <c r="D23" s="1680"/>
      <c r="E23" s="588"/>
      <c r="F23" s="588"/>
      <c r="G23" s="588">
        <f ca="1">G19/32</f>
        <v>46.34375</v>
      </c>
      <c r="H23" s="588"/>
      <c r="I23" s="588"/>
    </row>
    <row r="24" spans="1:36" ht="14.4">
      <c r="A24" s="3566" t="s">
        <v>2681</v>
      </c>
      <c r="B24" s="1700" t="s">
        <v>2674</v>
      </c>
      <c r="C24" s="1703">
        <f>IF(B30=0,0,D30)</f>
        <v>0</v>
      </c>
      <c r="D24" s="1720"/>
      <c r="E24" s="588"/>
      <c r="F24" s="588"/>
      <c r="G24" s="588"/>
      <c r="H24" s="588"/>
      <c r="I24" s="588"/>
    </row>
    <row r="25" spans="1:36" ht="14.4">
      <c r="A25" s="3567"/>
      <c r="B25" s="1706" t="s">
        <v>2677</v>
      </c>
      <c r="C25" s="1721">
        <f>IF(B30=0,0,C30)</f>
        <v>0</v>
      </c>
      <c r="D25" s="1722"/>
      <c r="E25" s="588"/>
      <c r="F25" s="588"/>
      <c r="G25" s="588"/>
      <c r="H25" s="588"/>
      <c r="I25" s="588"/>
    </row>
    <row r="26" spans="1:36" ht="13.5" customHeight="1">
      <c r="A26" s="1723" t="s">
        <v>2682</v>
      </c>
      <c r="B26" s="1724" t="s">
        <v>2683</v>
      </c>
      <c r="C26" s="1724" t="s">
        <v>2684</v>
      </c>
      <c r="D26" s="1725" t="s">
        <v>2685</v>
      </c>
      <c r="E26" s="588"/>
      <c r="F26" s="588"/>
      <c r="G26" s="588"/>
      <c r="H26" s="588"/>
      <c r="I26" s="588"/>
    </row>
    <row r="27" spans="1:36" ht="13.8">
      <c r="A27" s="1723"/>
      <c r="B27" s="1724">
        <v>0</v>
      </c>
      <c r="C27" s="1724">
        <v>0</v>
      </c>
      <c r="D27" s="1725">
        <f>ROUND(C27*B27/10000,0)</f>
        <v>0</v>
      </c>
      <c r="E27" s="588"/>
      <c r="F27" s="588"/>
      <c r="G27" s="588"/>
      <c r="H27" s="588"/>
      <c r="I27" s="588"/>
    </row>
    <row r="28" spans="1:36" ht="13.8">
      <c r="A28" s="1723"/>
      <c r="B28" s="1724"/>
      <c r="C28" s="1724"/>
      <c r="D28" s="1725"/>
      <c r="E28" s="588"/>
      <c r="F28" s="588"/>
      <c r="G28" s="588"/>
      <c r="H28" s="588"/>
      <c r="I28" s="588"/>
    </row>
    <row r="29" spans="1:36" ht="13.8">
      <c r="A29" s="1723"/>
      <c r="B29" s="1724"/>
      <c r="C29" s="1724"/>
      <c r="D29" s="1725"/>
      <c r="E29" s="588"/>
      <c r="F29" s="588"/>
      <c r="G29" s="588"/>
      <c r="H29" s="588"/>
      <c r="I29" s="588"/>
    </row>
    <row r="30" spans="1:36" ht="14.4">
      <c r="A30" s="1724" t="s">
        <v>2686</v>
      </c>
      <c r="B30" s="1724"/>
      <c r="C30" s="1724"/>
      <c r="D30" s="1724"/>
      <c r="E30" s="1726" t="s">
        <v>2687</v>
      </c>
      <c r="F30" s="588"/>
      <c r="G30" s="588"/>
      <c r="H30" s="588"/>
      <c r="I30" s="588"/>
    </row>
    <row r="31" spans="1:36" s="1674" customFormat="1" ht="26.4" customHeight="1">
      <c r="A31" s="1727"/>
      <c r="B31" s="1728"/>
      <c r="C31" s="1728"/>
      <c r="D31" s="1728"/>
      <c r="E31" s="1728"/>
      <c r="F31" s="1728"/>
      <c r="G31" s="1728"/>
      <c r="H31" s="1728"/>
      <c r="I31" s="1824" t="s">
        <v>2688</v>
      </c>
      <c r="J31" s="1825"/>
      <c r="K31" s="1826"/>
      <c r="L31" s="1826"/>
      <c r="M31" s="1826"/>
      <c r="N31" s="1826"/>
      <c r="O31" s="1826"/>
      <c r="P31" s="1826"/>
      <c r="Q31" s="1826"/>
      <c r="R31" s="1826"/>
      <c r="S31" s="1826"/>
      <c r="T31" s="1826"/>
      <c r="U31" s="1826"/>
      <c r="V31" s="1826"/>
      <c r="W31" s="1826"/>
      <c r="X31" s="1826"/>
      <c r="Y31" s="1826"/>
      <c r="Z31" s="1826"/>
      <c r="AA31" s="1826"/>
      <c r="AB31" s="1857"/>
      <c r="AC31" s="1857"/>
      <c r="AD31" s="1857"/>
      <c r="AE31" s="1857"/>
      <c r="AF31" s="1857"/>
      <c r="AG31" s="1857"/>
      <c r="AH31" s="1857"/>
      <c r="AI31" s="1857"/>
      <c r="AJ31" s="1857"/>
    </row>
    <row r="32" spans="1:36" ht="14.4">
      <c r="A32" s="1729" t="s">
        <v>2689</v>
      </c>
      <c r="B32" s="1730"/>
      <c r="C32" s="1731">
        <f ca="1">IF(D32="总价",G19-C24,G20-C25)</f>
        <v>1483</v>
      </c>
      <c r="D32" s="1732" t="s">
        <v>2690</v>
      </c>
      <c r="E32" s="588"/>
      <c r="F32" s="588"/>
      <c r="G32" s="588"/>
      <c r="H32" s="588"/>
      <c r="I32" s="588"/>
    </row>
    <row r="33" spans="1:15" ht="14.4">
      <c r="A33" s="1733" t="s">
        <v>2691</v>
      </c>
      <c r="B33" s="1734"/>
      <c r="C33" s="1735" t="s">
        <v>2692</v>
      </c>
      <c r="D33" s="1736" t="s">
        <v>2649</v>
      </c>
      <c r="E33" s="1737" t="s">
        <v>2693</v>
      </c>
      <c r="F33" s="1738" t="str">
        <f>IF(D32="楼面单价","取值（单价）","取值（总价）")</f>
        <v>取值（总价）</v>
      </c>
      <c r="G33" s="588"/>
      <c r="H33" s="588"/>
      <c r="I33" s="588"/>
    </row>
    <row r="34" spans="1:15" ht="14.4">
      <c r="A34" s="1739"/>
      <c r="B34" s="1740" t="s">
        <v>2694</v>
      </c>
      <c r="C34" s="1741">
        <f ca="1">IF(C33="自定义",F34,C32-C35)</f>
        <v>610</v>
      </c>
      <c r="D34" s="1742">
        <f ca="1">IF(C33="自定义",ROUND(C34/C32,3),IF(C33="收益比率",SUMIF(INDIRECT("'"&amp;D33&amp;"'"&amp;"!b:b"),"土地收益比率",INDIRECT("'"&amp;D33&amp;"'"&amp;"!c:c")),SUMIF(INDIRECT("'"&amp;D33&amp;"'"&amp;"!b:b"),"土地成本比率",INDIRECT("'"&amp;D33&amp;"'"&amp;"!c:c"))))</f>
        <v>0.41100000000000003</v>
      </c>
      <c r="E34" s="1743" t="s">
        <v>2695</v>
      </c>
      <c r="F34" s="1744"/>
      <c r="G34" s="588"/>
      <c r="H34" s="588"/>
      <c r="I34" s="588"/>
    </row>
    <row r="35" spans="1:15" ht="14.4">
      <c r="A35" s="1745"/>
      <c r="B35" s="1746" t="s">
        <v>2696</v>
      </c>
      <c r="C35" s="1747">
        <f ca="1">IF(C33="自定义",F35,ROUND(C32*D35,0))</f>
        <v>873</v>
      </c>
      <c r="D35" s="1748">
        <f ca="1">IF(C33="自定义",ROUND(C35/C32,3),IF(C33="收益比率",SUMIF(INDIRECT("'"&amp;D33&amp;"'"&amp;"!b:b"),"建筑物收益比率",INDIRECT("'"&amp;D33&amp;"'"&amp;"!c:c")),SUMIF(INDIRECT("'"&amp;D33&amp;"'"&amp;"!b:b"),"建筑物成本比率",INDIRECT("'"&amp;D33&amp;"'"&amp;"!c:c"))))</f>
        <v>0.58899999999999997</v>
      </c>
      <c r="E35" s="1749" t="s">
        <v>2697</v>
      </c>
      <c r="F35" s="1750"/>
      <c r="G35" s="588"/>
      <c r="H35" s="588"/>
      <c r="I35" s="588"/>
    </row>
    <row r="36" spans="1:15" ht="14.4">
      <c r="A36" s="3568" t="s">
        <v>2698</v>
      </c>
      <c r="B36" s="1751" t="s">
        <v>2699</v>
      </c>
      <c r="C36" s="1752"/>
      <c r="D36" s="1753"/>
      <c r="E36" s="1754"/>
      <c r="F36" s="1755"/>
      <c r="G36" s="588"/>
      <c r="H36" s="588"/>
      <c r="I36" s="588"/>
    </row>
    <row r="37" spans="1:15" ht="14.4">
      <c r="A37" s="3569"/>
      <c r="B37" s="1756" t="s">
        <v>2700</v>
      </c>
      <c r="C37" s="1757"/>
      <c r="D37" s="1758"/>
      <c r="E37" s="1758"/>
      <c r="F37" s="1755"/>
      <c r="G37" s="588"/>
      <c r="H37" s="588"/>
      <c r="I37" s="588"/>
    </row>
    <row r="38" spans="1:15" ht="14.4">
      <c r="A38" s="3570"/>
      <c r="B38" s="1759" t="s">
        <v>2701</v>
      </c>
      <c r="C38" s="1760"/>
      <c r="D38" s="1761" t="s">
        <v>2702</v>
      </c>
      <c r="E38" s="1758"/>
      <c r="F38" s="1755"/>
      <c r="G38" s="588"/>
      <c r="H38" s="588"/>
      <c r="I38" s="588"/>
    </row>
    <row r="39" spans="1:15" ht="14.4">
      <c r="A39" s="1705" t="s">
        <v>2703</v>
      </c>
      <c r="B39" s="1762" t="s">
        <v>2683</v>
      </c>
      <c r="C39" s="1763" t="s">
        <v>2684</v>
      </c>
      <c r="D39" s="1763" t="s">
        <v>2704</v>
      </c>
      <c r="E39" s="1764" t="s">
        <v>2685</v>
      </c>
      <c r="F39" s="1755"/>
      <c r="G39" s="588"/>
      <c r="H39" s="588"/>
      <c r="I39" s="588"/>
    </row>
    <row r="40" spans="1:15" ht="13.8">
      <c r="A40" s="1765" t="s">
        <v>2705</v>
      </c>
      <c r="B40" s="1766"/>
      <c r="C40" s="606"/>
      <c r="D40" s="606"/>
      <c r="E40" s="1767"/>
      <c r="F40" s="1755"/>
      <c r="G40" s="588"/>
      <c r="H40" s="588"/>
      <c r="I40" s="588"/>
    </row>
    <row r="41" spans="1:15" ht="13.8">
      <c r="A41" s="1765" t="s">
        <v>2706</v>
      </c>
      <c r="B41" s="1766"/>
      <c r="C41" s="606"/>
      <c r="D41" s="606"/>
      <c r="E41" s="1767"/>
      <c r="F41" s="1755"/>
      <c r="G41" s="588"/>
      <c r="H41" s="588"/>
      <c r="I41" s="588"/>
    </row>
    <row r="42" spans="1:15" ht="13.8">
      <c r="A42" s="1768"/>
      <c r="B42" s="1769"/>
      <c r="C42" s="1770"/>
      <c r="D42" s="1770"/>
      <c r="E42" s="1750"/>
      <c r="F42" s="1755"/>
      <c r="G42" s="588"/>
      <c r="H42" s="588"/>
      <c r="I42" s="588"/>
    </row>
    <row r="43" spans="1:15" ht="13.2">
      <c r="A43" s="1771"/>
      <c r="B43" s="1771"/>
      <c r="C43" s="1771"/>
      <c r="D43" s="1771"/>
      <c r="E43" s="1771"/>
      <c r="F43" s="1772"/>
      <c r="G43" s="1772"/>
      <c r="H43" s="1772"/>
      <c r="I43" s="1827"/>
    </row>
    <row r="44" spans="1:15" ht="17.399999999999999">
      <c r="A44" s="1773" t="s">
        <v>2707</v>
      </c>
      <c r="B44" s="1774"/>
      <c r="C44" s="1774"/>
      <c r="D44" s="1775"/>
      <c r="E44" s="1775"/>
      <c r="F44" s="1776"/>
      <c r="G44" s="1776"/>
      <c r="H44" s="1776"/>
      <c r="I44" s="1776"/>
      <c r="J44" s="1828" t="s">
        <v>2708</v>
      </c>
      <c r="K44" s="1829"/>
      <c r="L44" s="1829"/>
      <c r="M44" s="1829"/>
      <c r="N44" s="1829"/>
      <c r="O44" s="1829"/>
    </row>
    <row r="45" spans="1:15" ht="14.25" customHeight="1">
      <c r="A45" s="3642" t="s">
        <v>2709</v>
      </c>
      <c r="B45" s="3643"/>
      <c r="C45" s="3644"/>
      <c r="D45" s="700">
        <f ca="1">ROUND(H101*F45,0)</f>
        <v>1483</v>
      </c>
      <c r="E45" s="1777" t="s">
        <v>2710</v>
      </c>
      <c r="F45" s="1778">
        <v>1</v>
      </c>
      <c r="G45" s="1779" t="s">
        <v>2711</v>
      </c>
      <c r="H45" s="588"/>
      <c r="I45" s="588"/>
      <c r="J45" s="3631" t="s">
        <v>2712</v>
      </c>
      <c r="K45" s="3631"/>
      <c r="L45" s="3631"/>
      <c r="M45" s="3631"/>
      <c r="N45" s="3631"/>
      <c r="O45" s="3631"/>
    </row>
    <row r="46" spans="1:15" ht="14.25" customHeight="1">
      <c r="A46" s="3645" t="s">
        <v>2713</v>
      </c>
      <c r="B46" s="3646"/>
      <c r="C46" s="3646"/>
      <c r="D46" s="3646"/>
      <c r="E46" s="3646"/>
      <c r="F46" s="3646"/>
      <c r="G46" s="3647"/>
      <c r="H46" s="1780"/>
      <c r="I46" s="589"/>
      <c r="J46" s="1030">
        <v>1</v>
      </c>
      <c r="K46" s="3624" t="s">
        <v>2714</v>
      </c>
      <c r="L46" s="3624"/>
      <c r="M46" s="3648"/>
      <c r="N46" s="3648"/>
      <c r="O46" s="3648"/>
    </row>
    <row r="47" spans="1:15" ht="12" customHeight="1">
      <c r="A47" s="1781" t="s">
        <v>2715</v>
      </c>
      <c r="B47" s="1782"/>
      <c r="C47" s="1783"/>
      <c r="D47" s="751" t="s">
        <v>2716</v>
      </c>
      <c r="E47" s="701" t="s">
        <v>2717</v>
      </c>
      <c r="F47" s="1784" t="s">
        <v>2718</v>
      </c>
      <c r="G47" s="1785" t="s">
        <v>2719</v>
      </c>
      <c r="H47" s="1786"/>
      <c r="I47" s="589"/>
      <c r="J47" s="1030">
        <v>2</v>
      </c>
      <c r="K47" s="3624" t="s">
        <v>2720</v>
      </c>
      <c r="L47" s="3624"/>
      <c r="M47" s="3628">
        <f>'数据-取费表'!B2</f>
        <v>45311</v>
      </c>
      <c r="N47" s="3628"/>
      <c r="O47" s="3628"/>
    </row>
    <row r="48" spans="1:15" ht="26.4">
      <c r="A48" s="3629" t="s">
        <v>2721</v>
      </c>
      <c r="B48" s="3614"/>
      <c r="C48" s="3614"/>
      <c r="D48" s="855" t="b">
        <f>IF(H48="情况1",0,IF(H48="情况2",D52,IF(H48="情况3",D53,IF(H48="情况4",D54))))</f>
        <v>0</v>
      </c>
      <c r="E48" s="755" t="str">
        <f>IF(H48="情况4","(销售额-原购置价)×税（费）率","销售额×税（费）率")</f>
        <v>销售额×税（费）率</v>
      </c>
      <c r="F48" s="1788">
        <f>IF(H48="情况1","免征",'数据-取费表'!B41)</f>
        <v>5.6000000000000001E-2</v>
      </c>
      <c r="G48" s="1789" t="s">
        <v>2722</v>
      </c>
      <c r="H48" s="1790"/>
      <c r="I48" s="1780"/>
      <c r="J48" s="1030">
        <v>3</v>
      </c>
      <c r="K48" s="3624" t="s">
        <v>2723</v>
      </c>
      <c r="L48" s="3624"/>
      <c r="M48" s="3630">
        <f ca="1">H101</f>
        <v>1483</v>
      </c>
      <c r="N48" s="3630"/>
      <c r="O48" s="3630"/>
    </row>
    <row r="49" spans="1:35" ht="25.5" customHeight="1">
      <c r="A49" s="1787" t="s">
        <v>2724</v>
      </c>
      <c r="B49" s="3609" t="s">
        <v>2725</v>
      </c>
      <c r="C49" s="3609"/>
      <c r="D49" s="1791">
        <v>0</v>
      </c>
      <c r="E49" s="761" t="s">
        <v>2726</v>
      </c>
      <c r="F49" s="1792" t="s">
        <v>124</v>
      </c>
      <c r="G49" s="3625"/>
      <c r="H49" s="1793" t="s">
        <v>2727</v>
      </c>
      <c r="I49" s="1831"/>
      <c r="J49" s="1030">
        <v>4</v>
      </c>
      <c r="K49" s="3624" t="str">
        <f>IF(项目基本情况!E8="房地产抵押价值","房地产抵押价值","抵押担保权已注销时的房地产抵押价值")</f>
        <v>房地产抵押价值</v>
      </c>
      <c r="L49" s="3624"/>
      <c r="M49" s="3630">
        <f ca="1">IF(项目基本情况!E8="房地产抵押价值",H107,H109)</f>
        <v>1483</v>
      </c>
      <c r="N49" s="3630"/>
      <c r="O49" s="3630"/>
    </row>
    <row r="50" spans="1:35" ht="25.5" customHeight="1">
      <c r="A50" s="1794"/>
      <c r="B50" s="3609" t="s">
        <v>2728</v>
      </c>
      <c r="C50" s="3609"/>
      <c r="D50" s="1795"/>
      <c r="E50" s="776"/>
      <c r="F50" s="1792"/>
      <c r="G50" s="3626"/>
      <c r="H50" s="1796" t="s">
        <v>2729</v>
      </c>
      <c r="I50" s="1831"/>
      <c r="J50" s="3631" t="s">
        <v>2730</v>
      </c>
      <c r="K50" s="3631"/>
      <c r="L50" s="3631"/>
      <c r="M50" s="3631"/>
      <c r="N50" s="3631"/>
      <c r="O50" s="3631"/>
    </row>
    <row r="51" spans="1:35" ht="20.399999999999999" customHeight="1">
      <c r="A51" s="1797"/>
      <c r="B51" s="3609" t="s">
        <v>2731</v>
      </c>
      <c r="C51" s="3609"/>
      <c r="D51" s="751"/>
      <c r="E51" s="765"/>
      <c r="F51" s="1792"/>
      <c r="G51" s="3627"/>
      <c r="H51" s="1796" t="s">
        <v>2732</v>
      </c>
      <c r="I51" s="1831"/>
      <c r="J51" s="1830" t="s">
        <v>2733</v>
      </c>
      <c r="K51" s="3624" t="s">
        <v>2734</v>
      </c>
      <c r="L51" s="3624"/>
      <c r="M51" s="1830" t="s">
        <v>2735</v>
      </c>
      <c r="N51" s="1830" t="s">
        <v>2736</v>
      </c>
      <c r="O51" s="1830" t="s">
        <v>2737</v>
      </c>
    </row>
    <row r="52" spans="1:35" ht="24" customHeight="1">
      <c r="A52" s="1798" t="s">
        <v>2738</v>
      </c>
      <c r="B52" s="3609" t="s">
        <v>2739</v>
      </c>
      <c r="C52" s="3609"/>
      <c r="D52" s="751">
        <f ca="1">ROUND(D45*'数据-取费表'!B41/(1+'数据-取费表'!C42),0)</f>
        <v>79</v>
      </c>
      <c r="E52" s="755" t="s">
        <v>2740</v>
      </c>
      <c r="F52" s="1799">
        <f>'数据-取费表'!B41</f>
        <v>5.6000000000000001E-2</v>
      </c>
      <c r="G52" s="1800"/>
      <c r="H52" s="870"/>
      <c r="I52" s="1832"/>
      <c r="J52" s="1030">
        <v>1</v>
      </c>
      <c r="K52" s="3556" t="s">
        <v>2741</v>
      </c>
      <c r="L52" s="3556"/>
      <c r="M52" s="1833" t="b">
        <f>D48</f>
        <v>0</v>
      </c>
      <c r="N52" s="1030" t="str">
        <f>E48</f>
        <v>销售额×税（费）率</v>
      </c>
      <c r="O52" s="1834">
        <f>F48</f>
        <v>5.6000000000000001E-2</v>
      </c>
    </row>
    <row r="53" spans="1:35" ht="12" customHeight="1">
      <c r="A53" s="1798" t="s">
        <v>2742</v>
      </c>
      <c r="B53" s="3608" t="s">
        <v>2743</v>
      </c>
      <c r="C53" s="3618"/>
      <c r="D53" s="751">
        <f ca="1">ROUND(D45*'数据-取费表'!B41/(1+'数据-取费表'!C42),0)</f>
        <v>79</v>
      </c>
      <c r="E53" s="755" t="s">
        <v>2740</v>
      </c>
      <c r="F53" s="1799">
        <f>'数据-取费表'!B41</f>
        <v>5.6000000000000001E-2</v>
      </c>
      <c r="G53" s="1800"/>
      <c r="H53" s="870"/>
      <c r="I53" s="1832"/>
      <c r="J53" s="1030">
        <v>2</v>
      </c>
      <c r="K53" s="3556" t="s">
        <v>2744</v>
      </c>
      <c r="L53" s="3556"/>
      <c r="M53" s="1833">
        <f t="shared" ref="M53:O54" ca="1" si="0">D55</f>
        <v>1</v>
      </c>
      <c r="N53" s="1030" t="str">
        <f t="shared" si="0"/>
        <v>销售额×税（费）率</v>
      </c>
      <c r="O53" s="1834" t="str">
        <f t="shared" si="0"/>
        <v>免征</v>
      </c>
    </row>
    <row r="54" spans="1:35" ht="12" customHeight="1">
      <c r="A54" s="1798" t="s">
        <v>2745</v>
      </c>
      <c r="B54" s="3608" t="s">
        <v>2746</v>
      </c>
      <c r="C54" s="3618"/>
      <c r="D54" s="751">
        <f ca="1">C68</f>
        <v>79</v>
      </c>
      <c r="E54" s="765" t="s">
        <v>2747</v>
      </c>
      <c r="F54" s="1799">
        <f>'数据-取费表'!B41</f>
        <v>5.6000000000000001E-2</v>
      </c>
      <c r="G54" s="1800"/>
      <c r="H54" s="1801"/>
      <c r="I54" s="1832"/>
      <c r="J54" s="1030">
        <v>3</v>
      </c>
      <c r="K54" s="3556" t="s">
        <v>2748</v>
      </c>
      <c r="L54" s="3556"/>
      <c r="M54" s="1833">
        <f t="shared" ca="1" si="0"/>
        <v>840</v>
      </c>
      <c r="N54" s="1030" t="str">
        <f t="shared" si="0"/>
        <v>增值额×税（费）率</v>
      </c>
      <c r="O54" s="1835" t="str">
        <f t="shared" si="0"/>
        <v>免征</v>
      </c>
    </row>
    <row r="55" spans="1:35" ht="24" customHeight="1">
      <c r="A55" s="3613" t="s">
        <v>2749</v>
      </c>
      <c r="B55" s="3614"/>
      <c r="C55" s="3614"/>
      <c r="D55" s="855">
        <f ca="1">IF(H55="个人住宅",0,ROUND(D45*I55,0))</f>
        <v>1</v>
      </c>
      <c r="E55" s="755" t="s">
        <v>2750</v>
      </c>
      <c r="F55" s="1799" t="str">
        <f>IF(H55="正常",I55,"免征")</f>
        <v>免征</v>
      </c>
      <c r="G55" s="1800"/>
      <c r="H55" s="1790"/>
      <c r="I55" s="1836">
        <f>'数据-取费表'!B49</f>
        <v>5.0000000000000001E-4</v>
      </c>
      <c r="J55" s="1030">
        <f>IF(H59="非个人房产","",4)</f>
        <v>4</v>
      </c>
      <c r="K55" s="3556" t="str">
        <f>IF(H59="非个人房产","——","个人所得税")</f>
        <v>个人所得税</v>
      </c>
      <c r="L55" s="3556"/>
      <c r="M55" s="1837">
        <f ca="1">D59</f>
        <v>14</v>
      </c>
      <c r="N55" s="1011" t="str">
        <f>E59</f>
        <v>差额计税</v>
      </c>
      <c r="O55" s="1838">
        <f>F59</f>
        <v>0.01</v>
      </c>
    </row>
    <row r="56" spans="1:35" ht="25.2">
      <c r="A56" s="3613" t="s">
        <v>2751</v>
      </c>
      <c r="B56" s="3614"/>
      <c r="C56" s="3614"/>
      <c r="D56" s="855">
        <f ca="1">IF(H56="个人住宅",D57,D58)</f>
        <v>840</v>
      </c>
      <c r="E56" s="755" t="s">
        <v>2752</v>
      </c>
      <c r="F56" s="1799" t="str">
        <f>IF(H56="正常",F58,"免征")</f>
        <v>免征</v>
      </c>
      <c r="G56" s="1802" t="s">
        <v>2753</v>
      </c>
      <c r="H56" s="1803"/>
      <c r="I56" s="1812"/>
      <c r="J56" s="1030" t="str">
        <f>IF(项目基本情况!K6="上海银行",IF(J55="",4,J55+1),"")</f>
        <v/>
      </c>
      <c r="K56" s="3615" t="str">
        <f>IF(项目基本情况!K6="上海银行","其他处置费用","")</f>
        <v/>
      </c>
      <c r="L56" s="3616"/>
      <c r="M56" s="1833" t="str">
        <f>IF(项目基本情况!K6="上海银行",M69,"")</f>
        <v/>
      </c>
      <c r="N56" s="3615" t="str">
        <f>IF(项目基本情况!K6="上海银行","包含处置中涉及的律师、诉讼、拍卖、评估等费用","")</f>
        <v/>
      </c>
      <c r="O56" s="3617"/>
    </row>
    <row r="57" spans="1:35" ht="13.2">
      <c r="A57" s="1798" t="s">
        <v>2724</v>
      </c>
      <c r="B57" s="3608" t="s">
        <v>2754</v>
      </c>
      <c r="C57" s="3618"/>
      <c r="D57" s="1791">
        <v>0</v>
      </c>
      <c r="E57" s="761" t="s">
        <v>2726</v>
      </c>
      <c r="F57" s="701"/>
      <c r="G57" s="1800"/>
      <c r="H57" s="1804"/>
      <c r="I57" s="1812"/>
      <c r="J57" s="3556">
        <f>IF(AND(J55="",J56=""),4,IF(项目基本情况!K6="上海银行",结果表产权车位!J56+1,结果表产权车位!J55+1))</f>
        <v>5</v>
      </c>
      <c r="K57" s="3556" t="s">
        <v>2755</v>
      </c>
      <c r="L57" s="1840" t="s">
        <v>2756</v>
      </c>
      <c r="M57" s="1841"/>
      <c r="N57" s="1842">
        <f ca="1">SUMIF(M52:M56,"&lt;9e307")</f>
        <v>855</v>
      </c>
      <c r="O57" s="1843"/>
      <c r="P57" s="1844">
        <f ca="1">N57/M49</f>
        <v>0.57653405259608903</v>
      </c>
    </row>
    <row r="58" spans="1:35" ht="25.2">
      <c r="A58" s="1798" t="s">
        <v>2738</v>
      </c>
      <c r="B58" s="3608" t="s">
        <v>2757</v>
      </c>
      <c r="C58" s="3609"/>
      <c r="D58" s="855">
        <f ca="1">IF(H58="转让取得",C81,C97)</f>
        <v>840</v>
      </c>
      <c r="E58" s="755" t="s">
        <v>2752</v>
      </c>
      <c r="F58" s="701" t="s">
        <v>124</v>
      </c>
      <c r="G58" s="1800"/>
      <c r="H58" s="1803"/>
      <c r="I58" s="1812"/>
      <c r="J58" s="3556"/>
      <c r="K58" s="3556"/>
      <c r="L58" s="1840" t="s">
        <v>2758</v>
      </c>
      <c r="M58" s="1845"/>
      <c r="N58" s="1846" t="str">
        <f ca="1">NUMBERSTRING(INT(N57*10000),2)&amp;"元整"</f>
        <v>捌佰伍拾伍万元整</v>
      </c>
      <c r="O58" s="1847"/>
    </row>
    <row r="59" spans="1:35" ht="24">
      <c r="A59" s="3619" t="s">
        <v>2759</v>
      </c>
      <c r="B59" s="3620"/>
      <c r="C59" s="3620"/>
      <c r="D59" s="1805">
        <f ca="1">IF(H59="非个人房产","——",IF(H59="个人住宅（满五唯一有凭证）",0,IF(H59="个人其他（无凭证）",ROUND(D45*F59,0),ROUND(C67*F59,0))))</f>
        <v>14</v>
      </c>
      <c r="E59" s="1806" t="str">
        <f>IF(H59="非个人房产","——",IF(H59="个人其他（无凭证）","销售额×税（费）率",IF(H59="个人住宅（满五唯一有凭证）","免征","差额计税")))</f>
        <v>差额计税</v>
      </c>
      <c r="F59" s="1807">
        <f>IF(OR(H59="非个人房产",H59="个人住宅（满五唯一有凭证）"),"——",IF(H59="个人其他（有凭证）",20%,1%))</f>
        <v>0.01</v>
      </c>
      <c r="G59" s="1808" t="s">
        <v>2753</v>
      </c>
      <c r="H59" s="1809"/>
      <c r="I59" s="1848" t="s">
        <v>2760</v>
      </c>
      <c r="J59" s="3622">
        <f>J57+1</f>
        <v>6</v>
      </c>
      <c r="K59" s="3556" t="s">
        <v>2761</v>
      </c>
      <c r="L59" s="1030" t="s">
        <v>2756</v>
      </c>
      <c r="M59" s="1849"/>
      <c r="N59" s="1850">
        <f ca="1">M49-N57</f>
        <v>628</v>
      </c>
      <c r="O59" s="1851"/>
    </row>
    <row r="60" spans="1:35" ht="12" customHeight="1">
      <c r="A60" s="1810"/>
      <c r="B60" s="1680"/>
      <c r="C60" s="1680"/>
      <c r="D60" s="1680"/>
      <c r="E60" s="1811"/>
      <c r="F60" s="1812"/>
      <c r="G60" s="1812"/>
      <c r="H60" s="1813"/>
      <c r="I60" s="588"/>
      <c r="J60" s="3623"/>
      <c r="K60" s="3556"/>
      <c r="L60" s="1840" t="s">
        <v>2758</v>
      </c>
      <c r="M60" s="1845"/>
      <c r="N60" s="1846" t="str">
        <f ca="1">NUMBERSTRING(INT(N59*10000),2)&amp;"元整"</f>
        <v>陆佰贰拾捌万元整</v>
      </c>
      <c r="O60" s="1847"/>
    </row>
    <row r="61" spans="1:35" ht="13.2">
      <c r="A61" s="3621" t="s">
        <v>2762</v>
      </c>
      <c r="B61" s="3621"/>
      <c r="C61" s="3621"/>
      <c r="D61" s="3621"/>
      <c r="E61" s="3621"/>
      <c r="F61" s="1812"/>
      <c r="G61" s="1812"/>
      <c r="H61" s="1813"/>
      <c r="I61" s="588"/>
      <c r="J61" s="1030">
        <f>J59+1</f>
        <v>7</v>
      </c>
      <c r="K61" s="3556" t="s">
        <v>2763</v>
      </c>
      <c r="L61" s="3556"/>
      <c r="M61" s="1852"/>
      <c r="N61" s="1853">
        <f ca="1">ROUND(N59*10000/'数据-汇总表'!E3,0)</f>
        <v>743</v>
      </c>
      <c r="O61" s="1854"/>
    </row>
    <row r="62" spans="1:35" ht="13.2">
      <c r="A62" s="3606" t="s">
        <v>2764</v>
      </c>
      <c r="B62" s="3607"/>
      <c r="C62" s="981"/>
      <c r="D62" s="981" t="s">
        <v>2765</v>
      </c>
      <c r="E62" s="1814" t="s">
        <v>2719</v>
      </c>
      <c r="F62" s="1812"/>
      <c r="G62" s="1812"/>
      <c r="H62" s="1813"/>
      <c r="I62" s="588"/>
    </row>
    <row r="63" spans="1:35" ht="13.2">
      <c r="A63" s="1815" t="s">
        <v>2766</v>
      </c>
      <c r="B63" s="1040" t="s">
        <v>2767</v>
      </c>
      <c r="C63" s="1816">
        <f ca="1">ROUND((C64+C65)/(1+'数据-取费表'!C42),0)</f>
        <v>1412</v>
      </c>
      <c r="D63" s="1040"/>
      <c r="E63" s="1817"/>
      <c r="F63" s="1812"/>
      <c r="G63" s="1812"/>
      <c r="H63" s="1813"/>
      <c r="I63" s="588"/>
      <c r="J63" s="3555" t="s">
        <v>2768</v>
      </c>
      <c r="K63" s="1855" t="s">
        <v>2769</v>
      </c>
      <c r="L63" s="1855">
        <f ca="1">IF(M49&gt;10000,M49*0.5%,IF(AND(M49&gt;1000,M49&lt;=10000),M49*1%,IF(AND(M49&gt;100,M49&lt;=1000),M49*3%,IF(AND(M49&gt;10,M49&lt;=100),M49*5%,M49*8%))))</f>
        <v>14.83</v>
      </c>
      <c r="M63" s="701">
        <f ca="1">ROUND(L63,1)</f>
        <v>14.8</v>
      </c>
      <c r="N63" s="1856"/>
      <c r="Z63" s="1677"/>
      <c r="AI63" s="1678"/>
    </row>
    <row r="64" spans="1:35" ht="14.25" customHeight="1">
      <c r="A64" s="1818" t="s">
        <v>2770</v>
      </c>
      <c r="B64" s="967" t="s">
        <v>2771</v>
      </c>
      <c r="C64" s="1819">
        <f ca="1">D45</f>
        <v>1483</v>
      </c>
      <c r="D64" s="967" t="s">
        <v>124</v>
      </c>
      <c r="E64" s="1820"/>
      <c r="F64" s="1812"/>
      <c r="G64" s="1812"/>
      <c r="H64" s="1813"/>
      <c r="I64" s="588"/>
      <c r="J64" s="3555"/>
      <c r="K64" s="1855" t="s">
        <v>2772</v>
      </c>
      <c r="L64" s="1855">
        <f ca="1">IF(M49&gt;2000,M49*0.5%,IF(AND(M49&gt;1000,M49&lt;=2000),M49*0.6%,IF(AND(M49&gt;500,M49&lt;=1000),M49*0.7%,IF(AND(M49&gt;200,M49&lt;=500),M49*0.8%,IF(AND(M49&gt;100,M49&lt;=200),M49*0.9%,IF(AND(M49&gt;50,M49&lt;=100),M49*1%,IF(AND(M49&gt;20,M49&lt;=50),M49*1.5%,IF(AND(M49&gt;10,M49&lt;=20),M49*2%,IF(AND(M49&gt;1,M49&lt;=10),M49*2.5%)))))))))</f>
        <v>8.8979999999999997</v>
      </c>
      <c r="M64" s="701">
        <f t="shared" ref="M64:M65" ca="1" si="1">ROUND(L64,1)</f>
        <v>8.9</v>
      </c>
      <c r="N64" s="870" t="s">
        <v>2773</v>
      </c>
      <c r="Z64" s="1677"/>
      <c r="AI64" s="1678"/>
    </row>
    <row r="65" spans="1:35" ht="14.25" customHeight="1">
      <c r="A65" s="1818" t="s">
        <v>2774</v>
      </c>
      <c r="B65" s="967" t="s">
        <v>2775</v>
      </c>
      <c r="C65" s="1858"/>
      <c r="D65" s="967"/>
      <c r="E65" s="1820"/>
      <c r="F65" s="1812"/>
      <c r="G65" s="1812"/>
      <c r="H65" s="1813"/>
      <c r="I65" s="588"/>
      <c r="J65" s="3555"/>
      <c r="K65" s="1855" t="s">
        <v>2776</v>
      </c>
      <c r="L65" s="1855">
        <f ca="1">IF(M49&gt;1000,M49*0.1%,IF(AND(M49&gt;500,M49&lt;=1000),M49*0.5%,IF(AND(M49&gt;50,M49&lt;=500),M49*1%,IF(AND(M49&gt;1,M49&lt;=50),M49*1.5%))))</f>
        <v>1.4830000000000001</v>
      </c>
      <c r="M65" s="701">
        <f t="shared" ca="1" si="1"/>
        <v>1.5</v>
      </c>
      <c r="N65" s="870" t="s">
        <v>2773</v>
      </c>
      <c r="Z65" s="1677"/>
      <c r="AI65" s="1678"/>
    </row>
    <row r="66" spans="1:35" ht="14.25" customHeight="1">
      <c r="A66" s="1815" t="s">
        <v>2777</v>
      </c>
      <c r="B66" s="1859" t="s">
        <v>2778</v>
      </c>
      <c r="C66" s="1860"/>
      <c r="D66" s="1859" t="s">
        <v>124</v>
      </c>
      <c r="E66" s="1861" t="s">
        <v>2779</v>
      </c>
      <c r="F66" s="1812"/>
      <c r="G66" s="1812"/>
      <c r="H66" s="1813"/>
      <c r="I66" s="588"/>
      <c r="J66" s="3555"/>
      <c r="K66" s="1855" t="s">
        <v>2780</v>
      </c>
      <c r="L66" s="1855">
        <f ca="1">M49*0.5%</f>
        <v>7.415</v>
      </c>
      <c r="M66" s="701">
        <f ca="1">IF(L66&gt;0.5,0.5,ROUND(L66,0))</f>
        <v>0.5</v>
      </c>
      <c r="N66" s="870" t="s">
        <v>2781</v>
      </c>
      <c r="Z66" s="1677"/>
      <c r="AI66" s="1678"/>
    </row>
    <row r="67" spans="1:35" ht="14.25" customHeight="1">
      <c r="A67" s="1815" t="s">
        <v>2782</v>
      </c>
      <c r="B67" s="1859" t="s">
        <v>2783</v>
      </c>
      <c r="C67" s="1862">
        <f ca="1">C63-C66</f>
        <v>1412</v>
      </c>
      <c r="D67" s="967" t="s">
        <v>124</v>
      </c>
      <c r="E67" s="1820"/>
      <c r="F67" s="1812"/>
      <c r="G67" s="1812"/>
      <c r="H67" s="1813"/>
      <c r="I67" s="588"/>
      <c r="J67" s="3555"/>
      <c r="K67" s="1855" t="s">
        <v>2784</v>
      </c>
      <c r="L67" s="1855">
        <f ca="1">IF(M49&gt;=10000,(8.25+(M49-10000)*0.01%),IF(AND(M49&gt;=8000,M49&lt;10000),(7.85+(M49-8000)*0.02%),IF(AND(M49&gt;=5000,M49&lt;8000),(6.65+(M49-5000)*0.04%),IF(AND(M49&gt;=2000,M49&lt;5000),(4.25+(PM49-2000)*0.08%),IF(AND(M49&gt;=1000,M49&lt;2000),(2.75+(M49-1000)*0.15%),IF(AND(M49&gt;=100,M49&lt;1000),(0.5+(M49-100)*0.25%),IF(AND(M49&gt;0,M49&lt;100),M49*0.5%)))))))</f>
        <v>3.4744999999999999</v>
      </c>
      <c r="M67" s="701">
        <f ca="1">ROUND(L67*0.9,1)</f>
        <v>3.1</v>
      </c>
      <c r="N67" s="1856"/>
      <c r="Z67" s="1677"/>
      <c r="AI67" s="1678"/>
    </row>
    <row r="68" spans="1:35" ht="14.25" customHeight="1">
      <c r="A68" s="1863" t="s">
        <v>2785</v>
      </c>
      <c r="B68" s="1864" t="s">
        <v>2786</v>
      </c>
      <c r="C68" s="1865">
        <f ca="1">IF(C67&lt;=0,0,ROUND(C67*D68,0))</f>
        <v>79</v>
      </c>
      <c r="D68" s="1231">
        <f>'数据-取费表'!B41</f>
        <v>5.6000000000000001E-2</v>
      </c>
      <c r="E68" s="1866"/>
      <c r="F68" s="1812"/>
      <c r="G68" s="1812"/>
      <c r="H68" s="1813"/>
      <c r="I68" s="588"/>
      <c r="J68" s="3555"/>
      <c r="K68" s="1855" t="s">
        <v>2787</v>
      </c>
      <c r="L68" s="1855">
        <f ca="1">IF(M49&gt;10000,M49*0.5%,IF(AND(M49&gt;5000,M49&lt;=10000),M49*1%,IF(AND(M49&gt;1000,M49&lt;=5000),M49*2%,IF(AND(M49&gt;200,M49&lt;=1000),M49*3%,M49*5%))))</f>
        <v>29.66</v>
      </c>
      <c r="M68" s="701">
        <f ca="1">ROUND(L68,1)</f>
        <v>29.7</v>
      </c>
      <c r="N68" s="1856"/>
      <c r="Z68" s="1677"/>
      <c r="AI68" s="1678"/>
    </row>
    <row r="69" spans="1:35" s="1675" customFormat="1" ht="16.5" customHeight="1">
      <c r="A69" s="1867"/>
      <c r="B69" s="1868"/>
      <c r="C69" s="1869"/>
      <c r="D69" s="1150"/>
      <c r="E69" s="1870"/>
      <c r="F69" s="1811"/>
      <c r="G69" s="1811"/>
      <c r="H69" s="1771"/>
      <c r="I69" s="1680"/>
      <c r="J69" s="3555"/>
      <c r="K69" s="1855" t="s">
        <v>2788</v>
      </c>
      <c r="L69" s="1855"/>
      <c r="M69" s="701">
        <f ca="1">ROUND(SUM(M63:M68),0)</f>
        <v>59</v>
      </c>
      <c r="N69" s="1933">
        <f ca="1">M69/M49</f>
        <v>3.9784221173297371E-2</v>
      </c>
      <c r="O69" s="545"/>
      <c r="P69" s="545"/>
      <c r="Q69" s="545"/>
      <c r="R69" s="545"/>
      <c r="S69" s="545"/>
      <c r="T69" s="545"/>
      <c r="U69" s="545"/>
      <c r="V69" s="545"/>
      <c r="W69" s="545"/>
      <c r="X69" s="545"/>
      <c r="Y69" s="545"/>
      <c r="Z69" s="1677"/>
      <c r="AA69" s="1677"/>
      <c r="AB69" s="1677"/>
      <c r="AC69" s="1677"/>
      <c r="AD69" s="1677"/>
      <c r="AE69" s="1677"/>
      <c r="AF69" s="1677"/>
      <c r="AG69" s="1677"/>
      <c r="AH69" s="1677"/>
    </row>
    <row r="70" spans="1:35" s="1676" customFormat="1" ht="13.8">
      <c r="A70" s="3604" t="s">
        <v>2789</v>
      </c>
      <c r="B70" s="3605"/>
      <c r="C70" s="3605"/>
      <c r="D70" s="3605"/>
      <c r="E70" s="3605"/>
      <c r="F70" s="3605"/>
      <c r="G70" s="3605"/>
      <c r="H70" s="3605"/>
      <c r="I70" s="1934"/>
      <c r="J70" s="1935"/>
      <c r="K70" s="1935"/>
      <c r="L70" s="1935"/>
      <c r="M70" s="1935"/>
      <c r="N70" s="1936"/>
      <c r="O70" s="1936"/>
      <c r="P70" s="1936"/>
      <c r="Q70" s="1936"/>
      <c r="R70" s="1936"/>
      <c r="S70" s="1936"/>
      <c r="T70" s="1936"/>
      <c r="U70" s="1936"/>
      <c r="V70" s="1936"/>
      <c r="W70" s="1936"/>
      <c r="X70" s="1936"/>
      <c r="Y70" s="1936"/>
      <c r="Z70" s="1936"/>
      <c r="AA70" s="1942"/>
      <c r="AB70" s="1942"/>
      <c r="AC70" s="1942"/>
      <c r="AD70" s="1942"/>
      <c r="AE70" s="1942"/>
      <c r="AF70" s="1942"/>
      <c r="AG70" s="1942"/>
      <c r="AH70" s="1942"/>
      <c r="AI70" s="1942"/>
    </row>
    <row r="71" spans="1:35" s="1676" customFormat="1" ht="13.8">
      <c r="A71" s="3606" t="s">
        <v>2764</v>
      </c>
      <c r="B71" s="3607"/>
      <c r="C71" s="981"/>
      <c r="D71" s="981" t="s">
        <v>2765</v>
      </c>
      <c r="E71" s="1871" t="s">
        <v>2719</v>
      </c>
      <c r="F71" s="1872"/>
      <c r="G71" s="1872"/>
      <c r="H71" s="1873"/>
      <c r="I71" s="1937"/>
      <c r="J71" s="1935"/>
      <c r="K71" s="1935"/>
      <c r="L71" s="1935"/>
      <c r="M71" s="1935"/>
      <c r="N71" s="1936"/>
      <c r="O71" s="1936"/>
      <c r="P71" s="1936"/>
      <c r="Q71" s="1936"/>
      <c r="R71" s="1936"/>
      <c r="S71" s="1936"/>
      <c r="T71" s="1936"/>
      <c r="U71" s="1936"/>
      <c r="V71" s="1936"/>
      <c r="W71" s="1936"/>
      <c r="X71" s="1936"/>
      <c r="Y71" s="1936"/>
      <c r="Z71" s="1936"/>
      <c r="AA71" s="1942"/>
      <c r="AB71" s="1942"/>
      <c r="AC71" s="1942"/>
      <c r="AD71" s="1942"/>
      <c r="AE71" s="1942"/>
      <c r="AF71" s="1942"/>
      <c r="AG71" s="1942"/>
      <c r="AH71" s="1942"/>
      <c r="AI71" s="1942"/>
    </row>
    <row r="72" spans="1:35" s="1676" customFormat="1" ht="13.8">
      <c r="A72" s="1815" t="s">
        <v>2766</v>
      </c>
      <c r="B72" s="1859" t="s">
        <v>2790</v>
      </c>
      <c r="C72" s="1862">
        <f ca="1">ROUND(D45/(1+'数据-取费表'!C42),0)</f>
        <v>1412</v>
      </c>
      <c r="D72" s="967" t="s">
        <v>124</v>
      </c>
      <c r="E72" s="732"/>
      <c r="F72" s="733"/>
      <c r="G72" s="733"/>
      <c r="H72" s="1874"/>
      <c r="I72" s="1937"/>
      <c r="J72" s="1935"/>
      <c r="K72" s="1935"/>
      <c r="L72" s="1935"/>
      <c r="M72" s="1935"/>
      <c r="N72" s="1936"/>
      <c r="O72" s="1936"/>
      <c r="P72" s="1936"/>
      <c r="Q72" s="1936"/>
      <c r="R72" s="1936"/>
      <c r="S72" s="1936"/>
      <c r="T72" s="1936"/>
      <c r="U72" s="1936"/>
      <c r="V72" s="1936"/>
      <c r="W72" s="1936"/>
      <c r="X72" s="1936"/>
      <c r="Y72" s="1936"/>
      <c r="Z72" s="1936"/>
      <c r="AA72" s="1942"/>
      <c r="AB72" s="1942"/>
      <c r="AC72" s="1942"/>
      <c r="AD72" s="1942"/>
      <c r="AE72" s="1942"/>
      <c r="AF72" s="1942"/>
      <c r="AG72" s="1942"/>
      <c r="AH72" s="1942"/>
      <c r="AI72" s="1942"/>
    </row>
    <row r="73" spans="1:35" s="1676" customFormat="1" ht="13.8">
      <c r="A73" s="1815" t="s">
        <v>2777</v>
      </c>
      <c r="B73" s="1784" t="s">
        <v>2791</v>
      </c>
      <c r="C73" s="1862">
        <f ca="1">C74+C78</f>
        <v>8</v>
      </c>
      <c r="D73" s="967" t="s">
        <v>124</v>
      </c>
      <c r="E73" s="732"/>
      <c r="F73" s="733"/>
      <c r="G73" s="733"/>
      <c r="H73" s="1874"/>
      <c r="I73" s="1937"/>
      <c r="J73" s="1936"/>
      <c r="K73" s="1936"/>
      <c r="L73" s="1936"/>
      <c r="M73" s="1936"/>
      <c r="N73" s="1936"/>
      <c r="O73" s="1936"/>
      <c r="P73" s="1936"/>
      <c r="Q73" s="1936"/>
      <c r="R73" s="1936"/>
      <c r="S73" s="1936"/>
      <c r="T73" s="1936"/>
      <c r="U73" s="1936"/>
      <c r="V73" s="1936"/>
      <c r="W73" s="1936"/>
      <c r="X73" s="1936"/>
      <c r="Y73" s="1936"/>
      <c r="Z73" s="1936"/>
      <c r="AA73" s="1942"/>
      <c r="AB73" s="1942"/>
      <c r="AC73" s="1942"/>
      <c r="AD73" s="1942"/>
      <c r="AE73" s="1942"/>
      <c r="AF73" s="1942"/>
      <c r="AG73" s="1942"/>
      <c r="AH73" s="1942"/>
      <c r="AI73" s="1942"/>
    </row>
    <row r="74" spans="1:35" s="1676" customFormat="1" ht="24">
      <c r="A74" s="1818" t="s">
        <v>2770</v>
      </c>
      <c r="B74" s="967" t="s">
        <v>2792</v>
      </c>
      <c r="C74" s="967">
        <f>ROUND(IF(G77="2016年5月1日后购买",C75/(1+'数据-取费表'!C42)+C76+C77,C75+C76+C77),0)</f>
        <v>0</v>
      </c>
      <c r="D74" s="967" t="s">
        <v>124</v>
      </c>
      <c r="E74" s="732"/>
      <c r="F74" s="733"/>
      <c r="G74" s="733"/>
      <c r="H74" s="1874"/>
      <c r="I74" s="1937"/>
      <c r="J74" s="1936"/>
      <c r="K74" s="1936"/>
      <c r="L74" s="1936"/>
      <c r="M74" s="1936"/>
      <c r="N74" s="1936"/>
      <c r="O74" s="1936"/>
      <c r="P74" s="1936"/>
      <c r="Q74" s="1936"/>
      <c r="R74" s="1936"/>
      <c r="S74" s="1936"/>
      <c r="T74" s="1936"/>
      <c r="U74" s="1936"/>
      <c r="V74" s="1936"/>
      <c r="W74" s="1936"/>
      <c r="X74" s="1936"/>
      <c r="Y74" s="1936"/>
      <c r="Z74" s="1936"/>
      <c r="AA74" s="1942"/>
      <c r="AB74" s="1942"/>
      <c r="AC74" s="1942"/>
      <c r="AD74" s="1942"/>
      <c r="AE74" s="1942"/>
      <c r="AF74" s="1942"/>
      <c r="AG74" s="1942"/>
      <c r="AH74" s="1942"/>
      <c r="AI74" s="1942"/>
    </row>
    <row r="75" spans="1:35" s="1676" customFormat="1" ht="28.8">
      <c r="A75" s="1818" t="s">
        <v>2793</v>
      </c>
      <c r="B75" s="967" t="s">
        <v>2794</v>
      </c>
      <c r="C75" s="1875"/>
      <c r="D75" s="967" t="s">
        <v>124</v>
      </c>
      <c r="E75" s="1876" t="s">
        <v>2795</v>
      </c>
      <c r="F75" s="1877"/>
      <c r="G75" s="1876" t="s">
        <v>2796</v>
      </c>
      <c r="H75" s="1878"/>
      <c r="I75" s="1250"/>
      <c r="J75" s="1936"/>
      <c r="K75" s="1936"/>
      <c r="L75" s="1936"/>
      <c r="M75" s="1936"/>
      <c r="N75" s="1936"/>
      <c r="O75" s="1936"/>
      <c r="P75" s="1936"/>
      <c r="Q75" s="1936"/>
      <c r="R75" s="1936"/>
      <c r="S75" s="1936"/>
      <c r="T75" s="1936"/>
      <c r="U75" s="1936"/>
      <c r="V75" s="1936"/>
      <c r="W75" s="1936"/>
      <c r="X75" s="1936"/>
      <c r="Y75" s="1936"/>
      <c r="Z75" s="1936"/>
      <c r="AA75" s="1942"/>
      <c r="AB75" s="1942"/>
      <c r="AC75" s="1942"/>
      <c r="AD75" s="1942"/>
      <c r="AE75" s="1942"/>
      <c r="AF75" s="1942"/>
      <c r="AG75" s="1942"/>
      <c r="AH75" s="1942"/>
      <c r="AI75" s="1942"/>
    </row>
    <row r="76" spans="1:35" s="1676" customFormat="1" ht="24.75" customHeight="1">
      <c r="A76" s="1818" t="s">
        <v>2797</v>
      </c>
      <c r="B76" s="1879" t="s">
        <v>2798</v>
      </c>
      <c r="C76" s="967">
        <f>IF(F75="购房发票",ROUND(C75*H75*D76,0),0)</f>
        <v>0</v>
      </c>
      <c r="D76" s="1880">
        <v>0.05</v>
      </c>
      <c r="E76" s="3608" t="s">
        <v>2799</v>
      </c>
      <c r="F76" s="3609"/>
      <c r="G76" s="3609"/>
      <c r="H76" s="3610"/>
      <c r="I76" s="1937"/>
      <c r="J76" s="1936"/>
      <c r="K76" s="1936"/>
      <c r="L76" s="1936"/>
      <c r="M76" s="1936"/>
      <c r="N76" s="1936"/>
      <c r="O76" s="1936"/>
      <c r="P76" s="1936"/>
      <c r="Q76" s="1936"/>
      <c r="R76" s="1936"/>
      <c r="S76" s="1936"/>
      <c r="T76" s="1936"/>
      <c r="U76" s="1936"/>
      <c r="V76" s="1936"/>
      <c r="W76" s="1936"/>
      <c r="X76" s="1936"/>
      <c r="Y76" s="1936"/>
      <c r="Z76" s="1936"/>
      <c r="AA76" s="1942"/>
      <c r="AB76" s="1942"/>
      <c r="AC76" s="1942"/>
      <c r="AD76" s="1942"/>
      <c r="AE76" s="1942"/>
      <c r="AF76" s="1942"/>
      <c r="AG76" s="1942"/>
      <c r="AH76" s="1942"/>
      <c r="AI76" s="1942"/>
    </row>
    <row r="77" spans="1:35" s="1676" customFormat="1" ht="24.75" customHeight="1">
      <c r="A77" s="1818" t="s">
        <v>2800</v>
      </c>
      <c r="B77" s="967" t="s">
        <v>2801</v>
      </c>
      <c r="C77" s="967">
        <f>ROUND(IF(G77="个人住宅",0,IF(G77="2016年5月1日前购买",C75*D77,C75*D77/(1+'数据-取费表'!C42))),0)</f>
        <v>0</v>
      </c>
      <c r="D77" s="1882">
        <f>'数据-取费表'!B48+'数据-取费表'!B49</f>
        <v>3.0499999999999999E-2</v>
      </c>
      <c r="E77" s="855" t="s">
        <v>2802</v>
      </c>
      <c r="F77" s="1883"/>
      <c r="G77" s="1884"/>
      <c r="H77" s="1881" t="str">
        <f>IF(G77="个人买卖住房","免征印花税"," ")</f>
        <v/>
      </c>
      <c r="I77" s="1937"/>
      <c r="J77" s="1936"/>
      <c r="K77" s="1936"/>
      <c r="L77" s="1936"/>
      <c r="M77" s="1936"/>
      <c r="N77" s="1936"/>
      <c r="O77" s="1936"/>
      <c r="P77" s="1936"/>
      <c r="Q77" s="1936"/>
      <c r="R77" s="1936"/>
      <c r="S77" s="1936"/>
      <c r="T77" s="1936"/>
      <c r="U77" s="1936"/>
      <c r="V77" s="1936"/>
      <c r="W77" s="1936"/>
      <c r="X77" s="1936"/>
      <c r="Y77" s="1936"/>
      <c r="Z77" s="1936"/>
      <c r="AA77" s="1942"/>
      <c r="AB77" s="1942"/>
      <c r="AC77" s="1942"/>
      <c r="AD77" s="1942"/>
      <c r="AE77" s="1942"/>
      <c r="AF77" s="1942"/>
      <c r="AG77" s="1942"/>
      <c r="AH77" s="1942"/>
      <c r="AI77" s="1942"/>
    </row>
    <row r="78" spans="1:35" s="1676" customFormat="1" ht="24.75" customHeight="1">
      <c r="A78" s="1818" t="s">
        <v>2774</v>
      </c>
      <c r="B78" s="967" t="s">
        <v>2803</v>
      </c>
      <c r="C78" s="1885">
        <f ca="1">ROUND(D45*D78/(1+'数据-取费表'!C42),0)</f>
        <v>8</v>
      </c>
      <c r="D78" s="1886">
        <f>'数据-取费表'!B43</f>
        <v>6.0000000000000001E-3</v>
      </c>
      <c r="E78" s="3586" t="s">
        <v>2804</v>
      </c>
      <c r="F78" s="3587"/>
      <c r="G78" s="3587"/>
      <c r="H78" s="3588"/>
      <c r="I78" s="1938"/>
      <c r="J78" s="1936"/>
      <c r="K78" s="1936"/>
      <c r="L78" s="1936"/>
      <c r="M78" s="1936"/>
      <c r="N78" s="1936"/>
      <c r="O78" s="1936"/>
      <c r="P78" s="1936"/>
      <c r="Q78" s="1936"/>
      <c r="R78" s="1936"/>
      <c r="S78" s="1936"/>
      <c r="T78" s="1936"/>
      <c r="U78" s="1936"/>
      <c r="V78" s="1936"/>
      <c r="W78" s="1936"/>
      <c r="X78" s="1936"/>
      <c r="Y78" s="1936"/>
      <c r="Z78" s="1936"/>
      <c r="AA78" s="1942"/>
      <c r="AB78" s="1942"/>
      <c r="AC78" s="1942"/>
      <c r="AD78" s="1942"/>
      <c r="AE78" s="1942"/>
      <c r="AF78" s="1942"/>
      <c r="AG78" s="1942"/>
      <c r="AH78" s="1942"/>
      <c r="AI78" s="1942"/>
    </row>
    <row r="79" spans="1:35" s="1676" customFormat="1" ht="13.8">
      <c r="A79" s="1815" t="s">
        <v>2782</v>
      </c>
      <c r="B79" s="1859" t="s">
        <v>2805</v>
      </c>
      <c r="C79" s="1862">
        <f ca="1">C72-C73</f>
        <v>1404</v>
      </c>
      <c r="D79" s="967" t="s">
        <v>124</v>
      </c>
      <c r="E79" s="732"/>
      <c r="F79" s="733"/>
      <c r="G79" s="733"/>
      <c r="H79" s="1874"/>
      <c r="I79" s="1937"/>
      <c r="J79" s="1936"/>
      <c r="K79" s="1936"/>
      <c r="L79" s="1936"/>
      <c r="M79" s="1936"/>
      <c r="N79" s="1936"/>
      <c r="O79" s="1936"/>
      <c r="P79" s="1936"/>
      <c r="Q79" s="1936"/>
      <c r="R79" s="1936"/>
      <c r="S79" s="1936"/>
      <c r="T79" s="1936"/>
      <c r="U79" s="1936"/>
      <c r="V79" s="1936"/>
      <c r="W79" s="1936"/>
      <c r="X79" s="1936"/>
      <c r="Y79" s="1936"/>
      <c r="Z79" s="1936"/>
      <c r="AA79" s="1942"/>
      <c r="AB79" s="1942"/>
      <c r="AC79" s="1942"/>
      <c r="AD79" s="1942"/>
      <c r="AE79" s="1942"/>
      <c r="AF79" s="1942"/>
      <c r="AG79" s="1942"/>
      <c r="AH79" s="1942"/>
      <c r="AI79" s="1942"/>
    </row>
    <row r="80" spans="1:35" s="1676" customFormat="1" ht="24">
      <c r="A80" s="1815" t="s">
        <v>2785</v>
      </c>
      <c r="B80" s="1859" t="s">
        <v>2806</v>
      </c>
      <c r="C80" s="1890">
        <f ca="1">IF(C79&lt;=0,0,C79/C73)</f>
        <v>175.5</v>
      </c>
      <c r="D80" s="967" t="s">
        <v>124</v>
      </c>
      <c r="E80" s="855" t="str">
        <f ca="1">IF(C80&gt;=200%,"增值额超过扣除项目金额200%",IF(C80&gt;=100%,"增值额超过扣除项目金额100%，未超过200%",IF(C80&gt;=50%,"增值额超过扣除项目金额50%，未超过100%",IF(C80&lt;50%,"增值额未超过扣除项目金额50%"))))</f>
        <v>增值额超过扣除项目金额200%</v>
      </c>
      <c r="F80" s="733"/>
      <c r="G80" s="733"/>
      <c r="H80" s="1874"/>
      <c r="I80" s="1937"/>
      <c r="J80" s="1936"/>
      <c r="K80" s="1936"/>
      <c r="L80" s="1936"/>
      <c r="M80" s="1936"/>
      <c r="N80" s="1936"/>
      <c r="O80" s="1936"/>
      <c r="P80" s="1936"/>
      <c r="Q80" s="1936"/>
      <c r="R80" s="1936"/>
      <c r="S80" s="1936"/>
      <c r="T80" s="1936"/>
      <c r="U80" s="1936"/>
      <c r="V80" s="1936"/>
      <c r="W80" s="1936"/>
      <c r="X80" s="1936"/>
      <c r="Y80" s="1936"/>
      <c r="Z80" s="1936"/>
      <c r="AA80" s="1942"/>
      <c r="AB80" s="1942"/>
      <c r="AC80" s="1942"/>
      <c r="AD80" s="1942"/>
      <c r="AE80" s="1942"/>
      <c r="AF80" s="1942"/>
      <c r="AG80" s="1942"/>
      <c r="AH80" s="1942"/>
      <c r="AI80" s="1942"/>
    </row>
    <row r="81" spans="1:35" s="1676" customFormat="1" ht="24">
      <c r="A81" s="1863" t="s">
        <v>2807</v>
      </c>
      <c r="B81" s="1864" t="s">
        <v>2808</v>
      </c>
      <c r="C81" s="1891">
        <f ca="1">ROUND(IF(C79&lt;=0,0,IF(C80&gt;=200%,C79*60%-C73*35%,IF(C80&gt;=100%,C79*50%-C73*15%,IF(C80&gt;=50%,C79*40%-C73*5%,IF(C80&lt;50%,C79*30%,0))))),0)</f>
        <v>840</v>
      </c>
      <c r="D81" s="1892" t="s">
        <v>124</v>
      </c>
      <c r="E81" s="18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4"/>
      <c r="G81" s="1894"/>
      <c r="H81" s="1895"/>
      <c r="I81" s="1937"/>
      <c r="J81" s="1936"/>
      <c r="K81" s="1936"/>
      <c r="L81" s="1936"/>
      <c r="M81" s="1936"/>
      <c r="N81" s="1936"/>
      <c r="O81" s="1936"/>
      <c r="P81" s="1936"/>
      <c r="Q81" s="1936"/>
      <c r="R81" s="1936"/>
      <c r="S81" s="1936"/>
      <c r="T81" s="1936"/>
      <c r="U81" s="1936"/>
      <c r="V81" s="1936"/>
      <c r="W81" s="1936"/>
      <c r="X81" s="1936"/>
      <c r="Y81" s="1936"/>
      <c r="Z81" s="1936"/>
      <c r="AA81" s="1942"/>
      <c r="AB81" s="1942"/>
      <c r="AC81" s="1942"/>
      <c r="AD81" s="1942"/>
      <c r="AE81" s="1942"/>
      <c r="AF81" s="1942"/>
      <c r="AG81" s="1942"/>
      <c r="AH81" s="1942"/>
      <c r="AI81" s="1942"/>
    </row>
    <row r="82" spans="1:35" s="1676" customFormat="1" ht="7.5" customHeight="1">
      <c r="A82" s="1896"/>
      <c r="B82" s="1897"/>
      <c r="C82" s="1134"/>
      <c r="D82" s="1134"/>
      <c r="E82" s="1897"/>
      <c r="F82" s="1897"/>
      <c r="G82" s="1897"/>
      <c r="H82" s="1898"/>
      <c r="I82" s="1938"/>
      <c r="J82" s="1936"/>
      <c r="K82" s="1936"/>
      <c r="L82" s="1936"/>
      <c r="M82" s="1936"/>
      <c r="N82" s="1936"/>
      <c r="O82" s="1936"/>
      <c r="P82" s="1936"/>
      <c r="Q82" s="1936"/>
      <c r="R82" s="1936"/>
      <c r="S82" s="1936"/>
      <c r="T82" s="1936"/>
      <c r="U82" s="1936"/>
      <c r="V82" s="1936"/>
      <c r="W82" s="1936"/>
      <c r="X82" s="1936"/>
      <c r="Y82" s="1936"/>
      <c r="Z82" s="1936"/>
      <c r="AA82" s="1942"/>
      <c r="AB82" s="1942"/>
      <c r="AC82" s="1942"/>
      <c r="AD82" s="1942"/>
      <c r="AE82" s="1942"/>
      <c r="AF82" s="1942"/>
      <c r="AG82" s="1942"/>
      <c r="AH82" s="1942"/>
      <c r="AI82" s="1942"/>
    </row>
    <row r="83" spans="1:35" s="1676" customFormat="1" ht="13.8">
      <c r="A83" s="3604" t="s">
        <v>2809</v>
      </c>
      <c r="B83" s="3605"/>
      <c r="C83" s="3605"/>
      <c r="D83" s="3605"/>
      <c r="E83" s="3605"/>
      <c r="F83" s="3605"/>
      <c r="G83" s="3605"/>
      <c r="H83" s="3605"/>
      <c r="I83" s="1250"/>
      <c r="J83" s="1936"/>
      <c r="K83" s="1936"/>
      <c r="L83" s="1936"/>
      <c r="M83" s="1936"/>
      <c r="N83" s="1936"/>
      <c r="O83" s="1936"/>
      <c r="P83" s="1936"/>
      <c r="Q83" s="1936"/>
      <c r="R83" s="1936"/>
      <c r="S83" s="1936"/>
      <c r="T83" s="1936"/>
      <c r="U83" s="1936"/>
      <c r="V83" s="1936"/>
      <c r="W83" s="1936"/>
      <c r="X83" s="1936"/>
      <c r="Y83" s="1936"/>
      <c r="Z83" s="1936"/>
      <c r="AA83" s="1942"/>
      <c r="AB83" s="1942"/>
      <c r="AC83" s="1942"/>
      <c r="AD83" s="1942"/>
      <c r="AE83" s="1942"/>
      <c r="AF83" s="1942"/>
      <c r="AG83" s="1942"/>
      <c r="AH83" s="1942"/>
      <c r="AI83" s="1942"/>
    </row>
    <row r="84" spans="1:35" s="1676" customFormat="1" ht="13.8">
      <c r="A84" s="3606" t="s">
        <v>2764</v>
      </c>
      <c r="B84" s="3607"/>
      <c r="C84" s="981"/>
      <c r="D84" s="981" t="s">
        <v>2765</v>
      </c>
      <c r="E84" s="1871" t="s">
        <v>2719</v>
      </c>
      <c r="F84" s="1872"/>
      <c r="G84" s="1872"/>
      <c r="H84" s="1899"/>
      <c r="I84" s="1250"/>
      <c r="J84" s="1936"/>
      <c r="K84" s="1936"/>
      <c r="L84" s="1936"/>
      <c r="M84" s="1936"/>
      <c r="N84" s="1936"/>
      <c r="O84" s="1936"/>
      <c r="P84" s="1936"/>
      <c r="Q84" s="1936"/>
      <c r="R84" s="1936"/>
      <c r="S84" s="1936"/>
      <c r="T84" s="1936"/>
      <c r="U84" s="1936"/>
      <c r="V84" s="1936"/>
      <c r="W84" s="1936"/>
      <c r="X84" s="1936"/>
      <c r="Y84" s="1936"/>
      <c r="Z84" s="1936"/>
      <c r="AA84" s="1942"/>
      <c r="AB84" s="1942"/>
      <c r="AC84" s="1942"/>
      <c r="AD84" s="1942"/>
      <c r="AE84" s="1942"/>
      <c r="AF84" s="1942"/>
      <c r="AG84" s="1942"/>
      <c r="AH84" s="1942"/>
      <c r="AI84" s="1942"/>
    </row>
    <row r="85" spans="1:35" s="1676" customFormat="1" ht="13.8">
      <c r="A85" s="1815" t="s">
        <v>2766</v>
      </c>
      <c r="B85" s="1859" t="s">
        <v>2790</v>
      </c>
      <c r="C85" s="1862">
        <f ca="1">ROUND(D45/(1+'数据-取费表'!C42),0)</f>
        <v>1412</v>
      </c>
      <c r="D85" s="967" t="s">
        <v>124</v>
      </c>
      <c r="E85" s="732"/>
      <c r="F85" s="733"/>
      <c r="G85" s="733"/>
      <c r="H85" s="1900"/>
      <c r="I85" s="1250"/>
      <c r="J85" s="1936"/>
      <c r="K85" s="1936"/>
      <c r="L85" s="1936"/>
      <c r="M85" s="1936"/>
      <c r="N85" s="1936"/>
      <c r="O85" s="1936"/>
      <c r="P85" s="1936"/>
      <c r="Q85" s="1936"/>
      <c r="R85" s="1936"/>
      <c r="S85" s="1936"/>
      <c r="T85" s="1936"/>
      <c r="U85" s="1936"/>
      <c r="V85" s="1936"/>
      <c r="W85" s="1936"/>
      <c r="X85" s="1936"/>
      <c r="Y85" s="1936"/>
      <c r="Z85" s="1936"/>
      <c r="AA85" s="1942"/>
      <c r="AB85" s="1942"/>
      <c r="AC85" s="1942"/>
      <c r="AD85" s="1942"/>
      <c r="AE85" s="1942"/>
      <c r="AF85" s="1942"/>
      <c r="AG85" s="1942"/>
      <c r="AH85" s="1942"/>
      <c r="AI85" s="1942"/>
    </row>
    <row r="86" spans="1:35" s="1676" customFormat="1" ht="13.8">
      <c r="A86" s="1815" t="s">
        <v>2777</v>
      </c>
      <c r="B86" s="1784" t="s">
        <v>2791</v>
      </c>
      <c r="C86" s="1862">
        <f ca="1">IF(H88="仅含出让金",C87+C90+C91+C92+C93+C94,C87+C91+C92+C93+C94)</f>
        <v>8</v>
      </c>
      <c r="D86" s="1901"/>
      <c r="E86" s="732"/>
      <c r="F86" s="733"/>
      <c r="G86" s="733"/>
      <c r="H86" s="1900"/>
      <c r="I86" s="1250"/>
      <c r="J86" s="1936"/>
      <c r="K86" s="1936"/>
      <c r="L86" s="1936"/>
      <c r="M86" s="1936"/>
      <c r="N86" s="1936"/>
      <c r="O86" s="1936"/>
      <c r="P86" s="1936"/>
      <c r="Q86" s="1936"/>
      <c r="R86" s="1936"/>
      <c r="S86" s="1936"/>
      <c r="T86" s="1936"/>
      <c r="U86" s="1936"/>
      <c r="V86" s="1936"/>
      <c r="W86" s="1936"/>
      <c r="X86" s="1936"/>
      <c r="Y86" s="1936"/>
      <c r="Z86" s="1936"/>
      <c r="AA86" s="1942"/>
      <c r="AB86" s="1942"/>
      <c r="AC86" s="1942"/>
      <c r="AD86" s="1942"/>
      <c r="AE86" s="1942"/>
      <c r="AF86" s="1942"/>
      <c r="AG86" s="1942"/>
      <c r="AH86" s="1942"/>
      <c r="AI86" s="1942"/>
    </row>
    <row r="87" spans="1:35" s="1676" customFormat="1" ht="13.8">
      <c r="A87" s="1818" t="s">
        <v>2770</v>
      </c>
      <c r="B87" s="967" t="s">
        <v>2810</v>
      </c>
      <c r="C87" s="1885">
        <f>C88+C89</f>
        <v>0</v>
      </c>
      <c r="D87" s="1886"/>
      <c r="E87" s="1887"/>
      <c r="F87" s="1888"/>
      <c r="G87" s="1888"/>
      <c r="H87" s="1889"/>
      <c r="I87" s="1250"/>
      <c r="J87" s="1936"/>
      <c r="K87" s="1936"/>
      <c r="L87" s="1936"/>
      <c r="M87" s="1936"/>
      <c r="N87" s="1936"/>
      <c r="O87" s="1936"/>
      <c r="P87" s="1936"/>
      <c r="Q87" s="1936"/>
      <c r="R87" s="1936"/>
      <c r="S87" s="1936"/>
      <c r="T87" s="1936"/>
      <c r="U87" s="1936"/>
      <c r="V87" s="1936"/>
      <c r="W87" s="1936"/>
      <c r="X87" s="1936"/>
      <c r="Y87" s="1936"/>
      <c r="Z87" s="1936"/>
      <c r="AA87" s="1942"/>
      <c r="AB87" s="1942"/>
      <c r="AC87" s="1942"/>
      <c r="AD87" s="1942"/>
      <c r="AE87" s="1942"/>
      <c r="AF87" s="1942"/>
      <c r="AG87" s="1942"/>
      <c r="AH87" s="1942"/>
      <c r="AI87" s="1942"/>
    </row>
    <row r="88" spans="1:35" s="1676" customFormat="1" ht="14.4">
      <c r="A88" s="1818" t="s">
        <v>2793</v>
      </c>
      <c r="B88" s="967" t="s">
        <v>2811</v>
      </c>
      <c r="C88" s="1902"/>
      <c r="D88" s="1886"/>
      <c r="E88" s="1903" t="s">
        <v>2812</v>
      </c>
      <c r="F88" s="1888"/>
      <c r="G88" s="1904" t="s">
        <v>2813</v>
      </c>
      <c r="H88" s="1905"/>
      <c r="I88" s="1250"/>
      <c r="J88" s="1939" t="s">
        <v>2814</v>
      </c>
      <c r="K88" s="1936"/>
      <c r="L88" s="1936"/>
      <c r="M88" s="1936"/>
      <c r="N88" s="1936"/>
      <c r="O88" s="1936"/>
      <c r="P88" s="1936"/>
      <c r="Q88" s="1936"/>
      <c r="R88" s="1936"/>
      <c r="S88" s="1936"/>
      <c r="T88" s="1936"/>
      <c r="U88" s="1936"/>
      <c r="V88" s="1936"/>
      <c r="W88" s="1936"/>
      <c r="X88" s="1936"/>
      <c r="Y88" s="1936"/>
      <c r="Z88" s="1936"/>
      <c r="AA88" s="1942"/>
      <c r="AB88" s="1942"/>
      <c r="AC88" s="1942"/>
      <c r="AD88" s="1942"/>
      <c r="AE88" s="1942"/>
      <c r="AF88" s="1942"/>
      <c r="AG88" s="1942"/>
      <c r="AH88" s="1942"/>
      <c r="AI88" s="1942"/>
    </row>
    <row r="89" spans="1:35" s="1676" customFormat="1" ht="13.8">
      <c r="A89" s="1818" t="s">
        <v>2797</v>
      </c>
      <c r="B89" s="967" t="s">
        <v>2801</v>
      </c>
      <c r="C89" s="1885">
        <f>ROUND(C88*D89,0)</f>
        <v>0</v>
      </c>
      <c r="D89" s="1886">
        <f>'数据-取费表'!B48+'数据-取费表'!B49</f>
        <v>3.0499999999999999E-2</v>
      </c>
      <c r="E89" s="1903" t="s">
        <v>2815</v>
      </c>
      <c r="F89" s="1888"/>
      <c r="G89" s="1888"/>
      <c r="H89" s="1889"/>
      <c r="I89" s="1250"/>
      <c r="J89" s="1936"/>
      <c r="K89" s="1936"/>
      <c r="L89" s="1936"/>
      <c r="M89" s="1936"/>
      <c r="N89" s="1936"/>
      <c r="O89" s="1936"/>
      <c r="P89" s="1936"/>
      <c r="Q89" s="1936"/>
      <c r="R89" s="1936"/>
      <c r="S89" s="1936"/>
      <c r="T89" s="1936"/>
      <c r="U89" s="1936"/>
      <c r="V89" s="1936"/>
      <c r="W89" s="1936"/>
      <c r="X89" s="1936"/>
      <c r="Y89" s="1936"/>
      <c r="Z89" s="1936"/>
      <c r="AA89" s="1942"/>
      <c r="AB89" s="1942"/>
      <c r="AC89" s="1942"/>
      <c r="AD89" s="1942"/>
      <c r="AE89" s="1942"/>
      <c r="AF89" s="1942"/>
      <c r="AG89" s="1942"/>
      <c r="AH89" s="1942"/>
      <c r="AI89" s="1942"/>
    </row>
    <row r="90" spans="1:35" s="1676" customFormat="1" ht="14.4">
      <c r="A90" s="1818" t="s">
        <v>2774</v>
      </c>
      <c r="B90" s="967" t="s">
        <v>2816</v>
      </c>
      <c r="C90" s="1902"/>
      <c r="D90" s="1886"/>
      <c r="E90" s="1903" t="str">
        <f>IF(H88="-","土地取得成本中已包含该笔费用"," ")</f>
        <v/>
      </c>
      <c r="F90" s="1888"/>
      <c r="G90" s="3611" t="s">
        <v>2817</v>
      </c>
      <c r="H90" s="3612"/>
      <c r="I90" s="1250"/>
      <c r="J90" s="1939" t="s">
        <v>2818</v>
      </c>
      <c r="K90" s="1936"/>
      <c r="L90" s="1936"/>
      <c r="M90" s="1936"/>
      <c r="N90" s="1936"/>
      <c r="O90" s="1936"/>
      <c r="P90" s="1936"/>
      <c r="Q90" s="1936"/>
      <c r="R90" s="1936"/>
      <c r="S90" s="1936"/>
      <c r="T90" s="1936"/>
      <c r="U90" s="1936"/>
      <c r="V90" s="1936"/>
      <c r="W90" s="1936"/>
      <c r="X90" s="1936"/>
      <c r="Y90" s="1936"/>
      <c r="Z90" s="1936"/>
      <c r="AA90" s="1942"/>
      <c r="AB90" s="1942"/>
      <c r="AC90" s="1942"/>
      <c r="AD90" s="1942"/>
      <c r="AE90" s="1942"/>
      <c r="AF90" s="1942"/>
      <c r="AG90" s="1942"/>
      <c r="AH90" s="1942"/>
      <c r="AI90" s="1942"/>
    </row>
    <row r="91" spans="1:35" s="1676" customFormat="1" ht="27.75" customHeight="1">
      <c r="A91" s="1818" t="s">
        <v>2819</v>
      </c>
      <c r="B91" s="967" t="s">
        <v>2820</v>
      </c>
      <c r="C91" s="1885">
        <f>IF(H91="——",成本法!C33,I91)</f>
        <v>0</v>
      </c>
      <c r="D91" s="1886"/>
      <c r="E91" s="3586" t="s">
        <v>2821</v>
      </c>
      <c r="F91" s="3587"/>
      <c r="G91" s="3587"/>
      <c r="H91" s="1906"/>
      <c r="I91" s="1940"/>
      <c r="J91" s="1936"/>
      <c r="K91" s="1936"/>
      <c r="L91" s="1936"/>
      <c r="M91" s="1936"/>
      <c r="N91" s="1936"/>
      <c r="O91" s="1936"/>
      <c r="P91" s="1936"/>
      <c r="Q91" s="1936"/>
      <c r="R91" s="1936"/>
      <c r="S91" s="1936"/>
      <c r="T91" s="1936"/>
      <c r="U91" s="1936"/>
      <c r="V91" s="1936"/>
      <c r="W91" s="1936"/>
      <c r="X91" s="1936"/>
      <c r="Y91" s="1936"/>
      <c r="Z91" s="1936"/>
      <c r="AA91" s="1942"/>
      <c r="AB91" s="1942"/>
      <c r="AC91" s="1942"/>
      <c r="AD91" s="1942"/>
      <c r="AE91" s="1942"/>
      <c r="AF91" s="1942"/>
      <c r="AG91" s="1942"/>
      <c r="AH91" s="1942"/>
      <c r="AI91" s="1942"/>
    </row>
    <row r="92" spans="1:35" s="1676" customFormat="1" ht="25.5" customHeight="1">
      <c r="A92" s="1818" t="s">
        <v>2822</v>
      </c>
      <c r="B92" s="967" t="s">
        <v>2823</v>
      </c>
      <c r="C92" s="1885">
        <f>ROUND((C87+C90+C91)*D92,0)</f>
        <v>0</v>
      </c>
      <c r="D92" s="1907"/>
      <c r="E92" s="3586" t="s">
        <v>2824</v>
      </c>
      <c r="F92" s="3587"/>
      <c r="G92" s="3587"/>
      <c r="H92" s="3588"/>
      <c r="I92" s="1250"/>
      <c r="J92" s="1941" t="s">
        <v>2825</v>
      </c>
      <c r="K92" s="1936"/>
      <c r="L92" s="1936"/>
      <c r="M92" s="1936"/>
      <c r="N92" s="1936"/>
      <c r="O92" s="1936"/>
      <c r="P92" s="1936"/>
      <c r="Q92" s="1936"/>
      <c r="R92" s="1936"/>
      <c r="S92" s="1936"/>
      <c r="T92" s="1936"/>
      <c r="U92" s="1936"/>
      <c r="V92" s="1936"/>
      <c r="W92" s="1936"/>
      <c r="X92" s="1936"/>
      <c r="Y92" s="1936"/>
      <c r="Z92" s="1936"/>
      <c r="AA92" s="1942"/>
      <c r="AB92" s="1942"/>
      <c r="AC92" s="1942"/>
      <c r="AD92" s="1942"/>
      <c r="AE92" s="1942"/>
      <c r="AF92" s="1942"/>
      <c r="AG92" s="1942"/>
      <c r="AH92" s="1942"/>
      <c r="AI92" s="1942"/>
    </row>
    <row r="93" spans="1:35" s="1676" customFormat="1" ht="25.5" customHeight="1">
      <c r="A93" s="1818" t="s">
        <v>2826</v>
      </c>
      <c r="B93" s="967" t="s">
        <v>2803</v>
      </c>
      <c r="C93" s="1885">
        <f ca="1">ROUND(D45*D93/(1+'数据-取费表'!C42),0)</f>
        <v>8</v>
      </c>
      <c r="D93" s="1886">
        <f>'数据-取费表'!B43</f>
        <v>6.0000000000000001E-3</v>
      </c>
      <c r="E93" s="3586" t="s">
        <v>2804</v>
      </c>
      <c r="F93" s="3587"/>
      <c r="G93" s="3587"/>
      <c r="H93" s="3588"/>
      <c r="I93" s="1250"/>
      <c r="J93" s="1936"/>
      <c r="K93" s="1936"/>
      <c r="L93" s="1936"/>
      <c r="M93" s="1936"/>
      <c r="N93" s="1936"/>
      <c r="O93" s="1936"/>
      <c r="P93" s="1936"/>
      <c r="Q93" s="1936"/>
      <c r="R93" s="1936"/>
      <c r="S93" s="1936"/>
      <c r="T93" s="1936"/>
      <c r="U93" s="1936"/>
      <c r="V93" s="1936"/>
      <c r="W93" s="1936"/>
      <c r="X93" s="1936"/>
      <c r="Y93" s="1936"/>
      <c r="Z93" s="1936"/>
      <c r="AA93" s="1942"/>
      <c r="AB93" s="1942"/>
      <c r="AC93" s="1942"/>
      <c r="AD93" s="1942"/>
      <c r="AE93" s="1942"/>
      <c r="AF93" s="1942"/>
      <c r="AG93" s="1942"/>
      <c r="AH93" s="1942"/>
      <c r="AI93" s="1942"/>
    </row>
    <row r="94" spans="1:35" s="1676" customFormat="1" ht="36.75" customHeight="1">
      <c r="A94" s="1818" t="s">
        <v>2827</v>
      </c>
      <c r="B94" s="967" t="s">
        <v>2828</v>
      </c>
      <c r="C94" s="1902">
        <f>ROUND((C87+C90+C91)*D94,0)</f>
        <v>0</v>
      </c>
      <c r="D94" s="1886">
        <v>0.2</v>
      </c>
      <c r="E94" s="3589" t="s">
        <v>2829</v>
      </c>
      <c r="F94" s="3590"/>
      <c r="G94" s="3590"/>
      <c r="H94" s="3591"/>
      <c r="I94" s="1250"/>
      <c r="J94" s="1936"/>
      <c r="K94" s="1936"/>
      <c r="L94" s="1936"/>
      <c r="M94" s="1936"/>
      <c r="N94" s="1936"/>
      <c r="O94" s="1936"/>
      <c r="P94" s="1936"/>
      <c r="Q94" s="1936"/>
      <c r="R94" s="1936"/>
      <c r="S94" s="1936"/>
      <c r="T94" s="1936"/>
      <c r="U94" s="1936"/>
      <c r="V94" s="1936"/>
      <c r="W94" s="1936"/>
      <c r="X94" s="1936"/>
      <c r="Y94" s="1936"/>
      <c r="Z94" s="1936"/>
      <c r="AA94" s="1942"/>
      <c r="AB94" s="1942"/>
      <c r="AC94" s="1942"/>
      <c r="AD94" s="1942"/>
      <c r="AE94" s="1942"/>
      <c r="AF94" s="1942"/>
      <c r="AG94" s="1942"/>
      <c r="AH94" s="1942"/>
      <c r="AI94" s="1942"/>
    </row>
    <row r="95" spans="1:35" s="1676" customFormat="1" ht="13.8">
      <c r="A95" s="1815" t="s">
        <v>2782</v>
      </c>
      <c r="B95" s="1859" t="s">
        <v>2805</v>
      </c>
      <c r="C95" s="1862">
        <f ca="1">ROUND(C85-C86,0)</f>
        <v>1404</v>
      </c>
      <c r="D95" s="967" t="s">
        <v>124</v>
      </c>
      <c r="E95" s="732"/>
      <c r="F95" s="733"/>
      <c r="G95" s="733"/>
      <c r="H95" s="1900"/>
      <c r="I95" s="1250"/>
      <c r="J95" s="1936"/>
      <c r="K95" s="1936"/>
      <c r="L95" s="1936"/>
      <c r="M95" s="1936"/>
      <c r="N95" s="1936"/>
      <c r="O95" s="1936"/>
      <c r="P95" s="1936"/>
      <c r="Q95" s="1936"/>
      <c r="R95" s="1936"/>
      <c r="S95" s="1936"/>
      <c r="T95" s="1936"/>
      <c r="U95" s="1936"/>
      <c r="V95" s="1936"/>
      <c r="W95" s="1936"/>
      <c r="X95" s="1936"/>
      <c r="Y95" s="1936"/>
      <c r="Z95" s="1936"/>
      <c r="AA95" s="1942"/>
      <c r="AB95" s="1942"/>
      <c r="AC95" s="1942"/>
      <c r="AD95" s="1942"/>
      <c r="AE95" s="1942"/>
      <c r="AF95" s="1942"/>
      <c r="AG95" s="1942"/>
      <c r="AH95" s="1942"/>
      <c r="AI95" s="1942"/>
    </row>
    <row r="96" spans="1:35" s="1676" customFormat="1" ht="24">
      <c r="A96" s="1815" t="s">
        <v>2785</v>
      </c>
      <c r="B96" s="1859" t="s">
        <v>2806</v>
      </c>
      <c r="C96" s="1890">
        <f ca="1">IF(C95&lt;=0,0,C95/C86)</f>
        <v>175.5</v>
      </c>
      <c r="D96" s="967" t="s">
        <v>124</v>
      </c>
      <c r="E96" s="855" t="str">
        <f ca="1">IF(C96&gt;=200%,"增值额超过扣除项目金额200%",IF(C96&gt;=100%,"增值额超过扣除项目金额100%，未超过200%",IF(C96&gt;=50%,"增值额超过扣除项目金额50%，未超过100%",IF(C96&lt;50%,"增值额未超过扣除项目金额50%"))))</f>
        <v>增值额超过扣除项目金额200%</v>
      </c>
      <c r="F96" s="733"/>
      <c r="G96" s="733"/>
      <c r="H96" s="1900"/>
      <c r="I96" s="1250"/>
      <c r="J96" s="1936"/>
      <c r="K96" s="1936"/>
      <c r="L96" s="1936"/>
      <c r="M96" s="1936"/>
      <c r="N96" s="1936"/>
      <c r="O96" s="1936"/>
      <c r="P96" s="1936"/>
      <c r="Q96" s="1936"/>
      <c r="R96" s="1936"/>
      <c r="S96" s="1936"/>
      <c r="T96" s="1936"/>
      <c r="U96" s="1936"/>
      <c r="V96" s="1936"/>
      <c r="W96" s="1936"/>
      <c r="X96" s="1936"/>
      <c r="Y96" s="1936"/>
      <c r="Z96" s="1936"/>
      <c r="AA96" s="1942"/>
      <c r="AB96" s="1942"/>
      <c r="AC96" s="1942"/>
      <c r="AD96" s="1942"/>
      <c r="AE96" s="1942"/>
      <c r="AF96" s="1942"/>
      <c r="AG96" s="1942"/>
      <c r="AH96" s="1942"/>
      <c r="AI96" s="1942"/>
    </row>
    <row r="97" spans="1:35" s="1676" customFormat="1" ht="24">
      <c r="A97" s="1863" t="s">
        <v>2807</v>
      </c>
      <c r="B97" s="1864" t="s">
        <v>2808</v>
      </c>
      <c r="C97" s="1891">
        <f ca="1">ROUND(IF(C95&lt;=0,0,IF(C96&gt;=200%,C95*60%-C86*35%,IF(C96&gt;=100%,C95*50%-C86*15%,IF(C96&gt;=50%,C95*40%-C86*5%,IF(C96&lt;50%,C95*30%,0))))),0)</f>
        <v>840</v>
      </c>
      <c r="D97" s="1892" t="s">
        <v>124</v>
      </c>
      <c r="E97" s="18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4"/>
      <c r="G97" s="1894"/>
      <c r="H97" s="1908"/>
      <c r="I97" s="1250"/>
      <c r="J97" s="1936"/>
      <c r="K97" s="1936"/>
      <c r="L97" s="1936"/>
      <c r="M97" s="1936"/>
      <c r="N97" s="1936"/>
      <c r="O97" s="1936"/>
      <c r="P97" s="1936"/>
      <c r="Q97" s="1936"/>
      <c r="R97" s="1936"/>
      <c r="S97" s="1936"/>
      <c r="T97" s="1936"/>
      <c r="U97" s="1936"/>
      <c r="V97" s="1936"/>
      <c r="W97" s="1936"/>
      <c r="X97" s="1936"/>
      <c r="Y97" s="1936"/>
      <c r="Z97" s="1936"/>
      <c r="AA97" s="1942"/>
      <c r="AB97" s="1942"/>
      <c r="AC97" s="1942"/>
      <c r="AD97" s="1942"/>
      <c r="AE97" s="1942"/>
      <c r="AF97" s="1942"/>
      <c r="AG97" s="1942"/>
      <c r="AH97" s="1942"/>
      <c r="AI97" s="1942"/>
    </row>
    <row r="98" spans="1:35" ht="21.75" customHeight="1">
      <c r="A98" s="1810"/>
      <c r="B98" s="1680"/>
      <c r="C98" s="1680"/>
      <c r="D98" s="1680"/>
      <c r="E98" s="1811"/>
      <c r="F98" s="1811"/>
      <c r="G98" s="1811"/>
      <c r="H98" s="1771"/>
      <c r="I98" s="588"/>
    </row>
    <row r="99" spans="1:35" ht="21.75" customHeight="1">
      <c r="A99" s="1773" t="s">
        <v>2830</v>
      </c>
      <c r="B99" s="1680"/>
      <c r="C99" s="1680"/>
      <c r="D99" s="1680"/>
      <c r="E99" s="1811"/>
      <c r="F99" s="1811"/>
      <c r="G99" s="1811"/>
      <c r="H99" s="1771"/>
      <c r="I99" s="588"/>
    </row>
    <row r="100" spans="1:35" ht="18.75" customHeight="1">
      <c r="A100" s="3549" t="s">
        <v>2831</v>
      </c>
      <c r="B100" s="3550"/>
      <c r="C100" s="3550"/>
      <c r="D100" s="3592"/>
      <c r="E100" s="3550" t="s">
        <v>2832</v>
      </c>
      <c r="F100" s="3550"/>
      <c r="G100" s="3550"/>
      <c r="H100" s="3592"/>
      <c r="I100" s="588"/>
    </row>
    <row r="101" spans="1:35" ht="18.75" customHeight="1">
      <c r="A101" s="3593" t="s">
        <v>2833</v>
      </c>
      <c r="B101" s="3594"/>
      <c r="C101" s="1910" t="str">
        <f>C4</f>
        <v>典型户型修正</v>
      </c>
      <c r="D101" s="1911" t="str">
        <f>D4</f>
        <v>成本法</v>
      </c>
      <c r="E101" s="3563" t="s">
        <v>2834</v>
      </c>
      <c r="F101" s="3558"/>
      <c r="G101" s="1913" t="s">
        <v>2835</v>
      </c>
      <c r="H101" s="1914">
        <f ca="1">H118</f>
        <v>1483</v>
      </c>
      <c r="I101" s="588"/>
    </row>
    <row r="102" spans="1:35" ht="18.75" customHeight="1">
      <c r="A102" s="3571" t="s">
        <v>2836</v>
      </c>
      <c r="B102" s="1915" t="s">
        <v>2835</v>
      </c>
      <c r="C102" s="1910">
        <f ca="1">IF(D32="楼面单价",ROUND(C19,0),C19)</f>
        <v>1632</v>
      </c>
      <c r="D102" s="1911">
        <f ca="1">IF(D32="楼面单价",ROUND(D19,0),D19)</f>
        <v>1136</v>
      </c>
      <c r="E102" s="3563"/>
      <c r="F102" s="3558"/>
      <c r="G102" s="1913" t="s">
        <v>99</v>
      </c>
      <c r="H102" s="1800">
        <f ca="1">I118</f>
        <v>14370</v>
      </c>
      <c r="I102" s="588"/>
    </row>
    <row r="103" spans="1:35" ht="42.75" customHeight="1">
      <c r="A103" s="3571"/>
      <c r="B103" s="1915" t="s">
        <v>99</v>
      </c>
      <c r="C103" s="1916">
        <f ca="1">C20</f>
        <v>15814</v>
      </c>
      <c r="D103" s="1917">
        <f ca="1">D20</f>
        <v>11008</v>
      </c>
      <c r="E103" s="3595" t="s">
        <v>2837</v>
      </c>
      <c r="F103" s="3596"/>
      <c r="G103" s="1918" t="s">
        <v>102</v>
      </c>
      <c r="H103" s="1914">
        <f>IF(D36="正常操作",H104+H105+H106,H105+H106)</f>
        <v>0</v>
      </c>
      <c r="I103" s="588"/>
    </row>
    <row r="104" spans="1:35" ht="18.75" customHeight="1">
      <c r="A104" s="3571" t="s">
        <v>2838</v>
      </c>
      <c r="B104" s="1919" t="s">
        <v>2835</v>
      </c>
      <c r="C104" s="1920">
        <f ca="1">H118</f>
        <v>1483</v>
      </c>
      <c r="D104" s="1921"/>
      <c r="E104" s="1756" t="s">
        <v>2839</v>
      </c>
      <c r="F104" s="1922"/>
      <c r="G104" s="1918" t="s">
        <v>102</v>
      </c>
      <c r="H104" s="1923">
        <f>IF(D36="同一抵押权人同一抵押物续贷",C36&amp;"（续贷，未扣减，详见特别提示）",C36)</f>
        <v>0</v>
      </c>
      <c r="I104" s="588"/>
    </row>
    <row r="105" spans="1:35" ht="18.75" customHeight="1">
      <c r="A105" s="3572"/>
      <c r="B105" s="1924" t="s">
        <v>99</v>
      </c>
      <c r="C105" s="1925">
        <f ca="1">I118</f>
        <v>14370</v>
      </c>
      <c r="D105" s="1926"/>
      <c r="E105" s="1756" t="s">
        <v>2840</v>
      </c>
      <c r="F105" s="1922"/>
      <c r="G105" s="1918" t="s">
        <v>102</v>
      </c>
      <c r="H105" s="1927">
        <f>C37</f>
        <v>0</v>
      </c>
      <c r="I105" s="588"/>
    </row>
    <row r="106" spans="1:35" ht="18.75" customHeight="1">
      <c r="A106" s="1680" t="s">
        <v>2841</v>
      </c>
      <c r="B106" s="1680"/>
      <c r="C106" s="1680"/>
      <c r="D106" s="1680"/>
      <c r="E106" s="1928" t="s">
        <v>2842</v>
      </c>
      <c r="F106" s="1922"/>
      <c r="G106" s="1918" t="s">
        <v>102</v>
      </c>
      <c r="H106" s="1927">
        <f>C38</f>
        <v>0</v>
      </c>
      <c r="I106" s="588"/>
    </row>
    <row r="107" spans="1:35" ht="18.75" customHeight="1">
      <c r="A107" s="588"/>
      <c r="B107" s="588"/>
      <c r="C107" s="588"/>
      <c r="D107" s="588"/>
      <c r="E107" s="3557" t="str">
        <f>IF(项目基本情况!E8="已注销","——","3.房地产抵押价值")</f>
        <v>3.房地产抵押价值</v>
      </c>
      <c r="F107" s="3558"/>
      <c r="G107" s="1913" t="s">
        <v>2835</v>
      </c>
      <c r="H107" s="1914">
        <f ca="1">IF(E107="——","——",H101-H103)</f>
        <v>1483</v>
      </c>
      <c r="I107" s="588"/>
    </row>
    <row r="108" spans="1:35" ht="18.75" customHeight="1">
      <c r="A108" s="588"/>
      <c r="B108" s="588"/>
      <c r="C108" s="588"/>
      <c r="D108" s="588"/>
      <c r="E108" s="3557"/>
      <c r="F108" s="3558"/>
      <c r="G108" s="1913" t="s">
        <v>99</v>
      </c>
      <c r="H108" s="1800">
        <f ca="1">IF(H107=H101,H102,ROUND(H107*10000/'数据-汇总表'!E3,0))</f>
        <v>14370</v>
      </c>
      <c r="I108" s="588"/>
    </row>
    <row r="109" spans="1:35" ht="18.75" customHeight="1">
      <c r="A109" s="588"/>
      <c r="B109" s="588"/>
      <c r="C109" s="588"/>
      <c r="D109" s="588"/>
      <c r="E109" s="3557" t="str">
        <f>IF(项目基本情况!E8="已注销及未注销","4.抵押担保权已注销时的房地产抵押价值",IF(项目基本情况!E8="已注销","3.抵押担保权已注销时的房地产抵押价值","——"))</f>
        <v>——</v>
      </c>
      <c r="F109" s="3558"/>
      <c r="G109" s="1913" t="s">
        <v>2835</v>
      </c>
      <c r="H109" s="1929" t="str">
        <f>IF(E109="——","——",H101-H105-H106)</f>
        <v>——</v>
      </c>
      <c r="I109" s="588"/>
    </row>
    <row r="110" spans="1:35" ht="18.75" customHeight="1">
      <c r="A110" s="588"/>
      <c r="B110" s="588"/>
      <c r="C110" s="588"/>
      <c r="D110" s="588"/>
      <c r="E110" s="3557"/>
      <c r="F110" s="3558"/>
      <c r="G110" s="1913" t="s">
        <v>99</v>
      </c>
      <c r="H110" s="1800" t="str">
        <f>IF(H109="——","——",ROUND(H109*10000/'数据-汇总表'!E3,0))</f>
        <v>——</v>
      </c>
      <c r="I110" s="588"/>
    </row>
    <row r="111" spans="1:35" ht="18.75" customHeight="1">
      <c r="A111" s="588"/>
      <c r="B111" s="588"/>
      <c r="C111" s="588"/>
      <c r="D111" s="588"/>
      <c r="E111" s="3559" t="str">
        <f>IF(项目基本情况!E9="抵押净值",IF(OR(项目基本情况!E8="已注销",项目基本情况!E8="房地产抵押价值"),"4.抵押净值","5.抵押净值"),"——")</f>
        <v>——</v>
      </c>
      <c r="F111" s="3560"/>
      <c r="G111" s="1913" t="s">
        <v>2835</v>
      </c>
      <c r="H111" s="1914" t="str">
        <f>IF(E111="——","——",N59)</f>
        <v>——</v>
      </c>
      <c r="I111" s="588"/>
    </row>
    <row r="112" spans="1:35" ht="18.75" customHeight="1">
      <c r="A112" s="588"/>
      <c r="B112" s="588"/>
      <c r="C112" s="588"/>
      <c r="D112" s="588"/>
      <c r="E112" s="3561"/>
      <c r="F112" s="3562"/>
      <c r="G112" s="1930" t="s">
        <v>99</v>
      </c>
      <c r="H112" s="1931" t="str">
        <f>IF(E111="——","——",N61)</f>
        <v>——</v>
      </c>
      <c r="I112" s="588"/>
    </row>
    <row r="113" spans="1:27" ht="18.75" customHeight="1">
      <c r="A113" s="588"/>
      <c r="B113" s="588"/>
      <c r="C113" s="588"/>
      <c r="D113" s="588"/>
      <c r="E113" s="3597" t="s">
        <v>2841</v>
      </c>
      <c r="F113" s="3597"/>
      <c r="G113" s="3597"/>
      <c r="H113" s="3597"/>
      <c r="I113" s="588"/>
    </row>
    <row r="114" spans="1:27" ht="3.75" customHeight="1">
      <c r="A114" s="1680"/>
      <c r="B114" s="1680"/>
      <c r="C114" s="1680"/>
      <c r="D114" s="1680"/>
      <c r="E114" s="1810"/>
      <c r="F114" s="1810"/>
      <c r="G114" s="1810"/>
      <c r="H114" s="1810"/>
      <c r="I114" s="1680"/>
    </row>
    <row r="115" spans="1:27" ht="18.75" customHeight="1">
      <c r="A115" s="3598" t="s">
        <v>2843</v>
      </c>
      <c r="B115" s="3599"/>
      <c r="C115" s="3599"/>
      <c r="D115" s="3599"/>
      <c r="E115" s="3599"/>
      <c r="F115" s="3599"/>
      <c r="G115" s="3599"/>
      <c r="H115" s="3599"/>
      <c r="I115" s="3600"/>
    </row>
    <row r="116" spans="1:27" ht="27" customHeight="1">
      <c r="A116" s="3565" t="s">
        <v>2844</v>
      </c>
      <c r="B116" s="3574" t="s">
        <v>2845</v>
      </c>
      <c r="C116" s="3574" t="s">
        <v>2846</v>
      </c>
      <c r="D116" s="3601" t="s">
        <v>2847</v>
      </c>
      <c r="E116" s="3602"/>
      <c r="F116" s="3603" t="s">
        <v>2848</v>
      </c>
      <c r="G116" s="3603"/>
      <c r="H116" s="3565" t="s">
        <v>2849</v>
      </c>
      <c r="I116" s="3565"/>
    </row>
    <row r="117" spans="1:27" ht="18.75" customHeight="1">
      <c r="A117" s="3565"/>
      <c r="B117" s="3575"/>
      <c r="C117" s="3575"/>
      <c r="D117" s="1690" t="s">
        <v>2850</v>
      </c>
      <c r="E117" s="1690" t="s">
        <v>2677</v>
      </c>
      <c r="F117" s="1690" t="s">
        <v>2850</v>
      </c>
      <c r="G117" s="1690" t="s">
        <v>2677</v>
      </c>
      <c r="H117" s="1690" t="s">
        <v>2850</v>
      </c>
      <c r="I117" s="1690" t="s">
        <v>2677</v>
      </c>
    </row>
    <row r="118" spans="1:27" ht="24.75" customHeight="1">
      <c r="A118" s="1932" t="str">
        <f>项目基本情况!S2</f>
        <v>北京市房地产</v>
      </c>
      <c r="B118" s="1690">
        <f>M18</f>
        <v>1032</v>
      </c>
      <c r="C118" s="1690">
        <f>M19</f>
        <v>0</v>
      </c>
      <c r="D118" s="1690">
        <f ca="1">ROUND(IF(D32="总价",C34,E118*B118/10000),0)</f>
        <v>610</v>
      </c>
      <c r="E118" s="1690">
        <f ca="1">ROUND(IF(C33="自定义",IF(D32="楼面单价",C34,D118*10000/B118),I118-G118),0)</f>
        <v>5911</v>
      </c>
      <c r="F118" s="1690">
        <f ca="1">ROUND(IF(D32="总价",C35,G118*B118/10000),0)</f>
        <v>873</v>
      </c>
      <c r="G118" s="1690">
        <f ca="1">ROUND(IF(D32="楼面单价",C35,F118*10000/B118),0)</f>
        <v>8459</v>
      </c>
      <c r="H118" s="1690">
        <f ca="1">ROUND(IF(D32="总价",C32,I118*B118/10000),0)</f>
        <v>1483</v>
      </c>
      <c r="I118" s="1690">
        <f ca="1">ROUND(IF(D32="楼面单价",C32,H118*10000/B118),0)</f>
        <v>14370</v>
      </c>
    </row>
    <row r="119" spans="1:27" ht="18.75" customHeight="1">
      <c r="A119" s="3565" t="s">
        <v>2851</v>
      </c>
      <c r="B119" s="3565"/>
      <c r="C119" s="3565"/>
      <c r="D119" s="3580" t="str">
        <f ca="1">NUMBERSTRING(INT(D118*10000),2)&amp;"元整"</f>
        <v>陆佰壹拾万元整</v>
      </c>
      <c r="E119" s="3582"/>
      <c r="F119" s="3580" t="str">
        <f ca="1">NUMBERSTRING(INT(F118*10000),2)&amp;"元整"</f>
        <v>捌佰柒拾叁万元整</v>
      </c>
      <c r="G119" s="3582"/>
      <c r="H119" s="3580" t="str">
        <f ca="1">NUMBERSTRING(INT(H118*10000),2)&amp;"元整"</f>
        <v>壹仟肆佰捌拾叁万元整</v>
      </c>
      <c r="I119" s="3582"/>
    </row>
    <row r="120" spans="1:27" ht="18.75" customHeight="1">
      <c r="A120" s="3583" t="str">
        <f>IF(项目基本情况!B9="房地产市场价值","",MID(E103,3,LEN(E103)-2))</f>
        <v>估价师知悉的法定优先受偿款</v>
      </c>
      <c r="B120" s="3584"/>
      <c r="C120" s="3585"/>
      <c r="D120" s="3583">
        <f>H103</f>
        <v>0</v>
      </c>
      <c r="E120" s="3584"/>
      <c r="F120" s="3584"/>
      <c r="G120" s="3584"/>
      <c r="H120" s="3584"/>
      <c r="I120" s="3585"/>
      <c r="J120" s="1677"/>
      <c r="K120" s="1677" t="str">
        <f>IF(D120=0,"故，本次评估不存在"&amp;A120,"故，本次评估"&amp;A120&amp;"为人民币"&amp;D120&amp;"万元整。")</f>
        <v>故，本次评估不存在估价师知悉的法定优先受偿款</v>
      </c>
      <c r="L120" s="1677"/>
      <c r="M120" s="1677"/>
      <c r="N120" s="1677"/>
      <c r="O120" s="1677"/>
      <c r="P120" s="1677"/>
      <c r="Q120" s="1677"/>
      <c r="R120" s="1677"/>
      <c r="S120" s="1677"/>
    </row>
    <row r="121" spans="1:27" ht="18.75" customHeight="1">
      <c r="A121" s="3580" t="s">
        <v>2851</v>
      </c>
      <c r="B121" s="3581"/>
      <c r="C121" s="3582"/>
      <c r="D121" s="3580" t="str">
        <f>IF(D120=0,"零元整",NUMBERSTRING(INT(D120*10000),2)&amp;"元整")</f>
        <v>零元整</v>
      </c>
      <c r="E121" s="3581"/>
      <c r="F121" s="3581"/>
      <c r="G121" s="3581"/>
      <c r="H121" s="3581"/>
      <c r="I121" s="3582"/>
      <c r="AA121" s="545"/>
    </row>
    <row r="122" spans="1:27" ht="18.75" customHeight="1">
      <c r="A122" s="3560" t="str">
        <f>IF(项目基本情况!B9="房地产市场价值","",MID(E107,3,LEN(E107)-2))</f>
        <v>房地产抵押价值</v>
      </c>
      <c r="B122" s="3560"/>
      <c r="C122" s="3560"/>
      <c r="D122" s="3583">
        <f ca="1">H107</f>
        <v>1483</v>
      </c>
      <c r="E122" s="3584"/>
      <c r="F122" s="3584"/>
      <c r="G122" s="3584"/>
      <c r="H122" s="3584"/>
      <c r="I122" s="3585"/>
      <c r="AA122" s="545"/>
    </row>
    <row r="123" spans="1:27" ht="18.75" customHeight="1">
      <c r="A123" s="3565" t="s">
        <v>2851</v>
      </c>
      <c r="B123" s="3565"/>
      <c r="C123" s="3565"/>
      <c r="D123" s="3580" t="str">
        <f ca="1">NUMBERSTRING(INT(D122*10000),2)&amp;"元整"</f>
        <v>壹仟肆佰捌拾叁万元整</v>
      </c>
      <c r="E123" s="3581"/>
      <c r="F123" s="3581"/>
      <c r="G123" s="3581"/>
      <c r="H123" s="3581"/>
      <c r="I123" s="3582"/>
      <c r="AA123" s="545"/>
    </row>
    <row r="124" spans="1:27" ht="18.75" customHeight="1">
      <c r="A124" s="3560" t="str">
        <f>IF(项目基本情况!B9="房地产市场价值","",MID(E109,3,LEN(E109)-2))</f>
        <v/>
      </c>
      <c r="B124" s="3560"/>
      <c r="C124" s="3560"/>
      <c r="D124" s="3583" t="str">
        <f>H109</f>
        <v>——</v>
      </c>
      <c r="E124" s="3584"/>
      <c r="F124" s="3584"/>
      <c r="G124" s="3584"/>
      <c r="H124" s="3584"/>
      <c r="I124" s="3585"/>
      <c r="AA124" s="545"/>
    </row>
    <row r="125" spans="1:27" ht="18.75" customHeight="1">
      <c r="A125" s="3565" t="s">
        <v>2851</v>
      </c>
      <c r="B125" s="3565"/>
      <c r="C125" s="3565"/>
      <c r="D125" s="3580" t="e">
        <f>NUMBERSTRING(INT(D124*10000),2)&amp;"元整"</f>
        <v>#VALUE!</v>
      </c>
      <c r="E125" s="3581"/>
      <c r="F125" s="3581"/>
      <c r="G125" s="3581"/>
      <c r="H125" s="3581"/>
      <c r="I125" s="3582"/>
      <c r="AA125" s="545"/>
    </row>
    <row r="126" spans="1:27" ht="18.75" customHeight="1">
      <c r="A126" s="3560" t="str">
        <f>IF(项目基本情况!B9="房地产市场价值","",MID(E111,3,LEN(E111)-2))</f>
        <v/>
      </c>
      <c r="B126" s="3560"/>
      <c r="C126" s="3560"/>
      <c r="D126" s="3583" t="str">
        <f>H111</f>
        <v>——</v>
      </c>
      <c r="E126" s="3584"/>
      <c r="F126" s="3584"/>
      <c r="G126" s="3584"/>
      <c r="H126" s="3584"/>
      <c r="I126" s="3585"/>
      <c r="AA126" s="545"/>
    </row>
    <row r="127" spans="1:27" ht="18.75" customHeight="1">
      <c r="A127" s="3565" t="s">
        <v>2851</v>
      </c>
      <c r="B127" s="3565"/>
      <c r="C127" s="3565"/>
      <c r="D127" s="3580" t="e">
        <f>NUMBERSTRING(INT(D126*10000),2)&amp;"元整"</f>
        <v>#VALUE!</v>
      </c>
      <c r="E127" s="3581"/>
      <c r="F127" s="3581"/>
      <c r="G127" s="3581"/>
      <c r="H127" s="3581"/>
      <c r="I127" s="3582"/>
      <c r="AA127" s="545"/>
    </row>
    <row r="128" spans="1:27" ht="21.75" customHeight="1">
      <c r="A128" s="3564" t="s">
        <v>113</v>
      </c>
      <c r="B128" s="3564"/>
      <c r="C128" s="3564"/>
      <c r="D128" s="3564"/>
      <c r="E128" s="3564"/>
      <c r="F128" s="3564"/>
      <c r="G128" s="3564"/>
      <c r="H128" s="3564"/>
      <c r="I128" s="3564"/>
      <c r="AA128" s="545"/>
    </row>
    <row r="129" spans="1:35" ht="21.75" customHeight="1">
      <c r="A129" s="1943" t="s">
        <v>2852</v>
      </c>
      <c r="B129" s="1944"/>
      <c r="C129" s="1945" t="s">
        <v>2853</v>
      </c>
      <c r="D129" s="1946"/>
      <c r="E129" s="1946"/>
      <c r="F129" s="1946"/>
      <c r="G129" s="1946"/>
      <c r="H129" s="1947"/>
      <c r="I129" s="1962"/>
      <c r="AA129" s="545"/>
    </row>
    <row r="130" spans="1:35" ht="21.75" customHeight="1">
      <c r="A130" s="1948">
        <v>1</v>
      </c>
      <c r="B130" s="1949"/>
      <c r="C130" s="1949"/>
      <c r="D130" s="1950"/>
      <c r="E130" s="1950"/>
      <c r="F130" s="1950"/>
      <c r="G130" s="1950"/>
      <c r="H130" s="1951"/>
      <c r="I130" s="1963"/>
      <c r="AA130" s="545"/>
    </row>
    <row r="131" spans="1:35" ht="21.75" customHeight="1">
      <c r="A131" s="1948">
        <v>2</v>
      </c>
      <c r="B131" s="1949"/>
      <c r="C131" s="1949"/>
      <c r="D131" s="1950"/>
      <c r="E131" s="1950"/>
      <c r="F131" s="1950"/>
      <c r="G131" s="1950"/>
      <c r="H131" s="1951"/>
      <c r="I131" s="1963"/>
      <c r="AA131" s="545"/>
    </row>
    <row r="132" spans="1:35" ht="21.75" customHeight="1">
      <c r="A132" s="1948">
        <v>3</v>
      </c>
      <c r="B132" s="1949"/>
      <c r="C132" s="1949"/>
      <c r="D132" s="1950"/>
      <c r="E132" s="1950"/>
      <c r="F132" s="1950"/>
      <c r="G132" s="1950"/>
      <c r="H132" s="1951"/>
      <c r="I132" s="1963"/>
      <c r="AA132" s="545"/>
    </row>
    <row r="133" spans="1:35" ht="21.75" customHeight="1">
      <c r="A133" s="1952"/>
      <c r="B133" s="1953"/>
      <c r="C133" s="1953"/>
      <c r="D133" s="1954"/>
      <c r="E133" s="1954"/>
      <c r="F133" s="1954"/>
      <c r="G133" s="1954"/>
      <c r="H133" s="1955"/>
      <c r="I133" s="1964"/>
    </row>
    <row r="134" spans="1:35" ht="21.75" customHeight="1">
      <c r="A134" s="1949"/>
      <c r="B134" s="1949"/>
      <c r="C134" s="1949"/>
      <c r="D134" s="1950"/>
      <c r="E134" s="1950"/>
      <c r="F134" s="1950"/>
      <c r="G134" s="1950"/>
      <c r="H134" s="1951"/>
      <c r="I134" s="545"/>
    </row>
    <row r="135" spans="1:35" ht="21.75" customHeight="1">
      <c r="A135" s="545"/>
      <c r="B135" s="545"/>
      <c r="C135" s="545"/>
      <c r="D135" s="545"/>
      <c r="E135" s="545"/>
      <c r="F135" s="1956" t="s">
        <v>2854</v>
      </c>
      <c r="G135" s="1957"/>
      <c r="H135" s="1957"/>
      <c r="I135" s="1965" t="s">
        <v>2855</v>
      </c>
    </row>
    <row r="136" spans="1:35" ht="21.75" customHeight="1">
      <c r="A136" s="545"/>
      <c r="B136" s="1958" t="s">
        <v>2856</v>
      </c>
      <c r="C136" s="545"/>
      <c r="D136" s="545"/>
      <c r="E136" s="545"/>
      <c r="F136" s="545"/>
      <c r="G136" s="545"/>
      <c r="H136" s="545"/>
      <c r="I136" s="545"/>
    </row>
    <row r="137" spans="1:35" ht="21.75" customHeight="1">
      <c r="A137" s="545"/>
      <c r="B137" s="545"/>
      <c r="C137" s="545"/>
      <c r="D137" s="545"/>
      <c r="E137" s="545"/>
      <c r="F137" s="545"/>
      <c r="G137" s="545"/>
      <c r="H137" s="545"/>
      <c r="I137" s="545"/>
    </row>
    <row r="138" spans="1:35" ht="21.75" customHeight="1">
      <c r="A138" s="545"/>
      <c r="B138" s="1957"/>
      <c r="C138" s="1957"/>
      <c r="D138" s="1957"/>
      <c r="E138" s="1957"/>
      <c r="F138" s="1957"/>
      <c r="G138" s="1957"/>
      <c r="H138" s="1957"/>
      <c r="I138" s="1965" t="s">
        <v>2857</v>
      </c>
    </row>
    <row r="139" spans="1:35" ht="21.75" customHeight="1">
      <c r="A139" s="545"/>
      <c r="B139" s="1958" t="s">
        <v>2858</v>
      </c>
      <c r="C139" s="545"/>
      <c r="D139" s="545"/>
      <c r="E139" s="545"/>
      <c r="F139" s="545"/>
      <c r="G139" s="545"/>
      <c r="H139" s="545"/>
      <c r="I139" s="545"/>
    </row>
    <row r="140" spans="1:35" ht="21.75" customHeight="1">
      <c r="A140" s="545"/>
      <c r="B140" s="1958"/>
      <c r="C140" s="545"/>
      <c r="D140" s="545"/>
      <c r="E140" s="545"/>
      <c r="F140" s="545"/>
      <c r="G140" s="545"/>
      <c r="H140" s="545"/>
      <c r="I140" s="545"/>
    </row>
    <row r="141" spans="1:35" ht="21.75" customHeight="1">
      <c r="A141" s="545"/>
      <c r="B141" s="1957"/>
      <c r="C141" s="1957"/>
      <c r="D141" s="1957"/>
      <c r="E141" s="1957"/>
      <c r="F141" s="1957"/>
      <c r="G141" s="1957"/>
      <c r="H141" s="1957"/>
      <c r="I141" s="1965" t="s">
        <v>2857</v>
      </c>
    </row>
    <row r="142" spans="1:35" ht="21.75" customHeight="1">
      <c r="A142" s="545"/>
      <c r="B142" s="1958"/>
      <c r="C142" s="1959"/>
      <c r="D142" s="1960"/>
      <c r="E142" s="1960"/>
      <c r="F142" s="1961"/>
      <c r="G142" s="545"/>
      <c r="H142" s="545"/>
      <c r="I142" s="545"/>
    </row>
    <row r="143" spans="1:35" s="542" customFormat="1" ht="21.75" customHeight="1">
      <c r="A143" s="545"/>
      <c r="B143" s="1958"/>
      <c r="C143" s="1959"/>
      <c r="D143" s="1960"/>
      <c r="E143" s="1960"/>
      <c r="F143" s="1961"/>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545"/>
      <c r="AH143" s="545"/>
      <c r="AI143" s="545"/>
    </row>
    <row r="144" spans="1:35" s="542" customFormat="1" ht="21.75" customHeight="1">
      <c r="A144" s="545"/>
      <c r="B144" s="545"/>
      <c r="C144" s="545"/>
      <c r="D144" s="545"/>
      <c r="E144" s="545"/>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row>
    <row r="145" spans="1:35" s="542" customFormat="1" ht="21.75" customHeight="1">
      <c r="A145" s="545"/>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row>
    <row r="146" spans="1:35" s="545" customFormat="1" ht="21.75" customHeight="1"/>
    <row r="147" spans="1:35" s="545" customFormat="1" ht="21.75" customHeight="1"/>
    <row r="148" spans="1:35" s="545" customFormat="1" ht="21.75" customHeight="1"/>
    <row r="149" spans="1:35" s="545" customFormat="1" ht="21.75" customHeight="1"/>
    <row r="150" spans="1:35" s="545" customFormat="1" ht="21.75" customHeight="1"/>
    <row r="151" spans="1:35" s="545" customFormat="1" ht="21.75" customHeight="1"/>
    <row r="152" spans="1:35" s="545" customFormat="1" ht="21.75" customHeight="1"/>
    <row r="153" spans="1:35" s="545" customFormat="1" ht="21.75" customHeight="1"/>
    <row r="154" spans="1:35" s="545" customFormat="1" ht="21.75" customHeight="1"/>
    <row r="155" spans="1:35" s="545" customFormat="1" ht="21.75" customHeight="1"/>
    <row r="156" spans="1:35" s="545" customFormat="1" ht="21.75" customHeight="1"/>
    <row r="157" spans="1:35" s="545" customFormat="1" ht="21.75" customHeight="1"/>
    <row r="158" spans="1:35" s="545" customFormat="1" ht="21.75" customHeight="1"/>
    <row r="159" spans="1:35" s="545" customFormat="1" ht="21.75" customHeight="1"/>
    <row r="160" spans="1:35" s="545" customFormat="1" ht="21.75" customHeight="1"/>
    <row r="161" s="545" customFormat="1" ht="21.75" customHeight="1"/>
    <row r="162" s="545" customFormat="1" ht="21.75" customHeight="1"/>
    <row r="163" s="545" customFormat="1" ht="21.75" customHeight="1"/>
    <row r="164" s="545" customFormat="1" ht="21.75" customHeight="1"/>
    <row r="165" s="545" customFormat="1" ht="21.75" customHeight="1"/>
    <row r="166" s="545" customFormat="1" ht="21.75" customHeight="1"/>
    <row r="167" s="545" customFormat="1" ht="21.75" customHeight="1"/>
    <row r="168" s="545" customFormat="1" ht="21.75" customHeight="1"/>
    <row r="169" s="545" customFormat="1" ht="21.75" customHeight="1"/>
    <row r="170" s="545" customFormat="1" ht="21.75" customHeight="1"/>
    <row r="171" s="545" customFormat="1" ht="21.75" customHeight="1"/>
    <row r="172" s="545" customFormat="1" ht="21.75" customHeight="1"/>
    <row r="173" s="545" customFormat="1" ht="21.75" customHeight="1"/>
    <row r="174" s="545" customFormat="1" ht="21.75" customHeight="1"/>
    <row r="175" s="545" customFormat="1" ht="21.75" customHeight="1"/>
    <row r="176" s="545" customFormat="1" ht="21.75" customHeight="1"/>
    <row r="177" s="545" customFormat="1" ht="21.75" customHeight="1"/>
    <row r="178" s="545" customFormat="1" ht="21.75" customHeight="1"/>
    <row r="179" s="545" customFormat="1" ht="21.75" customHeight="1"/>
    <row r="180" s="545" customFormat="1" ht="21.75" customHeight="1"/>
    <row r="181" s="545" customFormat="1" ht="21.75" customHeight="1"/>
    <row r="182" s="545" customFormat="1" ht="21.75" customHeight="1"/>
    <row r="183" s="545" customFormat="1" ht="21.75" customHeight="1"/>
    <row r="184" s="545" customFormat="1" ht="21.75" customHeight="1"/>
    <row r="185" s="545" customFormat="1" ht="21.75" customHeight="1"/>
    <row r="186" s="545" customFormat="1" ht="21.75" customHeight="1"/>
    <row r="187" s="545" customFormat="1" ht="21.75" customHeight="1"/>
    <row r="188" s="545" customFormat="1" ht="21.75" customHeight="1"/>
    <row r="189" s="545" customFormat="1" ht="21.75" customHeight="1"/>
    <row r="190" s="545" customFormat="1" ht="21.75" customHeight="1"/>
    <row r="191" s="545" customFormat="1" ht="21.75" customHeight="1"/>
    <row r="192" s="545" customFormat="1" ht="21.75" customHeight="1"/>
    <row r="193" s="545" customFormat="1" ht="21.75" customHeight="1"/>
    <row r="194" s="545" customFormat="1" ht="21.75" customHeight="1"/>
    <row r="195" s="545" customFormat="1" ht="21.75" customHeight="1"/>
    <row r="196" s="545" customFormat="1" ht="21.75" customHeight="1"/>
    <row r="197" s="545" customFormat="1" ht="21.75" customHeight="1"/>
    <row r="198" s="545" customFormat="1" ht="21.75" customHeight="1"/>
    <row r="199" s="545" customFormat="1" ht="21.75" customHeight="1"/>
    <row r="200" s="545" customFormat="1" ht="21.75" customHeight="1"/>
    <row r="201" s="545" customFormat="1" ht="21.75" customHeight="1"/>
    <row r="202" s="545" customFormat="1" ht="21.75" customHeight="1"/>
    <row r="203" s="545" customFormat="1" ht="21.75" customHeight="1"/>
    <row r="204" s="545" customFormat="1" ht="21.75" customHeight="1"/>
    <row r="205" s="545" customFormat="1" ht="21.75" customHeight="1"/>
    <row r="206" s="545" customFormat="1" ht="21.75" customHeight="1"/>
    <row r="207" s="545" customFormat="1" ht="21.75" customHeight="1"/>
    <row r="208" s="545" customFormat="1" ht="21.75" customHeight="1"/>
    <row r="209" s="545" customFormat="1" ht="21.75" customHeight="1"/>
    <row r="210" s="545" customFormat="1" ht="21.75" customHeight="1"/>
    <row r="211" s="545" customFormat="1" ht="21.75" customHeight="1"/>
    <row r="212" s="545" customFormat="1" ht="21.75" customHeight="1"/>
    <row r="213" s="545" customFormat="1" ht="21.75" customHeight="1"/>
    <row r="214" s="545" customFormat="1" ht="21.75" customHeight="1"/>
    <row r="215" s="545" customFormat="1" ht="21.75" customHeight="1"/>
    <row r="216" s="545" customFormat="1" ht="21.75" customHeight="1"/>
    <row r="217" s="545" customFormat="1" ht="21.75" customHeight="1"/>
    <row r="218" s="545" customFormat="1" ht="21.75" customHeight="1"/>
    <row r="219" s="545" customFormat="1" ht="21.75" customHeight="1"/>
    <row r="220" s="545" customFormat="1" ht="21.75" customHeight="1"/>
    <row r="221" s="545" customFormat="1" ht="21.75" customHeight="1"/>
    <row r="222" s="545" customFormat="1" ht="21.75" customHeight="1"/>
    <row r="223" s="545" customFormat="1" ht="21.75" customHeight="1"/>
    <row r="224" s="545" customFormat="1" ht="21.75" customHeight="1"/>
    <row r="225" s="545" customFormat="1" ht="21.75" customHeight="1"/>
    <row r="226" s="545" customFormat="1" ht="21.75" customHeight="1"/>
    <row r="227" s="545" customFormat="1" ht="21.75" customHeight="1"/>
    <row r="228" s="545" customFormat="1" ht="21.75" customHeight="1"/>
    <row r="229" s="545" customFormat="1" ht="21.75" customHeight="1"/>
    <row r="230" s="545" customFormat="1" ht="21.75" customHeight="1"/>
    <row r="231" s="545" customFormat="1" ht="21.75" customHeight="1"/>
    <row r="232" s="545" customFormat="1" ht="21.75" customHeight="1"/>
    <row r="233" s="545" customFormat="1" ht="21.75" customHeight="1"/>
    <row r="234" s="545" customFormat="1" ht="21.75" customHeight="1"/>
    <row r="235" s="545" customFormat="1" ht="21.75" customHeight="1"/>
    <row r="236" s="545" customFormat="1" ht="21.75" customHeight="1"/>
    <row r="237" s="545" customFormat="1" ht="21.75" customHeight="1"/>
    <row r="238" s="545" customFormat="1" ht="21.75" customHeight="1"/>
    <row r="239" s="545" customFormat="1" ht="21.75" customHeight="1"/>
    <row r="240" s="545" customFormat="1" ht="21.75" customHeight="1"/>
    <row r="241" s="545" customFormat="1" ht="21.75" customHeight="1"/>
    <row r="242" s="545" customFormat="1" ht="21.75" customHeight="1"/>
    <row r="243" s="545" customFormat="1" ht="21.75" customHeight="1"/>
    <row r="244" s="545" customFormat="1" ht="21.75" customHeight="1"/>
    <row r="245" s="545" customFormat="1" ht="21.75" customHeight="1"/>
    <row r="246" s="545" customFormat="1" ht="21.75" customHeight="1"/>
    <row r="247" s="545" customFormat="1" ht="21.75" customHeight="1"/>
    <row r="248" s="545" customFormat="1" ht="21.75" customHeight="1"/>
    <row r="249" s="545" customFormat="1" ht="21.75" customHeight="1"/>
    <row r="250" s="545" customFormat="1" ht="21.75" customHeight="1"/>
    <row r="251" s="545" customFormat="1" ht="21.75" customHeight="1"/>
    <row r="252" s="545" customFormat="1" ht="21.75" customHeight="1"/>
    <row r="253" s="545" customFormat="1" ht="21.75" customHeight="1"/>
    <row r="254" s="545" customFormat="1" ht="21.75" customHeight="1"/>
    <row r="255" s="545" customFormat="1" ht="21.75" customHeight="1"/>
    <row r="256" s="545" customFormat="1" ht="21.75" customHeight="1"/>
    <row r="257" s="545" customFormat="1" ht="21.75" customHeight="1"/>
    <row r="258" s="545" customFormat="1" ht="21.75" customHeight="1"/>
    <row r="259" s="545" customFormat="1" ht="21.75" customHeight="1"/>
    <row r="260" s="545" customFormat="1" ht="21.75" customHeight="1"/>
    <row r="261" s="545" customFormat="1" ht="21.75" customHeight="1"/>
    <row r="262" s="545" customFormat="1" ht="21.75" customHeight="1"/>
    <row r="263" s="545" customFormat="1" ht="21.75" customHeight="1"/>
    <row r="264" s="545" customFormat="1" ht="21.75" customHeight="1"/>
    <row r="265" s="545" customFormat="1" ht="21.75" customHeight="1"/>
    <row r="266" s="545" customFormat="1" ht="21.75" customHeight="1"/>
    <row r="267" s="545" customFormat="1" ht="21.75" customHeight="1"/>
    <row r="268" s="545" customFormat="1" ht="21.75" customHeight="1"/>
    <row r="269" s="545" customFormat="1" ht="21.75" customHeight="1"/>
    <row r="270" s="545" customFormat="1" ht="21.75" customHeight="1"/>
    <row r="271" s="545" customFormat="1" ht="21.75" customHeight="1"/>
    <row r="272" s="545" customFormat="1" ht="21.75" customHeight="1"/>
    <row r="273" s="545" customFormat="1" ht="21.75" customHeight="1"/>
    <row r="274" s="545" customFormat="1" ht="21.75" customHeight="1"/>
    <row r="275" s="545" customFormat="1" ht="21.75" customHeight="1"/>
    <row r="276" s="545" customFormat="1" ht="21.75" customHeight="1"/>
    <row r="277" s="545" customFormat="1" ht="21.75" customHeight="1"/>
    <row r="278" s="545" customFormat="1" ht="21.75" customHeight="1"/>
    <row r="279" s="545" customFormat="1" ht="21.75" customHeight="1"/>
    <row r="280" s="545" customFormat="1" ht="21.75" customHeight="1"/>
    <row r="281" s="545" customFormat="1" ht="21.75" customHeight="1"/>
    <row r="282" s="545" customFormat="1" ht="21.75" customHeight="1"/>
    <row r="283" s="545" customFormat="1" ht="21.75" customHeight="1"/>
    <row r="284" s="545" customFormat="1" ht="21.75" customHeight="1"/>
    <row r="285" s="545" customFormat="1" ht="21.75" customHeight="1"/>
    <row r="286" s="545" customFormat="1" ht="21.75" customHeight="1"/>
    <row r="287" s="545" customFormat="1" ht="21.75" customHeight="1"/>
    <row r="288" s="545" customFormat="1" ht="21.75" customHeight="1"/>
    <row r="289" s="545" customFormat="1" ht="21.75" customHeight="1"/>
    <row r="290" s="545" customFormat="1" ht="21.75" customHeight="1"/>
    <row r="291" s="545" customFormat="1" ht="21.75" customHeight="1"/>
    <row r="292" s="545" customFormat="1" ht="21.75" customHeight="1"/>
    <row r="293" s="545" customFormat="1" ht="21.75" customHeight="1"/>
    <row r="294" s="545" customFormat="1" ht="21.75" customHeight="1"/>
    <row r="295" s="545" customFormat="1" ht="21.75" customHeight="1"/>
    <row r="296" s="545" customFormat="1" ht="21.75" customHeight="1"/>
    <row r="297" s="545" customFormat="1" ht="21.75" customHeight="1"/>
    <row r="298" s="545" customFormat="1" ht="21.75" customHeight="1"/>
    <row r="299" s="545" customFormat="1" ht="21.75" customHeight="1"/>
    <row r="300" s="545" customFormat="1" ht="21.75" customHeight="1"/>
    <row r="301" s="545" customFormat="1" ht="21.75" customHeight="1"/>
    <row r="302" s="545" customFormat="1" ht="21.75" customHeight="1"/>
    <row r="303" s="545" customFormat="1" ht="21.75" customHeight="1"/>
    <row r="304" s="545" customFormat="1" ht="21.75" customHeight="1"/>
    <row r="305" s="545" customFormat="1" ht="21.75" customHeight="1"/>
    <row r="306" s="545" customFormat="1" ht="21.75" customHeight="1"/>
    <row r="307" s="545" customFormat="1" ht="21.75" customHeight="1"/>
    <row r="308" s="545" customFormat="1" ht="21.75" customHeight="1"/>
    <row r="309" s="545" customFormat="1" ht="21.75" customHeight="1"/>
    <row r="310" s="545" customFormat="1" ht="21.75" customHeight="1"/>
    <row r="311" s="545" customFormat="1" ht="21.75" customHeight="1"/>
    <row r="312" s="545" customFormat="1" ht="21.75" customHeight="1"/>
    <row r="313" s="545" customFormat="1" ht="21.75" customHeight="1"/>
    <row r="314" s="545" customFormat="1" ht="21.75" customHeight="1"/>
    <row r="315" s="545" customFormat="1" ht="21.75" customHeight="1"/>
    <row r="316" s="545" customFormat="1" ht="21.75" customHeight="1"/>
    <row r="317" s="545" customFormat="1" ht="21.75" customHeight="1"/>
    <row r="318" s="545" customFormat="1" ht="21.75" customHeight="1"/>
    <row r="319" s="545" customFormat="1" ht="21.75" customHeight="1"/>
    <row r="320" s="545" customFormat="1" ht="21.75" customHeight="1"/>
    <row r="321" s="545" customFormat="1" ht="21.75" customHeight="1"/>
    <row r="322" s="545" customFormat="1" ht="21.75" customHeight="1"/>
    <row r="323" s="545" customFormat="1" ht="21.75" customHeight="1"/>
    <row r="324" s="545" customFormat="1" ht="21.75" customHeight="1"/>
    <row r="325" s="545" customFormat="1" ht="21.75" customHeight="1"/>
    <row r="326" s="545" customFormat="1" ht="21.75" customHeight="1"/>
    <row r="327" s="545" customFormat="1" ht="21.75" customHeight="1"/>
    <row r="328" s="545" customFormat="1" ht="21.75" customHeight="1"/>
    <row r="329" s="545" customFormat="1" ht="21.75" customHeight="1"/>
    <row r="330" s="545" customFormat="1" ht="21.75" customHeight="1"/>
    <row r="331" s="545" customFormat="1" ht="21.75" customHeight="1"/>
    <row r="332" s="545" customFormat="1" ht="21.75" customHeight="1"/>
    <row r="333" s="545" customFormat="1" ht="21.75" customHeight="1"/>
    <row r="334" s="545" customFormat="1" ht="21.75" customHeight="1"/>
    <row r="335" s="545" customFormat="1" ht="21.75" customHeight="1"/>
    <row r="336" s="545" customFormat="1" ht="21.75" customHeight="1"/>
    <row r="337" s="545" customFormat="1" ht="21.75" customHeight="1"/>
    <row r="338" s="545" customFormat="1" ht="21.75" customHeight="1"/>
    <row r="339" s="545" customFormat="1" ht="21.75" customHeight="1"/>
    <row r="340" s="545" customFormat="1" ht="21.75" customHeight="1"/>
    <row r="341" s="545" customFormat="1" ht="21.75" customHeight="1"/>
    <row r="342" s="545" customFormat="1" ht="21.75" customHeight="1"/>
    <row r="343" s="545" customFormat="1" ht="21.75" customHeight="1"/>
    <row r="344" s="545" customFormat="1" ht="21.75" customHeight="1"/>
    <row r="345" s="545" customFormat="1" ht="21.75" customHeight="1"/>
    <row r="346" s="545" customFormat="1" ht="21.75" customHeight="1"/>
    <row r="347" s="545" customFormat="1" ht="21.75" customHeight="1"/>
    <row r="348" s="545" customFormat="1" ht="21.75" customHeight="1"/>
    <row r="349" s="545" customFormat="1" ht="21.75" customHeight="1"/>
    <row r="350" s="545" customFormat="1" ht="21.75" customHeight="1"/>
    <row r="351" s="545" customFormat="1" ht="21.75" customHeight="1"/>
    <row r="352" s="545" customFormat="1" ht="21.75" customHeight="1"/>
    <row r="353" s="545" customFormat="1" ht="21.75" customHeight="1"/>
    <row r="354" s="545" customFormat="1" ht="21.75" customHeight="1"/>
    <row r="355" s="545" customFormat="1" ht="21.75" customHeight="1"/>
    <row r="356" s="545" customFormat="1" ht="21.75" customHeight="1"/>
    <row r="357" s="545" customFormat="1" ht="21.75" customHeight="1"/>
    <row r="358" s="545" customFormat="1" ht="21.75" customHeight="1"/>
    <row r="359" s="545" customFormat="1" ht="21.75" customHeight="1"/>
    <row r="360" s="545" customFormat="1" ht="21.75" customHeight="1"/>
    <row r="361" s="545" customFormat="1" ht="21.75" customHeight="1"/>
    <row r="362" s="545" customFormat="1" ht="21.75" customHeight="1"/>
    <row r="363" s="545" customFormat="1" ht="21.75" customHeight="1"/>
    <row r="364" s="545" customFormat="1" ht="21.75" customHeight="1"/>
    <row r="365" s="545" customFormat="1" ht="21.75" customHeight="1"/>
    <row r="366" s="545" customFormat="1" ht="21.75" customHeight="1"/>
    <row r="367" s="545" customFormat="1" ht="21.75" customHeight="1"/>
    <row r="368" s="545" customFormat="1" ht="21.75" customHeight="1"/>
    <row r="369" s="545" customFormat="1" ht="21.75" customHeight="1"/>
    <row r="370" s="545" customFormat="1" ht="21.75" customHeight="1"/>
    <row r="371" s="545" customFormat="1" ht="21.75" customHeight="1"/>
    <row r="372" s="545" customFormat="1" ht="21.75" customHeight="1"/>
    <row r="373" s="545" customFormat="1" ht="21.75" customHeight="1"/>
    <row r="374" s="545" customFormat="1" ht="21.75" customHeight="1"/>
    <row r="375" s="545" customFormat="1" ht="21.75" customHeight="1"/>
    <row r="376" s="545" customFormat="1" ht="21.75" customHeight="1"/>
    <row r="377" s="545" customFormat="1" ht="21.75" customHeight="1"/>
    <row r="378" s="545" customFormat="1" ht="21.75" customHeight="1"/>
    <row r="379" s="545" customFormat="1" ht="21.75" customHeight="1"/>
    <row r="380" s="545" customFormat="1" ht="21.75" customHeight="1"/>
    <row r="381" s="545" customFormat="1" ht="21.75" customHeight="1"/>
    <row r="382" s="545" customFormat="1" ht="21.75" customHeight="1"/>
    <row r="383" s="545" customFormat="1" ht="21.75" customHeight="1"/>
    <row r="384" s="545" customFormat="1" ht="21.75" customHeight="1"/>
    <row r="385" s="545" customFormat="1" ht="21.75" customHeight="1"/>
    <row r="386" s="545" customFormat="1" ht="21.75" customHeight="1"/>
    <row r="387" s="545" customFormat="1" ht="21.75" customHeight="1"/>
    <row r="388" s="545" customFormat="1" ht="21.75" customHeight="1"/>
    <row r="389" s="545" customFormat="1" ht="21.75" customHeight="1"/>
    <row r="390" s="545" customFormat="1" ht="21.75" customHeight="1"/>
    <row r="391" s="545" customFormat="1" ht="21.75" customHeight="1"/>
    <row r="392" s="545" customFormat="1" ht="21.75" customHeight="1"/>
    <row r="393" s="545" customFormat="1" ht="21.75" customHeight="1"/>
    <row r="394" s="545" customFormat="1" ht="21.75" customHeight="1"/>
    <row r="395" s="545" customFormat="1" ht="21.75" customHeight="1"/>
    <row r="396" s="545" customFormat="1" ht="21.75" customHeight="1"/>
    <row r="397" s="545" customFormat="1" ht="21.75" customHeight="1"/>
    <row r="398" s="545" customFormat="1" ht="21.75" customHeight="1"/>
    <row r="399" s="545" customFormat="1" ht="21.75" customHeight="1"/>
    <row r="400" s="545" customFormat="1" ht="21.75" customHeight="1"/>
    <row r="401" spans="10:26" s="545" customFormat="1" ht="21.75" customHeight="1"/>
    <row r="402" spans="10:26" s="545" customFormat="1" ht="21.75" customHeight="1"/>
    <row r="403" spans="10:26" s="545" customFormat="1" ht="21.75" customHeight="1"/>
    <row r="404" spans="10:26" s="545" customFormat="1" ht="21.75" customHeight="1"/>
    <row r="405" spans="10:26" s="545" customFormat="1" ht="21.75" customHeight="1"/>
    <row r="406" spans="10:26" s="545" customFormat="1" ht="21.75" customHeight="1"/>
    <row r="407" spans="10:26" s="545" customFormat="1" ht="21.75" customHeight="1"/>
    <row r="408" spans="10:26" s="545" customFormat="1" ht="21.75" customHeight="1"/>
    <row r="409" spans="10:26" s="1677" customFormat="1" ht="21.75" customHeight="1">
      <c r="J409" s="545"/>
      <c r="K409" s="545"/>
      <c r="L409" s="545"/>
      <c r="M409" s="545"/>
      <c r="N409" s="545"/>
      <c r="O409" s="545"/>
      <c r="P409" s="545"/>
      <c r="Q409" s="545"/>
      <c r="R409" s="545"/>
      <c r="S409" s="545"/>
      <c r="T409" s="545"/>
      <c r="U409" s="545"/>
      <c r="V409" s="545"/>
      <c r="W409" s="545"/>
      <c r="X409" s="545"/>
      <c r="Y409" s="545"/>
      <c r="Z409" s="545"/>
    </row>
    <row r="410" spans="10:26" s="1677" customFormat="1" ht="21.75" customHeight="1">
      <c r="J410" s="545"/>
      <c r="K410" s="545"/>
      <c r="L410" s="545"/>
      <c r="M410" s="545"/>
      <c r="N410" s="545"/>
      <c r="O410" s="545"/>
      <c r="P410" s="545"/>
      <c r="Q410" s="545"/>
      <c r="R410" s="545"/>
      <c r="S410" s="545"/>
      <c r="T410" s="545"/>
      <c r="U410" s="545"/>
      <c r="V410" s="545"/>
      <c r="W410" s="545"/>
      <c r="X410" s="545"/>
      <c r="Y410" s="545"/>
      <c r="Z410" s="545"/>
    </row>
    <row r="411" spans="10:26" s="1677" customFormat="1" ht="21.75" customHeight="1">
      <c r="J411" s="545"/>
      <c r="K411" s="545"/>
      <c r="L411" s="545"/>
      <c r="M411" s="545"/>
      <c r="N411" s="545"/>
      <c r="O411" s="545"/>
      <c r="P411" s="545"/>
      <c r="Q411" s="545"/>
      <c r="R411" s="545"/>
      <c r="S411" s="545"/>
      <c r="T411" s="545"/>
      <c r="U411" s="545"/>
      <c r="V411" s="545"/>
      <c r="W411" s="545"/>
      <c r="X411" s="545"/>
      <c r="Y411" s="545"/>
      <c r="Z411" s="545"/>
    </row>
    <row r="412" spans="10:26" s="1677" customFormat="1" ht="21.75" customHeight="1">
      <c r="J412" s="545"/>
      <c r="K412" s="545"/>
      <c r="L412" s="545"/>
      <c r="M412" s="545"/>
      <c r="N412" s="545"/>
      <c r="O412" s="545"/>
      <c r="P412" s="545"/>
      <c r="Q412" s="545"/>
      <c r="R412" s="545"/>
      <c r="S412" s="545"/>
      <c r="T412" s="545"/>
      <c r="U412" s="545"/>
      <c r="V412" s="545"/>
      <c r="W412" s="545"/>
      <c r="X412" s="545"/>
      <c r="Y412" s="545"/>
      <c r="Z412" s="545"/>
    </row>
    <row r="413" spans="10:26" s="1677" customFormat="1" ht="21.75" customHeight="1">
      <c r="J413" s="545"/>
      <c r="K413" s="545"/>
      <c r="L413" s="545"/>
      <c r="M413" s="545"/>
      <c r="N413" s="545"/>
      <c r="O413" s="545"/>
      <c r="P413" s="545"/>
      <c r="Q413" s="545"/>
      <c r="R413" s="545"/>
      <c r="S413" s="545"/>
      <c r="T413" s="545"/>
      <c r="U413" s="545"/>
      <c r="V413" s="545"/>
      <c r="W413" s="545"/>
      <c r="X413" s="545"/>
      <c r="Y413" s="545"/>
      <c r="Z413" s="545"/>
    </row>
    <row r="414" spans="10:26" s="1677" customFormat="1" ht="21.75" customHeight="1">
      <c r="J414" s="545"/>
      <c r="K414" s="545"/>
      <c r="L414" s="545"/>
      <c r="M414" s="545"/>
      <c r="N414" s="545"/>
      <c r="O414" s="545"/>
      <c r="P414" s="545"/>
      <c r="Q414" s="545"/>
      <c r="R414" s="545"/>
      <c r="S414" s="545"/>
      <c r="T414" s="545"/>
      <c r="U414" s="545"/>
      <c r="V414" s="545"/>
      <c r="W414" s="545"/>
      <c r="X414" s="545"/>
      <c r="Y414" s="545"/>
      <c r="Z414" s="545"/>
    </row>
    <row r="415" spans="10:26" s="1677" customFormat="1" ht="21.75" customHeight="1">
      <c r="J415" s="545"/>
      <c r="K415" s="545"/>
      <c r="L415" s="545"/>
      <c r="M415" s="545"/>
      <c r="N415" s="545"/>
      <c r="O415" s="545"/>
      <c r="P415" s="545"/>
      <c r="Q415" s="545"/>
      <c r="R415" s="545"/>
      <c r="S415" s="545"/>
      <c r="T415" s="545"/>
      <c r="U415" s="545"/>
      <c r="V415" s="545"/>
      <c r="W415" s="545"/>
      <c r="X415" s="545"/>
      <c r="Y415" s="545"/>
      <c r="Z415" s="545"/>
    </row>
    <row r="416" spans="10:26" s="1677" customFormat="1" ht="21.75" customHeight="1">
      <c r="J416" s="545"/>
      <c r="K416" s="545"/>
      <c r="L416" s="545"/>
      <c r="M416" s="545"/>
      <c r="N416" s="545"/>
      <c r="O416" s="545"/>
      <c r="P416" s="545"/>
      <c r="Q416" s="545"/>
      <c r="R416" s="545"/>
      <c r="S416" s="545"/>
      <c r="T416" s="545"/>
      <c r="U416" s="545"/>
      <c r="V416" s="545"/>
      <c r="W416" s="545"/>
      <c r="X416" s="545"/>
      <c r="Y416" s="545"/>
      <c r="Z416" s="545"/>
    </row>
    <row r="417" spans="10:26" s="1677" customFormat="1" ht="21.75" customHeight="1">
      <c r="J417" s="545"/>
      <c r="K417" s="545"/>
      <c r="L417" s="545"/>
      <c r="M417" s="545"/>
      <c r="N417" s="545"/>
      <c r="O417" s="545"/>
      <c r="P417" s="545"/>
      <c r="Q417" s="545"/>
      <c r="R417" s="545"/>
      <c r="S417" s="545"/>
      <c r="T417" s="545"/>
      <c r="U417" s="545"/>
      <c r="V417" s="545"/>
      <c r="W417" s="545"/>
      <c r="X417" s="545"/>
      <c r="Y417" s="545"/>
      <c r="Z417" s="545"/>
    </row>
    <row r="418" spans="10:26" s="1677" customFormat="1" ht="21.75" customHeight="1">
      <c r="J418" s="545"/>
      <c r="K418" s="545"/>
      <c r="L418" s="545"/>
      <c r="M418" s="545"/>
      <c r="N418" s="545"/>
      <c r="O418" s="545"/>
      <c r="P418" s="545"/>
      <c r="Q418" s="545"/>
      <c r="R418" s="545"/>
      <c r="S418" s="545"/>
      <c r="T418" s="545"/>
      <c r="U418" s="545"/>
      <c r="V418" s="545"/>
      <c r="W418" s="545"/>
      <c r="X418" s="545"/>
      <c r="Y418" s="545"/>
      <c r="Z418" s="545"/>
    </row>
    <row r="419" spans="10:26" s="1677" customFormat="1" ht="21.75" customHeight="1">
      <c r="J419" s="545"/>
      <c r="K419" s="545"/>
      <c r="L419" s="545"/>
      <c r="M419" s="545"/>
      <c r="N419" s="545"/>
      <c r="O419" s="545"/>
      <c r="P419" s="545"/>
      <c r="Q419" s="545"/>
      <c r="R419" s="545"/>
      <c r="S419" s="545"/>
      <c r="T419" s="545"/>
      <c r="U419" s="545"/>
      <c r="V419" s="545"/>
      <c r="W419" s="545"/>
      <c r="X419" s="545"/>
      <c r="Y419" s="545"/>
      <c r="Z419" s="545"/>
    </row>
    <row r="420" spans="10:26" s="1677" customFormat="1" ht="21.75" customHeight="1">
      <c r="J420" s="545"/>
      <c r="K420" s="545"/>
      <c r="L420" s="545"/>
      <c r="M420" s="545"/>
      <c r="N420" s="545"/>
      <c r="O420" s="545"/>
      <c r="P420" s="545"/>
      <c r="Q420" s="545"/>
      <c r="R420" s="545"/>
      <c r="S420" s="545"/>
      <c r="T420" s="545"/>
      <c r="U420" s="545"/>
      <c r="V420" s="545"/>
      <c r="W420" s="545"/>
      <c r="X420" s="545"/>
      <c r="Y420" s="545"/>
      <c r="Z420" s="545"/>
    </row>
    <row r="421" spans="10:26" s="1677" customFormat="1" ht="21.75" customHeight="1">
      <c r="J421" s="545"/>
      <c r="K421" s="545"/>
      <c r="L421" s="545"/>
      <c r="M421" s="545"/>
      <c r="N421" s="545"/>
      <c r="O421" s="545"/>
      <c r="P421" s="545"/>
      <c r="Q421" s="545"/>
      <c r="R421" s="545"/>
      <c r="S421" s="545"/>
      <c r="T421" s="545"/>
      <c r="U421" s="545"/>
      <c r="V421" s="545"/>
      <c r="W421" s="545"/>
      <c r="X421" s="545"/>
      <c r="Y421" s="545"/>
      <c r="Z421" s="545"/>
    </row>
    <row r="422" spans="10:26" s="1677" customFormat="1" ht="21.75" customHeight="1">
      <c r="J422" s="545"/>
      <c r="K422" s="545"/>
      <c r="L422" s="545"/>
      <c r="M422" s="545"/>
      <c r="N422" s="545"/>
      <c r="O422" s="545"/>
      <c r="P422" s="545"/>
      <c r="Q422" s="545"/>
      <c r="R422" s="545"/>
      <c r="S422" s="545"/>
      <c r="T422" s="545"/>
      <c r="U422" s="545"/>
      <c r="V422" s="545"/>
      <c r="W422" s="545"/>
      <c r="X422" s="545"/>
      <c r="Y422" s="545"/>
      <c r="Z422" s="545"/>
    </row>
    <row r="423" spans="10:26" s="1677" customFormat="1" ht="21.75" customHeight="1">
      <c r="J423" s="545"/>
      <c r="K423" s="545"/>
      <c r="L423" s="545"/>
      <c r="M423" s="545"/>
      <c r="N423" s="545"/>
      <c r="O423" s="545"/>
      <c r="P423" s="545"/>
      <c r="Q423" s="545"/>
      <c r="R423" s="545"/>
      <c r="S423" s="545"/>
      <c r="T423" s="545"/>
      <c r="U423" s="545"/>
      <c r="V423" s="545"/>
      <c r="W423" s="545"/>
      <c r="X423" s="545"/>
      <c r="Y423" s="545"/>
      <c r="Z423" s="545"/>
    </row>
    <row r="424" spans="10:26" s="1677" customFormat="1" ht="21.75" customHeight="1">
      <c r="J424" s="545"/>
      <c r="K424" s="545"/>
      <c r="L424" s="545"/>
      <c r="M424" s="545"/>
      <c r="N424" s="545"/>
      <c r="O424" s="545"/>
      <c r="P424" s="545"/>
      <c r="Q424" s="545"/>
      <c r="R424" s="545"/>
      <c r="S424" s="545"/>
      <c r="T424" s="545"/>
      <c r="U424" s="545"/>
      <c r="V424" s="545"/>
      <c r="W424" s="545"/>
      <c r="X424" s="545"/>
      <c r="Y424" s="545"/>
      <c r="Z424" s="545"/>
    </row>
    <row r="425" spans="10:26" s="1677" customFormat="1" ht="21.75" customHeight="1">
      <c r="J425" s="545"/>
      <c r="K425" s="545"/>
      <c r="L425" s="545"/>
      <c r="M425" s="545"/>
      <c r="N425" s="545"/>
      <c r="O425" s="545"/>
      <c r="P425" s="545"/>
      <c r="Q425" s="545"/>
      <c r="R425" s="545"/>
      <c r="S425" s="545"/>
      <c r="T425" s="545"/>
      <c r="U425" s="545"/>
      <c r="V425" s="545"/>
      <c r="W425" s="545"/>
      <c r="X425" s="545"/>
      <c r="Y425" s="545"/>
      <c r="Z425" s="545"/>
    </row>
    <row r="426" spans="10:26" s="1677" customFormat="1" ht="21.75" customHeight="1">
      <c r="J426" s="545"/>
      <c r="K426" s="545"/>
      <c r="L426" s="545"/>
      <c r="M426" s="545"/>
      <c r="N426" s="545"/>
      <c r="O426" s="545"/>
      <c r="P426" s="545"/>
      <c r="Q426" s="545"/>
      <c r="R426" s="545"/>
      <c r="S426" s="545"/>
      <c r="T426" s="545"/>
      <c r="U426" s="545"/>
      <c r="V426" s="545"/>
      <c r="W426" s="545"/>
      <c r="X426" s="545"/>
      <c r="Y426" s="545"/>
      <c r="Z426" s="545"/>
    </row>
    <row r="427" spans="10:26" s="1677" customFormat="1" ht="21.75" customHeight="1">
      <c r="J427" s="545"/>
      <c r="K427" s="545"/>
      <c r="L427" s="545"/>
      <c r="M427" s="545"/>
      <c r="N427" s="545"/>
      <c r="O427" s="545"/>
      <c r="P427" s="545"/>
      <c r="Q427" s="545"/>
      <c r="R427" s="545"/>
      <c r="S427" s="545"/>
      <c r="T427" s="545"/>
      <c r="U427" s="545"/>
      <c r="V427" s="545"/>
      <c r="W427" s="545"/>
      <c r="X427" s="545"/>
      <c r="Y427" s="545"/>
      <c r="Z427" s="545"/>
    </row>
    <row r="428" spans="10:26" s="1677" customFormat="1" ht="21.75" customHeight="1">
      <c r="J428" s="545"/>
      <c r="K428" s="545"/>
      <c r="L428" s="545"/>
      <c r="M428" s="545"/>
      <c r="N428" s="545"/>
      <c r="O428" s="545"/>
      <c r="P428" s="545"/>
      <c r="Q428" s="545"/>
      <c r="R428" s="545"/>
      <c r="S428" s="545"/>
      <c r="T428" s="545"/>
      <c r="U428" s="545"/>
      <c r="V428" s="545"/>
      <c r="W428" s="545"/>
      <c r="X428" s="545"/>
      <c r="Y428" s="545"/>
      <c r="Z428" s="545"/>
    </row>
    <row r="429" spans="10:26" s="1677" customFormat="1" ht="21.75" customHeight="1">
      <c r="J429" s="545"/>
      <c r="K429" s="545"/>
      <c r="L429" s="545"/>
      <c r="M429" s="545"/>
      <c r="N429" s="545"/>
      <c r="O429" s="545"/>
      <c r="P429" s="545"/>
      <c r="Q429" s="545"/>
      <c r="R429" s="545"/>
      <c r="S429" s="545"/>
      <c r="T429" s="545"/>
      <c r="U429" s="545"/>
      <c r="V429" s="545"/>
      <c r="W429" s="545"/>
      <c r="X429" s="545"/>
      <c r="Y429" s="545"/>
      <c r="Z429" s="545"/>
    </row>
    <row r="430" spans="10:26" s="1677" customFormat="1" ht="21.75" customHeight="1">
      <c r="J430" s="545"/>
      <c r="K430" s="545"/>
      <c r="L430" s="545"/>
      <c r="M430" s="545"/>
      <c r="N430" s="545"/>
      <c r="O430" s="545"/>
      <c r="P430" s="545"/>
      <c r="Q430" s="545"/>
      <c r="R430" s="545"/>
      <c r="S430" s="545"/>
      <c r="T430" s="545"/>
      <c r="U430" s="545"/>
      <c r="V430" s="545"/>
      <c r="W430" s="545"/>
      <c r="X430" s="545"/>
      <c r="Y430" s="545"/>
      <c r="Z430" s="545"/>
    </row>
    <row r="431" spans="10:26" s="1677" customFormat="1" ht="21.75" customHeight="1">
      <c r="J431" s="545"/>
      <c r="K431" s="545"/>
      <c r="L431" s="545"/>
      <c r="M431" s="545"/>
      <c r="N431" s="545"/>
      <c r="O431" s="545"/>
      <c r="P431" s="545"/>
      <c r="Q431" s="545"/>
      <c r="R431" s="545"/>
      <c r="S431" s="545"/>
      <c r="T431" s="545"/>
      <c r="U431" s="545"/>
      <c r="V431" s="545"/>
      <c r="W431" s="545"/>
      <c r="X431" s="545"/>
      <c r="Y431" s="545"/>
      <c r="Z431" s="545"/>
    </row>
    <row r="432" spans="10:26" s="1677" customFormat="1" ht="21.75" customHeight="1">
      <c r="J432" s="545"/>
      <c r="K432" s="545"/>
      <c r="L432" s="545"/>
      <c r="M432" s="545"/>
      <c r="N432" s="545"/>
      <c r="O432" s="545"/>
      <c r="P432" s="545"/>
      <c r="Q432" s="545"/>
      <c r="R432" s="545"/>
      <c r="S432" s="545"/>
      <c r="T432" s="545"/>
      <c r="U432" s="545"/>
      <c r="V432" s="545"/>
      <c r="W432" s="545"/>
      <c r="X432" s="545"/>
      <c r="Y432" s="545"/>
      <c r="Z432" s="545"/>
    </row>
    <row r="433" spans="10:26" s="1677" customFormat="1" ht="21.75" customHeight="1">
      <c r="J433" s="545"/>
      <c r="K433" s="545"/>
      <c r="L433" s="545"/>
      <c r="M433" s="545"/>
      <c r="N433" s="545"/>
      <c r="O433" s="545"/>
      <c r="P433" s="545"/>
      <c r="Q433" s="545"/>
      <c r="R433" s="545"/>
      <c r="S433" s="545"/>
      <c r="T433" s="545"/>
      <c r="U433" s="545"/>
      <c r="V433" s="545"/>
      <c r="W433" s="545"/>
      <c r="X433" s="545"/>
      <c r="Y433" s="545"/>
      <c r="Z433" s="545"/>
    </row>
    <row r="434" spans="10:26" s="1677" customFormat="1" ht="21.75" customHeight="1">
      <c r="J434" s="545"/>
      <c r="K434" s="545"/>
      <c r="L434" s="545"/>
      <c r="M434" s="545"/>
      <c r="N434" s="545"/>
      <c r="O434" s="545"/>
      <c r="P434" s="545"/>
      <c r="Q434" s="545"/>
      <c r="R434" s="545"/>
      <c r="S434" s="545"/>
      <c r="T434" s="545"/>
      <c r="U434" s="545"/>
      <c r="V434" s="545"/>
      <c r="W434" s="545"/>
      <c r="X434" s="545"/>
      <c r="Y434" s="545"/>
      <c r="Z434" s="545"/>
    </row>
    <row r="435" spans="10:26" s="1677" customFormat="1" ht="21.75" customHeight="1">
      <c r="J435" s="545"/>
      <c r="K435" s="545"/>
      <c r="L435" s="545"/>
      <c r="M435" s="545"/>
      <c r="N435" s="545"/>
      <c r="O435" s="545"/>
      <c r="P435" s="545"/>
      <c r="Q435" s="545"/>
      <c r="R435" s="545"/>
      <c r="S435" s="545"/>
      <c r="T435" s="545"/>
      <c r="U435" s="545"/>
      <c r="V435" s="545"/>
      <c r="W435" s="545"/>
      <c r="X435" s="545"/>
      <c r="Y435" s="545"/>
      <c r="Z435" s="545"/>
    </row>
    <row r="436" spans="10:26" s="1677" customFormat="1" ht="21.75" customHeight="1">
      <c r="J436" s="545"/>
      <c r="K436" s="545"/>
      <c r="L436" s="545"/>
      <c r="M436" s="545"/>
      <c r="N436" s="545"/>
      <c r="O436" s="545"/>
      <c r="P436" s="545"/>
      <c r="Q436" s="545"/>
      <c r="R436" s="545"/>
      <c r="S436" s="545"/>
      <c r="T436" s="545"/>
      <c r="U436" s="545"/>
      <c r="V436" s="545"/>
      <c r="W436" s="545"/>
      <c r="X436" s="545"/>
      <c r="Y436" s="545"/>
      <c r="Z436" s="545"/>
    </row>
    <row r="437" spans="10:26" s="1677" customFormat="1" ht="21.75" customHeight="1">
      <c r="J437" s="545"/>
      <c r="K437" s="545"/>
      <c r="L437" s="545"/>
      <c r="M437" s="545"/>
      <c r="N437" s="545"/>
      <c r="O437" s="545"/>
      <c r="P437" s="545"/>
      <c r="Q437" s="545"/>
      <c r="R437" s="545"/>
      <c r="S437" s="545"/>
      <c r="T437" s="545"/>
      <c r="U437" s="545"/>
      <c r="V437" s="545"/>
      <c r="W437" s="545"/>
      <c r="X437" s="545"/>
      <c r="Y437" s="545"/>
      <c r="Z437" s="545"/>
    </row>
    <row r="438" spans="10:26" s="1677" customFormat="1" ht="21.75" customHeight="1">
      <c r="J438" s="545"/>
      <c r="K438" s="545"/>
      <c r="L438" s="545"/>
      <c r="M438" s="545"/>
      <c r="N438" s="545"/>
      <c r="O438" s="545"/>
      <c r="P438" s="545"/>
      <c r="Q438" s="545"/>
      <c r="R438" s="545"/>
      <c r="S438" s="545"/>
      <c r="T438" s="545"/>
      <c r="U438" s="545"/>
      <c r="V438" s="545"/>
      <c r="W438" s="545"/>
      <c r="X438" s="545"/>
      <c r="Y438" s="545"/>
      <c r="Z438" s="545"/>
    </row>
    <row r="439" spans="10:26" s="1677" customFormat="1" ht="21.75" customHeight="1">
      <c r="J439" s="545"/>
      <c r="K439" s="545"/>
      <c r="L439" s="545"/>
      <c r="M439" s="545"/>
      <c r="N439" s="545"/>
      <c r="O439" s="545"/>
      <c r="P439" s="545"/>
      <c r="Q439" s="545"/>
      <c r="R439" s="545"/>
      <c r="S439" s="545"/>
      <c r="T439" s="545"/>
      <c r="U439" s="545"/>
      <c r="V439" s="545"/>
      <c r="W439" s="545"/>
      <c r="X439" s="545"/>
      <c r="Y439" s="545"/>
      <c r="Z439" s="545"/>
    </row>
    <row r="440" spans="10:26" s="1677" customFormat="1" ht="21.75" customHeight="1">
      <c r="J440" s="545"/>
      <c r="K440" s="545"/>
      <c r="L440" s="545"/>
      <c r="M440" s="545"/>
      <c r="N440" s="545"/>
      <c r="O440" s="545"/>
      <c r="P440" s="545"/>
      <c r="Q440" s="545"/>
      <c r="R440" s="545"/>
      <c r="S440" s="545"/>
      <c r="T440" s="545"/>
      <c r="U440" s="545"/>
      <c r="V440" s="545"/>
      <c r="W440" s="545"/>
      <c r="X440" s="545"/>
      <c r="Y440" s="545"/>
      <c r="Z440" s="545"/>
    </row>
    <row r="441" spans="10:26" s="1677" customFormat="1" ht="21.75" customHeight="1">
      <c r="J441" s="545"/>
      <c r="K441" s="545"/>
      <c r="L441" s="545"/>
      <c r="M441" s="545"/>
      <c r="N441" s="545"/>
      <c r="O441" s="545"/>
      <c r="P441" s="545"/>
      <c r="Q441" s="545"/>
      <c r="R441" s="545"/>
      <c r="S441" s="545"/>
      <c r="T441" s="545"/>
      <c r="U441" s="545"/>
      <c r="V441" s="545"/>
      <c r="W441" s="545"/>
      <c r="X441" s="545"/>
      <c r="Y441" s="545"/>
      <c r="Z441" s="545"/>
    </row>
    <row r="442" spans="10:26" s="1677" customFormat="1" ht="21.75" customHeight="1">
      <c r="J442" s="545"/>
      <c r="K442" s="545"/>
      <c r="L442" s="545"/>
      <c r="M442" s="545"/>
      <c r="N442" s="545"/>
      <c r="O442" s="545"/>
      <c r="P442" s="545"/>
      <c r="Q442" s="545"/>
      <c r="R442" s="545"/>
      <c r="S442" s="545"/>
      <c r="T442" s="545"/>
      <c r="U442" s="545"/>
      <c r="V442" s="545"/>
      <c r="W442" s="545"/>
      <c r="X442" s="545"/>
      <c r="Y442" s="545"/>
      <c r="Z442" s="545"/>
    </row>
    <row r="443" spans="10:26" s="1677" customFormat="1" ht="21.75" customHeight="1">
      <c r="J443" s="545"/>
      <c r="K443" s="545"/>
      <c r="L443" s="545"/>
      <c r="M443" s="545"/>
      <c r="N443" s="545"/>
      <c r="O443" s="545"/>
      <c r="P443" s="545"/>
      <c r="Q443" s="545"/>
      <c r="R443" s="545"/>
      <c r="S443" s="545"/>
      <c r="T443" s="545"/>
      <c r="U443" s="545"/>
      <c r="V443" s="545"/>
      <c r="W443" s="545"/>
      <c r="X443" s="545"/>
      <c r="Y443" s="545"/>
      <c r="Z443" s="545"/>
    </row>
    <row r="444" spans="10:26" s="1677" customFormat="1" ht="21.75" customHeight="1">
      <c r="J444" s="545"/>
      <c r="K444" s="545"/>
      <c r="L444" s="545"/>
      <c r="M444" s="545"/>
      <c r="N444" s="545"/>
      <c r="O444" s="545"/>
      <c r="P444" s="545"/>
      <c r="Q444" s="545"/>
      <c r="R444" s="545"/>
      <c r="S444" s="545"/>
      <c r="T444" s="545"/>
      <c r="U444" s="545"/>
      <c r="V444" s="545"/>
      <c r="W444" s="545"/>
      <c r="X444" s="545"/>
      <c r="Y444" s="545"/>
      <c r="Z444" s="545"/>
    </row>
    <row r="445" spans="10:26" s="1677" customFormat="1" ht="21.75" customHeight="1">
      <c r="J445" s="545"/>
      <c r="K445" s="545"/>
      <c r="L445" s="545"/>
      <c r="M445" s="545"/>
      <c r="N445" s="545"/>
      <c r="O445" s="545"/>
      <c r="P445" s="545"/>
      <c r="Q445" s="545"/>
      <c r="R445" s="545"/>
      <c r="S445" s="545"/>
      <c r="T445" s="545"/>
      <c r="U445" s="545"/>
      <c r="V445" s="545"/>
      <c r="W445" s="545"/>
      <c r="X445" s="545"/>
      <c r="Y445" s="545"/>
      <c r="Z445" s="545"/>
    </row>
    <row r="446" spans="10:26" s="1677" customFormat="1" ht="21.75" customHeight="1">
      <c r="J446" s="545"/>
      <c r="K446" s="545"/>
      <c r="L446" s="545"/>
      <c r="M446" s="545"/>
      <c r="N446" s="545"/>
      <c r="O446" s="545"/>
      <c r="P446" s="545"/>
      <c r="Q446" s="545"/>
      <c r="R446" s="545"/>
      <c r="S446" s="545"/>
      <c r="T446" s="545"/>
      <c r="U446" s="545"/>
      <c r="V446" s="545"/>
      <c r="W446" s="545"/>
      <c r="X446" s="545"/>
      <c r="Y446" s="545"/>
      <c r="Z446" s="545"/>
    </row>
    <row r="447" spans="10:26" s="1677" customFormat="1" ht="21.75" customHeight="1">
      <c r="J447" s="545"/>
      <c r="K447" s="545"/>
      <c r="L447" s="545"/>
      <c r="M447" s="545"/>
      <c r="N447" s="545"/>
      <c r="O447" s="545"/>
      <c r="P447" s="545"/>
      <c r="Q447" s="545"/>
      <c r="R447" s="545"/>
      <c r="S447" s="545"/>
      <c r="T447" s="545"/>
      <c r="U447" s="545"/>
      <c r="V447" s="545"/>
      <c r="W447" s="545"/>
      <c r="X447" s="545"/>
      <c r="Y447" s="545"/>
      <c r="Z447" s="545"/>
    </row>
    <row r="448" spans="10:26" s="1677" customFormat="1" ht="21.75" customHeight="1">
      <c r="J448" s="545"/>
      <c r="K448" s="545"/>
      <c r="L448" s="545"/>
      <c r="M448" s="545"/>
      <c r="N448" s="545"/>
      <c r="O448" s="545"/>
      <c r="P448" s="545"/>
      <c r="Q448" s="545"/>
      <c r="R448" s="545"/>
      <c r="S448" s="545"/>
      <c r="T448" s="545"/>
      <c r="U448" s="545"/>
      <c r="V448" s="545"/>
      <c r="W448" s="545"/>
      <c r="X448" s="545"/>
      <c r="Y448" s="545"/>
      <c r="Z448" s="545"/>
    </row>
    <row r="449" spans="10:26" s="1677" customFormat="1" ht="21.75" customHeight="1">
      <c r="J449" s="545"/>
      <c r="K449" s="545"/>
      <c r="L449" s="545"/>
      <c r="M449" s="545"/>
      <c r="N449" s="545"/>
      <c r="O449" s="545"/>
      <c r="P449" s="545"/>
      <c r="Q449" s="545"/>
      <c r="R449" s="545"/>
      <c r="S449" s="545"/>
      <c r="T449" s="545"/>
      <c r="U449" s="545"/>
      <c r="V449" s="545"/>
      <c r="W449" s="545"/>
      <c r="X449" s="545"/>
      <c r="Y449" s="545"/>
      <c r="Z449" s="545"/>
    </row>
    <row r="450" spans="10:26" s="1677" customFormat="1" ht="21.75" customHeight="1">
      <c r="J450" s="545"/>
      <c r="K450" s="545"/>
      <c r="L450" s="545"/>
      <c r="M450" s="545"/>
      <c r="N450" s="545"/>
      <c r="O450" s="545"/>
      <c r="P450" s="545"/>
      <c r="Q450" s="545"/>
      <c r="R450" s="545"/>
      <c r="S450" s="545"/>
      <c r="T450" s="545"/>
      <c r="U450" s="545"/>
      <c r="V450" s="545"/>
      <c r="W450" s="545"/>
      <c r="X450" s="545"/>
      <c r="Y450" s="545"/>
      <c r="Z450" s="545"/>
    </row>
    <row r="451" spans="10:26" s="1677" customFormat="1" ht="21.75" customHeight="1">
      <c r="J451" s="545"/>
      <c r="K451" s="545"/>
      <c r="L451" s="545"/>
      <c r="M451" s="545"/>
      <c r="N451" s="545"/>
      <c r="O451" s="545"/>
      <c r="P451" s="545"/>
      <c r="Q451" s="545"/>
      <c r="R451" s="545"/>
      <c r="S451" s="545"/>
      <c r="T451" s="545"/>
      <c r="U451" s="545"/>
      <c r="V451" s="545"/>
      <c r="W451" s="545"/>
      <c r="X451" s="545"/>
      <c r="Y451" s="545"/>
      <c r="Z451" s="545"/>
    </row>
    <row r="452" spans="10:26" s="1677" customFormat="1" ht="21.75" customHeight="1">
      <c r="J452" s="545"/>
      <c r="K452" s="545"/>
      <c r="L452" s="545"/>
      <c r="M452" s="545"/>
      <c r="N452" s="545"/>
      <c r="O452" s="545"/>
      <c r="P452" s="545"/>
      <c r="Q452" s="545"/>
      <c r="R452" s="545"/>
      <c r="S452" s="545"/>
      <c r="T452" s="545"/>
      <c r="U452" s="545"/>
      <c r="V452" s="545"/>
      <c r="W452" s="545"/>
      <c r="X452" s="545"/>
      <c r="Y452" s="545"/>
      <c r="Z452" s="545"/>
    </row>
    <row r="453" spans="10:26" s="1677" customFormat="1" ht="21.75" customHeight="1">
      <c r="J453" s="545"/>
      <c r="K453" s="545"/>
      <c r="L453" s="545"/>
      <c r="M453" s="545"/>
      <c r="N453" s="545"/>
      <c r="O453" s="545"/>
      <c r="P453" s="545"/>
      <c r="Q453" s="545"/>
      <c r="R453" s="545"/>
      <c r="S453" s="545"/>
      <c r="T453" s="545"/>
      <c r="U453" s="545"/>
      <c r="V453" s="545"/>
      <c r="W453" s="545"/>
      <c r="X453" s="545"/>
      <c r="Y453" s="545"/>
      <c r="Z453" s="545"/>
    </row>
    <row r="454" spans="10:26" s="1677" customFormat="1" ht="21.75" customHeight="1">
      <c r="J454" s="545"/>
      <c r="K454" s="545"/>
      <c r="L454" s="545"/>
      <c r="M454" s="545"/>
      <c r="N454" s="545"/>
      <c r="O454" s="545"/>
      <c r="P454" s="545"/>
      <c r="Q454" s="545"/>
      <c r="R454" s="545"/>
      <c r="S454" s="545"/>
      <c r="T454" s="545"/>
      <c r="U454" s="545"/>
      <c r="V454" s="545"/>
      <c r="W454" s="545"/>
      <c r="X454" s="545"/>
      <c r="Y454" s="545"/>
      <c r="Z454" s="545"/>
    </row>
    <row r="455" spans="10:26" s="1677" customFormat="1" ht="21.75" customHeight="1">
      <c r="J455" s="545"/>
      <c r="K455" s="545"/>
      <c r="L455" s="545"/>
      <c r="M455" s="545"/>
      <c r="N455" s="545"/>
      <c r="O455" s="545"/>
      <c r="P455" s="545"/>
      <c r="Q455" s="545"/>
      <c r="R455" s="545"/>
      <c r="S455" s="545"/>
      <c r="T455" s="545"/>
      <c r="U455" s="545"/>
      <c r="V455" s="545"/>
      <c r="W455" s="545"/>
      <c r="X455" s="545"/>
      <c r="Y455" s="545"/>
      <c r="Z455" s="545"/>
    </row>
    <row r="456" spans="10:26" s="1677" customFormat="1" ht="21.75" customHeight="1">
      <c r="J456" s="545"/>
      <c r="K456" s="545"/>
      <c r="L456" s="545"/>
      <c r="M456" s="545"/>
      <c r="N456" s="545"/>
      <c r="O456" s="545"/>
      <c r="P456" s="545"/>
      <c r="Q456" s="545"/>
      <c r="R456" s="545"/>
      <c r="S456" s="545"/>
      <c r="T456" s="545"/>
      <c r="U456" s="545"/>
      <c r="V456" s="545"/>
      <c r="W456" s="545"/>
      <c r="X456" s="545"/>
      <c r="Y456" s="545"/>
      <c r="Z456" s="545"/>
    </row>
    <row r="457" spans="10:26" s="1677" customFormat="1" ht="21.75" customHeight="1">
      <c r="J457" s="545"/>
      <c r="K457" s="545"/>
      <c r="L457" s="545"/>
      <c r="M457" s="545"/>
      <c r="N457" s="545"/>
      <c r="O457" s="545"/>
      <c r="P457" s="545"/>
      <c r="Q457" s="545"/>
      <c r="R457" s="545"/>
      <c r="S457" s="545"/>
      <c r="T457" s="545"/>
      <c r="U457" s="545"/>
      <c r="V457" s="545"/>
      <c r="W457" s="545"/>
      <c r="X457" s="545"/>
      <c r="Y457" s="545"/>
      <c r="Z457" s="545"/>
    </row>
    <row r="458" spans="10:26" s="1677" customFormat="1" ht="21.75" customHeight="1">
      <c r="J458" s="545"/>
      <c r="K458" s="545"/>
      <c r="L458" s="545"/>
      <c r="M458" s="545"/>
      <c r="N458" s="545"/>
      <c r="O458" s="545"/>
      <c r="P458" s="545"/>
      <c r="Q458" s="545"/>
      <c r="R458" s="545"/>
      <c r="S458" s="545"/>
      <c r="T458" s="545"/>
      <c r="U458" s="545"/>
      <c r="V458" s="545"/>
      <c r="W458" s="545"/>
      <c r="X458" s="545"/>
      <c r="Y458" s="545"/>
      <c r="Z458" s="545"/>
    </row>
    <row r="459" spans="10:26" s="1677" customFormat="1" ht="21.75" customHeight="1">
      <c r="J459" s="545"/>
      <c r="K459" s="545"/>
      <c r="L459" s="545"/>
      <c r="M459" s="545"/>
      <c r="N459" s="545"/>
      <c r="O459" s="545"/>
      <c r="P459" s="545"/>
      <c r="Q459" s="545"/>
      <c r="R459" s="545"/>
      <c r="S459" s="545"/>
      <c r="T459" s="545"/>
      <c r="U459" s="545"/>
      <c r="V459" s="545"/>
      <c r="W459" s="545"/>
      <c r="X459" s="545"/>
      <c r="Y459" s="545"/>
      <c r="Z459" s="545"/>
    </row>
    <row r="460" spans="10:26" s="1677" customFormat="1" ht="21.75" customHeight="1">
      <c r="J460" s="545"/>
      <c r="K460" s="545"/>
      <c r="L460" s="545"/>
      <c r="M460" s="545"/>
      <c r="N460" s="545"/>
      <c r="O460" s="545"/>
      <c r="P460" s="545"/>
      <c r="Q460" s="545"/>
      <c r="R460" s="545"/>
      <c r="S460" s="545"/>
      <c r="T460" s="545"/>
      <c r="U460" s="545"/>
      <c r="V460" s="545"/>
      <c r="W460" s="545"/>
      <c r="X460" s="545"/>
      <c r="Y460" s="545"/>
      <c r="Z460" s="545"/>
    </row>
    <row r="461" spans="10:26" s="1677" customFormat="1" ht="21.75" customHeight="1">
      <c r="J461" s="545"/>
      <c r="K461" s="545"/>
      <c r="L461" s="545"/>
      <c r="M461" s="545"/>
      <c r="N461" s="545"/>
      <c r="O461" s="545"/>
      <c r="P461" s="545"/>
      <c r="Q461" s="545"/>
      <c r="R461" s="545"/>
      <c r="S461" s="545"/>
      <c r="T461" s="545"/>
      <c r="U461" s="545"/>
      <c r="V461" s="545"/>
      <c r="W461" s="545"/>
      <c r="X461" s="545"/>
      <c r="Y461" s="545"/>
      <c r="Z461" s="545"/>
    </row>
    <row r="462" spans="10:26" s="1677" customFormat="1" ht="21.75" customHeight="1">
      <c r="J462" s="545"/>
      <c r="K462" s="545"/>
      <c r="L462" s="545"/>
      <c r="M462" s="545"/>
      <c r="N462" s="545"/>
      <c r="O462" s="545"/>
      <c r="P462" s="545"/>
      <c r="Q462" s="545"/>
      <c r="R462" s="545"/>
      <c r="S462" s="545"/>
      <c r="T462" s="545"/>
      <c r="U462" s="545"/>
      <c r="V462" s="545"/>
      <c r="W462" s="545"/>
      <c r="X462" s="545"/>
      <c r="Y462" s="545"/>
      <c r="Z462" s="545"/>
    </row>
    <row r="463" spans="10:26" s="1677" customFormat="1" ht="21.75" customHeight="1">
      <c r="J463" s="545"/>
      <c r="K463" s="545"/>
      <c r="L463" s="545"/>
      <c r="M463" s="545"/>
      <c r="N463" s="545"/>
      <c r="O463" s="545"/>
      <c r="P463" s="545"/>
      <c r="Q463" s="545"/>
      <c r="R463" s="545"/>
      <c r="S463" s="545"/>
      <c r="T463" s="545"/>
      <c r="U463" s="545"/>
      <c r="V463" s="545"/>
      <c r="W463" s="545"/>
      <c r="X463" s="545"/>
      <c r="Y463" s="545"/>
      <c r="Z463" s="545"/>
    </row>
    <row r="464" spans="10:26" s="1677" customFormat="1" ht="21.75" customHeight="1">
      <c r="J464" s="545"/>
      <c r="K464" s="545"/>
      <c r="L464" s="545"/>
      <c r="M464" s="545"/>
      <c r="N464" s="545"/>
      <c r="O464" s="545"/>
      <c r="P464" s="545"/>
      <c r="Q464" s="545"/>
      <c r="R464" s="545"/>
      <c r="S464" s="545"/>
      <c r="T464" s="545"/>
      <c r="U464" s="545"/>
      <c r="V464" s="545"/>
      <c r="W464" s="545"/>
      <c r="X464" s="545"/>
      <c r="Y464" s="545"/>
      <c r="Z464" s="545"/>
    </row>
    <row r="465" spans="10:26" s="1677" customFormat="1" ht="21.75" customHeight="1">
      <c r="J465" s="545"/>
      <c r="K465" s="545"/>
      <c r="L465" s="545"/>
      <c r="M465" s="545"/>
      <c r="N465" s="545"/>
      <c r="O465" s="545"/>
      <c r="P465" s="545"/>
      <c r="Q465" s="545"/>
      <c r="R465" s="545"/>
      <c r="S465" s="545"/>
      <c r="T465" s="545"/>
      <c r="U465" s="545"/>
      <c r="V465" s="545"/>
      <c r="W465" s="545"/>
      <c r="X465" s="545"/>
      <c r="Y465" s="545"/>
      <c r="Z465" s="545"/>
    </row>
    <row r="466" spans="10:26" s="1677" customFormat="1" ht="21.75" customHeight="1">
      <c r="J466" s="545"/>
      <c r="K466" s="545"/>
      <c r="L466" s="545"/>
      <c r="M466" s="545"/>
      <c r="N466" s="545"/>
      <c r="O466" s="545"/>
      <c r="P466" s="545"/>
      <c r="Q466" s="545"/>
      <c r="R466" s="545"/>
      <c r="S466" s="545"/>
      <c r="T466" s="545"/>
      <c r="U466" s="545"/>
      <c r="V466" s="545"/>
      <c r="W466" s="545"/>
      <c r="X466" s="545"/>
      <c r="Y466" s="545"/>
      <c r="Z466" s="545"/>
    </row>
    <row r="467" spans="10:26" s="1677" customFormat="1" ht="21.75" customHeight="1">
      <c r="J467" s="545"/>
      <c r="K467" s="545"/>
      <c r="L467" s="545"/>
      <c r="M467" s="545"/>
      <c r="N467" s="545"/>
      <c r="O467" s="545"/>
      <c r="P467" s="545"/>
      <c r="Q467" s="545"/>
      <c r="R467" s="545"/>
      <c r="S467" s="545"/>
      <c r="T467" s="545"/>
      <c r="U467" s="545"/>
      <c r="V467" s="545"/>
      <c r="W467" s="545"/>
      <c r="X467" s="545"/>
      <c r="Y467" s="545"/>
      <c r="Z467" s="545"/>
    </row>
    <row r="468" spans="10:26" s="1677" customFormat="1" ht="21.75" customHeight="1">
      <c r="J468" s="545"/>
      <c r="K468" s="545"/>
      <c r="L468" s="545"/>
      <c r="M468" s="545"/>
      <c r="N468" s="545"/>
      <c r="O468" s="545"/>
      <c r="P468" s="545"/>
      <c r="Q468" s="545"/>
      <c r="R468" s="545"/>
      <c r="S468" s="545"/>
      <c r="T468" s="545"/>
      <c r="U468" s="545"/>
      <c r="V468" s="545"/>
      <c r="W468" s="545"/>
      <c r="X468" s="545"/>
      <c r="Y468" s="545"/>
      <c r="Z468" s="545"/>
    </row>
    <row r="469" spans="10:26" s="1677" customFormat="1" ht="21.75" customHeight="1">
      <c r="J469" s="545"/>
      <c r="K469" s="545"/>
      <c r="L469" s="545"/>
      <c r="M469" s="545"/>
      <c r="N469" s="545"/>
      <c r="O469" s="545"/>
      <c r="P469" s="545"/>
      <c r="Q469" s="545"/>
      <c r="R469" s="545"/>
      <c r="S469" s="545"/>
      <c r="T469" s="545"/>
      <c r="U469" s="545"/>
      <c r="V469" s="545"/>
      <c r="W469" s="545"/>
      <c r="X469" s="545"/>
      <c r="Y469" s="545"/>
      <c r="Z469" s="545"/>
    </row>
    <row r="470" spans="10:26" s="1677" customFormat="1" ht="21.75" customHeight="1">
      <c r="J470" s="545"/>
      <c r="K470" s="545"/>
      <c r="L470" s="545"/>
      <c r="M470" s="545"/>
      <c r="N470" s="545"/>
      <c r="O470" s="545"/>
      <c r="P470" s="545"/>
      <c r="Q470" s="545"/>
      <c r="R470" s="545"/>
      <c r="S470" s="545"/>
      <c r="T470" s="545"/>
      <c r="U470" s="545"/>
      <c r="V470" s="545"/>
      <c r="W470" s="545"/>
      <c r="X470" s="545"/>
      <c r="Y470" s="545"/>
      <c r="Z470" s="545"/>
    </row>
    <row r="471" spans="10:26" s="1677" customFormat="1" ht="21.75" customHeight="1">
      <c r="J471" s="545"/>
      <c r="K471" s="545"/>
      <c r="L471" s="545"/>
      <c r="M471" s="545"/>
      <c r="N471" s="545"/>
      <c r="O471" s="545"/>
      <c r="P471" s="545"/>
      <c r="Q471" s="545"/>
      <c r="R471" s="545"/>
      <c r="S471" s="545"/>
      <c r="T471" s="545"/>
      <c r="U471" s="545"/>
      <c r="V471" s="545"/>
      <c r="W471" s="545"/>
      <c r="X471" s="545"/>
      <c r="Y471" s="545"/>
      <c r="Z471" s="545"/>
    </row>
    <row r="472" spans="10:26" s="1677" customFormat="1" ht="21.75" customHeight="1">
      <c r="J472" s="545"/>
      <c r="K472" s="545"/>
      <c r="L472" s="545"/>
      <c r="M472" s="545"/>
      <c r="N472" s="545"/>
      <c r="O472" s="545"/>
      <c r="P472" s="545"/>
      <c r="Q472" s="545"/>
      <c r="R472" s="545"/>
      <c r="S472" s="545"/>
      <c r="T472" s="545"/>
      <c r="U472" s="545"/>
      <c r="V472" s="545"/>
      <c r="W472" s="545"/>
      <c r="X472" s="545"/>
      <c r="Y472" s="545"/>
      <c r="Z472" s="545"/>
    </row>
    <row r="473" spans="10:26" s="1677" customFormat="1" ht="21.75" customHeight="1">
      <c r="J473" s="545"/>
      <c r="K473" s="545"/>
      <c r="L473" s="545"/>
      <c r="M473" s="545"/>
      <c r="N473" s="545"/>
      <c r="O473" s="545"/>
      <c r="P473" s="545"/>
      <c r="Q473" s="545"/>
      <c r="R473" s="545"/>
      <c r="S473" s="545"/>
      <c r="T473" s="545"/>
      <c r="U473" s="545"/>
      <c r="V473" s="545"/>
      <c r="W473" s="545"/>
      <c r="X473" s="545"/>
      <c r="Y473" s="545"/>
      <c r="Z473" s="545"/>
    </row>
    <row r="474" spans="10:26" s="1677" customFormat="1" ht="21.75" customHeight="1">
      <c r="J474" s="545"/>
      <c r="K474" s="545"/>
      <c r="L474" s="545"/>
      <c r="M474" s="545"/>
      <c r="N474" s="545"/>
      <c r="O474" s="545"/>
      <c r="P474" s="545"/>
      <c r="Q474" s="545"/>
      <c r="R474" s="545"/>
      <c r="S474" s="545"/>
      <c r="T474" s="545"/>
      <c r="U474" s="545"/>
      <c r="V474" s="545"/>
      <c r="W474" s="545"/>
      <c r="X474" s="545"/>
      <c r="Y474" s="545"/>
      <c r="Z474" s="545"/>
    </row>
    <row r="475" spans="10:26" s="1677" customFormat="1" ht="21.75" customHeight="1">
      <c r="J475" s="545"/>
      <c r="K475" s="545"/>
      <c r="L475" s="545"/>
      <c r="M475" s="545"/>
      <c r="N475" s="545"/>
      <c r="O475" s="545"/>
      <c r="P475" s="545"/>
      <c r="Q475" s="545"/>
      <c r="R475" s="545"/>
      <c r="S475" s="545"/>
      <c r="T475" s="545"/>
      <c r="U475" s="545"/>
      <c r="V475" s="545"/>
      <c r="W475" s="545"/>
      <c r="X475" s="545"/>
      <c r="Y475" s="545"/>
      <c r="Z475" s="545"/>
    </row>
    <row r="476" spans="10:26" s="1677" customFormat="1" ht="21.75" customHeight="1">
      <c r="J476" s="545"/>
      <c r="K476" s="545"/>
      <c r="L476" s="545"/>
      <c r="M476" s="545"/>
      <c r="N476" s="545"/>
      <c r="O476" s="545"/>
      <c r="P476" s="545"/>
      <c r="Q476" s="545"/>
      <c r="R476" s="545"/>
      <c r="S476" s="545"/>
      <c r="T476" s="545"/>
      <c r="U476" s="545"/>
      <c r="V476" s="545"/>
      <c r="W476" s="545"/>
      <c r="X476" s="545"/>
      <c r="Y476" s="545"/>
      <c r="Z476" s="545"/>
    </row>
    <row r="477" spans="10:26" s="1677" customFormat="1" ht="21.75" customHeight="1">
      <c r="J477" s="545"/>
      <c r="K477" s="545"/>
      <c r="L477" s="545"/>
      <c r="M477" s="545"/>
      <c r="N477" s="545"/>
      <c r="O477" s="545"/>
      <c r="P477" s="545"/>
      <c r="Q477" s="545"/>
      <c r="R477" s="545"/>
      <c r="S477" s="545"/>
      <c r="T477" s="545"/>
      <c r="U477" s="545"/>
      <c r="V477" s="545"/>
      <c r="W477" s="545"/>
      <c r="X477" s="545"/>
      <c r="Y477" s="545"/>
      <c r="Z477" s="545"/>
    </row>
    <row r="478" spans="10:26" s="1677" customFormat="1" ht="21.75" customHeight="1">
      <c r="J478" s="545"/>
      <c r="K478" s="545"/>
      <c r="L478" s="545"/>
      <c r="M478" s="545"/>
      <c r="N478" s="545"/>
      <c r="O478" s="545"/>
      <c r="P478" s="545"/>
      <c r="Q478" s="545"/>
      <c r="R478" s="545"/>
      <c r="S478" s="545"/>
      <c r="T478" s="545"/>
      <c r="U478" s="545"/>
      <c r="V478" s="545"/>
      <c r="W478" s="545"/>
      <c r="X478" s="545"/>
      <c r="Y478" s="545"/>
      <c r="Z478" s="545"/>
    </row>
    <row r="479" spans="10:26" s="1677" customFormat="1" ht="21.75" customHeight="1">
      <c r="J479" s="545"/>
      <c r="K479" s="545"/>
      <c r="L479" s="545"/>
      <c r="M479" s="545"/>
      <c r="N479" s="545"/>
      <c r="O479" s="545"/>
      <c r="P479" s="545"/>
      <c r="Q479" s="545"/>
      <c r="R479" s="545"/>
      <c r="S479" s="545"/>
      <c r="T479" s="545"/>
      <c r="U479" s="545"/>
      <c r="V479" s="545"/>
      <c r="W479" s="545"/>
      <c r="X479" s="545"/>
      <c r="Y479" s="545"/>
      <c r="Z479" s="545"/>
    </row>
    <row r="480" spans="10:26" s="1677" customFormat="1" ht="21.75" customHeight="1">
      <c r="J480" s="545"/>
      <c r="K480" s="545"/>
      <c r="L480" s="545"/>
      <c r="M480" s="545"/>
      <c r="N480" s="545"/>
      <c r="O480" s="545"/>
      <c r="P480" s="545"/>
      <c r="Q480" s="545"/>
      <c r="R480" s="545"/>
      <c r="S480" s="545"/>
      <c r="T480" s="545"/>
      <c r="U480" s="545"/>
      <c r="V480" s="545"/>
      <c r="W480" s="545"/>
      <c r="X480" s="545"/>
      <c r="Y480" s="545"/>
      <c r="Z480" s="545"/>
    </row>
    <row r="481" spans="10:26" s="1677" customFormat="1" ht="21.75" customHeight="1">
      <c r="J481" s="545"/>
      <c r="K481" s="545"/>
      <c r="L481" s="545"/>
      <c r="M481" s="545"/>
      <c r="N481" s="545"/>
      <c r="O481" s="545"/>
      <c r="P481" s="545"/>
      <c r="Q481" s="545"/>
      <c r="R481" s="545"/>
      <c r="S481" s="545"/>
      <c r="T481" s="545"/>
      <c r="U481" s="545"/>
      <c r="V481" s="545"/>
      <c r="W481" s="545"/>
      <c r="X481" s="545"/>
      <c r="Y481" s="545"/>
      <c r="Z481" s="545"/>
    </row>
    <row r="482" spans="10:26" s="1677" customFormat="1" ht="21.75" customHeight="1">
      <c r="J482" s="545"/>
      <c r="K482" s="545"/>
      <c r="L482" s="545"/>
      <c r="M482" s="545"/>
      <c r="N482" s="545"/>
      <c r="O482" s="545"/>
      <c r="P482" s="545"/>
      <c r="Q482" s="545"/>
      <c r="R482" s="545"/>
      <c r="S482" s="545"/>
      <c r="T482" s="545"/>
      <c r="U482" s="545"/>
      <c r="V482" s="545"/>
      <c r="W482" s="545"/>
      <c r="X482" s="545"/>
      <c r="Y482" s="545"/>
      <c r="Z482" s="545"/>
    </row>
    <row r="483" spans="10:26" s="1677" customFormat="1" ht="21.75" customHeight="1">
      <c r="J483" s="545"/>
      <c r="K483" s="545"/>
      <c r="L483" s="545"/>
      <c r="M483" s="545"/>
      <c r="N483" s="545"/>
      <c r="O483" s="545"/>
      <c r="P483" s="545"/>
      <c r="Q483" s="545"/>
      <c r="R483" s="545"/>
      <c r="S483" s="545"/>
      <c r="T483" s="545"/>
      <c r="U483" s="545"/>
      <c r="V483" s="545"/>
      <c r="W483" s="545"/>
      <c r="X483" s="545"/>
      <c r="Y483" s="545"/>
      <c r="Z483" s="545"/>
    </row>
    <row r="484" spans="10:26" s="1677" customFormat="1" ht="21.75" customHeight="1">
      <c r="J484" s="545"/>
      <c r="K484" s="545"/>
      <c r="L484" s="545"/>
      <c r="M484" s="545"/>
      <c r="N484" s="545"/>
      <c r="O484" s="545"/>
      <c r="P484" s="545"/>
      <c r="Q484" s="545"/>
      <c r="R484" s="545"/>
      <c r="S484" s="545"/>
      <c r="T484" s="545"/>
      <c r="U484" s="545"/>
      <c r="V484" s="545"/>
      <c r="W484" s="545"/>
      <c r="X484" s="545"/>
      <c r="Y484" s="545"/>
      <c r="Z484" s="545"/>
    </row>
    <row r="485" spans="10:26" s="1677" customFormat="1" ht="21.75" customHeight="1">
      <c r="J485" s="545"/>
      <c r="K485" s="545"/>
      <c r="L485" s="545"/>
      <c r="M485" s="545"/>
      <c r="N485" s="545"/>
      <c r="O485" s="545"/>
      <c r="P485" s="545"/>
      <c r="Q485" s="545"/>
      <c r="R485" s="545"/>
      <c r="S485" s="545"/>
      <c r="T485" s="545"/>
      <c r="U485" s="545"/>
      <c r="V485" s="545"/>
      <c r="W485" s="545"/>
      <c r="X485" s="545"/>
      <c r="Y485" s="545"/>
      <c r="Z485" s="545"/>
    </row>
    <row r="486" spans="10:26" s="1677" customFormat="1" ht="21.75" customHeight="1">
      <c r="J486" s="545"/>
      <c r="K486" s="545"/>
      <c r="L486" s="545"/>
      <c r="M486" s="545"/>
      <c r="N486" s="545"/>
      <c r="O486" s="545"/>
      <c r="P486" s="545"/>
      <c r="Q486" s="545"/>
      <c r="R486" s="545"/>
      <c r="S486" s="545"/>
      <c r="T486" s="545"/>
      <c r="U486" s="545"/>
      <c r="V486" s="545"/>
      <c r="W486" s="545"/>
      <c r="X486" s="545"/>
      <c r="Y486" s="545"/>
      <c r="Z486" s="545"/>
    </row>
    <row r="487" spans="10:26" s="1677" customFormat="1" ht="21.75" customHeight="1">
      <c r="J487" s="545"/>
      <c r="K487" s="545"/>
      <c r="L487" s="545"/>
      <c r="M487" s="545"/>
      <c r="N487" s="545"/>
      <c r="O487" s="545"/>
      <c r="P487" s="545"/>
      <c r="Q487" s="545"/>
      <c r="R487" s="545"/>
      <c r="S487" s="545"/>
      <c r="T487" s="545"/>
      <c r="U487" s="545"/>
      <c r="V487" s="545"/>
      <c r="W487" s="545"/>
      <c r="X487" s="545"/>
      <c r="Y487" s="545"/>
      <c r="Z487" s="545"/>
    </row>
    <row r="488" spans="10:26" s="1677" customFormat="1" ht="21.75" customHeight="1">
      <c r="J488" s="545"/>
      <c r="K488" s="545"/>
      <c r="L488" s="545"/>
      <c r="M488" s="545"/>
      <c r="N488" s="545"/>
      <c r="O488" s="545"/>
      <c r="P488" s="545"/>
      <c r="Q488" s="545"/>
      <c r="R488" s="545"/>
      <c r="S488" s="545"/>
      <c r="T488" s="545"/>
      <c r="U488" s="545"/>
      <c r="V488" s="545"/>
      <c r="W488" s="545"/>
      <c r="X488" s="545"/>
      <c r="Y488" s="545"/>
      <c r="Z488" s="545"/>
    </row>
    <row r="489" spans="10:26" s="1677" customFormat="1" ht="21.75" customHeight="1">
      <c r="J489" s="545"/>
      <c r="K489" s="545"/>
      <c r="L489" s="545"/>
      <c r="M489" s="545"/>
      <c r="N489" s="545"/>
      <c r="O489" s="545"/>
      <c r="P489" s="545"/>
      <c r="Q489" s="545"/>
      <c r="R489" s="545"/>
      <c r="S489" s="545"/>
      <c r="T489" s="545"/>
      <c r="U489" s="545"/>
      <c r="V489" s="545"/>
      <c r="W489" s="545"/>
      <c r="X489" s="545"/>
      <c r="Y489" s="545"/>
      <c r="Z489" s="545"/>
    </row>
    <row r="490" spans="10:26" s="1677" customFormat="1" ht="21.75" customHeight="1">
      <c r="J490" s="545"/>
      <c r="K490" s="545"/>
      <c r="L490" s="545"/>
      <c r="M490" s="545"/>
      <c r="N490" s="545"/>
      <c r="O490" s="545"/>
      <c r="P490" s="545"/>
      <c r="Q490" s="545"/>
      <c r="R490" s="545"/>
      <c r="S490" s="545"/>
      <c r="T490" s="545"/>
      <c r="U490" s="545"/>
      <c r="V490" s="545"/>
      <c r="W490" s="545"/>
      <c r="X490" s="545"/>
      <c r="Y490" s="545"/>
      <c r="Z490" s="545"/>
    </row>
    <row r="491" spans="10:26" s="1677" customFormat="1" ht="21.75" customHeight="1">
      <c r="J491" s="545"/>
      <c r="K491" s="545"/>
      <c r="L491" s="545"/>
      <c r="M491" s="545"/>
      <c r="N491" s="545"/>
      <c r="O491" s="545"/>
      <c r="P491" s="545"/>
      <c r="Q491" s="545"/>
      <c r="R491" s="545"/>
      <c r="S491" s="545"/>
      <c r="T491" s="545"/>
      <c r="U491" s="545"/>
      <c r="V491" s="545"/>
      <c r="W491" s="545"/>
      <c r="X491" s="545"/>
      <c r="Y491" s="545"/>
      <c r="Z491" s="545"/>
    </row>
    <row r="492" spans="10:26" s="1677" customFormat="1" ht="21.75" customHeight="1">
      <c r="J492" s="545"/>
      <c r="K492" s="545"/>
      <c r="L492" s="545"/>
      <c r="M492" s="545"/>
      <c r="N492" s="545"/>
      <c r="O492" s="545"/>
      <c r="P492" s="545"/>
      <c r="Q492" s="545"/>
      <c r="R492" s="545"/>
      <c r="S492" s="545"/>
      <c r="T492" s="545"/>
      <c r="U492" s="545"/>
      <c r="V492" s="545"/>
      <c r="W492" s="545"/>
      <c r="X492" s="545"/>
      <c r="Y492" s="545"/>
      <c r="Z492" s="545"/>
    </row>
    <row r="493" spans="10:26" s="1677" customFormat="1" ht="21.75" customHeight="1">
      <c r="J493" s="545"/>
      <c r="K493" s="545"/>
      <c r="L493" s="545"/>
      <c r="M493" s="545"/>
      <c r="N493" s="545"/>
      <c r="O493" s="545"/>
      <c r="P493" s="545"/>
      <c r="Q493" s="545"/>
      <c r="R493" s="545"/>
      <c r="S493" s="545"/>
      <c r="T493" s="545"/>
      <c r="U493" s="545"/>
      <c r="V493" s="545"/>
      <c r="W493" s="545"/>
      <c r="X493" s="545"/>
      <c r="Y493" s="545"/>
      <c r="Z493" s="545"/>
    </row>
    <row r="494" spans="10:26" s="1677" customFormat="1" ht="21.75" customHeight="1">
      <c r="J494" s="545"/>
      <c r="K494" s="545"/>
      <c r="L494" s="545"/>
      <c r="M494" s="545"/>
      <c r="N494" s="545"/>
      <c r="O494" s="545"/>
      <c r="P494" s="545"/>
      <c r="Q494" s="545"/>
      <c r="R494" s="545"/>
      <c r="S494" s="545"/>
      <c r="T494" s="545"/>
      <c r="U494" s="545"/>
      <c r="V494" s="545"/>
      <c r="W494" s="545"/>
      <c r="X494" s="545"/>
      <c r="Y494" s="545"/>
      <c r="Z494" s="545"/>
    </row>
    <row r="495" spans="10:26" s="1677" customFormat="1" ht="21.75" customHeight="1">
      <c r="J495" s="545"/>
      <c r="K495" s="545"/>
      <c r="L495" s="545"/>
      <c r="M495" s="545"/>
      <c r="N495" s="545"/>
      <c r="O495" s="545"/>
      <c r="P495" s="545"/>
      <c r="Q495" s="545"/>
      <c r="R495" s="545"/>
      <c r="S495" s="545"/>
      <c r="T495" s="545"/>
      <c r="U495" s="545"/>
      <c r="V495" s="545"/>
      <c r="W495" s="545"/>
      <c r="X495" s="545"/>
      <c r="Y495" s="545"/>
      <c r="Z495" s="545"/>
    </row>
    <row r="496" spans="10:26" s="1677" customFormat="1" ht="21.75" customHeight="1">
      <c r="J496" s="545"/>
      <c r="K496" s="545"/>
      <c r="L496" s="545"/>
      <c r="M496" s="545"/>
      <c r="N496" s="545"/>
      <c r="O496" s="545"/>
      <c r="P496" s="545"/>
      <c r="Q496" s="545"/>
      <c r="R496" s="545"/>
      <c r="S496" s="545"/>
      <c r="T496" s="545"/>
      <c r="U496" s="545"/>
      <c r="V496" s="545"/>
      <c r="W496" s="545"/>
      <c r="X496" s="545"/>
      <c r="Y496" s="545"/>
      <c r="Z496" s="545"/>
    </row>
    <row r="497" spans="10:26" s="1677" customFormat="1" ht="21.75" customHeight="1">
      <c r="J497" s="545"/>
      <c r="K497" s="545"/>
      <c r="L497" s="545"/>
      <c r="M497" s="545"/>
      <c r="N497" s="545"/>
      <c r="O497" s="545"/>
      <c r="P497" s="545"/>
      <c r="Q497" s="545"/>
      <c r="R497" s="545"/>
      <c r="S497" s="545"/>
      <c r="T497" s="545"/>
      <c r="U497" s="545"/>
      <c r="V497" s="545"/>
      <c r="W497" s="545"/>
      <c r="X497" s="545"/>
      <c r="Y497" s="545"/>
      <c r="Z497" s="545"/>
    </row>
    <row r="498" spans="10:26" s="1677" customFormat="1" ht="21.75" customHeight="1">
      <c r="J498" s="545"/>
      <c r="K498" s="545"/>
      <c r="L498" s="545"/>
      <c r="M498" s="545"/>
      <c r="N498" s="545"/>
      <c r="O498" s="545"/>
      <c r="P498" s="545"/>
      <c r="Q498" s="545"/>
      <c r="R498" s="545"/>
      <c r="S498" s="545"/>
      <c r="T498" s="545"/>
      <c r="U498" s="545"/>
      <c r="V498" s="545"/>
      <c r="W498" s="545"/>
      <c r="X498" s="545"/>
      <c r="Y498" s="545"/>
      <c r="Z498" s="545"/>
    </row>
    <row r="499" spans="10:26" s="1677" customFormat="1" ht="21.75" customHeight="1">
      <c r="J499" s="545"/>
      <c r="K499" s="545"/>
      <c r="L499" s="545"/>
      <c r="M499" s="545"/>
      <c r="N499" s="545"/>
      <c r="O499" s="545"/>
      <c r="P499" s="545"/>
      <c r="Q499" s="545"/>
      <c r="R499" s="545"/>
      <c r="S499" s="545"/>
      <c r="T499" s="545"/>
      <c r="U499" s="545"/>
      <c r="V499" s="545"/>
      <c r="W499" s="545"/>
      <c r="X499" s="545"/>
      <c r="Y499" s="545"/>
      <c r="Z499" s="545"/>
    </row>
    <row r="500" spans="10:26" s="1677" customFormat="1" ht="21.75" customHeight="1">
      <c r="J500" s="545"/>
      <c r="K500" s="545"/>
      <c r="L500" s="545"/>
      <c r="M500" s="545"/>
      <c r="N500" s="545"/>
      <c r="O500" s="545"/>
      <c r="P500" s="545"/>
      <c r="Q500" s="545"/>
      <c r="R500" s="545"/>
      <c r="S500" s="545"/>
      <c r="T500" s="545"/>
      <c r="U500" s="545"/>
      <c r="V500" s="545"/>
      <c r="W500" s="545"/>
      <c r="X500" s="545"/>
      <c r="Y500" s="545"/>
      <c r="Z500" s="545"/>
    </row>
    <row r="501" spans="10:26" s="1677" customFormat="1" ht="21.75" customHeight="1">
      <c r="J501" s="545"/>
      <c r="K501" s="545"/>
      <c r="L501" s="545"/>
      <c r="M501" s="545"/>
      <c r="N501" s="545"/>
      <c r="O501" s="545"/>
      <c r="P501" s="545"/>
      <c r="Q501" s="545"/>
      <c r="R501" s="545"/>
      <c r="S501" s="545"/>
      <c r="T501" s="545"/>
      <c r="U501" s="545"/>
      <c r="V501" s="545"/>
      <c r="W501" s="545"/>
      <c r="X501" s="545"/>
      <c r="Y501" s="545"/>
      <c r="Z501" s="545"/>
    </row>
    <row r="502" spans="10:26" s="1677" customFormat="1" ht="21.75" customHeight="1">
      <c r="J502" s="545"/>
      <c r="K502" s="545"/>
      <c r="L502" s="545"/>
      <c r="M502" s="545"/>
      <c r="N502" s="545"/>
      <c r="O502" s="545"/>
      <c r="P502" s="545"/>
      <c r="Q502" s="545"/>
      <c r="R502" s="545"/>
      <c r="S502" s="545"/>
      <c r="T502" s="545"/>
      <c r="U502" s="545"/>
      <c r="V502" s="545"/>
      <c r="W502" s="545"/>
      <c r="X502" s="545"/>
      <c r="Y502" s="545"/>
      <c r="Z502" s="545"/>
    </row>
    <row r="503" spans="10:26" s="1677" customFormat="1" ht="21.75" customHeight="1">
      <c r="J503" s="545"/>
      <c r="K503" s="545"/>
      <c r="L503" s="545"/>
      <c r="M503" s="545"/>
      <c r="N503" s="545"/>
      <c r="O503" s="545"/>
      <c r="P503" s="545"/>
      <c r="Q503" s="545"/>
      <c r="R503" s="545"/>
      <c r="S503" s="545"/>
      <c r="T503" s="545"/>
      <c r="U503" s="545"/>
      <c r="V503" s="545"/>
      <c r="W503" s="545"/>
      <c r="X503" s="545"/>
      <c r="Y503" s="545"/>
      <c r="Z503" s="545"/>
    </row>
    <row r="504" spans="10:26" s="1677" customFormat="1" ht="21.75" customHeight="1">
      <c r="J504" s="545"/>
      <c r="K504" s="545"/>
      <c r="L504" s="545"/>
      <c r="M504" s="545"/>
      <c r="N504" s="545"/>
      <c r="O504" s="545"/>
      <c r="P504" s="545"/>
      <c r="Q504" s="545"/>
      <c r="R504" s="545"/>
      <c r="S504" s="545"/>
      <c r="T504" s="545"/>
      <c r="U504" s="545"/>
      <c r="V504" s="545"/>
      <c r="W504" s="545"/>
      <c r="X504" s="545"/>
      <c r="Y504" s="545"/>
      <c r="Z504" s="545"/>
    </row>
    <row r="505" spans="10:26" s="1677" customFormat="1" ht="21.75" customHeight="1">
      <c r="J505" s="545"/>
      <c r="K505" s="545"/>
      <c r="L505" s="545"/>
      <c r="M505" s="545"/>
      <c r="N505" s="545"/>
      <c r="O505" s="545"/>
      <c r="P505" s="545"/>
      <c r="Q505" s="545"/>
      <c r="R505" s="545"/>
      <c r="S505" s="545"/>
      <c r="T505" s="545"/>
      <c r="U505" s="545"/>
      <c r="V505" s="545"/>
      <c r="W505" s="545"/>
      <c r="X505" s="545"/>
      <c r="Y505" s="545"/>
      <c r="Z505" s="545"/>
    </row>
    <row r="506" spans="10:26" s="1677" customFormat="1" ht="21.75" customHeight="1">
      <c r="J506" s="545"/>
      <c r="K506" s="545"/>
      <c r="L506" s="545"/>
      <c r="M506" s="545"/>
      <c r="N506" s="545"/>
      <c r="O506" s="545"/>
      <c r="P506" s="545"/>
      <c r="Q506" s="545"/>
      <c r="R506" s="545"/>
      <c r="S506" s="545"/>
      <c r="T506" s="545"/>
      <c r="U506" s="545"/>
      <c r="V506" s="545"/>
      <c r="W506" s="545"/>
      <c r="X506" s="545"/>
      <c r="Y506" s="545"/>
      <c r="Z506" s="545"/>
    </row>
    <row r="507" spans="10:26" s="1677" customFormat="1" ht="21.75" customHeight="1">
      <c r="J507" s="545"/>
      <c r="K507" s="545"/>
      <c r="L507" s="545"/>
      <c r="M507" s="545"/>
      <c r="N507" s="545"/>
      <c r="O507" s="545"/>
      <c r="P507" s="545"/>
      <c r="Q507" s="545"/>
      <c r="R507" s="545"/>
      <c r="S507" s="545"/>
      <c r="T507" s="545"/>
      <c r="U507" s="545"/>
      <c r="V507" s="545"/>
      <c r="W507" s="545"/>
      <c r="X507" s="545"/>
      <c r="Y507" s="545"/>
      <c r="Z507" s="545"/>
    </row>
    <row r="508" spans="10:26" s="1677" customFormat="1" ht="21.75" customHeight="1">
      <c r="J508" s="545"/>
      <c r="K508" s="545"/>
      <c r="L508" s="545"/>
      <c r="M508" s="545"/>
      <c r="N508" s="545"/>
      <c r="O508" s="545"/>
      <c r="P508" s="545"/>
      <c r="Q508" s="545"/>
      <c r="R508" s="545"/>
      <c r="S508" s="545"/>
      <c r="T508" s="545"/>
      <c r="U508" s="545"/>
      <c r="V508" s="545"/>
      <c r="W508" s="545"/>
      <c r="X508" s="545"/>
      <c r="Y508" s="545"/>
      <c r="Z508" s="545"/>
    </row>
    <row r="509" spans="10:26" s="1677" customFormat="1" ht="21.75" customHeight="1">
      <c r="J509" s="545"/>
      <c r="K509" s="545"/>
      <c r="L509" s="545"/>
      <c r="M509" s="545"/>
      <c r="N509" s="545"/>
      <c r="O509" s="545"/>
      <c r="P509" s="545"/>
      <c r="Q509" s="545"/>
      <c r="R509" s="545"/>
      <c r="S509" s="545"/>
      <c r="T509" s="545"/>
      <c r="U509" s="545"/>
      <c r="V509" s="545"/>
      <c r="W509" s="545"/>
      <c r="X509" s="545"/>
      <c r="Y509" s="545"/>
      <c r="Z509" s="545"/>
    </row>
    <row r="510" spans="10:26" s="1677" customFormat="1" ht="21.75" customHeight="1">
      <c r="J510" s="545"/>
      <c r="K510" s="545"/>
      <c r="L510" s="545"/>
      <c r="M510" s="545"/>
      <c r="N510" s="545"/>
      <c r="O510" s="545"/>
      <c r="P510" s="545"/>
      <c r="Q510" s="545"/>
      <c r="R510" s="545"/>
      <c r="S510" s="545"/>
      <c r="T510" s="545"/>
      <c r="U510" s="545"/>
      <c r="V510" s="545"/>
      <c r="W510" s="545"/>
      <c r="X510" s="545"/>
      <c r="Y510" s="545"/>
      <c r="Z510" s="545"/>
    </row>
    <row r="511" spans="10:26" s="1677" customFormat="1" ht="21.75" customHeight="1">
      <c r="J511" s="545"/>
      <c r="K511" s="545"/>
      <c r="L511" s="545"/>
      <c r="M511" s="545"/>
      <c r="N511" s="545"/>
      <c r="O511" s="545"/>
      <c r="P511" s="545"/>
      <c r="Q511" s="545"/>
      <c r="R511" s="545"/>
      <c r="S511" s="545"/>
      <c r="T511" s="545"/>
      <c r="U511" s="545"/>
      <c r="V511" s="545"/>
      <c r="W511" s="545"/>
      <c r="X511" s="545"/>
      <c r="Y511" s="545"/>
      <c r="Z511" s="545"/>
    </row>
    <row r="512" spans="10:26" s="1677" customFormat="1" ht="21.75" customHeight="1">
      <c r="J512" s="545"/>
      <c r="K512" s="545"/>
      <c r="L512" s="545"/>
      <c r="M512" s="545"/>
      <c r="N512" s="545"/>
      <c r="O512" s="545"/>
      <c r="P512" s="545"/>
      <c r="Q512" s="545"/>
      <c r="R512" s="545"/>
      <c r="S512" s="545"/>
      <c r="T512" s="545"/>
      <c r="U512" s="545"/>
      <c r="V512" s="545"/>
      <c r="W512" s="545"/>
      <c r="X512" s="545"/>
      <c r="Y512" s="545"/>
      <c r="Z512" s="54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9" type="noConversion"/>
  <conditionalFormatting sqref="E36">
    <cfRule type="expression" dxfId="203" priority="1" stopIfTrue="1">
      <formula>$D$36="同一抵押权人同一抵押物续贷"</formula>
    </cfRule>
  </conditionalFormatting>
  <conditionalFormatting sqref="C90">
    <cfRule type="expression" dxfId="202" priority="3" stopIfTrue="1">
      <formula>$H$88&lt;&gt;"仅含出让金"</formula>
    </cfRule>
  </conditionalFormatting>
  <conditionalFormatting sqref="C91">
    <cfRule type="expression" dxfId="201" priority="2" stopIfTrue="1">
      <formula>$H$91="由企业提供"</formula>
    </cfRule>
  </conditionalFormatting>
  <conditionalFormatting sqref="C5:C7">
    <cfRule type="cellIs" dxfId="200" priority="21" stopIfTrue="1" operator="equal">
      <formula>25</formula>
    </cfRule>
  </conditionalFormatting>
  <conditionalFormatting sqref="C8:C9">
    <cfRule type="cellIs" dxfId="199" priority="19" stopIfTrue="1" operator="equal">
      <formula>15</formula>
    </cfRule>
  </conditionalFormatting>
  <conditionalFormatting sqref="C14:C16">
    <cfRule type="cellIs" dxfId="198" priority="13" stopIfTrue="1" operator="equal">
      <formula>30</formula>
    </cfRule>
  </conditionalFormatting>
  <conditionalFormatting sqref="D5:D7">
    <cfRule type="cellIs" dxfId="197" priority="10" stopIfTrue="1" operator="equal">
      <formula>25</formula>
    </cfRule>
  </conditionalFormatting>
  <conditionalFormatting sqref="D8:D9">
    <cfRule type="cellIs" dxfId="196" priority="9" stopIfTrue="1" operator="equal">
      <formula>15</formula>
    </cfRule>
  </conditionalFormatting>
  <conditionalFormatting sqref="D14:D16">
    <cfRule type="cellIs" dxfId="195" priority="6" stopIfTrue="1" operator="equal">
      <formula>30</formula>
    </cfRule>
  </conditionalFormatting>
  <conditionalFormatting sqref="C10:D13">
    <cfRule type="cellIs" dxfId="194"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27" zoomScale="80" zoomScaleNormal="60" workbookViewId="0">
      <selection activeCell="M14" sqref="M14"/>
    </sheetView>
  </sheetViews>
  <sheetFormatPr defaultColWidth="9" defaultRowHeight="13.8"/>
  <cols>
    <col min="1" max="1" width="10.44140625" style="1358" customWidth="1"/>
    <col min="2" max="2" width="15.77734375" style="1358" customWidth="1"/>
    <col min="3" max="3" width="14.33203125" style="1358" customWidth="1"/>
    <col min="4" max="4" width="12.21875" style="1358" customWidth="1"/>
    <col min="5" max="5" width="14.33203125" style="1358" customWidth="1"/>
    <col min="6" max="6" width="12.21875" style="1358" customWidth="1"/>
    <col min="7" max="7" width="14.44140625" style="1358" customWidth="1"/>
    <col min="8" max="8" width="12.21875" style="1358" customWidth="1"/>
    <col min="9" max="9" width="15.44140625" style="1358" customWidth="1"/>
    <col min="10" max="10" width="12.21875" style="1358" customWidth="1"/>
    <col min="11" max="11" width="12.21875" style="1359" customWidth="1"/>
    <col min="12" max="12" width="12.21875" style="1360" customWidth="1"/>
    <col min="13" max="15" width="12.21875" style="1358" customWidth="1"/>
    <col min="16" max="16" width="4.77734375" style="2180" customWidth="1"/>
    <col min="17" max="17" width="19.44140625" style="1358" customWidth="1"/>
    <col min="18" max="22" width="6.109375" style="1358" customWidth="1"/>
    <col min="23" max="23" width="5.77734375" style="1358" customWidth="1"/>
    <col min="24" max="24" width="4.21875" style="1358" customWidth="1"/>
    <col min="25" max="25" width="3.44140625" style="1358" customWidth="1"/>
    <col min="26" max="26" width="19.77734375" style="1358" customWidth="1"/>
    <col min="27" max="28" width="9.33203125" style="1358" customWidth="1"/>
    <col min="29" max="16384" width="9" style="1358"/>
  </cols>
  <sheetData>
    <row r="1" spans="1:29" s="1351" customFormat="1" ht="28.5" customHeight="1">
      <c r="A1" s="1362" t="s">
        <v>2859</v>
      </c>
      <c r="B1" s="2491" t="s">
        <v>414</v>
      </c>
      <c r="C1" s="2132" t="s">
        <v>2860</v>
      </c>
      <c r="D1" s="1365" t="s">
        <v>605</v>
      </c>
      <c r="E1" s="2133" t="s">
        <v>2861</v>
      </c>
      <c r="F1" s="1367" t="s">
        <v>2862</v>
      </c>
      <c r="G1" s="2610" t="s">
        <v>2863</v>
      </c>
      <c r="H1" s="2611"/>
      <c r="I1" s="2611"/>
      <c r="J1" s="2611"/>
      <c r="K1" s="2636"/>
      <c r="L1" s="2637"/>
      <c r="M1" s="2638"/>
      <c r="N1" s="2638"/>
      <c r="O1" s="2638"/>
      <c r="P1" s="2639"/>
      <c r="Q1" s="2132"/>
      <c r="R1" s="2132"/>
      <c r="S1" s="2132"/>
      <c r="T1" s="2132"/>
      <c r="U1" s="2132"/>
      <c r="V1" s="2132"/>
      <c r="W1" s="2132"/>
      <c r="X1" s="2132"/>
      <c r="Y1" s="2132"/>
      <c r="Z1" s="2132"/>
      <c r="AA1" s="2132"/>
      <c r="AB1" s="2132"/>
      <c r="AC1" s="2172"/>
    </row>
    <row r="2" spans="1:29" s="1352" customFormat="1" ht="28.5" customHeight="1">
      <c r="A2" s="1370" t="s">
        <v>2864</v>
      </c>
      <c r="B2" s="1371">
        <f>IF(E1="项目模式",IF(C2="——",IF(B37="元/平方米",ROUND(C39*D3/10000,0),ROUND(F3*C39/10000,0)),IF(B37="元/平方米",ROUND(C39*D3/10000,0),ROUND(F3*C39/10000,0))-D2),IF(E1="单套模式",IF(C2="——",IF(B37="元/平方米",ROUND(C39*D3/10000,0),ROUND(F3*C39/10000,0)),IF(B37="元/平方米",ROUND(C39*D3/10000,0),ROUND(F3*C39/10000,0))-D2)))</f>
        <v>0</v>
      </c>
      <c r="C2" s="1372" t="s">
        <v>124</v>
      </c>
      <c r="D2" s="2111" t="e">
        <f ca="1">IF(E1="项目模式",SUMIF(INDIRECT("'"&amp;F2&amp;"'"&amp;"!A:A"),"承租人权益价值",INDIRECT("'"&amp;F2&amp;"'"&amp;"!c:c")),SUMIF(INDIRECT("'"&amp;F2&amp;"'"&amp;"!A:A"),"承租人权益价值（单套）",INDIRECT("'"&amp;F2&amp;"'"&amp;"!c:c")))</f>
        <v>#REF!</v>
      </c>
      <c r="E2" s="1374" t="s">
        <v>2865</v>
      </c>
      <c r="F2" s="1375"/>
      <c r="G2" s="1376"/>
      <c r="H2" s="1376"/>
      <c r="I2" s="1376"/>
      <c r="J2" s="1376"/>
      <c r="K2" s="1525"/>
      <c r="L2" s="1522"/>
      <c r="M2" s="1523"/>
      <c r="N2" s="1523"/>
      <c r="O2" s="1523"/>
      <c r="P2" s="2640"/>
      <c r="Q2" s="2066"/>
      <c r="R2" s="2066"/>
      <c r="S2" s="2066"/>
      <c r="T2" s="2066"/>
      <c r="U2" s="2066"/>
      <c r="V2" s="2066"/>
      <c r="W2" s="2066"/>
      <c r="X2" s="2066"/>
      <c r="Y2" s="2066"/>
      <c r="Z2" s="2066"/>
      <c r="AA2" s="2066"/>
      <c r="AB2" s="2066"/>
      <c r="AC2" s="2082"/>
    </row>
    <row r="3" spans="1:29" s="1352" customFormat="1" ht="28.5" customHeight="1">
      <c r="A3" s="380" t="s">
        <v>2866</v>
      </c>
      <c r="B3" s="1377">
        <f>IF(AND(C2="——",B37="元/平方米"),C39,ROUND(B2*10000/D3,0))</f>
        <v>0</v>
      </c>
      <c r="C3" s="1378" t="s">
        <v>2867</v>
      </c>
      <c r="D3" s="1379">
        <f>SUMIF('数据-汇总表'!$C19:$C33,D1,'数据-汇总表'!$E19:$E33)</f>
        <v>1032</v>
      </c>
      <c r="E3" s="1378" t="s">
        <v>2868</v>
      </c>
      <c r="F3" s="1379">
        <f>SUMIF('数据-取费表'!A5:A15,D1,'数据-取费表'!AH5:AH15)</f>
        <v>32</v>
      </c>
      <c r="G3" s="1376"/>
      <c r="H3" s="1376"/>
      <c r="I3" s="1376"/>
      <c r="J3" s="1376"/>
      <c r="K3" s="1525"/>
      <c r="L3" s="1522"/>
      <c r="M3" s="1523">
        <f>IF(C2="——",IF(B37="元/平方米",ROUND(C39*D3/10000,0),ROUND(F3*C39/10000,0)),IF(B37="元/平方米",ROUND(C39*D3/10000,0),ROUND(F3*C39/10000,0))-D2)</f>
        <v>0</v>
      </c>
      <c r="N3" s="1523"/>
      <c r="O3" s="1523"/>
      <c r="P3" s="2640"/>
      <c r="Q3" s="2066"/>
      <c r="R3" s="2066"/>
      <c r="S3" s="2066"/>
      <c r="T3" s="2066"/>
      <c r="U3" s="2066"/>
      <c r="V3" s="2066"/>
      <c r="W3" s="2066"/>
      <c r="X3" s="2066"/>
      <c r="Y3" s="2066"/>
      <c r="Z3" s="2066"/>
      <c r="AA3" s="2066"/>
      <c r="AB3" s="2083"/>
      <c r="AC3" s="670"/>
    </row>
    <row r="4" spans="1:29" ht="14.4">
      <c r="A4" s="1382" t="s">
        <v>2869</v>
      </c>
      <c r="B4" s="1383"/>
      <c r="C4" s="3681" t="s">
        <v>2870</v>
      </c>
      <c r="D4" s="3682"/>
      <c r="E4" s="3683" t="s">
        <v>2871</v>
      </c>
      <c r="F4" s="3684"/>
      <c r="G4" s="3681" t="s">
        <v>2872</v>
      </c>
      <c r="H4" s="3682"/>
      <c r="I4" s="3681" t="s">
        <v>2873</v>
      </c>
      <c r="J4" s="3682"/>
      <c r="K4" s="1526" t="s">
        <v>2874</v>
      </c>
      <c r="L4" s="1527"/>
      <c r="M4" s="1528"/>
      <c r="N4" s="1528"/>
      <c r="O4" s="1528"/>
      <c r="P4" s="3652" t="s">
        <v>2875</v>
      </c>
      <c r="Q4" s="3653"/>
      <c r="R4" s="3658" t="s">
        <v>2871</v>
      </c>
      <c r="S4" s="3659"/>
      <c r="T4" s="3658" t="s">
        <v>2872</v>
      </c>
      <c r="U4" s="3659"/>
      <c r="V4" s="3664" t="s">
        <v>2873</v>
      </c>
      <c r="W4" s="3664"/>
      <c r="X4" s="1575"/>
      <c r="Y4" s="3658" t="s">
        <v>2875</v>
      </c>
      <c r="Z4" s="3659"/>
      <c r="AA4" s="3649" t="s">
        <v>2871</v>
      </c>
      <c r="AB4" s="3650" t="s">
        <v>2872</v>
      </c>
      <c r="AC4" s="3649" t="s">
        <v>2873</v>
      </c>
    </row>
    <row r="5" spans="1:29">
      <c r="A5" s="1384"/>
      <c r="B5" s="1385"/>
      <c r="C5" s="3685" t="s">
        <v>2876</v>
      </c>
      <c r="D5" s="3686"/>
      <c r="E5" s="3687" t="s">
        <v>2877</v>
      </c>
      <c r="F5" s="3688"/>
      <c r="G5" s="3689" t="s">
        <v>2878</v>
      </c>
      <c r="H5" s="3686"/>
      <c r="I5" s="3689" t="s">
        <v>2879</v>
      </c>
      <c r="J5" s="3686"/>
      <c r="K5" s="1526"/>
      <c r="L5" s="1527"/>
      <c r="M5" s="1528"/>
      <c r="N5" s="1528"/>
      <c r="O5" s="1528"/>
      <c r="P5" s="3654"/>
      <c r="Q5" s="3655"/>
      <c r="R5" s="3660"/>
      <c r="S5" s="3661"/>
      <c r="T5" s="3660"/>
      <c r="U5" s="3661"/>
      <c r="V5" s="3664"/>
      <c r="W5" s="3664"/>
      <c r="X5" s="1575"/>
      <c r="Y5" s="3660"/>
      <c r="Z5" s="3661"/>
      <c r="AA5" s="3650"/>
      <c r="AB5" s="3650"/>
      <c r="AC5" s="3650"/>
    </row>
    <row r="6" spans="1:29" ht="14.4">
      <c r="A6" s="1386"/>
      <c r="B6" s="1387"/>
      <c r="C6" s="3676" t="s">
        <v>2880</v>
      </c>
      <c r="D6" s="3677"/>
      <c r="E6" s="3678" t="s">
        <v>2880</v>
      </c>
      <c r="F6" s="3679"/>
      <c r="G6" s="3676" t="s">
        <v>2880</v>
      </c>
      <c r="H6" s="3677"/>
      <c r="I6" s="3676" t="s">
        <v>2880</v>
      </c>
      <c r="J6" s="3677"/>
      <c r="K6" s="1526" t="s">
        <v>2881</v>
      </c>
      <c r="L6" s="1527"/>
      <c r="M6" s="1528"/>
      <c r="N6" s="1528"/>
      <c r="O6" s="1528"/>
      <c r="P6" s="3656"/>
      <c r="Q6" s="3657"/>
      <c r="R6" s="3660"/>
      <c r="S6" s="3661"/>
      <c r="T6" s="3662"/>
      <c r="U6" s="3663"/>
      <c r="V6" s="3664"/>
      <c r="W6" s="3664"/>
      <c r="X6" s="1575"/>
      <c r="Y6" s="3662"/>
      <c r="Z6" s="3663"/>
      <c r="AA6" s="3651"/>
      <c r="AB6" s="3651"/>
      <c r="AC6" s="3651"/>
    </row>
    <row r="7" spans="1:29" s="1353" customFormat="1" ht="14.4">
      <c r="A7" s="1388" t="s">
        <v>2882</v>
      </c>
      <c r="B7" s="1389"/>
      <c r="C7" s="1390">
        <f>'数据-取费表'!B2</f>
        <v>45311</v>
      </c>
      <c r="D7" s="1391">
        <v>100</v>
      </c>
      <c r="E7" s="1392">
        <f>C7</f>
        <v>45311</v>
      </c>
      <c r="F7" s="1393">
        <f>SUMIF(48:48,YEAR(E7)&amp;"-"&amp;MONTH(E7),49:49)</f>
        <v>100</v>
      </c>
      <c r="G7" s="1392">
        <f>C7</f>
        <v>45311</v>
      </c>
      <c r="H7" s="1391">
        <f>SUMIF(48:48,YEAR(G7)&amp;"-"&amp;MONTH(G7),49:49)</f>
        <v>100</v>
      </c>
      <c r="I7" s="1392">
        <f>C7</f>
        <v>45311</v>
      </c>
      <c r="J7" s="1391">
        <f>SUMIF(48:48,YEAR(I7)&amp;"-"&amp;MONTH(I7),49:49)</f>
        <v>100</v>
      </c>
      <c r="K7" s="1529"/>
      <c r="L7" s="1530"/>
      <c r="M7" s="1531"/>
      <c r="N7" s="1531"/>
      <c r="O7" s="1531"/>
      <c r="P7" s="3670" t="s">
        <v>2883</v>
      </c>
      <c r="Q7" s="3680"/>
      <c r="R7" s="1576" t="s">
        <v>2884</v>
      </c>
      <c r="S7" s="1577">
        <f t="shared" ref="S7:S14" si="0">F7</f>
        <v>100</v>
      </c>
      <c r="T7" s="1576" t="s">
        <v>2884</v>
      </c>
      <c r="U7" s="1577">
        <f t="shared" ref="U7:U14" si="1">H7</f>
        <v>100</v>
      </c>
      <c r="V7" s="1576" t="s">
        <v>2884</v>
      </c>
      <c r="W7" s="1577">
        <f t="shared" ref="W7:W14" si="2">J7</f>
        <v>100</v>
      </c>
      <c r="X7" s="1578"/>
      <c r="Y7" s="3670" t="s">
        <v>2883</v>
      </c>
      <c r="Z7" s="3671"/>
      <c r="AA7" s="1593">
        <f>D7/F7</f>
        <v>1</v>
      </c>
      <c r="AB7" s="1593">
        <f>D7/H7</f>
        <v>1</v>
      </c>
      <c r="AC7" s="1593">
        <f>D7/J7</f>
        <v>1</v>
      </c>
    </row>
    <row r="8" spans="1:29" s="1353" customFormat="1" ht="14.4">
      <c r="A8" s="1388" t="s">
        <v>2885</v>
      </c>
      <c r="B8" s="1389"/>
      <c r="C8" s="1394" t="s">
        <v>2886</v>
      </c>
      <c r="D8" s="1391">
        <v>100</v>
      </c>
      <c r="E8" s="1394" t="s">
        <v>2886</v>
      </c>
      <c r="F8" s="1393">
        <f>SUMIF(51:51,E8,52:52)-SUMIF(51:51,C8,52:52)+100</f>
        <v>100</v>
      </c>
      <c r="G8" s="1394" t="s">
        <v>2886</v>
      </c>
      <c r="H8" s="1391">
        <f>SUMIF(51:51,G8,52:52)-SUMIF(51:51,C8,52:52)+100</f>
        <v>100</v>
      </c>
      <c r="I8" s="1394" t="s">
        <v>2886</v>
      </c>
      <c r="J8" s="1391">
        <f>SUMIF(51:51,I8,52:52)-SUMIF(51:51,C8,52:52)+100</f>
        <v>100</v>
      </c>
      <c r="K8" s="1529"/>
      <c r="L8" s="1530"/>
      <c r="M8" s="1531"/>
      <c r="N8" s="1531"/>
      <c r="O8" s="1531"/>
      <c r="P8" s="3670" t="s">
        <v>2887</v>
      </c>
      <c r="Q8" s="3671"/>
      <c r="R8" s="1576" t="s">
        <v>2884</v>
      </c>
      <c r="S8" s="1577">
        <f t="shared" si="0"/>
        <v>100</v>
      </c>
      <c r="T8" s="1576" t="s">
        <v>2884</v>
      </c>
      <c r="U8" s="1577">
        <f t="shared" si="1"/>
        <v>100</v>
      </c>
      <c r="V8" s="1576" t="s">
        <v>2884</v>
      </c>
      <c r="W8" s="1577">
        <f t="shared" si="2"/>
        <v>100</v>
      </c>
      <c r="X8" s="1578"/>
      <c r="Y8" s="3670" t="s">
        <v>2887</v>
      </c>
      <c r="Z8" s="3671"/>
      <c r="AA8" s="1593">
        <f t="shared" ref="AA8:AA36" si="3">D8/F8</f>
        <v>1</v>
      </c>
      <c r="AB8" s="1593">
        <f t="shared" ref="AB8:AB36" si="4">D8/H8</f>
        <v>1</v>
      </c>
      <c r="AC8" s="1593">
        <f t="shared" ref="AC8:AC36" si="5">D8/J8</f>
        <v>1</v>
      </c>
    </row>
    <row r="9" spans="1:29" s="1353" customFormat="1" ht="14.4">
      <c r="A9" s="2612" t="s">
        <v>2888</v>
      </c>
      <c r="B9" s="2613" t="s">
        <v>2889</v>
      </c>
      <c r="C9" s="1397" t="s">
        <v>2890</v>
      </c>
      <c r="D9" s="1398">
        <v>100</v>
      </c>
      <c r="E9" s="2135" t="s">
        <v>2890</v>
      </c>
      <c r="F9" s="1398">
        <f>SUMIF(53:53,E9,54:54)-SUMIF(53:53,C9,54:54)+100</f>
        <v>100</v>
      </c>
      <c r="G9" s="2135" t="s">
        <v>2890</v>
      </c>
      <c r="H9" s="1398">
        <f>SUMIF(53:53,G9,54:54)-SUMIF(53:53,C9,54:54)+100</f>
        <v>100</v>
      </c>
      <c r="I9" s="2135" t="s">
        <v>2890</v>
      </c>
      <c r="J9" s="1398">
        <f>SUMIF(53:53,I9,54:54)-SUMIF(53:53,C9,54:54)+100</f>
        <v>100</v>
      </c>
      <c r="K9" s="1529"/>
      <c r="L9" s="1530"/>
      <c r="M9" s="1531"/>
      <c r="N9" s="1531"/>
      <c r="O9" s="1531"/>
      <c r="P9" s="3665" t="s">
        <v>2891</v>
      </c>
      <c r="Q9" s="1580" t="str">
        <f t="shared" ref="Q9:Q14" si="6">B9</f>
        <v>用途</v>
      </c>
      <c r="R9" s="1576" t="s">
        <v>2884</v>
      </c>
      <c r="S9" s="1577">
        <f t="shared" si="0"/>
        <v>100</v>
      </c>
      <c r="T9" s="1576" t="s">
        <v>2884</v>
      </c>
      <c r="U9" s="1577">
        <f t="shared" si="1"/>
        <v>100</v>
      </c>
      <c r="V9" s="1576" t="s">
        <v>2884</v>
      </c>
      <c r="W9" s="1577">
        <f t="shared" si="2"/>
        <v>100</v>
      </c>
      <c r="X9" s="1578"/>
      <c r="Y9" s="3573" t="s">
        <v>2892</v>
      </c>
      <c r="Z9" s="1594" t="str">
        <f t="shared" ref="Z9:Z14" si="7">Q9</f>
        <v>用途</v>
      </c>
      <c r="AA9" s="1593">
        <f t="shared" si="3"/>
        <v>1</v>
      </c>
      <c r="AB9" s="1593">
        <f t="shared" si="4"/>
        <v>1</v>
      </c>
      <c r="AC9" s="1593">
        <f t="shared" si="5"/>
        <v>1</v>
      </c>
    </row>
    <row r="10" spans="1:29" s="1354" customFormat="1" ht="28.8">
      <c r="A10" s="2614"/>
      <c r="B10" s="2615" t="s">
        <v>2893</v>
      </c>
      <c r="C10" s="1403" t="s">
        <v>2894</v>
      </c>
      <c r="D10" s="1404">
        <v>100</v>
      </c>
      <c r="E10" s="1403" t="s">
        <v>2894</v>
      </c>
      <c r="F10" s="1404">
        <f>SUMIF(55:55,E10,56:56)-SUMIF(55:55,C10,56:56)+100</f>
        <v>100</v>
      </c>
      <c r="G10" s="1403" t="s">
        <v>2894</v>
      </c>
      <c r="H10" s="1404">
        <f>SUMIF(55:55,G10,56:56)-SUMIF(55:55,C10,56:56)+100</f>
        <v>100</v>
      </c>
      <c r="I10" s="1403" t="s">
        <v>2894</v>
      </c>
      <c r="J10" s="1404">
        <f>SUMIF(55:55,I10,56:56)-SUMIF(55:55,C10,56:56)+100</f>
        <v>100</v>
      </c>
      <c r="K10" s="1529"/>
      <c r="L10" s="1532"/>
      <c r="M10" s="1533"/>
      <c r="N10" s="1533"/>
      <c r="O10" s="1533"/>
      <c r="P10" s="3665"/>
      <c r="Q10" s="1580" t="str">
        <f t="shared" si="6"/>
        <v>土地使用年限（年）</v>
      </c>
      <c r="R10" s="1576" t="s">
        <v>2884</v>
      </c>
      <c r="S10" s="1577">
        <f t="shared" si="0"/>
        <v>100</v>
      </c>
      <c r="T10" s="1576" t="s">
        <v>2884</v>
      </c>
      <c r="U10" s="1577">
        <f t="shared" si="1"/>
        <v>100</v>
      </c>
      <c r="V10" s="1576" t="s">
        <v>2884</v>
      </c>
      <c r="W10" s="1577">
        <f t="shared" si="2"/>
        <v>100</v>
      </c>
      <c r="X10" s="1578"/>
      <c r="Y10" s="3573"/>
      <c r="Z10" s="1594" t="str">
        <f t="shared" si="7"/>
        <v>土地使用年限（年）</v>
      </c>
      <c r="AA10" s="1593">
        <f t="shared" si="3"/>
        <v>1</v>
      </c>
      <c r="AB10" s="1593">
        <f t="shared" si="4"/>
        <v>1</v>
      </c>
      <c r="AC10" s="1593">
        <f t="shared" si="5"/>
        <v>1</v>
      </c>
    </row>
    <row r="11" spans="1:29" ht="15">
      <c r="A11" s="2616"/>
      <c r="B11" s="2617">
        <v>111</v>
      </c>
      <c r="C11" s="1411"/>
      <c r="D11" s="1404">
        <v>100</v>
      </c>
      <c r="E11" s="1411"/>
      <c r="F11" s="1404">
        <f>SUMIF(57:57,E11,58:58)-SUMIF(57:57,C11,58:58)+100</f>
        <v>100</v>
      </c>
      <c r="G11" s="1411"/>
      <c r="H11" s="1404">
        <f>SUMIF(57:57,G11,58:58)-SUMIF(57:57,C11,58:58)+100</f>
        <v>100</v>
      </c>
      <c r="I11" s="1411"/>
      <c r="J11" s="1404">
        <f>SUMIF(57:57,I11,58:58)-SUMIF(57:57,C11,58:58)+100</f>
        <v>100</v>
      </c>
      <c r="K11" s="1536"/>
      <c r="L11" s="1535"/>
      <c r="M11" s="1528"/>
      <c r="N11" s="1528"/>
      <c r="O11" s="1528"/>
      <c r="P11" s="3665"/>
      <c r="Q11" s="1580">
        <f t="shared" si="6"/>
        <v>111</v>
      </c>
      <c r="R11" s="1576" t="s">
        <v>2884</v>
      </c>
      <c r="S11" s="1577">
        <f t="shared" si="0"/>
        <v>100</v>
      </c>
      <c r="T11" s="1576" t="s">
        <v>2884</v>
      </c>
      <c r="U11" s="1577">
        <f t="shared" si="1"/>
        <v>100</v>
      </c>
      <c r="V11" s="1576" t="s">
        <v>2884</v>
      </c>
      <c r="W11" s="1577">
        <f t="shared" si="2"/>
        <v>100</v>
      </c>
      <c r="X11" s="1578"/>
      <c r="Y11" s="3573"/>
      <c r="Z11" s="1594">
        <f t="shared" si="7"/>
        <v>111</v>
      </c>
      <c r="AA11" s="1593">
        <f t="shared" si="3"/>
        <v>1</v>
      </c>
      <c r="AB11" s="1593">
        <f t="shared" si="4"/>
        <v>1</v>
      </c>
      <c r="AC11" s="1593">
        <f t="shared" si="5"/>
        <v>1</v>
      </c>
    </row>
    <row r="12" spans="1:29" s="1353" customFormat="1" ht="15">
      <c r="A12" s="2618"/>
      <c r="B12" s="2617">
        <v>111</v>
      </c>
      <c r="C12" s="1411"/>
      <c r="D12" s="1412">
        <v>100</v>
      </c>
      <c r="E12" s="1411"/>
      <c r="F12" s="1404">
        <f>SUMIF(59:59,E12,60:60)-SUMIF(59:59,C12,60:60)+100</f>
        <v>100</v>
      </c>
      <c r="G12" s="1411"/>
      <c r="H12" s="1404">
        <f>SUMIF(59:59,G12,60:60)-SUMIF(59:59,C12,60:60)+100</f>
        <v>100</v>
      </c>
      <c r="I12" s="1411"/>
      <c r="J12" s="1404">
        <f>SUMIF(59:59,I12,60:60)-SUMIF(59:59,C12,60:60)+100</f>
        <v>100</v>
      </c>
      <c r="K12" s="1536"/>
      <c r="L12" s="1530"/>
      <c r="M12" s="1531"/>
      <c r="N12" s="1531"/>
      <c r="O12" s="1531"/>
      <c r="P12" s="3665"/>
      <c r="Q12" s="1580">
        <f t="shared" si="6"/>
        <v>111</v>
      </c>
      <c r="R12" s="1576" t="s">
        <v>2884</v>
      </c>
      <c r="S12" s="1577">
        <f t="shared" si="0"/>
        <v>100</v>
      </c>
      <c r="T12" s="1576" t="s">
        <v>2884</v>
      </c>
      <c r="U12" s="1577">
        <f t="shared" si="1"/>
        <v>100</v>
      </c>
      <c r="V12" s="1576" t="s">
        <v>2884</v>
      </c>
      <c r="W12" s="1577">
        <f t="shared" si="2"/>
        <v>100</v>
      </c>
      <c r="X12" s="1578"/>
      <c r="Y12" s="3573"/>
      <c r="Z12" s="1594">
        <f t="shared" si="7"/>
        <v>111</v>
      </c>
      <c r="AA12" s="1593">
        <f t="shared" si="3"/>
        <v>1</v>
      </c>
      <c r="AB12" s="1593">
        <f t="shared" si="4"/>
        <v>1</v>
      </c>
      <c r="AC12" s="1593">
        <f t="shared" si="5"/>
        <v>1</v>
      </c>
    </row>
    <row r="13" spans="1:29" ht="15">
      <c r="A13" s="2619"/>
      <c r="B13" s="2617">
        <v>111</v>
      </c>
      <c r="C13" s="1413"/>
      <c r="D13" s="1414">
        <v>100</v>
      </c>
      <c r="E13" s="1411"/>
      <c r="F13" s="1404">
        <f>SUMIF(61:61,E13,62:62)-SUMIF(61:61,C13,62:62)+100</f>
        <v>100</v>
      </c>
      <c r="G13" s="1411"/>
      <c r="H13" s="1414">
        <f>SUMIF(61:61,G13,62:62)-SUMIF(61:61,C13,62:62)+100</f>
        <v>100</v>
      </c>
      <c r="I13" s="1411"/>
      <c r="J13" s="1414">
        <f>SUMIF(61:61,I13,62:62)-SUMIF(61:61,C13,62:62)+100</f>
        <v>100</v>
      </c>
      <c r="K13" s="1536"/>
      <c r="L13" s="1537"/>
      <c r="M13" s="1528"/>
      <c r="N13" s="1528"/>
      <c r="O13" s="1528"/>
      <c r="P13" s="3665"/>
      <c r="Q13" s="1580">
        <f t="shared" si="6"/>
        <v>111</v>
      </c>
      <c r="R13" s="1576" t="s">
        <v>2884</v>
      </c>
      <c r="S13" s="1577">
        <f t="shared" si="0"/>
        <v>100</v>
      </c>
      <c r="T13" s="1576" t="s">
        <v>2884</v>
      </c>
      <c r="U13" s="1577">
        <f t="shared" si="1"/>
        <v>100</v>
      </c>
      <c r="V13" s="1576" t="s">
        <v>2884</v>
      </c>
      <c r="W13" s="1577">
        <f t="shared" si="2"/>
        <v>100</v>
      </c>
      <c r="X13" s="1578"/>
      <c r="Y13" s="3573"/>
      <c r="Z13" s="1594">
        <f t="shared" si="7"/>
        <v>111</v>
      </c>
      <c r="AA13" s="1593">
        <f t="shared" si="3"/>
        <v>1</v>
      </c>
      <c r="AB13" s="1593">
        <f t="shared" si="4"/>
        <v>1</v>
      </c>
      <c r="AC13" s="1593">
        <f t="shared" si="5"/>
        <v>1</v>
      </c>
    </row>
    <row r="14" spans="1:29" ht="96.6">
      <c r="A14" s="1382" t="s">
        <v>2895</v>
      </c>
      <c r="B14" s="1993" t="s">
        <v>2896</v>
      </c>
      <c r="C14" s="1994" t="str">
        <f>IF(B1="工业",估价对象房地状况!G4,估价对象房地状况!C6)</f>
        <v>估价对象周边道路状况、公共交通通达情况、停车便捷程度，综合评价交通便捷度较好</v>
      </c>
      <c r="D14" s="1423">
        <v>100</v>
      </c>
      <c r="E14" s="1424"/>
      <c r="F14" s="1425">
        <f>SUMIF(63:63,E15,64:64)-SUMIF(63:63,C15,64:64)+100</f>
        <v>100</v>
      </c>
      <c r="G14" s="1426"/>
      <c r="H14" s="1423">
        <f>SUMIF(63:63,G15,64:64)-SUMIF(63:63,C15,64:64)+100</f>
        <v>100</v>
      </c>
      <c r="I14" s="1424"/>
      <c r="J14" s="1423">
        <f>SUMIF(63:63,I15,64:64)-SUMIF(63:63,C15,64:64)+100</f>
        <v>100</v>
      </c>
      <c r="K14" s="1538">
        <v>5</v>
      </c>
      <c r="L14" s="1537"/>
      <c r="M14" s="1528"/>
      <c r="N14" s="1528"/>
      <c r="O14" s="1528"/>
      <c r="P14" s="3672" t="s">
        <v>2897</v>
      </c>
      <c r="Q14" s="1076" t="str">
        <f t="shared" si="6"/>
        <v>交通便捷度</v>
      </c>
      <c r="R14" s="1581" t="s">
        <v>2884</v>
      </c>
      <c r="S14" s="1582">
        <f t="shared" si="0"/>
        <v>100</v>
      </c>
      <c r="T14" s="1581" t="s">
        <v>2884</v>
      </c>
      <c r="U14" s="1582">
        <f t="shared" si="1"/>
        <v>100</v>
      </c>
      <c r="V14" s="1581" t="s">
        <v>2884</v>
      </c>
      <c r="W14" s="1582">
        <f t="shared" si="2"/>
        <v>100</v>
      </c>
      <c r="X14" s="1575"/>
      <c r="Y14" s="3672" t="s">
        <v>2897</v>
      </c>
      <c r="Z14" s="1574" t="str">
        <f t="shared" si="7"/>
        <v>交通便捷度</v>
      </c>
      <c r="AA14" s="1587">
        <f t="shared" si="3"/>
        <v>1</v>
      </c>
      <c r="AB14" s="1587">
        <f t="shared" si="4"/>
        <v>1</v>
      </c>
      <c r="AC14" s="1587">
        <f t="shared" si="5"/>
        <v>1</v>
      </c>
    </row>
    <row r="15" spans="1:29" ht="15">
      <c r="A15" s="1384"/>
      <c r="B15" s="2199"/>
      <c r="C15" s="1428" t="s">
        <v>2898</v>
      </c>
      <c r="D15" s="1429"/>
      <c r="E15" s="1428" t="s">
        <v>2898</v>
      </c>
      <c r="F15" s="1430"/>
      <c r="G15" s="1428" t="s">
        <v>2898</v>
      </c>
      <c r="H15" s="1431"/>
      <c r="I15" s="1428" t="s">
        <v>2898</v>
      </c>
      <c r="J15" s="1429"/>
      <c r="K15" s="1539"/>
      <c r="L15" s="1537"/>
      <c r="M15" s="1528"/>
      <c r="N15" s="1528"/>
      <c r="O15" s="1528"/>
      <c r="P15" s="3673"/>
      <c r="Q15" s="1076"/>
      <c r="R15" s="1581"/>
      <c r="S15" s="1582"/>
      <c r="T15" s="1581"/>
      <c r="U15" s="1582"/>
      <c r="V15" s="1581"/>
      <c r="W15" s="1582"/>
      <c r="X15" s="1575"/>
      <c r="Y15" s="3673"/>
      <c r="Z15" s="1574"/>
      <c r="AA15" s="1587">
        <v>1</v>
      </c>
      <c r="AB15" s="1587">
        <v>1</v>
      </c>
      <c r="AC15" s="1587">
        <v>1</v>
      </c>
    </row>
    <row r="16" spans="1:29" ht="41.4">
      <c r="A16" s="1384"/>
      <c r="B16" s="1997" t="s">
        <v>2899</v>
      </c>
      <c r="C16" s="1433" t="str">
        <f>IF(B1="工业",估价对象房地状况!G5,估价对象房地状况!C7)</f>
        <v>估价对象所在区域公共配套设施齐备情况</v>
      </c>
      <c r="D16" s="1437">
        <v>100</v>
      </c>
      <c r="E16" s="1442"/>
      <c r="F16" s="1443">
        <f>SUMIF(65:65,E17,66:66)-SUMIF(65:65,C17,66:66)+100</f>
        <v>103</v>
      </c>
      <c r="G16" s="1444"/>
      <c r="H16" s="1437">
        <f>SUMIF(65:65,G17,66:66)-SUMIF(65:65,C17,66:66)+100</f>
        <v>103</v>
      </c>
      <c r="I16" s="1442"/>
      <c r="J16" s="1437">
        <f>SUMIF(65:65,I17,66:66)-SUMIF(65:65,C17,66:66)+100</f>
        <v>100</v>
      </c>
      <c r="K16" s="1538">
        <v>3</v>
      </c>
      <c r="L16" s="1537"/>
      <c r="M16" s="1528"/>
      <c r="N16" s="1528"/>
      <c r="O16" s="1528"/>
      <c r="P16" s="3673"/>
      <c r="Q16" s="1076" t="str">
        <f>B16</f>
        <v>公共配套设施</v>
      </c>
      <c r="R16" s="1581" t="s">
        <v>2884</v>
      </c>
      <c r="S16" s="1582">
        <f>F16</f>
        <v>103</v>
      </c>
      <c r="T16" s="1581" t="s">
        <v>2884</v>
      </c>
      <c r="U16" s="1582">
        <f>H16</f>
        <v>103</v>
      </c>
      <c r="V16" s="1581" t="s">
        <v>2884</v>
      </c>
      <c r="W16" s="1582">
        <f>J16</f>
        <v>100</v>
      </c>
      <c r="X16" s="1575"/>
      <c r="Y16" s="3673"/>
      <c r="Z16" s="1574" t="str">
        <f>Q16</f>
        <v>公共配套设施</v>
      </c>
      <c r="AA16" s="1587">
        <f t="shared" si="3"/>
        <v>0.970873786407767</v>
      </c>
      <c r="AB16" s="1587">
        <f t="shared" si="4"/>
        <v>0.970873786407767</v>
      </c>
      <c r="AC16" s="1587">
        <f t="shared" si="5"/>
        <v>1</v>
      </c>
    </row>
    <row r="17" spans="1:29" ht="15">
      <c r="A17" s="1384"/>
      <c r="B17" s="1998"/>
      <c r="C17" s="1439" t="s">
        <v>2900</v>
      </c>
      <c r="D17" s="1429"/>
      <c r="E17" s="1428" t="s">
        <v>2898</v>
      </c>
      <c r="F17" s="1430"/>
      <c r="G17" s="1428" t="s">
        <v>2898</v>
      </c>
      <c r="H17" s="1429"/>
      <c r="I17" s="1428" t="s">
        <v>2900</v>
      </c>
      <c r="J17" s="1429"/>
      <c r="K17" s="1539"/>
      <c r="L17" s="1537"/>
      <c r="M17" s="1528"/>
      <c r="N17" s="1528"/>
      <c r="O17" s="1528"/>
      <c r="P17" s="3673"/>
      <c r="Q17" s="1076"/>
      <c r="R17" s="1581"/>
      <c r="S17" s="1582"/>
      <c r="T17" s="1581"/>
      <c r="U17" s="1582"/>
      <c r="V17" s="1581"/>
      <c r="W17" s="1582"/>
      <c r="X17" s="1575"/>
      <c r="Y17" s="3673"/>
      <c r="Z17" s="1574"/>
      <c r="AA17" s="1587">
        <v>1</v>
      </c>
      <c r="AB17" s="1587">
        <v>1</v>
      </c>
      <c r="AC17" s="1587">
        <v>1</v>
      </c>
    </row>
    <row r="18" spans="1:29" ht="41.4">
      <c r="A18" s="1384"/>
      <c r="B18" s="2000" t="s">
        <v>2901</v>
      </c>
      <c r="C18" s="1433" t="str">
        <f>IF(B1="工业",估价对象房地状况!G6,估价对象房地状况!C8)</f>
        <v>估价对象所在区域基础设施水平</v>
      </c>
      <c r="D18" s="1431">
        <v>100</v>
      </c>
      <c r="E18" s="1434"/>
      <c r="F18" s="1443">
        <f>SUMIF(67:67,E19,68:68)-SUMIF(67:67,C19,68:68)+100</f>
        <v>100</v>
      </c>
      <c r="G18" s="1436"/>
      <c r="H18" s="1437">
        <f>SUMIF(67:67,G19,68:68)-SUMIF(67:67,C19,68:68)+100</f>
        <v>100</v>
      </c>
      <c r="I18" s="1434"/>
      <c r="J18" s="1437">
        <f>SUMIF(67:67,I19,68:68)-SUMIF(67:67,C19,68:68)+100</f>
        <v>100</v>
      </c>
      <c r="K18" s="1538">
        <v>1</v>
      </c>
      <c r="L18" s="1537"/>
      <c r="M18" s="1528"/>
      <c r="N18" s="1528"/>
      <c r="O18" s="1528"/>
      <c r="P18" s="3673"/>
      <c r="Q18" s="1076" t="str">
        <f>B18</f>
        <v>基础设施水平</v>
      </c>
      <c r="R18" s="1581" t="s">
        <v>2884</v>
      </c>
      <c r="S18" s="1582">
        <f>F18</f>
        <v>100</v>
      </c>
      <c r="T18" s="1581" t="s">
        <v>2884</v>
      </c>
      <c r="U18" s="1582">
        <f>H18</f>
        <v>100</v>
      </c>
      <c r="V18" s="1581" t="s">
        <v>2884</v>
      </c>
      <c r="W18" s="1582">
        <f>J18</f>
        <v>100</v>
      </c>
      <c r="X18" s="1575"/>
      <c r="Y18" s="3673"/>
      <c r="Z18" s="1574" t="str">
        <f>Q18</f>
        <v>基础设施水平</v>
      </c>
      <c r="AA18" s="1587">
        <f t="shared" ref="AA18" si="8">D18/F18</f>
        <v>1</v>
      </c>
      <c r="AB18" s="1587">
        <f t="shared" ref="AB18" si="9">D18/H18</f>
        <v>1</v>
      </c>
      <c r="AC18" s="1587">
        <f t="shared" ref="AC18" si="10">D18/J18</f>
        <v>1</v>
      </c>
    </row>
    <row r="19" spans="1:29" ht="15">
      <c r="A19" s="1384"/>
      <c r="B19" s="2000"/>
      <c r="C19" s="1439" t="s">
        <v>236</v>
      </c>
      <c r="D19" s="1431"/>
      <c r="E19" s="1439" t="s">
        <v>236</v>
      </c>
      <c r="F19" s="1435"/>
      <c r="G19" s="1439" t="s">
        <v>236</v>
      </c>
      <c r="H19" s="1429"/>
      <c r="I19" s="1439" t="s">
        <v>236</v>
      </c>
      <c r="J19" s="1429"/>
      <c r="K19" s="1540"/>
      <c r="L19" s="1537"/>
      <c r="M19" s="1528"/>
      <c r="N19" s="1528"/>
      <c r="O19" s="1528"/>
      <c r="P19" s="3673"/>
      <c r="Q19" s="1076"/>
      <c r="R19" s="1581"/>
      <c r="S19" s="1582"/>
      <c r="T19" s="1581"/>
      <c r="U19" s="1582"/>
      <c r="V19" s="1581"/>
      <c r="W19" s="1582"/>
      <c r="X19" s="1575"/>
      <c r="Y19" s="3673"/>
      <c r="Z19" s="1574"/>
      <c r="AA19" s="1587">
        <v>1</v>
      </c>
      <c r="AB19" s="1587">
        <v>1</v>
      </c>
      <c r="AC19" s="1587">
        <v>1</v>
      </c>
    </row>
    <row r="20" spans="1:29" ht="55.2">
      <c r="A20" s="1384"/>
      <c r="B20" s="1997" t="s">
        <v>2902</v>
      </c>
      <c r="C20" s="1433" t="str">
        <f>IF(B1="工业",估价对象房地状况!G7,估价对象房地状况!C9)</f>
        <v>区域自然环境：；人文环境；综合评价环境状况一般</v>
      </c>
      <c r="D20" s="1437">
        <v>100</v>
      </c>
      <c r="E20" s="1442"/>
      <c r="F20" s="1443">
        <f>SUMIF(69:69,E21,70:70)-SUMIF(69:69,C21,70:70)+100</f>
        <v>102</v>
      </c>
      <c r="G20" s="1444"/>
      <c r="H20" s="1431">
        <f>SUMIF(69:69,G21,70:70)-SUMIF(69:69,C21,70:70)+100</f>
        <v>102</v>
      </c>
      <c r="I20" s="1434"/>
      <c r="J20" s="1431">
        <f>SUMIF(69:69,I21,70:70)-SUMIF(69:69,C21,70:70)+100</f>
        <v>100</v>
      </c>
      <c r="K20" s="1538">
        <v>2</v>
      </c>
      <c r="L20" s="1537"/>
      <c r="M20" s="1528"/>
      <c r="N20" s="1528"/>
      <c r="O20" s="1528"/>
      <c r="P20" s="3673"/>
      <c r="Q20" s="1076" t="str">
        <f>B20</f>
        <v>自然及人文环境</v>
      </c>
      <c r="R20" s="1581" t="s">
        <v>2884</v>
      </c>
      <c r="S20" s="1582">
        <f>F20</f>
        <v>102</v>
      </c>
      <c r="T20" s="1581" t="s">
        <v>2884</v>
      </c>
      <c r="U20" s="1582">
        <f>H20</f>
        <v>102</v>
      </c>
      <c r="V20" s="1581" t="s">
        <v>2884</v>
      </c>
      <c r="W20" s="1582">
        <f>J20</f>
        <v>100</v>
      </c>
      <c r="X20" s="1575"/>
      <c r="Y20" s="3673"/>
      <c r="Z20" s="1574" t="str">
        <f>Q20</f>
        <v>自然及人文环境</v>
      </c>
      <c r="AA20" s="1587">
        <f t="shared" si="3"/>
        <v>0.98039215686274495</v>
      </c>
      <c r="AB20" s="1587">
        <f t="shared" si="4"/>
        <v>0.98039215686274495</v>
      </c>
      <c r="AC20" s="1587">
        <f t="shared" si="5"/>
        <v>1</v>
      </c>
    </row>
    <row r="21" spans="1:29" ht="15">
      <c r="A21" s="1384"/>
      <c r="B21" s="1998"/>
      <c r="C21" s="1428" t="s">
        <v>2900</v>
      </c>
      <c r="D21" s="1429"/>
      <c r="E21" s="1428" t="s">
        <v>2898</v>
      </c>
      <c r="F21" s="1430"/>
      <c r="G21" s="1428" t="s">
        <v>2898</v>
      </c>
      <c r="H21" s="1429"/>
      <c r="I21" s="1428" t="s">
        <v>2900</v>
      </c>
      <c r="J21" s="1429"/>
      <c r="K21" s="1539"/>
      <c r="L21" s="1537"/>
      <c r="M21" s="1528"/>
      <c r="N21" s="1528"/>
      <c r="O21" s="1528"/>
      <c r="P21" s="3673"/>
      <c r="Q21" s="1076"/>
      <c r="R21" s="1581"/>
      <c r="S21" s="1582"/>
      <c r="T21" s="1581"/>
      <c r="U21" s="1582"/>
      <c r="V21" s="1581"/>
      <c r="W21" s="1582"/>
      <c r="X21" s="1575"/>
      <c r="Y21" s="3673"/>
      <c r="Z21" s="1574"/>
      <c r="AA21" s="1587">
        <v>1</v>
      </c>
      <c r="AB21" s="1587">
        <v>1</v>
      </c>
      <c r="AC21" s="1587">
        <v>1</v>
      </c>
    </row>
    <row r="22" spans="1:29" ht="15">
      <c r="A22" s="1384"/>
      <c r="B22" s="1997" t="s">
        <v>2903</v>
      </c>
      <c r="C22" s="1448"/>
      <c r="D22" s="1431">
        <v>100</v>
      </c>
      <c r="E22" s="1448"/>
      <c r="F22" s="1449">
        <f>SUMIF(71:71,E22,72:72)-SUMIF(71:71,C22,72:72)+100</f>
        <v>100</v>
      </c>
      <c r="G22" s="1448"/>
      <c r="H22" s="1414">
        <f>SUMIF(71:71,G22,72:72)-SUMIF(71:71,C22,72:72)+100</f>
        <v>100</v>
      </c>
      <c r="I22" s="1448"/>
      <c r="J22" s="1414">
        <f>SUMIF(71:71,I22,72:72)-SUMIF(71:71,C22,72:72)+100</f>
        <v>100</v>
      </c>
      <c r="K22" s="1534"/>
      <c r="L22" s="1537"/>
      <c r="M22" s="1528"/>
      <c r="N22" s="1528"/>
      <c r="O22" s="1528"/>
      <c r="P22" s="3673"/>
      <c r="Q22" s="1076" t="str">
        <f>B22</f>
        <v>楼层</v>
      </c>
      <c r="R22" s="1581" t="s">
        <v>2884</v>
      </c>
      <c r="S22" s="1582">
        <f>F22</f>
        <v>100</v>
      </c>
      <c r="T22" s="1581" t="s">
        <v>2884</v>
      </c>
      <c r="U22" s="1582">
        <f>H22</f>
        <v>100</v>
      </c>
      <c r="V22" s="1581" t="s">
        <v>2884</v>
      </c>
      <c r="W22" s="1582">
        <f>J22</f>
        <v>100</v>
      </c>
      <c r="X22" s="1575"/>
      <c r="Y22" s="3673"/>
      <c r="Z22" s="1574" t="str">
        <f>Q22</f>
        <v>楼层</v>
      </c>
      <c r="AA22" s="1587">
        <f t="shared" si="3"/>
        <v>1</v>
      </c>
      <c r="AB22" s="1587">
        <f t="shared" si="4"/>
        <v>1</v>
      </c>
      <c r="AC22" s="1587">
        <f t="shared" si="5"/>
        <v>1</v>
      </c>
    </row>
    <row r="23" spans="1:29" ht="15">
      <c r="A23" s="1384"/>
      <c r="B23" s="2620">
        <v>111</v>
      </c>
      <c r="C23" s="1411"/>
      <c r="D23" s="1414">
        <v>100</v>
      </c>
      <c r="E23" s="1411"/>
      <c r="F23" s="1449">
        <f>SUMIF(73:73,E23,74:74)-SUMIF(73:73,C23,74:74)+100</f>
        <v>100</v>
      </c>
      <c r="G23" s="1411"/>
      <c r="H23" s="1414">
        <f>SUMIF(73:73,G23,74:74)-SUMIF(73:73,C23,74:74)+100</f>
        <v>100</v>
      </c>
      <c r="I23" s="1411"/>
      <c r="J23" s="1414">
        <f>SUMIF(73:73,I23,74:74)-SUMIF(73:73,C23,74:74)+100</f>
        <v>100</v>
      </c>
      <c r="K23" s="1536"/>
      <c r="L23" s="1537"/>
      <c r="M23" s="1528"/>
      <c r="N23" s="1528"/>
      <c r="O23" s="1528"/>
      <c r="P23" s="3673"/>
      <c r="Q23" s="1076">
        <f>B23</f>
        <v>111</v>
      </c>
      <c r="R23" s="1581" t="s">
        <v>2884</v>
      </c>
      <c r="S23" s="1582">
        <f>F23</f>
        <v>100</v>
      </c>
      <c r="T23" s="1581" t="s">
        <v>2884</v>
      </c>
      <c r="U23" s="1582">
        <f>H23</f>
        <v>100</v>
      </c>
      <c r="V23" s="1581" t="s">
        <v>2884</v>
      </c>
      <c r="W23" s="1582">
        <f>J23</f>
        <v>100</v>
      </c>
      <c r="X23" s="1575"/>
      <c r="Y23" s="3673"/>
      <c r="Z23" s="1574">
        <f>Q23</f>
        <v>111</v>
      </c>
      <c r="AA23" s="1587">
        <f t="shared" si="3"/>
        <v>1</v>
      </c>
      <c r="AB23" s="1587">
        <f t="shared" si="4"/>
        <v>1</v>
      </c>
      <c r="AC23" s="1587">
        <f t="shared" si="5"/>
        <v>1</v>
      </c>
    </row>
    <row r="24" spans="1:29" ht="15">
      <c r="A24" s="1384"/>
      <c r="B24" s="2620">
        <v>111</v>
      </c>
      <c r="C24" s="1411"/>
      <c r="D24" s="1414">
        <v>100</v>
      </c>
      <c r="E24" s="1411"/>
      <c r="F24" s="1449">
        <f>SUMIF(75:75,E24,76:76)-SUMIF(75:75,C24,76:76)+100</f>
        <v>100</v>
      </c>
      <c r="G24" s="1411"/>
      <c r="H24" s="1414">
        <f>SUMIF(75:75,G24,76:76)-SUMIF(75:75,C24,76:76)+100</f>
        <v>100</v>
      </c>
      <c r="I24" s="1411"/>
      <c r="J24" s="1414">
        <f>SUMIF(75:75,I24,76:76)-SUMIF(75:75,C24,76:76)+100</f>
        <v>100</v>
      </c>
      <c r="K24" s="1536"/>
      <c r="L24" s="1537"/>
      <c r="M24" s="1528"/>
      <c r="N24" s="1528"/>
      <c r="O24" s="1528"/>
      <c r="P24" s="3673"/>
      <c r="Q24" s="1076">
        <f t="shared" ref="Q24:Q36" si="11">B24</f>
        <v>111</v>
      </c>
      <c r="R24" s="1581" t="s">
        <v>2884</v>
      </c>
      <c r="S24" s="1582">
        <f>F24</f>
        <v>100</v>
      </c>
      <c r="T24" s="1581" t="s">
        <v>2884</v>
      </c>
      <c r="U24" s="1582">
        <f>H24</f>
        <v>100</v>
      </c>
      <c r="V24" s="1581" t="s">
        <v>2884</v>
      </c>
      <c r="W24" s="1582">
        <f>J24</f>
        <v>100</v>
      </c>
      <c r="X24" s="1575"/>
      <c r="Y24" s="3673"/>
      <c r="Z24" s="1574">
        <f>Q24</f>
        <v>111</v>
      </c>
      <c r="AA24" s="1587">
        <f t="shared" si="3"/>
        <v>1</v>
      </c>
      <c r="AB24" s="1587">
        <f t="shared" si="4"/>
        <v>1</v>
      </c>
      <c r="AC24" s="1587">
        <f t="shared" si="5"/>
        <v>1</v>
      </c>
    </row>
    <row r="25" spans="1:29" s="1353" customFormat="1" ht="15">
      <c r="A25" s="1999"/>
      <c r="B25" s="2188">
        <v>111</v>
      </c>
      <c r="C25" s="1417"/>
      <c r="D25" s="2621">
        <v>100</v>
      </c>
      <c r="E25" s="2182"/>
      <c r="F25" s="2622">
        <f>SUMIF(77:77,E25,78:78)-SUMIF(77:77,C25,78:78)+100</f>
        <v>100</v>
      </c>
      <c r="G25" s="2182"/>
      <c r="H25" s="2621">
        <f>SUMIF(77:77,G25,78:78)-SUMIF(77:77,C25,78:78)+100</f>
        <v>100</v>
      </c>
      <c r="I25" s="2182"/>
      <c r="J25" s="2621">
        <f>SUMIF(77:77,I25,78:78)-SUMIF(77:77,C25,78:78)+100</f>
        <v>100</v>
      </c>
      <c r="K25" s="1536"/>
      <c r="L25" s="1530"/>
      <c r="M25" s="1531"/>
      <c r="N25" s="1531"/>
      <c r="O25" s="1531"/>
      <c r="P25" s="3673"/>
      <c r="Q25" s="1580">
        <f t="shared" si="11"/>
        <v>111</v>
      </c>
      <c r="R25" s="1576" t="s">
        <v>2884</v>
      </c>
      <c r="S25" s="1577">
        <f>F25</f>
        <v>100</v>
      </c>
      <c r="T25" s="1576" t="s">
        <v>2884</v>
      </c>
      <c r="U25" s="1577">
        <f>H25</f>
        <v>100</v>
      </c>
      <c r="V25" s="1576" t="s">
        <v>2884</v>
      </c>
      <c r="W25" s="1577">
        <f>J25</f>
        <v>100</v>
      </c>
      <c r="X25" s="1578"/>
      <c r="Y25" s="3673"/>
      <c r="Z25" s="1594">
        <f>Q25</f>
        <v>111</v>
      </c>
      <c r="AA25" s="1587">
        <f t="shared" si="3"/>
        <v>1</v>
      </c>
      <c r="AB25" s="1587">
        <f t="shared" si="4"/>
        <v>1</v>
      </c>
      <c r="AC25" s="1587">
        <f t="shared" si="5"/>
        <v>1</v>
      </c>
    </row>
    <row r="26" spans="1:29" ht="30">
      <c r="A26" s="2623" t="s">
        <v>2904</v>
      </c>
      <c r="B26" s="2624" t="s">
        <v>2905</v>
      </c>
      <c r="C26" s="2625" t="str">
        <f>B1</f>
        <v>住宅</v>
      </c>
      <c r="D26" s="1429">
        <v>100</v>
      </c>
      <c r="E26" s="1428" t="s">
        <v>414</v>
      </c>
      <c r="F26" s="1430">
        <f>SUMIF(79:79,E26,80:80)-SUMIF(79:79,C26,80:80)+100</f>
        <v>100</v>
      </c>
      <c r="G26" s="1428" t="s">
        <v>414</v>
      </c>
      <c r="H26" s="1429">
        <f>SUMIF(79:79,G26,80:80)-SUMIF(79:79,C26,80:80)+100</f>
        <v>100</v>
      </c>
      <c r="I26" s="1428" t="s">
        <v>414</v>
      </c>
      <c r="J26" s="1429">
        <f>SUMIF(79:79,I26,80:80)-SUMIF(79:79,C26,80:80)+100</f>
        <v>100</v>
      </c>
      <c r="K26" s="1534"/>
      <c r="L26" s="1537"/>
      <c r="M26" s="1528"/>
      <c r="N26" s="1528"/>
      <c r="O26" s="1528"/>
      <c r="P26" s="3674" t="s">
        <v>2906</v>
      </c>
      <c r="Q26" s="1076" t="str">
        <f t="shared" si="11"/>
        <v>配套类型</v>
      </c>
      <c r="R26" s="1581" t="s">
        <v>2884</v>
      </c>
      <c r="S26" s="1582">
        <f t="shared" ref="S26:S36" si="12">F26</f>
        <v>100</v>
      </c>
      <c r="T26" s="1581" t="s">
        <v>2884</v>
      </c>
      <c r="U26" s="1582">
        <f t="shared" ref="U26:U36" si="13">H26</f>
        <v>100</v>
      </c>
      <c r="V26" s="1581" t="s">
        <v>2884</v>
      </c>
      <c r="W26" s="1582">
        <f t="shared" ref="W26:W36" si="14">J26</f>
        <v>100</v>
      </c>
      <c r="X26" s="1575"/>
      <c r="Y26" s="3675" t="s">
        <v>2906</v>
      </c>
      <c r="Z26" s="1574" t="str">
        <f t="shared" ref="Z26:Z36" si="15">Q26</f>
        <v>配套类型</v>
      </c>
      <c r="AA26" s="1587">
        <f t="shared" si="3"/>
        <v>1</v>
      </c>
      <c r="AB26" s="1587">
        <f t="shared" si="4"/>
        <v>1</v>
      </c>
      <c r="AC26" s="1587">
        <f t="shared" si="5"/>
        <v>1</v>
      </c>
    </row>
    <row r="27" spans="1:29" s="1355" customFormat="1" ht="15">
      <c r="A27" s="2626"/>
      <c r="B27" s="2005" t="s">
        <v>2907</v>
      </c>
      <c r="C27" s="2627" t="s">
        <v>2908</v>
      </c>
      <c r="D27" s="1404">
        <v>100</v>
      </c>
      <c r="E27" s="2627" t="s">
        <v>2909</v>
      </c>
      <c r="F27" s="1449">
        <f>SUMIF(81:81,E27,82:82)-SUMIF(81:81,C27,82:82)+100</f>
        <v>99</v>
      </c>
      <c r="G27" s="2627" t="s">
        <v>2910</v>
      </c>
      <c r="H27" s="1414">
        <f>SUMIF(81:81,G27,82:82)-SUMIF(81:81,C27,82:82)+100</f>
        <v>97</v>
      </c>
      <c r="I27" s="2641" t="s">
        <v>2911</v>
      </c>
      <c r="J27" s="1414">
        <f>SUMIF(81:81,I27,82:82)-SUMIF(81:81,C27,82:82)+100</f>
        <v>101</v>
      </c>
      <c r="K27" s="1536"/>
      <c r="L27" s="1535"/>
      <c r="M27" s="1541"/>
      <c r="N27" s="1541"/>
      <c r="O27" s="1541"/>
      <c r="P27" s="3675"/>
      <c r="Q27" s="1583" t="str">
        <f t="shared" si="11"/>
        <v>项目停车位配比</v>
      </c>
      <c r="R27" s="1584" t="s">
        <v>2884</v>
      </c>
      <c r="S27" s="1585">
        <f t="shared" si="12"/>
        <v>99</v>
      </c>
      <c r="T27" s="1584" t="s">
        <v>2884</v>
      </c>
      <c r="U27" s="1585">
        <f t="shared" si="13"/>
        <v>97</v>
      </c>
      <c r="V27" s="1584" t="s">
        <v>2884</v>
      </c>
      <c r="W27" s="1585">
        <f t="shared" si="14"/>
        <v>101</v>
      </c>
      <c r="X27" s="1586"/>
      <c r="Y27" s="3675"/>
      <c r="Z27" s="1595" t="str">
        <f t="shared" si="15"/>
        <v>项目停车位配比</v>
      </c>
      <c r="AA27" s="1587">
        <f t="shared" si="3"/>
        <v>1.0101010101010099</v>
      </c>
      <c r="AB27" s="1587">
        <f t="shared" si="4"/>
        <v>1.0309278350515501</v>
      </c>
      <c r="AC27" s="1587">
        <f t="shared" si="5"/>
        <v>0.99009900990098998</v>
      </c>
    </row>
    <row r="28" spans="1:29" ht="15">
      <c r="A28" s="2628"/>
      <c r="B28" s="2005" t="s">
        <v>2912</v>
      </c>
      <c r="C28" s="2141" t="s">
        <v>2913</v>
      </c>
      <c r="D28" s="1414">
        <v>100</v>
      </c>
      <c r="E28" s="2141" t="s">
        <v>2913</v>
      </c>
      <c r="F28" s="1449">
        <f>SUMIF(83:83,E28,84:84)-SUMIF(83:83,C28,84:84)+100</f>
        <v>100</v>
      </c>
      <c r="G28" s="2141" t="s">
        <v>2913</v>
      </c>
      <c r="H28" s="1414">
        <f>SUMIF(83:83,G28,84:84)-SUMIF(83:83,C28,84:84)+100</f>
        <v>100</v>
      </c>
      <c r="I28" s="2141" t="s">
        <v>2913</v>
      </c>
      <c r="J28" s="1414">
        <f>SUMIF(83:83,I28,84:84)-SUMIF(83:83,C28,84:84)+100</f>
        <v>100</v>
      </c>
      <c r="K28" s="1534">
        <v>2</v>
      </c>
      <c r="L28" s="1537"/>
      <c r="M28" s="1528"/>
      <c r="N28" s="1528"/>
      <c r="O28" s="1528"/>
      <c r="P28" s="3675"/>
      <c r="Q28" s="1076" t="str">
        <f t="shared" si="11"/>
        <v>公共部分装修</v>
      </c>
      <c r="R28" s="1581" t="s">
        <v>2884</v>
      </c>
      <c r="S28" s="1582">
        <f t="shared" si="12"/>
        <v>100</v>
      </c>
      <c r="T28" s="1581" t="s">
        <v>2884</v>
      </c>
      <c r="U28" s="1582">
        <f t="shared" si="13"/>
        <v>100</v>
      </c>
      <c r="V28" s="1581" t="s">
        <v>2884</v>
      </c>
      <c r="W28" s="1582">
        <f t="shared" si="14"/>
        <v>100</v>
      </c>
      <c r="X28" s="1575"/>
      <c r="Y28" s="3675"/>
      <c r="Z28" s="1574" t="str">
        <f t="shared" si="15"/>
        <v>公共部分装修</v>
      </c>
      <c r="AA28" s="1587">
        <f t="shared" si="3"/>
        <v>1</v>
      </c>
      <c r="AB28" s="1587">
        <f t="shared" si="4"/>
        <v>1</v>
      </c>
      <c r="AC28" s="1587">
        <f t="shared" si="5"/>
        <v>1</v>
      </c>
    </row>
    <row r="29" spans="1:29" ht="15">
      <c r="A29" s="2628"/>
      <c r="B29" s="2005" t="s">
        <v>2914</v>
      </c>
      <c r="C29" s="1461">
        <v>1</v>
      </c>
      <c r="D29" s="1414">
        <v>100</v>
      </c>
      <c r="E29" s="1461">
        <v>1</v>
      </c>
      <c r="F29" s="1449">
        <f>LOOKUP(E29,86:86,87:87)-LOOKUP(C29,86:86,87:87)+100</f>
        <v>100</v>
      </c>
      <c r="G29" s="1461">
        <v>1</v>
      </c>
      <c r="H29" s="1449">
        <f>LOOKUP(G29,86:86,87:87)-LOOKUP(C29,86:86,87:87)+100</f>
        <v>100</v>
      </c>
      <c r="I29" s="1461">
        <v>1</v>
      </c>
      <c r="J29" s="1414">
        <f>LOOKUP(I29,86:86,87:87)-LOOKUP(C29,86:86,87:87)+100</f>
        <v>100</v>
      </c>
      <c r="K29" s="1534">
        <v>2</v>
      </c>
      <c r="L29" s="1537"/>
      <c r="M29" s="1528"/>
      <c r="N29" s="1528"/>
      <c r="O29" s="1528"/>
      <c r="P29" s="3675"/>
      <c r="Q29" s="1076" t="str">
        <f t="shared" si="11"/>
        <v>成新率</v>
      </c>
      <c r="R29" s="1581" t="s">
        <v>2884</v>
      </c>
      <c r="S29" s="1582">
        <f t="shared" si="12"/>
        <v>100</v>
      </c>
      <c r="T29" s="1581" t="s">
        <v>2884</v>
      </c>
      <c r="U29" s="1582">
        <f t="shared" si="13"/>
        <v>100</v>
      </c>
      <c r="V29" s="1581" t="s">
        <v>2884</v>
      </c>
      <c r="W29" s="1582">
        <f t="shared" si="14"/>
        <v>100</v>
      </c>
      <c r="X29" s="1575"/>
      <c r="Y29" s="3675"/>
      <c r="Z29" s="1574" t="str">
        <f t="shared" si="15"/>
        <v>成新率</v>
      </c>
      <c r="AA29" s="1587">
        <f t="shared" si="3"/>
        <v>1</v>
      </c>
      <c r="AB29" s="1587">
        <f t="shared" si="4"/>
        <v>1</v>
      </c>
      <c r="AC29" s="1587">
        <f t="shared" si="5"/>
        <v>1</v>
      </c>
    </row>
    <row r="30" spans="1:29" ht="15">
      <c r="A30" s="2628"/>
      <c r="B30" s="2005" t="s">
        <v>2915</v>
      </c>
      <c r="C30" s="2497"/>
      <c r="D30" s="1414">
        <v>100</v>
      </c>
      <c r="E30" s="2497"/>
      <c r="F30" s="1449">
        <f>SUMIF(88:88,E30,89:89)-SUMIF(88:88,C30,89:89)+100</f>
        <v>100</v>
      </c>
      <c r="G30" s="2497"/>
      <c r="H30" s="1414">
        <f>SUMIF(88:88,E30,89:89)-SUMIF(88:88,C30,89:89)+100</f>
        <v>100</v>
      </c>
      <c r="I30" s="2497"/>
      <c r="J30" s="1414">
        <f>SUMIF(88:88,E30,89:89)-SUMIF(88:88,C30,89:89)+100</f>
        <v>100</v>
      </c>
      <c r="K30" s="1534"/>
      <c r="L30" s="1537"/>
      <c r="M30" s="1528"/>
      <c r="N30" s="1528"/>
      <c r="O30" s="1528"/>
      <c r="P30" s="3675"/>
      <c r="Q30" s="1076" t="str">
        <f t="shared" si="11"/>
        <v>物业等级</v>
      </c>
      <c r="R30" s="1581" t="s">
        <v>2884</v>
      </c>
      <c r="S30" s="1582">
        <f t="shared" si="12"/>
        <v>100</v>
      </c>
      <c r="T30" s="1581" t="s">
        <v>2884</v>
      </c>
      <c r="U30" s="1582">
        <f t="shared" si="13"/>
        <v>100</v>
      </c>
      <c r="V30" s="1581" t="s">
        <v>2884</v>
      </c>
      <c r="W30" s="1582">
        <f t="shared" si="14"/>
        <v>100</v>
      </c>
      <c r="X30" s="1575"/>
      <c r="Y30" s="3675"/>
      <c r="Z30" s="1574" t="str">
        <f t="shared" si="15"/>
        <v>物业等级</v>
      </c>
      <c r="AA30" s="1587">
        <f t="shared" si="3"/>
        <v>1</v>
      </c>
      <c r="AB30" s="1587">
        <f t="shared" si="4"/>
        <v>1</v>
      </c>
      <c r="AC30" s="1587">
        <f t="shared" si="5"/>
        <v>1</v>
      </c>
    </row>
    <row r="31" spans="1:29" s="1353" customFormat="1" ht="15">
      <c r="A31" s="2629"/>
      <c r="B31" s="2005" t="s">
        <v>2916</v>
      </c>
      <c r="C31" s="2630">
        <f>最新车位清单!J2</f>
        <v>31.47</v>
      </c>
      <c r="D31" s="1404">
        <v>100</v>
      </c>
      <c r="E31" s="2630">
        <v>31.04</v>
      </c>
      <c r="F31" s="1449">
        <f>LOOKUP(E31,91:91,92:92)-LOOKUP(C31,91:91,92:92)+100</f>
        <v>100</v>
      </c>
      <c r="G31" s="2630">
        <v>42.48</v>
      </c>
      <c r="H31" s="1414">
        <f>LOOKUP(G31,91:91,92:92)-LOOKUP(C31,91:91,92:92)+100</f>
        <v>100</v>
      </c>
      <c r="I31" s="2630">
        <v>32.229999999999997</v>
      </c>
      <c r="J31" s="1414">
        <f>LOOKUP(I31,91:91,92:92)-LOOKUP(C31,91:91,92:92)+100</f>
        <v>100</v>
      </c>
      <c r="K31" s="1534">
        <v>2</v>
      </c>
      <c r="L31" s="1530"/>
      <c r="M31" s="1531"/>
      <c r="N31" s="1531"/>
      <c r="O31" s="1531"/>
      <c r="P31" s="3675"/>
      <c r="Q31" s="1580" t="str">
        <f t="shared" si="11"/>
        <v>停车位面积</v>
      </c>
      <c r="R31" s="1576" t="s">
        <v>2884</v>
      </c>
      <c r="S31" s="1577">
        <f t="shared" si="12"/>
        <v>100</v>
      </c>
      <c r="T31" s="1576" t="s">
        <v>2884</v>
      </c>
      <c r="U31" s="1577">
        <f t="shared" si="13"/>
        <v>100</v>
      </c>
      <c r="V31" s="1576" t="s">
        <v>2884</v>
      </c>
      <c r="W31" s="1577">
        <f t="shared" si="14"/>
        <v>100</v>
      </c>
      <c r="X31" s="1578"/>
      <c r="Y31" s="3675"/>
      <c r="Z31" s="1594" t="str">
        <f t="shared" si="15"/>
        <v>停车位面积</v>
      </c>
      <c r="AA31" s="1593">
        <f t="shared" si="3"/>
        <v>1</v>
      </c>
      <c r="AB31" s="1593">
        <f t="shared" si="4"/>
        <v>1</v>
      </c>
      <c r="AC31" s="1593">
        <f t="shared" si="5"/>
        <v>1</v>
      </c>
    </row>
    <row r="32" spans="1:29" ht="15">
      <c r="A32" s="2628"/>
      <c r="B32" s="2005" t="s">
        <v>2917</v>
      </c>
      <c r="C32" s="2141" t="s">
        <v>2918</v>
      </c>
      <c r="D32" s="1414">
        <v>100</v>
      </c>
      <c r="E32" s="2141" t="s">
        <v>2918</v>
      </c>
      <c r="F32" s="1449">
        <f>SUMIF(93:93,E32,94:94)-SUMIF(93:93,C32,94:94)+100</f>
        <v>100</v>
      </c>
      <c r="G32" s="2141" t="s">
        <v>2918</v>
      </c>
      <c r="H32" s="1414">
        <f>SUMIF(93:93,G32,94:94)-SUMIF(93:93,C32,94:94)+100</f>
        <v>100</v>
      </c>
      <c r="I32" s="2141" t="s">
        <v>2918</v>
      </c>
      <c r="J32" s="1414">
        <f>SUMIF(93:93,I32,94:94)-SUMIF(93:93,C32,94:94)+100</f>
        <v>100</v>
      </c>
      <c r="K32" s="1534">
        <v>2</v>
      </c>
      <c r="L32" s="1537"/>
      <c r="M32" s="1528"/>
      <c r="N32" s="1528"/>
      <c r="O32" s="1528"/>
      <c r="P32" s="3675" t="s">
        <v>2906</v>
      </c>
      <c r="Q32" s="1076" t="str">
        <f t="shared" si="11"/>
        <v>车位类型</v>
      </c>
      <c r="R32" s="1581" t="s">
        <v>2884</v>
      </c>
      <c r="S32" s="1582">
        <f t="shared" si="12"/>
        <v>100</v>
      </c>
      <c r="T32" s="1581" t="s">
        <v>2884</v>
      </c>
      <c r="U32" s="1582">
        <f t="shared" si="13"/>
        <v>100</v>
      </c>
      <c r="V32" s="1581" t="s">
        <v>2884</v>
      </c>
      <c r="W32" s="1582">
        <f t="shared" si="14"/>
        <v>100</v>
      </c>
      <c r="X32" s="1575"/>
      <c r="Y32" s="3675" t="s">
        <v>2906</v>
      </c>
      <c r="Z32" s="1574" t="str">
        <f t="shared" si="15"/>
        <v>车位类型</v>
      </c>
      <c r="AA32" s="1587">
        <f t="shared" si="3"/>
        <v>1</v>
      </c>
      <c r="AB32" s="1587">
        <f t="shared" si="4"/>
        <v>1</v>
      </c>
      <c r="AC32" s="1587">
        <f t="shared" si="5"/>
        <v>1</v>
      </c>
    </row>
    <row r="33" spans="1:29" ht="15">
      <c r="A33" s="2628"/>
      <c r="B33" s="2005" t="s">
        <v>2919</v>
      </c>
      <c r="C33" s="2141"/>
      <c r="D33" s="1414">
        <v>100</v>
      </c>
      <c r="E33" s="2141"/>
      <c r="F33" s="1449">
        <f>SUMIF(95:95,E33,96:96)-SUMIF(95:95,C33,96:96)+100</f>
        <v>100</v>
      </c>
      <c r="G33" s="2141"/>
      <c r="H33" s="1414">
        <f>SUMIF(95:95,G33,96:96)-SUMIF(95:95,C33,96:96)+100</f>
        <v>100</v>
      </c>
      <c r="I33" s="2141"/>
      <c r="J33" s="1414">
        <f>SUMIF(95:95,I33,96:96)-SUMIF(95:95,C33,96:96)+100</f>
        <v>100</v>
      </c>
      <c r="K33" s="1534"/>
      <c r="L33" s="1537"/>
      <c r="M33" s="1528"/>
      <c r="N33" s="1528"/>
      <c r="O33" s="1528"/>
      <c r="P33" s="3675"/>
      <c r="Q33" s="1076" t="str">
        <f t="shared" si="11"/>
        <v>是否直接入户</v>
      </c>
      <c r="R33" s="1581" t="s">
        <v>2884</v>
      </c>
      <c r="S33" s="1582">
        <f t="shared" si="12"/>
        <v>100</v>
      </c>
      <c r="T33" s="1581" t="s">
        <v>2884</v>
      </c>
      <c r="U33" s="1582">
        <f t="shared" si="13"/>
        <v>100</v>
      </c>
      <c r="V33" s="1581" t="s">
        <v>2884</v>
      </c>
      <c r="W33" s="1582">
        <f t="shared" si="14"/>
        <v>100</v>
      </c>
      <c r="X33" s="1575"/>
      <c r="Y33" s="3675"/>
      <c r="Z33" s="1574" t="str">
        <f t="shared" si="15"/>
        <v>是否直接入户</v>
      </c>
      <c r="AA33" s="1587">
        <f t="shared" si="3"/>
        <v>1</v>
      </c>
      <c r="AB33" s="1587">
        <f t="shared" si="4"/>
        <v>1</v>
      </c>
      <c r="AC33" s="1587">
        <f t="shared" si="5"/>
        <v>1</v>
      </c>
    </row>
    <row r="34" spans="1:29" ht="15">
      <c r="A34" s="2628"/>
      <c r="B34" s="2620">
        <v>111</v>
      </c>
      <c r="C34" s="1411"/>
      <c r="D34" s="1414">
        <v>100</v>
      </c>
      <c r="E34" s="1411"/>
      <c r="F34" s="1449">
        <f>SUMIF(97:97,E34,98:98)-SUMIF(97:97,C34,98:98)+100</f>
        <v>100</v>
      </c>
      <c r="G34" s="1411"/>
      <c r="H34" s="1414">
        <f>SUMIF(97:97,G34,98:98)-SUMIF(97:97,C34,98:98)+100</f>
        <v>100</v>
      </c>
      <c r="I34" s="1411"/>
      <c r="J34" s="1414">
        <f>SUMIF(97:97,I34,98:98)-SUMIF(97:97,C34,98:98)+100</f>
        <v>100</v>
      </c>
      <c r="K34" s="1536"/>
      <c r="L34" s="1537"/>
      <c r="M34" s="1528"/>
      <c r="N34" s="1528"/>
      <c r="O34" s="1528"/>
      <c r="P34" s="3675"/>
      <c r="Q34" s="1076">
        <f t="shared" si="11"/>
        <v>111</v>
      </c>
      <c r="R34" s="1581" t="s">
        <v>2884</v>
      </c>
      <c r="S34" s="1582">
        <f t="shared" si="12"/>
        <v>100</v>
      </c>
      <c r="T34" s="1581" t="s">
        <v>2884</v>
      </c>
      <c r="U34" s="1582">
        <f t="shared" si="13"/>
        <v>100</v>
      </c>
      <c r="V34" s="1581" t="s">
        <v>2884</v>
      </c>
      <c r="W34" s="1582">
        <f t="shared" si="14"/>
        <v>100</v>
      </c>
      <c r="X34" s="1575"/>
      <c r="Y34" s="3675"/>
      <c r="Z34" s="1574">
        <f t="shared" si="15"/>
        <v>111</v>
      </c>
      <c r="AA34" s="1587">
        <f t="shared" si="3"/>
        <v>1</v>
      </c>
      <c r="AB34" s="1587">
        <f t="shared" si="4"/>
        <v>1</v>
      </c>
      <c r="AC34" s="1587">
        <f t="shared" si="5"/>
        <v>1</v>
      </c>
    </row>
    <row r="35" spans="1:29" s="1355" customFormat="1" ht="15">
      <c r="A35" s="2626"/>
      <c r="B35" s="2620">
        <v>111</v>
      </c>
      <c r="C35" s="1411"/>
      <c r="D35" s="1414">
        <v>100</v>
      </c>
      <c r="E35" s="1411"/>
      <c r="F35" s="1449">
        <f>SUMIF(99:99,E35,100:100)-SUMIF(99:99,C35,100:100)+100</f>
        <v>100</v>
      </c>
      <c r="G35" s="1411"/>
      <c r="H35" s="1414">
        <f>SUMIF(99:99,G35,100:100)-SUMIF(99:99,C35,100:100)+100</f>
        <v>100</v>
      </c>
      <c r="I35" s="1411"/>
      <c r="J35" s="1414">
        <f>SUMIF(99:99,I35,100:100)-SUMIF(99:99,C35,100:100)+100</f>
        <v>100</v>
      </c>
      <c r="K35" s="1536"/>
      <c r="L35" s="1535"/>
      <c r="M35" s="1541"/>
      <c r="N35" s="1541"/>
      <c r="O35" s="1541"/>
      <c r="P35" s="3675"/>
      <c r="Q35" s="1583">
        <f t="shared" si="11"/>
        <v>111</v>
      </c>
      <c r="R35" s="1584" t="s">
        <v>2884</v>
      </c>
      <c r="S35" s="1585">
        <f t="shared" si="12"/>
        <v>100</v>
      </c>
      <c r="T35" s="1584" t="s">
        <v>2884</v>
      </c>
      <c r="U35" s="1585">
        <f t="shared" si="13"/>
        <v>100</v>
      </c>
      <c r="V35" s="1584" t="s">
        <v>2884</v>
      </c>
      <c r="W35" s="1585">
        <f t="shared" si="14"/>
        <v>100</v>
      </c>
      <c r="X35" s="1586"/>
      <c r="Y35" s="3675"/>
      <c r="Z35" s="1595">
        <f t="shared" si="15"/>
        <v>111</v>
      </c>
      <c r="AA35" s="1587">
        <f t="shared" si="3"/>
        <v>1</v>
      </c>
      <c r="AB35" s="1587">
        <f t="shared" si="4"/>
        <v>1</v>
      </c>
      <c r="AC35" s="1587">
        <f t="shared" si="5"/>
        <v>1</v>
      </c>
    </row>
    <row r="36" spans="1:29" ht="15">
      <c r="A36" s="2631"/>
      <c r="B36" s="2188">
        <v>111</v>
      </c>
      <c r="C36" s="1413"/>
      <c r="D36" s="1414">
        <v>100</v>
      </c>
      <c r="E36" s="1411"/>
      <c r="F36" s="1449">
        <f>SUMIF(101:101,E36,102:102)-SUMIF(101:101,C36,102:102)+100</f>
        <v>100</v>
      </c>
      <c r="G36" s="1411"/>
      <c r="H36" s="1414">
        <f>SUMIF(101:101,G36,102:102)-SUMIF(101:101,C36,102:102)+100</f>
        <v>100</v>
      </c>
      <c r="I36" s="1411"/>
      <c r="J36" s="1414">
        <f>SUMIF(101:101,I36,102:102)-SUMIF(101:101,C36,102:102)+100</f>
        <v>100</v>
      </c>
      <c r="K36" s="1536"/>
      <c r="L36" s="1537"/>
      <c r="M36" s="1528"/>
      <c r="N36" s="1528"/>
      <c r="O36" s="1528"/>
      <c r="P36" s="3675"/>
      <c r="Q36" s="1076">
        <f t="shared" si="11"/>
        <v>111</v>
      </c>
      <c r="R36" s="1581" t="s">
        <v>2884</v>
      </c>
      <c r="S36" s="1582">
        <f t="shared" si="12"/>
        <v>100</v>
      </c>
      <c r="T36" s="1581" t="s">
        <v>2884</v>
      </c>
      <c r="U36" s="1582">
        <f t="shared" si="13"/>
        <v>100</v>
      </c>
      <c r="V36" s="1581" t="s">
        <v>2884</v>
      </c>
      <c r="W36" s="1582">
        <f t="shared" si="14"/>
        <v>100</v>
      </c>
      <c r="X36" s="1575"/>
      <c r="Y36" s="3675"/>
      <c r="Z36" s="1574">
        <f t="shared" si="15"/>
        <v>111</v>
      </c>
      <c r="AA36" s="1587">
        <f t="shared" si="3"/>
        <v>1</v>
      </c>
      <c r="AB36" s="1587">
        <f t="shared" si="4"/>
        <v>1</v>
      </c>
      <c r="AC36" s="1587">
        <f t="shared" si="5"/>
        <v>1</v>
      </c>
    </row>
    <row r="37" spans="1:29" ht="14.4">
      <c r="A37" s="1467" t="s">
        <v>2920</v>
      </c>
      <c r="B37" s="2632" t="s">
        <v>2921</v>
      </c>
      <c r="C37" s="1469" t="s">
        <v>124</v>
      </c>
      <c r="D37" s="1470"/>
      <c r="E37" s="1471">
        <v>55.33</v>
      </c>
      <c r="F37" s="1472"/>
      <c r="G37" s="1473">
        <v>48.87</v>
      </c>
      <c r="H37" s="1474"/>
      <c r="I37" s="1471">
        <v>52.54</v>
      </c>
      <c r="J37" s="1474"/>
      <c r="K37" s="2642"/>
      <c r="L37" s="1543"/>
      <c r="M37" s="1484"/>
      <c r="N37" s="1528"/>
      <c r="O37" s="1484"/>
      <c r="P37" s="3665" t="str">
        <f>A37</f>
        <v>成交单价</v>
      </c>
      <c r="Q37" s="3665"/>
      <c r="R37" s="3666">
        <f>E37</f>
        <v>55.33</v>
      </c>
      <c r="S37" s="3666"/>
      <c r="T37" s="3666">
        <f>G37</f>
        <v>48.87</v>
      </c>
      <c r="U37" s="3666"/>
      <c r="V37" s="3666">
        <f>I37</f>
        <v>52.54</v>
      </c>
      <c r="W37" s="3666"/>
      <c r="X37" s="1493"/>
      <c r="Y37" s="1596"/>
      <c r="Z37" s="1493"/>
      <c r="AA37" s="1493"/>
      <c r="AB37" s="1493"/>
      <c r="AC37" s="1493"/>
    </row>
    <row r="38" spans="1:29" ht="14.4">
      <c r="A38" s="1475" t="s">
        <v>2922</v>
      </c>
      <c r="B38" s="1476" t="str">
        <f>B37</f>
        <v>元/车位</v>
      </c>
      <c r="C38" s="1477">
        <f>R39</f>
        <v>51</v>
      </c>
      <c r="D38" s="1478" t="s">
        <v>2923</v>
      </c>
      <c r="E38" s="1479">
        <f>R38</f>
        <v>53</v>
      </c>
      <c r="F38" s="1480"/>
      <c r="G38" s="1477">
        <f>T38</f>
        <v>48</v>
      </c>
      <c r="H38" s="1480"/>
      <c r="I38" s="1479">
        <f>V38</f>
        <v>52</v>
      </c>
      <c r="J38" s="1480"/>
      <c r="K38" s="1544">
        <f>F38+H38+J38</f>
        <v>0</v>
      </c>
      <c r="L38" s="1543"/>
      <c r="M38" s="1484"/>
      <c r="N38" s="1484"/>
      <c r="O38" s="1484"/>
      <c r="P38" s="3665" t="str">
        <f>A38</f>
        <v>比较价值（元/平方米）</v>
      </c>
      <c r="Q38" s="3665"/>
      <c r="R38" s="3666">
        <f>IF(F1="售价",ROUND(PRODUCT(R37,AA7:AA36),0),ROUND(PRODUCT(R37,AA7:AA36),1))</f>
        <v>53</v>
      </c>
      <c r="S38" s="3666"/>
      <c r="T38" s="3666">
        <f>IF(F1="售价",ROUND(PRODUCT(T37,AB7:AB36),0),ROUND(PRODUCT(T37,AB7:AB36),1))</f>
        <v>48</v>
      </c>
      <c r="U38" s="3666"/>
      <c r="V38" s="3666">
        <f>IF(F1="售价",ROUND(PRODUCT(V37,AC7:AC36),0),ROUND(PRODUCT(V37,AC7:AC36),1))</f>
        <v>52</v>
      </c>
      <c r="W38" s="3666"/>
      <c r="X38" s="1493"/>
      <c r="Y38" s="1493"/>
      <c r="Z38" s="1493"/>
      <c r="AA38" s="1493"/>
      <c r="AB38" s="1493"/>
      <c r="AC38" s="1493"/>
    </row>
    <row r="39" spans="1:29" ht="14.4">
      <c r="A39" s="1481" t="s">
        <v>2924</v>
      </c>
      <c r="B39" s="1482"/>
      <c r="C39" s="1483">
        <f>R39</f>
        <v>51</v>
      </c>
      <c r="D39" s="1483"/>
      <c r="E39" s="1483"/>
      <c r="F39" s="1483"/>
      <c r="G39" s="1483"/>
      <c r="H39" s="1483"/>
      <c r="I39" s="1483"/>
      <c r="J39" s="1483"/>
      <c r="K39" s="2643"/>
      <c r="L39" s="1543"/>
      <c r="M39" s="1484"/>
      <c r="N39" s="1484"/>
      <c r="O39" s="1484"/>
      <c r="P39" s="3667" t="str">
        <f>A39</f>
        <v>估价对象XX用房的比较价值（楼面单价，元/平方米）</v>
      </c>
      <c r="Q39" s="3668"/>
      <c r="R39" s="3669">
        <f>IF(F1="售价",ROUND(IF(D38="简单平均",AVERAGE(R38:W38),R38*F38+T38*H38+V38*J38),0),ROUND(IF(D38="简单平均",AVERAGE(R38:V38),R38*F38+T38*H38+V38*J38),1))</f>
        <v>51</v>
      </c>
      <c r="S39" s="3669"/>
      <c r="T39" s="3669"/>
      <c r="U39" s="3669"/>
      <c r="V39" s="3669"/>
      <c r="W39" s="3669"/>
      <c r="X39" s="1493"/>
      <c r="Y39" s="1493"/>
      <c r="Z39" s="1493"/>
      <c r="AA39" s="1493"/>
      <c r="AB39" s="1493"/>
      <c r="AC39" s="1493"/>
    </row>
    <row r="40" spans="1:29">
      <c r="A40" s="1484"/>
      <c r="B40" s="1484"/>
      <c r="C40" s="1484"/>
      <c r="D40" s="1484"/>
      <c r="E40" s="1484"/>
      <c r="F40" s="1484"/>
      <c r="G40" s="1485"/>
      <c r="H40" s="1484"/>
      <c r="I40" s="1484"/>
      <c r="J40" s="1484"/>
      <c r="K40" s="1546"/>
      <c r="L40" s="1547"/>
      <c r="M40" s="1484"/>
      <c r="N40" s="1484"/>
      <c r="O40" s="1484"/>
      <c r="P40" s="2190"/>
      <c r="Q40" s="1484"/>
      <c r="R40" s="1484"/>
      <c r="S40" s="1484"/>
      <c r="T40" s="1484"/>
      <c r="U40" s="1484"/>
      <c r="V40" s="1484"/>
      <c r="W40" s="1484"/>
      <c r="X40" s="1484"/>
      <c r="Y40" s="1484"/>
      <c r="Z40" s="1484"/>
      <c r="AA40" s="1484"/>
      <c r="AB40" s="1484"/>
      <c r="AC40" s="1484"/>
    </row>
    <row r="41" spans="1:29">
      <c r="A41" s="1484"/>
      <c r="B41" s="1484"/>
      <c r="C41" s="1484"/>
      <c r="D41" s="1484"/>
      <c r="E41" s="1484"/>
      <c r="F41" s="1484"/>
      <c r="G41" s="1484"/>
      <c r="H41" s="1484"/>
      <c r="I41" s="1484"/>
      <c r="J41" s="1484"/>
      <c r="K41" s="1546"/>
      <c r="L41" s="1547"/>
      <c r="M41" s="1484"/>
      <c r="N41" s="1484"/>
      <c r="O41" s="1484"/>
      <c r="P41" s="2190"/>
      <c r="Q41" s="1484"/>
      <c r="R41" s="1484"/>
      <c r="S41" s="1484"/>
      <c r="T41" s="1484"/>
      <c r="U41" s="1484"/>
      <c r="V41" s="1484"/>
      <c r="W41" s="1484"/>
      <c r="X41" s="1484"/>
      <c r="Y41" s="1484"/>
      <c r="Z41" s="1484"/>
      <c r="AA41" s="1484"/>
      <c r="AB41" s="1484"/>
      <c r="AC41" s="1484"/>
    </row>
    <row r="42" spans="1:29" ht="13.5" customHeight="1">
      <c r="A42" s="1484"/>
      <c r="B42" s="1484"/>
      <c r="C42" s="1486" t="s">
        <v>2925</v>
      </c>
      <c r="D42" s="1120"/>
      <c r="E42" s="1487">
        <f>IF(E37&lt;E38,E38/E37-1,E37/E38-1)</f>
        <v>4.3962264150943398E-2</v>
      </c>
      <c r="F42" s="1488" t="str">
        <f>IF(OR(E42&gt;=0.3,E42&lt;=-0.3),"超过30%","")</f>
        <v/>
      </c>
      <c r="G42" s="1487">
        <f>IF(G37&lt;G38,G38/G37-1,G37/G38-1)</f>
        <v>1.8124999999999902E-2</v>
      </c>
      <c r="H42" s="1488" t="str">
        <f>IF(OR(G42&gt;=0.3,G42&lt;=-0.3),"超过30%","")</f>
        <v/>
      </c>
      <c r="I42" s="1487">
        <f>IF(I37&lt;I38,I38/I37-1,I37/I38-1)</f>
        <v>1.03846153846154E-2</v>
      </c>
      <c r="J42" s="1488" t="str">
        <f>IF(OR(I42&gt;=0.3,I42&lt;=-0.3),"超过30%","")</f>
        <v/>
      </c>
      <c r="K42" s="1546"/>
      <c r="L42" s="1547"/>
      <c r="M42" s="1484"/>
      <c r="N42" s="1484"/>
      <c r="O42" s="1484"/>
      <c r="P42" s="2190"/>
      <c r="Q42" s="1484"/>
      <c r="R42" s="1484"/>
      <c r="S42" s="1484"/>
      <c r="T42" s="1484"/>
      <c r="U42" s="1484"/>
      <c r="V42" s="1484"/>
      <c r="W42" s="1484"/>
      <c r="X42" s="1484"/>
      <c r="Y42" s="1484"/>
      <c r="Z42" s="1484"/>
      <c r="AA42" s="1484"/>
      <c r="AB42" s="1484"/>
      <c r="AC42" s="1484"/>
    </row>
    <row r="43" spans="1:29" ht="13.5" customHeight="1">
      <c r="A43" s="1484"/>
      <c r="B43" s="1484"/>
      <c r="C43" s="1486" t="s">
        <v>2926</v>
      </c>
      <c r="D43" s="1119"/>
      <c r="E43" s="1487">
        <f>IF(E38&lt;G38,G38/E38-1,E38/G38-1)</f>
        <v>0.104166666666667</v>
      </c>
      <c r="F43" s="1488" t="str">
        <f>IF(OR(E43&gt;=0.2,E43&lt;=-0.2),"超过20%","")</f>
        <v/>
      </c>
      <c r="G43" s="1487">
        <f>IF(G38&lt;I38,I38/G38-1,G38/I38-1)</f>
        <v>8.3333333333333301E-2</v>
      </c>
      <c r="H43" s="1488" t="str">
        <f>IF(OR(G43&gt;=0.2,G43&lt;=-0.2),"超过20%","")</f>
        <v/>
      </c>
      <c r="I43" s="1487">
        <f>IF(I38&lt;E38,E38/I38-1,I38/E38-1)</f>
        <v>1.9230769230769201E-2</v>
      </c>
      <c r="J43" s="1488" t="str">
        <f>IF(OR(I43&gt;=0.2,I43&lt;=-0.2),"超过20%","")</f>
        <v/>
      </c>
      <c r="K43" s="1546"/>
      <c r="L43" s="1547"/>
      <c r="M43" s="1484"/>
      <c r="N43" s="1484"/>
      <c r="O43" s="1484"/>
      <c r="P43" s="2190"/>
      <c r="Q43" s="1484"/>
      <c r="R43" s="1484"/>
      <c r="S43" s="1484"/>
      <c r="T43" s="1484"/>
      <c r="U43" s="1484"/>
      <c r="V43" s="1484"/>
      <c r="W43" s="1484"/>
      <c r="X43" s="1484"/>
      <c r="Y43" s="1484"/>
      <c r="Z43" s="1484"/>
      <c r="AA43" s="1484"/>
      <c r="AB43" s="1484"/>
      <c r="AC43" s="1484"/>
    </row>
    <row r="44" spans="1:29" s="1356" customFormat="1" ht="13.5" customHeight="1">
      <c r="A44" s="1489"/>
      <c r="B44" s="1489"/>
      <c r="C44" s="1486" t="s">
        <v>2927</v>
      </c>
      <c r="D44" s="1119"/>
      <c r="E44" s="1487">
        <f>IF(E37&lt;G37,G37/E37-1,E37/G37-1)</f>
        <v>0.13218743605483901</v>
      </c>
      <c r="F44" s="1488" t="str">
        <f>IF(OR(E44&gt;=0.3,E44&lt;=-0.3),"超过30%","")</f>
        <v/>
      </c>
      <c r="G44" s="1487">
        <f>IF(G37&lt;I37,I37/G37-1,G37/I37-1)</f>
        <v>7.5097196644157996E-2</v>
      </c>
      <c r="H44" s="1488" t="str">
        <f>IF(OR(G44&gt;=0.3,G44&lt;=-0.3),"超过30%","")</f>
        <v/>
      </c>
      <c r="I44" s="1487">
        <f>IF(I37&lt;E37,E37/I37-1,I37/E37-1)</f>
        <v>5.3102398172820697E-2</v>
      </c>
      <c r="J44" s="1488" t="str">
        <f>IF(OR(I44&gt;=0.3,I44&lt;=-0.3),"超过30%","")</f>
        <v/>
      </c>
      <c r="K44" s="1549"/>
      <c r="L44" s="1550"/>
      <c r="M44" s="1489"/>
      <c r="N44" s="1489"/>
      <c r="O44" s="1489"/>
      <c r="P44" s="2191"/>
      <c r="Q44" s="1489"/>
      <c r="R44" s="1489"/>
      <c r="S44" s="1489"/>
      <c r="T44" s="1489"/>
      <c r="U44" s="1489"/>
      <c r="V44" s="1489"/>
      <c r="W44" s="1489"/>
      <c r="X44" s="1489"/>
      <c r="Y44" s="1489"/>
      <c r="Z44" s="1489"/>
      <c r="AA44" s="1489"/>
      <c r="AB44" s="1489"/>
      <c r="AC44" s="1489"/>
    </row>
    <row r="45" spans="1:29" s="1356" customFormat="1">
      <c r="A45" s="1489"/>
      <c r="B45" s="1490"/>
      <c r="C45" s="1491"/>
      <c r="D45" s="1489"/>
      <c r="E45" s="1489"/>
      <c r="F45" s="1489"/>
      <c r="G45" s="1489"/>
      <c r="H45" s="1489"/>
      <c r="I45" s="1489"/>
      <c r="J45" s="1489"/>
      <c r="K45" s="1549"/>
      <c r="L45" s="1550"/>
      <c r="M45" s="1489"/>
      <c r="N45" s="1489"/>
      <c r="O45" s="1489"/>
      <c r="P45" s="2191"/>
      <c r="Q45" s="1489"/>
      <c r="R45" s="1489"/>
      <c r="S45" s="1489"/>
      <c r="T45" s="1489"/>
      <c r="U45" s="1489"/>
      <c r="V45" s="1489"/>
      <c r="W45" s="1489"/>
      <c r="X45" s="1489"/>
      <c r="Y45" s="1489"/>
      <c r="Z45" s="1489"/>
      <c r="AA45" s="1489"/>
      <c r="AB45" s="1489"/>
      <c r="AC45" s="1489"/>
    </row>
    <row r="46" spans="1:29">
      <c r="A46" s="1484"/>
      <c r="B46" s="1490"/>
      <c r="C46" s="1491"/>
      <c r="D46" s="1484"/>
      <c r="E46" s="1484"/>
      <c r="F46" s="1484"/>
      <c r="G46" s="1484"/>
      <c r="H46" s="1484"/>
      <c r="I46" s="1484"/>
      <c r="J46" s="1484"/>
      <c r="K46" s="1546"/>
      <c r="L46" s="1547"/>
      <c r="M46" s="1484"/>
      <c r="N46" s="1484"/>
      <c r="O46" s="1484"/>
      <c r="P46" s="2190"/>
      <c r="Q46" s="1484"/>
      <c r="R46" s="1484"/>
      <c r="S46" s="1484"/>
      <c r="T46" s="1484"/>
      <c r="U46" s="1484"/>
      <c r="V46" s="1484"/>
      <c r="W46" s="1484"/>
      <c r="X46" s="1484"/>
      <c r="Y46" s="1484"/>
      <c r="Z46" s="1484"/>
      <c r="AA46" s="1484"/>
      <c r="AB46" s="1484"/>
      <c r="AC46" s="1484"/>
    </row>
    <row r="47" spans="1:29" ht="21.6">
      <c r="A47" s="2633" t="s">
        <v>2928</v>
      </c>
      <c r="B47" s="2059"/>
      <c r="C47" s="1554"/>
      <c r="D47" s="1554"/>
      <c r="E47" s="1554"/>
      <c r="F47" s="2634"/>
      <c r="G47" s="2634"/>
      <c r="H47" s="1554"/>
      <c r="I47" s="1554"/>
      <c r="J47" s="1554"/>
      <c r="K47" s="2128"/>
      <c r="L47" s="1553"/>
      <c r="M47" s="1554"/>
      <c r="N47" s="2081"/>
      <c r="O47" s="2081"/>
      <c r="P47" s="2192"/>
      <c r="Q47" s="1588"/>
      <c r="R47" s="1484"/>
      <c r="S47" s="1484"/>
      <c r="T47" s="1484"/>
      <c r="U47" s="1484"/>
      <c r="V47" s="1484"/>
      <c r="W47" s="1484"/>
      <c r="X47" s="1484"/>
      <c r="Y47" s="1484"/>
      <c r="Z47" s="1484"/>
      <c r="AA47" s="1484"/>
      <c r="AB47" s="1484"/>
      <c r="AC47" s="1484"/>
    </row>
    <row r="48" spans="1:29" s="1357" customFormat="1" ht="14.4">
      <c r="A48" s="1496" t="s">
        <v>2882</v>
      </c>
      <c r="B48" s="1497"/>
      <c r="C48" s="1498" t="str">
        <f>YEAR(C7)&amp;"-"&amp;MONTH(C7)</f>
        <v>2024-1</v>
      </c>
      <c r="D48" s="1499">
        <f>EDATE(C48,-1)</f>
        <v>45261</v>
      </c>
      <c r="E48" s="1499">
        <f t="shared" ref="E48:O48" si="16">EDATE(D48,-1)</f>
        <v>45231</v>
      </c>
      <c r="F48" s="1499">
        <f t="shared" si="16"/>
        <v>45200</v>
      </c>
      <c r="G48" s="1499">
        <f t="shared" si="16"/>
        <v>45170</v>
      </c>
      <c r="H48" s="1499">
        <f t="shared" si="16"/>
        <v>45139</v>
      </c>
      <c r="I48" s="1499">
        <f t="shared" si="16"/>
        <v>45108</v>
      </c>
      <c r="J48" s="1499">
        <f t="shared" si="16"/>
        <v>45078</v>
      </c>
      <c r="K48" s="1499">
        <f t="shared" si="16"/>
        <v>45047</v>
      </c>
      <c r="L48" s="1499">
        <f t="shared" si="16"/>
        <v>45017</v>
      </c>
      <c r="M48" s="1499">
        <f t="shared" si="16"/>
        <v>44986</v>
      </c>
      <c r="N48" s="1499">
        <f t="shared" si="16"/>
        <v>44958</v>
      </c>
      <c r="O48" s="1499">
        <f t="shared" si="16"/>
        <v>44927</v>
      </c>
      <c r="P48" s="2193"/>
      <c r="Q48" s="1589"/>
      <c r="R48" s="1589"/>
      <c r="S48" s="1589"/>
      <c r="T48" s="1589"/>
      <c r="U48" s="1589"/>
      <c r="V48" s="1589"/>
      <c r="W48" s="1589"/>
      <c r="X48" s="1589"/>
      <c r="Y48" s="1589"/>
      <c r="Z48" s="1589"/>
      <c r="AA48" s="1589"/>
      <c r="AB48" s="1589"/>
      <c r="AC48" s="1589"/>
    </row>
    <row r="49" spans="1:29" s="1353" customFormat="1">
      <c r="A49" s="1500"/>
      <c r="B49" s="1501"/>
      <c r="C49" s="2635">
        <v>100</v>
      </c>
      <c r="D49" s="1503"/>
      <c r="E49" s="1503"/>
      <c r="F49" s="1503"/>
      <c r="G49" s="1503"/>
      <c r="H49" s="1503"/>
      <c r="I49" s="1503"/>
      <c r="J49" s="1503"/>
      <c r="K49" s="1503"/>
      <c r="L49" s="1503"/>
      <c r="M49" s="1557"/>
      <c r="N49" s="1503"/>
      <c r="O49" s="1557"/>
      <c r="P49" s="2194"/>
      <c r="Q49" s="1590"/>
      <c r="R49" s="1590"/>
      <c r="S49" s="1590"/>
      <c r="T49" s="1590"/>
      <c r="U49" s="1590"/>
      <c r="V49" s="1590"/>
      <c r="W49" s="1590"/>
      <c r="X49" s="1590"/>
      <c r="Y49" s="1590"/>
      <c r="Z49" s="1590"/>
      <c r="AA49" s="1590"/>
      <c r="AB49" s="1590"/>
      <c r="AC49" s="1590"/>
    </row>
    <row r="50" spans="1:29" s="1353" customFormat="1" ht="14.4">
      <c r="A50" s="1504" t="s">
        <v>2929</v>
      </c>
      <c r="B50" s="1505"/>
      <c r="C50" s="1506"/>
      <c r="D50" s="1507"/>
      <c r="E50" s="1507"/>
      <c r="F50" s="1507"/>
      <c r="G50" s="1507"/>
      <c r="H50" s="1507"/>
      <c r="I50" s="1507"/>
      <c r="J50" s="1507"/>
      <c r="K50" s="1507"/>
      <c r="L50" s="1507"/>
      <c r="M50" s="1559"/>
      <c r="N50" s="1507"/>
      <c r="O50" s="1559"/>
      <c r="P50" s="2194"/>
      <c r="Q50" s="1588"/>
      <c r="R50" s="1590"/>
      <c r="S50" s="1590"/>
      <c r="T50" s="1590"/>
      <c r="U50" s="1590"/>
      <c r="V50" s="1590"/>
      <c r="W50" s="1590"/>
      <c r="X50" s="1590"/>
      <c r="Y50" s="1590"/>
      <c r="Z50" s="1590"/>
      <c r="AA50" s="1590"/>
      <c r="AB50" s="1590"/>
      <c r="AC50" s="1590"/>
    </row>
    <row r="51" spans="1:29" s="1353" customFormat="1" ht="14.4">
      <c r="A51" s="1508" t="s">
        <v>2885</v>
      </c>
      <c r="B51" s="1501"/>
      <c r="C51" s="1509" t="s">
        <v>2930</v>
      </c>
      <c r="D51" s="1510"/>
      <c r="E51" s="1510"/>
      <c r="F51" s="1510"/>
      <c r="G51" s="1510"/>
      <c r="H51" s="1510"/>
      <c r="I51" s="1510"/>
      <c r="J51" s="1510"/>
      <c r="K51" s="1510"/>
      <c r="L51" s="1560"/>
      <c r="M51" s="1561"/>
      <c r="N51" s="1562"/>
      <c r="O51" s="1562"/>
      <c r="P51" s="2195"/>
      <c r="Q51" s="1588"/>
      <c r="R51" s="1590"/>
      <c r="S51" s="1590"/>
      <c r="T51" s="1590"/>
      <c r="U51" s="1590"/>
      <c r="V51" s="1590"/>
      <c r="W51" s="1590"/>
      <c r="X51" s="1590"/>
      <c r="Y51" s="1590"/>
      <c r="Z51" s="1590"/>
      <c r="AA51" s="1590"/>
      <c r="AB51" s="1590"/>
      <c r="AC51" s="1590"/>
    </row>
    <row r="52" spans="1:29" s="1353" customFormat="1">
      <c r="A52" s="1508"/>
      <c r="B52" s="1501"/>
      <c r="C52" s="2089">
        <v>100</v>
      </c>
      <c r="D52" s="1503"/>
      <c r="E52" s="1503"/>
      <c r="F52" s="1503"/>
      <c r="G52" s="1503"/>
      <c r="H52" s="1503"/>
      <c r="I52" s="1503"/>
      <c r="J52" s="1503"/>
      <c r="K52" s="1503"/>
      <c r="L52" s="1503"/>
      <c r="M52" s="1564"/>
      <c r="N52" s="1562"/>
      <c r="O52" s="1562"/>
      <c r="P52" s="2194"/>
      <c r="Q52" s="1588"/>
      <c r="R52" s="1590"/>
      <c r="S52" s="1590"/>
      <c r="T52" s="1590"/>
      <c r="U52" s="1590"/>
      <c r="V52" s="1590"/>
      <c r="W52" s="1590"/>
      <c r="X52" s="1590"/>
      <c r="Y52" s="1590"/>
      <c r="Z52" s="1590"/>
      <c r="AA52" s="1590"/>
      <c r="AB52" s="1590"/>
      <c r="AC52" s="1590"/>
    </row>
    <row r="53" spans="1:29" ht="14.4">
      <c r="A53" s="1512" t="s">
        <v>2931</v>
      </c>
      <c r="B53" s="1513" t="s">
        <v>2889</v>
      </c>
      <c r="C53" s="1514" t="str">
        <f>C9</f>
        <v>地下车库</v>
      </c>
      <c r="D53" s="1515"/>
      <c r="E53" s="1515"/>
      <c r="F53" s="1515"/>
      <c r="G53" s="1515"/>
      <c r="H53" s="1515"/>
      <c r="I53" s="1515"/>
      <c r="J53" s="1515"/>
      <c r="K53" s="1565"/>
      <c r="L53" s="1566"/>
      <c r="M53" s="1567"/>
      <c r="N53" s="1568"/>
      <c r="O53" s="1568"/>
      <c r="P53" s="2196"/>
      <c r="Q53" s="1588"/>
      <c r="R53" s="1484"/>
      <c r="S53" s="1484"/>
      <c r="T53" s="1484"/>
      <c r="U53" s="1484"/>
      <c r="V53" s="1484"/>
      <c r="W53" s="1484"/>
      <c r="X53" s="1484"/>
      <c r="Y53" s="1484"/>
      <c r="Z53" s="1484"/>
      <c r="AA53" s="1484"/>
      <c r="AB53" s="1484"/>
      <c r="AC53" s="1484"/>
    </row>
    <row r="54" spans="1:29">
      <c r="A54" s="1516"/>
      <c r="B54" s="1517"/>
      <c r="C54" s="1518">
        <v>100</v>
      </c>
      <c r="D54" s="1518"/>
      <c r="E54" s="1518"/>
      <c r="F54" s="1518"/>
      <c r="G54" s="1518"/>
      <c r="H54" s="1518"/>
      <c r="I54" s="1518"/>
      <c r="J54" s="1518"/>
      <c r="K54" s="1518"/>
      <c r="L54" s="1518"/>
      <c r="M54" s="1570"/>
      <c r="N54" s="1571"/>
      <c r="O54" s="1571"/>
      <c r="P54" s="2196"/>
      <c r="Q54" s="1588"/>
      <c r="R54" s="1484"/>
      <c r="S54" s="1484"/>
      <c r="T54" s="1484"/>
      <c r="U54" s="1484"/>
      <c r="V54" s="1484"/>
      <c r="W54" s="1484"/>
      <c r="X54" s="1484"/>
      <c r="Y54" s="1484"/>
      <c r="Z54" s="1484"/>
      <c r="AA54" s="1484"/>
      <c r="AB54" s="1484"/>
      <c r="AC54" s="1484"/>
    </row>
    <row r="55" spans="1:29" ht="28.8">
      <c r="A55" s="1516"/>
      <c r="B55" s="1597" t="s">
        <v>2893</v>
      </c>
      <c r="C55" s="1598" t="s">
        <v>2932</v>
      </c>
      <c r="D55" s="1598"/>
      <c r="E55" s="1598"/>
      <c r="F55" s="1598"/>
      <c r="G55" s="1598"/>
      <c r="H55" s="1598"/>
      <c r="I55" s="1598"/>
      <c r="J55" s="1598"/>
      <c r="K55" s="1632"/>
      <c r="L55" s="1633"/>
      <c r="M55" s="1634"/>
      <c r="N55" s="1568"/>
      <c r="O55" s="1568"/>
      <c r="P55" s="2196"/>
      <c r="Q55" s="1588"/>
      <c r="R55" s="1484"/>
      <c r="S55" s="1484"/>
      <c r="T55" s="1484"/>
      <c r="U55" s="1484"/>
      <c r="V55" s="1484"/>
      <c r="W55" s="1484"/>
      <c r="X55" s="1484"/>
      <c r="Y55" s="1484"/>
      <c r="Z55" s="1484"/>
      <c r="AA55" s="1484"/>
      <c r="AB55" s="1484"/>
      <c r="AC55" s="1484"/>
    </row>
    <row r="56" spans="1:29">
      <c r="A56" s="1516"/>
      <c r="B56" s="1599"/>
      <c r="C56" s="1518">
        <v>100</v>
      </c>
      <c r="D56" s="1518"/>
      <c r="E56" s="1518"/>
      <c r="F56" s="1518"/>
      <c r="G56" s="1518"/>
      <c r="H56" s="1518"/>
      <c r="I56" s="1518"/>
      <c r="J56" s="1518"/>
      <c r="K56" s="1518"/>
      <c r="L56" s="1518"/>
      <c r="M56" s="1570"/>
      <c r="N56" s="1571"/>
      <c r="O56" s="1571"/>
      <c r="P56" s="2196"/>
      <c r="Q56" s="1588"/>
      <c r="R56" s="1484"/>
      <c r="S56" s="1484"/>
      <c r="T56" s="1484"/>
      <c r="U56" s="1484"/>
      <c r="V56" s="1484"/>
      <c r="W56" s="1484"/>
      <c r="X56" s="1484"/>
      <c r="Y56" s="1484"/>
      <c r="Z56" s="1484"/>
      <c r="AA56" s="1484"/>
      <c r="AB56" s="1484"/>
      <c r="AC56" s="1484"/>
    </row>
    <row r="57" spans="1:29">
      <c r="A57" s="1516"/>
      <c r="B57" s="1618">
        <f>B11</f>
        <v>111</v>
      </c>
      <c r="C57" s="1603"/>
      <c r="D57" s="1603"/>
      <c r="E57" s="1603"/>
      <c r="F57" s="1603"/>
      <c r="G57" s="1603"/>
      <c r="H57" s="1603"/>
      <c r="I57" s="1603"/>
      <c r="J57" s="1603"/>
      <c r="K57" s="1635"/>
      <c r="L57" s="1636"/>
      <c r="M57" s="1637"/>
      <c r="N57" s="1568"/>
      <c r="O57" s="1568"/>
      <c r="P57" s="2196"/>
      <c r="Q57" s="1588"/>
      <c r="R57" s="1484"/>
      <c r="S57" s="1484"/>
      <c r="T57" s="1484"/>
      <c r="U57" s="1484"/>
      <c r="V57" s="1484"/>
      <c r="W57" s="1484"/>
      <c r="X57" s="1484"/>
      <c r="Y57" s="1484"/>
      <c r="Z57" s="1484"/>
      <c r="AA57" s="1484"/>
      <c r="AB57" s="1484"/>
      <c r="AC57" s="1484"/>
    </row>
    <row r="58" spans="1:29">
      <c r="A58" s="1516"/>
      <c r="B58" s="1517"/>
      <c r="C58" s="1608"/>
      <c r="D58" s="1518"/>
      <c r="E58" s="1518"/>
      <c r="F58" s="1518"/>
      <c r="G58" s="1518"/>
      <c r="H58" s="1518"/>
      <c r="I58" s="1518"/>
      <c r="J58" s="1518"/>
      <c r="K58" s="1518"/>
      <c r="L58" s="1518"/>
      <c r="M58" s="1570"/>
      <c r="N58" s="1571"/>
      <c r="O58" s="1571"/>
      <c r="P58" s="2196"/>
      <c r="Q58" s="1588"/>
      <c r="R58" s="1484"/>
      <c r="S58" s="1484"/>
      <c r="T58" s="1484"/>
      <c r="U58" s="1484"/>
      <c r="V58" s="1484"/>
      <c r="W58" s="1484"/>
      <c r="X58" s="1484"/>
      <c r="Y58" s="1484"/>
      <c r="Z58" s="1484"/>
      <c r="AA58" s="1484"/>
      <c r="AB58" s="1484"/>
      <c r="AC58" s="1484"/>
    </row>
    <row r="59" spans="1:29" s="1355" customFormat="1">
      <c r="A59" s="1605"/>
      <c r="B59" s="1597">
        <f>B12</f>
        <v>111</v>
      </c>
      <c r="C59" s="1603"/>
      <c r="D59" s="1603"/>
      <c r="E59" s="1603"/>
      <c r="F59" s="1603"/>
      <c r="G59" s="1606"/>
      <c r="H59" s="1607"/>
      <c r="I59" s="1607"/>
      <c r="J59" s="1607"/>
      <c r="K59" s="1607"/>
      <c r="L59" s="1639"/>
      <c r="M59" s="1640"/>
      <c r="N59" s="1641"/>
      <c r="O59" s="1641"/>
      <c r="P59" s="2203"/>
      <c r="Q59" s="1671"/>
      <c r="R59" s="1672"/>
      <c r="S59" s="1672"/>
      <c r="T59" s="1672"/>
      <c r="U59" s="1672"/>
      <c r="V59" s="1672"/>
      <c r="W59" s="1672"/>
      <c r="X59" s="1672"/>
      <c r="Y59" s="1672"/>
      <c r="Z59" s="1672"/>
      <c r="AA59" s="1672"/>
      <c r="AB59" s="1672"/>
      <c r="AC59" s="1672"/>
    </row>
    <row r="60" spans="1:29" s="1355" customFormat="1">
      <c r="A60" s="1605"/>
      <c r="B60" s="1599"/>
      <c r="C60" s="1608"/>
      <c r="D60" s="1518"/>
      <c r="E60" s="1518"/>
      <c r="F60" s="1518"/>
      <c r="G60" s="1518"/>
      <c r="H60" s="1518"/>
      <c r="I60" s="1518"/>
      <c r="J60" s="1518"/>
      <c r="K60" s="1518"/>
      <c r="L60" s="1518"/>
      <c r="M60" s="1570"/>
      <c r="N60" s="1571"/>
      <c r="O60" s="1571"/>
      <c r="P60" s="2203"/>
      <c r="Q60" s="1671"/>
      <c r="R60" s="1672"/>
      <c r="S60" s="1672"/>
      <c r="T60" s="1672"/>
      <c r="U60" s="1672"/>
      <c r="V60" s="1672"/>
      <c r="W60" s="1672"/>
      <c r="X60" s="1672"/>
      <c r="Y60" s="1672"/>
      <c r="Z60" s="1672"/>
      <c r="AA60" s="1672"/>
      <c r="AB60" s="1672"/>
      <c r="AC60" s="1672"/>
    </row>
    <row r="61" spans="1:29" s="1355" customFormat="1">
      <c r="A61" s="1605"/>
      <c r="B61" s="1597">
        <f>B13</f>
        <v>111</v>
      </c>
      <c r="C61" s="1606"/>
      <c r="D61" s="1606"/>
      <c r="E61" s="1606"/>
      <c r="F61" s="1606"/>
      <c r="G61" s="1606"/>
      <c r="H61" s="1607"/>
      <c r="I61" s="1607"/>
      <c r="J61" s="1607"/>
      <c r="K61" s="1607"/>
      <c r="L61" s="1639"/>
      <c r="M61" s="1640"/>
      <c r="N61" s="1641"/>
      <c r="O61" s="1641"/>
      <c r="P61" s="2204"/>
      <c r="Q61" s="1673"/>
      <c r="R61" s="1672"/>
      <c r="S61" s="1672"/>
      <c r="T61" s="1672"/>
      <c r="U61" s="1672"/>
      <c r="V61" s="1672"/>
      <c r="W61" s="1672"/>
      <c r="X61" s="1672"/>
      <c r="Y61" s="1672"/>
      <c r="Z61" s="1672"/>
      <c r="AA61" s="1672"/>
      <c r="AB61" s="1672"/>
      <c r="AC61" s="1672"/>
    </row>
    <row r="62" spans="1:29" s="1355" customFormat="1">
      <c r="A62" s="1605"/>
      <c r="B62" s="1599"/>
      <c r="C62" s="1608"/>
      <c r="D62" s="1608"/>
      <c r="E62" s="1608"/>
      <c r="F62" s="1608"/>
      <c r="G62" s="1608"/>
      <c r="H62" s="1609"/>
      <c r="I62" s="1609"/>
      <c r="J62" s="1609"/>
      <c r="K62" s="1609"/>
      <c r="L62" s="1609"/>
      <c r="M62" s="1644"/>
      <c r="N62" s="1641"/>
      <c r="O62" s="1641"/>
      <c r="P62" s="2203"/>
      <c r="Q62" s="1671"/>
      <c r="R62" s="1672"/>
      <c r="S62" s="1672"/>
      <c r="T62" s="1672"/>
      <c r="U62" s="1672"/>
      <c r="V62" s="1672"/>
      <c r="W62" s="1672"/>
      <c r="X62" s="1672"/>
      <c r="Y62" s="1672"/>
      <c r="Z62" s="1672"/>
      <c r="AA62" s="1672"/>
      <c r="AB62" s="1672"/>
      <c r="AC62" s="1672"/>
    </row>
    <row r="63" spans="1:29" ht="14.4">
      <c r="A63" s="1512" t="s">
        <v>2895</v>
      </c>
      <c r="B63" s="1513" t="s">
        <v>2896</v>
      </c>
      <c r="C63" s="1615" t="s">
        <v>2933</v>
      </c>
      <c r="D63" s="1615" t="s">
        <v>2934</v>
      </c>
      <c r="E63" s="1615" t="s">
        <v>2935</v>
      </c>
      <c r="F63" s="1615" t="s">
        <v>2936</v>
      </c>
      <c r="G63" s="1615" t="s">
        <v>2937</v>
      </c>
      <c r="H63" s="1514"/>
      <c r="I63" s="1514"/>
      <c r="J63" s="1514"/>
      <c r="K63" s="1649"/>
      <c r="L63" s="1650"/>
      <c r="M63" s="1651"/>
      <c r="N63" s="1568"/>
      <c r="O63" s="1568"/>
      <c r="P63" s="2206"/>
      <c r="Q63" s="1588"/>
      <c r="R63" s="1484"/>
      <c r="S63" s="1484"/>
      <c r="T63" s="1484"/>
      <c r="U63" s="1484"/>
      <c r="V63" s="1484"/>
      <c r="W63" s="1484"/>
      <c r="X63" s="1484"/>
      <c r="Y63" s="1484"/>
      <c r="Z63" s="1484"/>
      <c r="AA63" s="1484"/>
      <c r="AB63" s="1484"/>
      <c r="AC63" s="1484"/>
    </row>
    <row r="64" spans="1:29">
      <c r="A64" s="1516"/>
      <c r="B64" s="1599"/>
      <c r="C64" s="1604">
        <v>100</v>
      </c>
      <c r="D64" s="1604">
        <f>C64-$K14</f>
        <v>95</v>
      </c>
      <c r="E64" s="1604">
        <f>D64-$K14</f>
        <v>90</v>
      </c>
      <c r="F64" s="1604">
        <f>E64-$K14</f>
        <v>85</v>
      </c>
      <c r="G64" s="1604">
        <f>F64-$K14</f>
        <v>80</v>
      </c>
      <c r="H64" s="1604"/>
      <c r="I64" s="1604"/>
      <c r="J64" s="1604"/>
      <c r="K64" s="1604"/>
      <c r="L64" s="1604"/>
      <c r="M64" s="1638"/>
      <c r="N64" s="1571"/>
      <c r="O64" s="1571"/>
      <c r="P64" s="2196"/>
      <c r="Q64" s="1588"/>
      <c r="R64" s="1484"/>
      <c r="S64" s="1484"/>
      <c r="T64" s="1484"/>
      <c r="U64" s="1484"/>
      <c r="V64" s="1484"/>
      <c r="W64" s="1484"/>
      <c r="X64" s="1484"/>
      <c r="Y64" s="1484"/>
      <c r="Z64" s="1484"/>
      <c r="AA64" s="1484"/>
      <c r="AB64" s="1484"/>
      <c r="AC64" s="1484"/>
    </row>
    <row r="65" spans="1:29" ht="14.4">
      <c r="A65" s="1516"/>
      <c r="B65" s="1597" t="s">
        <v>2899</v>
      </c>
      <c r="C65" s="1616" t="s">
        <v>2933</v>
      </c>
      <c r="D65" s="1616" t="s">
        <v>2934</v>
      </c>
      <c r="E65" s="1616" t="s">
        <v>2935</v>
      </c>
      <c r="F65" s="1616" t="s">
        <v>2936</v>
      </c>
      <c r="G65" s="1616" t="s">
        <v>2937</v>
      </c>
      <c r="H65" s="1617"/>
      <c r="I65" s="1617"/>
      <c r="J65" s="1617"/>
      <c r="K65" s="1653"/>
      <c r="L65" s="1654"/>
      <c r="M65" s="1655"/>
      <c r="N65" s="1568"/>
      <c r="O65" s="1568"/>
      <c r="P65" s="2196"/>
      <c r="Q65" s="1588"/>
      <c r="R65" s="1484"/>
      <c r="S65" s="1484"/>
      <c r="T65" s="1484"/>
      <c r="U65" s="1484"/>
      <c r="V65" s="1484"/>
      <c r="W65" s="1484"/>
      <c r="X65" s="1484"/>
      <c r="Y65" s="1484"/>
      <c r="Z65" s="1484"/>
      <c r="AA65" s="1484"/>
      <c r="AB65" s="1484"/>
      <c r="AC65" s="1484"/>
    </row>
    <row r="66" spans="1:29">
      <c r="A66" s="1516"/>
      <c r="B66" s="1599"/>
      <c r="C66" s="1604">
        <v>100</v>
      </c>
      <c r="D66" s="1604">
        <f>C66-$K16</f>
        <v>97</v>
      </c>
      <c r="E66" s="1604">
        <f>D66-$K16</f>
        <v>94</v>
      </c>
      <c r="F66" s="1604">
        <f>E66-$K16</f>
        <v>91</v>
      </c>
      <c r="G66" s="1604">
        <f>F66-$K16</f>
        <v>88</v>
      </c>
      <c r="H66" s="1604"/>
      <c r="I66" s="1604"/>
      <c r="J66" s="1604"/>
      <c r="K66" s="1604"/>
      <c r="L66" s="1604"/>
      <c r="M66" s="1638"/>
      <c r="N66" s="1571"/>
      <c r="O66" s="1571"/>
      <c r="P66" s="2196"/>
      <c r="Q66" s="1588"/>
      <c r="R66" s="1484"/>
      <c r="S66" s="1484"/>
      <c r="T66" s="1484"/>
      <c r="U66" s="1484"/>
      <c r="V66" s="1484"/>
      <c r="W66" s="1484"/>
      <c r="X66" s="1484"/>
      <c r="Y66" s="1484"/>
      <c r="Z66" s="1484"/>
      <c r="AA66" s="1484"/>
      <c r="AB66" s="1484"/>
      <c r="AC66" s="1484"/>
    </row>
    <row r="67" spans="1:29" ht="14.4">
      <c r="A67" s="1516"/>
      <c r="B67" s="1600" t="s">
        <v>2901</v>
      </c>
      <c r="C67" s="1618" t="s">
        <v>2938</v>
      </c>
      <c r="D67" s="1618" t="s">
        <v>2939</v>
      </c>
      <c r="E67" s="1618" t="s">
        <v>2940</v>
      </c>
      <c r="F67" s="1618" t="s">
        <v>2941</v>
      </c>
      <c r="G67" s="1618" t="s">
        <v>2942</v>
      </c>
      <c r="H67" s="1617"/>
      <c r="I67" s="1617"/>
      <c r="J67" s="1617"/>
      <c r="K67" s="1617"/>
      <c r="L67" s="1617"/>
      <c r="M67" s="1656"/>
      <c r="N67" s="1571"/>
      <c r="O67" s="1571"/>
      <c r="P67" s="2196"/>
      <c r="Q67" s="1588"/>
      <c r="R67" s="1484"/>
      <c r="S67" s="1484"/>
      <c r="T67" s="1484"/>
      <c r="U67" s="1484"/>
      <c r="V67" s="1484"/>
      <c r="W67" s="1484"/>
      <c r="X67" s="1484"/>
      <c r="Y67" s="1484"/>
      <c r="Z67" s="1484"/>
      <c r="AA67" s="1484"/>
      <c r="AB67" s="1484"/>
      <c r="AC67" s="1484"/>
    </row>
    <row r="68" spans="1:29">
      <c r="A68" s="1516"/>
      <c r="B68" s="1600"/>
      <c r="C68" s="1604">
        <v>100</v>
      </c>
      <c r="D68" s="1604">
        <f>C68-$K18</f>
        <v>99</v>
      </c>
      <c r="E68" s="1604">
        <f>D68-$K18</f>
        <v>98</v>
      </c>
      <c r="F68" s="1604">
        <f>E68-$K18</f>
        <v>97</v>
      </c>
      <c r="G68" s="1604">
        <f>F68-$K18</f>
        <v>96</v>
      </c>
      <c r="H68" s="1618"/>
      <c r="I68" s="1618"/>
      <c r="J68" s="1618"/>
      <c r="K68" s="1618"/>
      <c r="L68" s="1618"/>
      <c r="M68" s="1431"/>
      <c r="N68" s="1571"/>
      <c r="O68" s="1571"/>
      <c r="P68" s="2196"/>
      <c r="Q68" s="1588"/>
      <c r="R68" s="1484"/>
      <c r="S68" s="1484"/>
      <c r="T68" s="1484"/>
      <c r="U68" s="1484"/>
      <c r="V68" s="1484"/>
      <c r="W68" s="1484"/>
      <c r="X68" s="1484"/>
      <c r="Y68" s="1484"/>
      <c r="Z68" s="1484"/>
      <c r="AA68" s="1484"/>
      <c r="AB68" s="1484"/>
      <c r="AC68" s="1484"/>
    </row>
    <row r="69" spans="1:29" ht="14.4">
      <c r="A69" s="1516"/>
      <c r="B69" s="1597" t="s">
        <v>2902</v>
      </c>
      <c r="C69" s="1616" t="s">
        <v>2933</v>
      </c>
      <c r="D69" s="1616" t="s">
        <v>2934</v>
      </c>
      <c r="E69" s="1616" t="s">
        <v>2935</v>
      </c>
      <c r="F69" s="1616" t="s">
        <v>2936</v>
      </c>
      <c r="G69" s="1616" t="s">
        <v>2937</v>
      </c>
      <c r="H69" s="1617"/>
      <c r="I69" s="1617"/>
      <c r="J69" s="1617"/>
      <c r="K69" s="1653"/>
      <c r="L69" s="1654"/>
      <c r="M69" s="1655"/>
      <c r="N69" s="1568"/>
      <c r="O69" s="1568"/>
      <c r="P69" s="2196"/>
      <c r="Q69" s="1588"/>
      <c r="R69" s="1484"/>
      <c r="S69" s="1484"/>
      <c r="T69" s="1484"/>
      <c r="U69" s="1484"/>
      <c r="V69" s="1484"/>
      <c r="W69" s="1484"/>
      <c r="X69" s="1484"/>
      <c r="Y69" s="1484"/>
      <c r="Z69" s="1484"/>
      <c r="AA69" s="1484"/>
      <c r="AB69" s="1484"/>
      <c r="AC69" s="1484"/>
    </row>
    <row r="70" spans="1:29">
      <c r="A70" s="1516"/>
      <c r="B70" s="1599"/>
      <c r="C70" s="1604">
        <v>100</v>
      </c>
      <c r="D70" s="1604">
        <f>C70-$K20</f>
        <v>98</v>
      </c>
      <c r="E70" s="1604">
        <f>D70-$K20</f>
        <v>96</v>
      </c>
      <c r="F70" s="1604">
        <f>E70-$K20</f>
        <v>94</v>
      </c>
      <c r="G70" s="1604">
        <f>F70-$K20</f>
        <v>92</v>
      </c>
      <c r="H70" s="1604"/>
      <c r="I70" s="1604"/>
      <c r="J70" s="1604"/>
      <c r="K70" s="1604"/>
      <c r="L70" s="1604"/>
      <c r="M70" s="1638"/>
      <c r="N70" s="1571"/>
      <c r="O70" s="1571"/>
      <c r="P70" s="2196"/>
      <c r="Q70" s="1588"/>
      <c r="R70" s="1484"/>
      <c r="S70" s="1484"/>
      <c r="T70" s="1484"/>
      <c r="U70" s="1484"/>
      <c r="V70" s="1484"/>
      <c r="W70" s="1484"/>
      <c r="X70" s="1484"/>
      <c r="Y70" s="1484"/>
      <c r="Z70" s="1484"/>
      <c r="AA70" s="1484"/>
      <c r="AB70" s="1484"/>
      <c r="AC70" s="1484"/>
    </row>
    <row r="71" spans="1:29" ht="14.4">
      <c r="A71" s="1516"/>
      <c r="B71" s="1597" t="s">
        <v>2903</v>
      </c>
      <c r="C71" s="1606"/>
      <c r="D71" s="1606"/>
      <c r="E71" s="1606"/>
      <c r="F71" s="1606"/>
      <c r="G71" s="1606"/>
      <c r="H71" s="1598"/>
      <c r="I71" s="1598"/>
      <c r="J71" s="1598"/>
      <c r="K71" s="1632"/>
      <c r="L71" s="1633"/>
      <c r="M71" s="1634"/>
      <c r="N71" s="1568"/>
      <c r="O71" s="1568"/>
      <c r="P71" s="2196"/>
      <c r="Q71" s="1588"/>
      <c r="R71" s="1484"/>
      <c r="S71" s="1484"/>
      <c r="T71" s="1484"/>
      <c r="U71" s="1484"/>
      <c r="V71" s="1484"/>
      <c r="W71" s="1484"/>
      <c r="X71" s="1484"/>
      <c r="Y71" s="1484"/>
      <c r="Z71" s="1484"/>
      <c r="AA71" s="1484"/>
      <c r="AB71" s="1484"/>
      <c r="AC71" s="1484"/>
    </row>
    <row r="72" spans="1:29">
      <c r="A72" s="1516"/>
      <c r="B72" s="1599"/>
      <c r="C72" s="1604">
        <v>100</v>
      </c>
      <c r="D72" s="1604">
        <f>C72-$K22</f>
        <v>100</v>
      </c>
      <c r="E72" s="1604">
        <f>D72-$K22</f>
        <v>100</v>
      </c>
      <c r="F72" s="1604">
        <f>E72-$K22</f>
        <v>100</v>
      </c>
      <c r="G72" s="1604">
        <f>F72-$K22</f>
        <v>100</v>
      </c>
      <c r="H72" s="1604"/>
      <c r="I72" s="1604"/>
      <c r="J72" s="1604"/>
      <c r="K72" s="1604"/>
      <c r="L72" s="1604"/>
      <c r="M72" s="1638"/>
      <c r="N72" s="1571"/>
      <c r="O72" s="1571"/>
      <c r="P72" s="2196"/>
      <c r="Q72" s="1588"/>
      <c r="R72" s="1484"/>
      <c r="S72" s="1484"/>
      <c r="T72" s="1484"/>
      <c r="U72" s="1484"/>
      <c r="V72" s="1484"/>
      <c r="W72" s="1484"/>
      <c r="X72" s="1484"/>
      <c r="Y72" s="1484"/>
      <c r="Z72" s="1484"/>
      <c r="AA72" s="1484"/>
      <c r="AB72" s="1484"/>
      <c r="AC72" s="1484"/>
    </row>
    <row r="73" spans="1:29" s="1353" customFormat="1">
      <c r="A73" s="1619"/>
      <c r="B73" s="1597">
        <f>B23</f>
        <v>111</v>
      </c>
      <c r="C73" s="1603"/>
      <c r="D73" s="1603"/>
      <c r="E73" s="1603"/>
      <c r="F73" s="1603"/>
      <c r="G73" s="1606"/>
      <c r="H73" s="1606"/>
      <c r="I73" s="1606"/>
      <c r="J73" s="1606"/>
      <c r="K73" s="1606"/>
      <c r="L73" s="1657"/>
      <c r="M73" s="1658"/>
      <c r="N73" s="1562"/>
      <c r="O73" s="1562"/>
      <c r="P73" s="2196"/>
      <c r="Q73" s="1588"/>
      <c r="R73" s="1590"/>
      <c r="S73" s="1590"/>
      <c r="T73" s="1590"/>
      <c r="U73" s="1590"/>
      <c r="V73" s="1590"/>
      <c r="W73" s="1590"/>
      <c r="X73" s="1590"/>
      <c r="Y73" s="1590"/>
      <c r="Z73" s="1590"/>
      <c r="AA73" s="1590"/>
      <c r="AB73" s="1590"/>
      <c r="AC73" s="1590"/>
    </row>
    <row r="74" spans="1:29" s="1353" customFormat="1">
      <c r="A74" s="1619"/>
      <c r="B74" s="1599"/>
      <c r="C74" s="1608"/>
      <c r="D74" s="1518"/>
      <c r="E74" s="1518"/>
      <c r="F74" s="1518"/>
      <c r="G74" s="1518"/>
      <c r="H74" s="1518"/>
      <c r="I74" s="1518"/>
      <c r="J74" s="1518"/>
      <c r="K74" s="1518"/>
      <c r="L74" s="1518"/>
      <c r="M74" s="1570"/>
      <c r="N74" s="1571"/>
      <c r="O74" s="1571"/>
      <c r="P74" s="2196"/>
      <c r="Q74" s="1588"/>
      <c r="R74" s="1590"/>
      <c r="S74" s="1590"/>
      <c r="T74" s="1590"/>
      <c r="U74" s="1590"/>
      <c r="V74" s="1590"/>
      <c r="W74" s="1590"/>
      <c r="X74" s="1590"/>
      <c r="Y74" s="1590"/>
      <c r="Z74" s="1590"/>
      <c r="AA74" s="1590"/>
      <c r="AB74" s="1590"/>
      <c r="AC74" s="1590"/>
    </row>
    <row r="75" spans="1:29" s="1353" customFormat="1">
      <c r="A75" s="1619"/>
      <c r="B75" s="1597">
        <f>B24</f>
        <v>111</v>
      </c>
      <c r="C75" s="1603"/>
      <c r="D75" s="1603"/>
      <c r="E75" s="1603"/>
      <c r="F75" s="1603"/>
      <c r="G75" s="1606"/>
      <c r="H75" s="1606"/>
      <c r="I75" s="1606"/>
      <c r="J75" s="1606"/>
      <c r="K75" s="1606"/>
      <c r="L75" s="1606"/>
      <c r="M75" s="1658"/>
      <c r="N75" s="1562"/>
      <c r="O75" s="1562"/>
      <c r="P75" s="2196"/>
      <c r="Q75" s="1588"/>
      <c r="R75" s="1590"/>
      <c r="S75" s="1590"/>
      <c r="T75" s="1590"/>
      <c r="U75" s="1590"/>
      <c r="V75" s="1590"/>
      <c r="W75" s="1590"/>
      <c r="X75" s="1590"/>
      <c r="Y75" s="1590"/>
      <c r="Z75" s="1590"/>
      <c r="AA75" s="1590"/>
      <c r="AB75" s="1590"/>
      <c r="AC75" s="1590"/>
    </row>
    <row r="76" spans="1:29" s="1353" customFormat="1">
      <c r="A76" s="1619"/>
      <c r="B76" s="1599"/>
      <c r="C76" s="1608"/>
      <c r="D76" s="1518"/>
      <c r="E76" s="1518"/>
      <c r="F76" s="1518"/>
      <c r="G76" s="1518"/>
      <c r="H76" s="1518"/>
      <c r="I76" s="1518"/>
      <c r="J76" s="1518"/>
      <c r="K76" s="1518"/>
      <c r="L76" s="1518"/>
      <c r="M76" s="1570"/>
      <c r="N76" s="1571"/>
      <c r="O76" s="1571"/>
      <c r="P76" s="2196"/>
      <c r="Q76" s="1588"/>
      <c r="R76" s="1590"/>
      <c r="S76" s="1590"/>
      <c r="T76" s="1590"/>
      <c r="U76" s="1590"/>
      <c r="V76" s="1590"/>
      <c r="W76" s="1590"/>
      <c r="X76" s="1590"/>
      <c r="Y76" s="1590"/>
      <c r="Z76" s="1590"/>
      <c r="AA76" s="1590"/>
      <c r="AB76" s="1590"/>
      <c r="AC76" s="1590"/>
    </row>
    <row r="77" spans="1:29" s="1355" customFormat="1">
      <c r="A77" s="1605"/>
      <c r="B77" s="1597">
        <f>B25</f>
        <v>111</v>
      </c>
      <c r="C77" s="1606"/>
      <c r="D77" s="1606"/>
      <c r="E77" s="1606"/>
      <c r="F77" s="1606"/>
      <c r="G77" s="1606"/>
      <c r="H77" s="1607"/>
      <c r="I77" s="1607"/>
      <c r="J77" s="1607"/>
      <c r="K77" s="1607"/>
      <c r="L77" s="1639"/>
      <c r="M77" s="1640"/>
      <c r="N77" s="1641"/>
      <c r="O77" s="1641"/>
      <c r="P77" s="2203"/>
      <c r="Q77" s="1671"/>
      <c r="R77" s="1672"/>
      <c r="S77" s="1672"/>
      <c r="T77" s="1672"/>
      <c r="U77" s="1672"/>
      <c r="V77" s="1672"/>
      <c r="W77" s="1672"/>
      <c r="X77" s="1672"/>
      <c r="Y77" s="1672"/>
      <c r="Z77" s="1672"/>
      <c r="AA77" s="1672"/>
      <c r="AB77" s="1672"/>
      <c r="AC77" s="1672"/>
    </row>
    <row r="78" spans="1:29" s="1355" customFormat="1">
      <c r="A78" s="1605"/>
      <c r="B78" s="1599"/>
      <c r="C78" s="1608"/>
      <c r="D78" s="1608"/>
      <c r="E78" s="1608"/>
      <c r="F78" s="1608"/>
      <c r="G78" s="1518"/>
      <c r="H78" s="1518"/>
      <c r="I78" s="1518"/>
      <c r="J78" s="1518"/>
      <c r="K78" s="1518"/>
      <c r="L78" s="1518"/>
      <c r="M78" s="1570"/>
      <c r="N78" s="1641"/>
      <c r="O78" s="1641"/>
      <c r="P78" s="2203"/>
      <c r="Q78" s="1671"/>
      <c r="R78" s="1672"/>
      <c r="S78" s="1672"/>
      <c r="T78" s="1672"/>
      <c r="U78" s="1672"/>
      <c r="V78" s="1672"/>
      <c r="W78" s="1672"/>
      <c r="X78" s="1672"/>
      <c r="Y78" s="1672"/>
      <c r="Z78" s="1672"/>
      <c r="AA78" s="1672"/>
      <c r="AB78" s="1672"/>
      <c r="AC78" s="1672"/>
    </row>
    <row r="79" spans="1:29" ht="28.8">
      <c r="A79" s="1512" t="s">
        <v>2904</v>
      </c>
      <c r="B79" s="1513" t="s">
        <v>2943</v>
      </c>
      <c r="C79" s="1514" t="str">
        <f>C26</f>
        <v>住宅</v>
      </c>
      <c r="D79" s="1515"/>
      <c r="E79" s="1515"/>
      <c r="F79" s="1515"/>
      <c r="G79" s="1515"/>
      <c r="H79" s="1515"/>
      <c r="I79" s="1515"/>
      <c r="J79" s="1515"/>
      <c r="K79" s="1565"/>
      <c r="L79" s="1566"/>
      <c r="M79" s="1567"/>
      <c r="N79" s="1568"/>
      <c r="O79" s="1568"/>
      <c r="P79" s="2196"/>
      <c r="Q79" s="1588"/>
      <c r="R79" s="1484"/>
      <c r="S79" s="1484"/>
      <c r="T79" s="1484"/>
      <c r="U79" s="1484"/>
      <c r="V79" s="1484"/>
      <c r="W79" s="1484"/>
      <c r="X79" s="1484"/>
      <c r="Y79" s="1484"/>
      <c r="Z79" s="1484"/>
      <c r="AA79" s="1484"/>
      <c r="AB79" s="1484"/>
      <c r="AC79" s="1484"/>
    </row>
    <row r="80" spans="1:29">
      <c r="A80" s="1516"/>
      <c r="B80" s="1599"/>
      <c r="C80" s="1604">
        <v>100</v>
      </c>
      <c r="D80" s="1604">
        <f t="shared" ref="D80:M80" si="17">C80-$K26</f>
        <v>100</v>
      </c>
      <c r="E80" s="1604">
        <f t="shared" si="17"/>
        <v>100</v>
      </c>
      <c r="F80" s="1604">
        <f t="shared" si="17"/>
        <v>100</v>
      </c>
      <c r="G80" s="1604">
        <f t="shared" si="17"/>
        <v>100</v>
      </c>
      <c r="H80" s="1604">
        <f t="shared" si="17"/>
        <v>100</v>
      </c>
      <c r="I80" s="1604">
        <f t="shared" si="17"/>
        <v>100</v>
      </c>
      <c r="J80" s="1604">
        <f t="shared" si="17"/>
        <v>100</v>
      </c>
      <c r="K80" s="1604">
        <f t="shared" si="17"/>
        <v>100</v>
      </c>
      <c r="L80" s="1604">
        <f t="shared" si="17"/>
        <v>100</v>
      </c>
      <c r="M80" s="1638">
        <f t="shared" si="17"/>
        <v>100</v>
      </c>
      <c r="N80" s="1571"/>
      <c r="O80" s="1571"/>
      <c r="P80" s="2196"/>
      <c r="Q80" s="1588"/>
      <c r="R80" s="1484"/>
      <c r="S80" s="1484"/>
      <c r="T80" s="1484"/>
      <c r="U80" s="1484"/>
      <c r="V80" s="1484"/>
      <c r="W80" s="1484"/>
      <c r="X80" s="1484"/>
      <c r="Y80" s="1484"/>
      <c r="Z80" s="1484"/>
      <c r="AA80" s="1484"/>
      <c r="AB80" s="1484"/>
      <c r="AC80" s="1484"/>
    </row>
    <row r="81" spans="1:29" ht="14.4">
      <c r="A81" s="1516"/>
      <c r="B81" s="1597" t="s">
        <v>2907</v>
      </c>
      <c r="C81" s="2644" t="s">
        <v>2910</v>
      </c>
      <c r="D81" s="2644" t="s">
        <v>2909</v>
      </c>
      <c r="E81" s="2644" t="s">
        <v>2908</v>
      </c>
      <c r="F81" s="2644" t="s">
        <v>2911</v>
      </c>
      <c r="G81" s="2644"/>
      <c r="H81" s="2644"/>
      <c r="I81" s="2644"/>
      <c r="J81" s="2644"/>
      <c r="K81" s="2646"/>
      <c r="L81" s="2647"/>
      <c r="M81" s="2648"/>
      <c r="N81" s="1562"/>
      <c r="O81" s="1562"/>
      <c r="P81" s="2196"/>
      <c r="Q81" s="1588"/>
      <c r="R81" s="1484"/>
      <c r="S81" s="1484"/>
      <c r="T81" s="1484"/>
      <c r="U81" s="1484"/>
      <c r="V81" s="1484"/>
      <c r="W81" s="1484"/>
      <c r="X81" s="1484"/>
      <c r="Y81" s="1484"/>
      <c r="Z81" s="1484"/>
      <c r="AA81" s="1484"/>
      <c r="AB81" s="1484"/>
      <c r="AC81" s="1484"/>
    </row>
    <row r="82" spans="1:29" s="1355" customFormat="1">
      <c r="A82" s="1605"/>
      <c r="B82" s="1599"/>
      <c r="C82" s="1608">
        <v>100</v>
      </c>
      <c r="D82" s="1518">
        <v>102</v>
      </c>
      <c r="E82" s="1518">
        <v>103</v>
      </c>
      <c r="F82" s="1518">
        <v>104</v>
      </c>
      <c r="G82" s="1518"/>
      <c r="H82" s="1518"/>
      <c r="I82" s="1518"/>
      <c r="J82" s="1518"/>
      <c r="K82" s="1518"/>
      <c r="L82" s="1518"/>
      <c r="M82" s="1570"/>
      <c r="N82" s="1571"/>
      <c r="O82" s="1571"/>
      <c r="P82" s="2203"/>
      <c r="Q82" s="1671"/>
      <c r="R82" s="1672"/>
      <c r="S82" s="1672"/>
      <c r="T82" s="1672"/>
      <c r="U82" s="1672"/>
      <c r="V82" s="1672"/>
      <c r="W82" s="1672"/>
      <c r="X82" s="1672"/>
      <c r="Y82" s="1672"/>
      <c r="Z82" s="1672"/>
      <c r="AA82" s="1672"/>
      <c r="AB82" s="1672"/>
      <c r="AC82" s="1672"/>
    </row>
    <row r="83" spans="1:29" ht="14.4">
      <c r="A83" s="1629"/>
      <c r="B83" s="1597" t="s">
        <v>2912</v>
      </c>
      <c r="C83" s="1630" t="s">
        <v>2913</v>
      </c>
      <c r="D83" s="1606"/>
      <c r="E83" s="1598"/>
      <c r="F83" s="1598"/>
      <c r="G83" s="1598"/>
      <c r="H83" s="1598"/>
      <c r="I83" s="1598"/>
      <c r="J83" s="1598"/>
      <c r="K83" s="1632"/>
      <c r="L83" s="1633"/>
      <c r="M83" s="1634"/>
      <c r="N83" s="1568"/>
      <c r="O83" s="1568"/>
      <c r="P83" s="2196"/>
      <c r="Q83" s="1588"/>
      <c r="R83" s="1484"/>
      <c r="S83" s="1484"/>
      <c r="T83" s="1484"/>
      <c r="U83" s="1484"/>
      <c r="V83" s="1484"/>
      <c r="W83" s="1484"/>
      <c r="X83" s="1484"/>
      <c r="Y83" s="1484"/>
      <c r="Z83" s="1484"/>
      <c r="AA83" s="1484"/>
      <c r="AB83" s="1484"/>
      <c r="AC83" s="1484"/>
    </row>
    <row r="84" spans="1:29">
      <c r="A84" s="1516"/>
      <c r="B84" s="1599"/>
      <c r="C84" s="1604">
        <v>100</v>
      </c>
      <c r="D84" s="1604">
        <f t="shared" ref="D84:M84" si="18">C84-$K28</f>
        <v>98</v>
      </c>
      <c r="E84" s="1604">
        <f t="shared" si="18"/>
        <v>96</v>
      </c>
      <c r="F84" s="1604">
        <f t="shared" si="18"/>
        <v>94</v>
      </c>
      <c r="G84" s="1604">
        <f t="shared" si="18"/>
        <v>92</v>
      </c>
      <c r="H84" s="1604">
        <f t="shared" si="18"/>
        <v>90</v>
      </c>
      <c r="I84" s="1604">
        <f t="shared" si="18"/>
        <v>88</v>
      </c>
      <c r="J84" s="1604">
        <f t="shared" si="18"/>
        <v>86</v>
      </c>
      <c r="K84" s="1604">
        <f t="shared" si="18"/>
        <v>84</v>
      </c>
      <c r="L84" s="1604">
        <f t="shared" si="18"/>
        <v>82</v>
      </c>
      <c r="M84" s="1638">
        <f t="shared" si="18"/>
        <v>80</v>
      </c>
      <c r="N84" s="1571"/>
      <c r="O84" s="1571"/>
      <c r="P84" s="2196"/>
      <c r="Q84" s="1588"/>
      <c r="R84" s="1484"/>
      <c r="S84" s="1484"/>
      <c r="T84" s="1484"/>
      <c r="U84" s="1484"/>
      <c r="V84" s="1484"/>
      <c r="W84" s="1484"/>
      <c r="X84" s="1484"/>
      <c r="Y84" s="1484"/>
      <c r="Z84" s="1484"/>
      <c r="AA84" s="1484"/>
      <c r="AB84" s="1484"/>
      <c r="AC84" s="1484"/>
    </row>
    <row r="85" spans="1:29" ht="14.4">
      <c r="A85" s="1629"/>
      <c r="B85" s="1597" t="s">
        <v>2914</v>
      </c>
      <c r="C85" s="1616" t="str">
        <f>C86&amp;"(含)"&amp;"-"&amp;D86</f>
        <v>0.5(含)-0.6</v>
      </c>
      <c r="D85" s="1616" t="str">
        <f>D86&amp;"(含)"&amp;"-"&amp;E86</f>
        <v>0.6(含)-0.7</v>
      </c>
      <c r="E85" s="1616" t="str">
        <f>E86&amp;"(含)"&amp;"-"&amp;F86</f>
        <v>0.7(含)-0.8</v>
      </c>
      <c r="F85" s="1616" t="str">
        <f>F86&amp;"(含)"&amp;"-"&amp;G86</f>
        <v>0.8(含)-0.9</v>
      </c>
      <c r="G85" s="1616" t="str">
        <f>G86&amp;"(含)"&amp;"-"&amp;ROUND(H86,0)&amp;"(含)"</f>
        <v>0.9(含)-1(含)</v>
      </c>
      <c r="H85" s="1616"/>
      <c r="I85" s="1598"/>
      <c r="J85" s="1598"/>
      <c r="K85" s="1632"/>
      <c r="L85" s="1633"/>
      <c r="M85" s="1634"/>
      <c r="N85" s="1568"/>
      <c r="O85" s="1568"/>
      <c r="P85" s="2196"/>
      <c r="Q85" s="1588"/>
      <c r="R85" s="1484"/>
      <c r="S85" s="1484"/>
      <c r="T85" s="1484"/>
      <c r="U85" s="1484"/>
      <c r="V85" s="1484"/>
      <c r="W85" s="1484"/>
      <c r="X85" s="1484"/>
      <c r="Y85" s="1484"/>
      <c r="Z85" s="1484"/>
      <c r="AA85" s="1484"/>
      <c r="AB85" s="1484"/>
      <c r="AC85" s="1484"/>
    </row>
    <row r="86" spans="1:29">
      <c r="A86" s="1629"/>
      <c r="B86" s="1600"/>
      <c r="C86" s="1251">
        <v>0.5</v>
      </c>
      <c r="D86" s="1251">
        <v>0.6</v>
      </c>
      <c r="E86" s="1251">
        <v>0.7</v>
      </c>
      <c r="F86" s="1251">
        <v>0.8</v>
      </c>
      <c r="G86" s="1251">
        <v>0.9</v>
      </c>
      <c r="H86" s="1251">
        <v>1.0001</v>
      </c>
      <c r="I86" s="1667"/>
      <c r="J86" s="1667"/>
      <c r="K86" s="1668"/>
      <c r="L86" s="1669"/>
      <c r="M86" s="1670"/>
      <c r="N86" s="1568"/>
      <c r="O86" s="1568"/>
      <c r="P86" s="2196"/>
      <c r="Q86" s="1588"/>
      <c r="R86" s="1484"/>
      <c r="S86" s="1484"/>
      <c r="T86" s="1484"/>
      <c r="U86" s="1484"/>
      <c r="V86" s="1484"/>
      <c r="W86" s="1484"/>
      <c r="X86" s="1484"/>
      <c r="Y86" s="1484"/>
      <c r="Z86" s="1484"/>
      <c r="AA86" s="1484"/>
      <c r="AB86" s="1484"/>
      <c r="AC86" s="1484"/>
    </row>
    <row r="87" spans="1:29">
      <c r="A87" s="1516"/>
      <c r="B87" s="1599"/>
      <c r="C87" s="1620">
        <v>100</v>
      </c>
      <c r="D87" s="1604">
        <f>C87+$K$29</f>
        <v>102</v>
      </c>
      <c r="E87" s="1604">
        <f t="shared" ref="E87:M87" si="19">D87+$K$29</f>
        <v>104</v>
      </c>
      <c r="F87" s="1604">
        <f t="shared" si="19"/>
        <v>106</v>
      </c>
      <c r="G87" s="1604">
        <f t="shared" si="19"/>
        <v>108</v>
      </c>
      <c r="H87" s="1604">
        <f t="shared" si="19"/>
        <v>110</v>
      </c>
      <c r="I87" s="1604">
        <f t="shared" si="19"/>
        <v>112</v>
      </c>
      <c r="J87" s="1604">
        <f t="shared" si="19"/>
        <v>114</v>
      </c>
      <c r="K87" s="1604">
        <f t="shared" si="19"/>
        <v>116</v>
      </c>
      <c r="L87" s="1604">
        <f t="shared" si="19"/>
        <v>118</v>
      </c>
      <c r="M87" s="1604">
        <f t="shared" si="19"/>
        <v>120</v>
      </c>
      <c r="N87" s="1571"/>
      <c r="O87" s="1571"/>
      <c r="P87" s="2196"/>
      <c r="Q87" s="1588"/>
      <c r="R87" s="1484"/>
      <c r="S87" s="1484"/>
      <c r="T87" s="1484"/>
      <c r="U87" s="1484"/>
      <c r="V87" s="1484"/>
      <c r="W87" s="1484"/>
      <c r="X87" s="1484"/>
      <c r="Y87" s="1484"/>
      <c r="Z87" s="1484"/>
      <c r="AA87" s="1484"/>
      <c r="AB87" s="1484"/>
      <c r="AC87" s="1484"/>
    </row>
    <row r="88" spans="1:29" ht="14.4">
      <c r="A88" s="1629"/>
      <c r="B88" s="1600" t="s">
        <v>2915</v>
      </c>
      <c r="C88" s="1515"/>
      <c r="D88" s="1515"/>
      <c r="E88" s="1515"/>
      <c r="F88" s="1515"/>
      <c r="G88" s="1515"/>
      <c r="H88" s="1515"/>
      <c r="I88" s="1515"/>
      <c r="J88" s="1515"/>
      <c r="K88" s="1565"/>
      <c r="L88" s="1566"/>
      <c r="M88" s="1567"/>
      <c r="N88" s="1568"/>
      <c r="O88" s="1568"/>
      <c r="P88" s="2196"/>
      <c r="Q88" s="1588"/>
      <c r="R88" s="1484"/>
      <c r="S88" s="1484"/>
      <c r="T88" s="1484"/>
      <c r="U88" s="1484"/>
      <c r="V88" s="1484"/>
      <c r="W88" s="1484"/>
      <c r="X88" s="1484"/>
      <c r="Y88" s="1484"/>
      <c r="Z88" s="1484"/>
      <c r="AA88" s="1484"/>
      <c r="AB88" s="1484"/>
      <c r="AC88" s="1484"/>
    </row>
    <row r="89" spans="1:29">
      <c r="A89" s="1516"/>
      <c r="B89" s="1599"/>
      <c r="C89" s="1620">
        <v>100</v>
      </c>
      <c r="D89" s="1604">
        <f t="shared" ref="D89:M89" si="20">C89+$K30</f>
        <v>100</v>
      </c>
      <c r="E89" s="1604">
        <f t="shared" si="20"/>
        <v>100</v>
      </c>
      <c r="F89" s="1604">
        <f t="shared" si="20"/>
        <v>100</v>
      </c>
      <c r="G89" s="1604">
        <f t="shared" si="20"/>
        <v>100</v>
      </c>
      <c r="H89" s="1604">
        <f t="shared" si="20"/>
        <v>100</v>
      </c>
      <c r="I89" s="1604">
        <f t="shared" si="20"/>
        <v>100</v>
      </c>
      <c r="J89" s="1604">
        <f t="shared" si="20"/>
        <v>100</v>
      </c>
      <c r="K89" s="1604">
        <f t="shared" si="20"/>
        <v>100</v>
      </c>
      <c r="L89" s="1604">
        <f t="shared" si="20"/>
        <v>100</v>
      </c>
      <c r="M89" s="1604">
        <f t="shared" si="20"/>
        <v>100</v>
      </c>
      <c r="N89" s="1571"/>
      <c r="O89" s="1571"/>
      <c r="P89" s="2196"/>
      <c r="Q89" s="1588"/>
      <c r="R89" s="1484"/>
      <c r="S89" s="1484"/>
      <c r="T89" s="1484"/>
      <c r="U89" s="1484"/>
      <c r="V89" s="1484"/>
      <c r="W89" s="1484"/>
      <c r="X89" s="1484"/>
      <c r="Y89" s="1484"/>
      <c r="Z89" s="1484"/>
      <c r="AA89" s="1484"/>
      <c r="AB89" s="1484"/>
      <c r="AC89" s="1484"/>
    </row>
    <row r="90" spans="1:29" s="1355" customFormat="1" ht="14.4">
      <c r="A90" s="1626"/>
      <c r="B90" s="1597" t="s">
        <v>2916</v>
      </c>
      <c r="C90" s="1616" t="str">
        <f>C91&amp;"(含)"&amp;"-"&amp;D91</f>
        <v>25(含)-30</v>
      </c>
      <c r="D90" s="1616" t="str">
        <f t="shared" ref="D90:L90" si="21">D91&amp;"(含)"&amp;"-"&amp;E91</f>
        <v>30(含)-40</v>
      </c>
      <c r="E90" s="1616" t="str">
        <f t="shared" si="21"/>
        <v>40(含)-70</v>
      </c>
      <c r="F90" s="1616" t="str">
        <f t="shared" si="21"/>
        <v>70(含)-</v>
      </c>
      <c r="G90" s="1616" t="str">
        <f t="shared" si="21"/>
        <v>(含)-</v>
      </c>
      <c r="H90" s="1616" t="str">
        <f t="shared" si="21"/>
        <v>(含)-</v>
      </c>
      <c r="I90" s="1616" t="str">
        <f t="shared" si="21"/>
        <v>(含)-</v>
      </c>
      <c r="J90" s="1616" t="str">
        <f t="shared" si="21"/>
        <v>(含)-</v>
      </c>
      <c r="K90" s="1616" t="str">
        <f t="shared" si="21"/>
        <v>(含)-</v>
      </c>
      <c r="L90" s="1616" t="str">
        <f t="shared" si="21"/>
        <v>(含)-</v>
      </c>
      <c r="M90" s="1663" t="str">
        <f>M91&amp;"(含)"&amp;"-"&amp;P91</f>
        <v>(含)-</v>
      </c>
      <c r="N90" s="1641"/>
      <c r="O90" s="1641"/>
      <c r="P90" s="2203"/>
      <c r="Q90" s="1671"/>
      <c r="R90" s="1672"/>
      <c r="S90" s="1672"/>
      <c r="T90" s="1672"/>
      <c r="U90" s="1672"/>
      <c r="V90" s="1672"/>
      <c r="W90" s="1672"/>
      <c r="X90" s="1672"/>
      <c r="Y90" s="1672"/>
      <c r="Z90" s="1672"/>
      <c r="AA90" s="1672"/>
      <c r="AB90" s="1672"/>
      <c r="AC90" s="1672"/>
    </row>
    <row r="91" spans="1:29" s="1355" customFormat="1">
      <c r="A91" s="1626"/>
      <c r="B91" s="1600"/>
      <c r="C91" s="2645">
        <f>典型户型修正!C3</f>
        <v>25</v>
      </c>
      <c r="D91" s="2645">
        <f>典型户型修正!D3</f>
        <v>30</v>
      </c>
      <c r="E91" s="2645">
        <f>典型户型修正!E3</f>
        <v>40</v>
      </c>
      <c r="F91" s="1628">
        <v>70</v>
      </c>
      <c r="G91" s="1628"/>
      <c r="H91" s="1628"/>
      <c r="I91" s="1628"/>
      <c r="J91" s="1664"/>
      <c r="K91" s="1664"/>
      <c r="L91" s="1665"/>
      <c r="M91" s="1666"/>
      <c r="N91" s="1641"/>
      <c r="O91" s="1641"/>
      <c r="P91" s="2203"/>
      <c r="Q91" s="1671"/>
      <c r="R91" s="1672"/>
      <c r="S91" s="1672"/>
      <c r="T91" s="1672"/>
      <c r="U91" s="1672"/>
      <c r="V91" s="1672"/>
      <c r="W91" s="1672"/>
      <c r="X91" s="1672"/>
      <c r="Y91" s="1672"/>
      <c r="Z91" s="1672"/>
      <c r="AA91" s="1672"/>
      <c r="AB91" s="1672"/>
      <c r="AC91" s="1672"/>
    </row>
    <row r="92" spans="1:29" s="1355" customFormat="1">
      <c r="A92" s="1605"/>
      <c r="B92" s="1599"/>
      <c r="C92" s="1608">
        <v>95</v>
      </c>
      <c r="D92" s="1608">
        <v>100</v>
      </c>
      <c r="E92" s="1608">
        <v>100</v>
      </c>
      <c r="F92" s="1518"/>
      <c r="G92" s="1518"/>
      <c r="H92" s="1518"/>
      <c r="I92" s="1518"/>
      <c r="J92" s="1518"/>
      <c r="K92" s="1518"/>
      <c r="L92" s="1518"/>
      <c r="M92" s="1570"/>
      <c r="N92" s="1641"/>
      <c r="O92" s="1641"/>
      <c r="P92" s="2203"/>
      <c r="Q92" s="1671"/>
      <c r="R92" s="1672"/>
      <c r="S92" s="1672"/>
      <c r="T92" s="1672"/>
      <c r="U92" s="1672"/>
      <c r="V92" s="1672"/>
      <c r="W92" s="1672"/>
      <c r="X92" s="1672"/>
      <c r="Y92" s="1672"/>
      <c r="Z92" s="1672"/>
      <c r="AA92" s="1672"/>
      <c r="AB92" s="1672"/>
      <c r="AC92" s="1672"/>
    </row>
    <row r="93" spans="1:29" ht="14.4">
      <c r="A93" s="1629"/>
      <c r="B93" s="1597" t="s">
        <v>2917</v>
      </c>
      <c r="C93" s="1630" t="s">
        <v>2918</v>
      </c>
      <c r="D93" s="1606"/>
      <c r="E93" s="1598"/>
      <c r="F93" s="1598"/>
      <c r="G93" s="1598"/>
      <c r="H93" s="1598"/>
      <c r="I93" s="1598"/>
      <c r="J93" s="1598"/>
      <c r="K93" s="1632"/>
      <c r="L93" s="1633"/>
      <c r="M93" s="1634"/>
      <c r="N93" s="1568"/>
      <c r="O93" s="1568"/>
      <c r="P93" s="2196"/>
      <c r="Q93" s="1588"/>
      <c r="R93" s="1484"/>
      <c r="S93" s="1484"/>
      <c r="T93" s="1484"/>
      <c r="U93" s="1484"/>
      <c r="V93" s="1484"/>
      <c r="W93" s="1484"/>
      <c r="X93" s="1484"/>
      <c r="Y93" s="1484"/>
      <c r="Z93" s="1484"/>
      <c r="AA93" s="1484"/>
      <c r="AB93" s="1484"/>
      <c r="AC93" s="1484"/>
    </row>
    <row r="94" spans="1:29">
      <c r="A94" s="1516"/>
      <c r="B94" s="1599"/>
      <c r="C94" s="1604">
        <v>100</v>
      </c>
      <c r="D94" s="1604">
        <f t="shared" ref="D94:M94" si="22">C94-$K32</f>
        <v>98</v>
      </c>
      <c r="E94" s="1604">
        <f t="shared" si="22"/>
        <v>96</v>
      </c>
      <c r="F94" s="1604">
        <f t="shared" si="22"/>
        <v>94</v>
      </c>
      <c r="G94" s="1604">
        <f t="shared" si="22"/>
        <v>92</v>
      </c>
      <c r="H94" s="1604">
        <f t="shared" si="22"/>
        <v>90</v>
      </c>
      <c r="I94" s="1604">
        <f t="shared" si="22"/>
        <v>88</v>
      </c>
      <c r="J94" s="1604">
        <f t="shared" si="22"/>
        <v>86</v>
      </c>
      <c r="K94" s="1604">
        <f t="shared" si="22"/>
        <v>84</v>
      </c>
      <c r="L94" s="1604">
        <f t="shared" si="22"/>
        <v>82</v>
      </c>
      <c r="M94" s="1638">
        <f t="shared" si="22"/>
        <v>80</v>
      </c>
      <c r="N94" s="1571"/>
      <c r="O94" s="1571"/>
      <c r="P94" s="2196"/>
      <c r="Q94" s="1588"/>
      <c r="R94" s="1484"/>
      <c r="S94" s="1484"/>
      <c r="T94" s="1484"/>
      <c r="U94" s="1484"/>
      <c r="V94" s="1484"/>
      <c r="W94" s="1484"/>
      <c r="X94" s="1484"/>
      <c r="Y94" s="1484"/>
      <c r="Z94" s="1484"/>
      <c r="AA94" s="1484"/>
      <c r="AB94" s="1484"/>
      <c r="AC94" s="1484"/>
    </row>
    <row r="95" spans="1:29" ht="14.4">
      <c r="A95" s="1629"/>
      <c r="B95" s="1597" t="s">
        <v>2919</v>
      </c>
      <c r="C95" s="1515"/>
      <c r="D95" s="1515"/>
      <c r="E95" s="1515"/>
      <c r="F95" s="1515"/>
      <c r="G95" s="1515"/>
      <c r="H95" s="1515"/>
      <c r="I95" s="1515"/>
      <c r="J95" s="1515"/>
      <c r="K95" s="1565"/>
      <c r="L95" s="1566"/>
      <c r="M95" s="1567"/>
      <c r="N95" s="1568"/>
      <c r="O95" s="1568"/>
      <c r="P95" s="2196"/>
      <c r="Q95" s="1588"/>
      <c r="R95" s="1484"/>
      <c r="S95" s="1484"/>
      <c r="T95" s="1484"/>
      <c r="U95" s="1484"/>
      <c r="V95" s="1484"/>
      <c r="W95" s="1484"/>
      <c r="X95" s="1484"/>
      <c r="Y95" s="1484"/>
      <c r="Z95" s="1484"/>
      <c r="AA95" s="1484"/>
      <c r="AB95" s="1484"/>
      <c r="AC95" s="1484"/>
    </row>
    <row r="96" spans="1:29">
      <c r="A96" s="1516"/>
      <c r="B96" s="1599"/>
      <c r="C96" s="1604">
        <v>100</v>
      </c>
      <c r="D96" s="1604">
        <f>C96-$K33</f>
        <v>100</v>
      </c>
      <c r="E96" s="1604">
        <f>D96-$K33</f>
        <v>100</v>
      </c>
      <c r="F96" s="1604">
        <f>E96-$K33</f>
        <v>100</v>
      </c>
      <c r="G96" s="1604">
        <f>F96-$K33</f>
        <v>100</v>
      </c>
      <c r="H96" s="1604"/>
      <c r="I96" s="1604"/>
      <c r="J96" s="1604"/>
      <c r="K96" s="1604"/>
      <c r="L96" s="1604"/>
      <c r="M96" s="1638"/>
      <c r="N96" s="1571"/>
      <c r="O96" s="1571"/>
      <c r="P96" s="2196"/>
      <c r="Q96" s="1588"/>
      <c r="R96" s="1484"/>
      <c r="S96" s="1484"/>
      <c r="T96" s="1484"/>
      <c r="U96" s="1484"/>
      <c r="V96" s="1484"/>
      <c r="W96" s="1484"/>
      <c r="X96" s="1484"/>
      <c r="Y96" s="1484"/>
      <c r="Z96" s="1484"/>
      <c r="AA96" s="1484"/>
      <c r="AB96" s="1484"/>
      <c r="AC96" s="1484"/>
    </row>
    <row r="97" spans="1:29">
      <c r="A97" s="1629"/>
      <c r="B97" s="2173">
        <f>B34</f>
        <v>111</v>
      </c>
      <c r="C97" s="1603"/>
      <c r="D97" s="1603"/>
      <c r="E97" s="1603"/>
      <c r="F97" s="1603"/>
      <c r="G97" s="1606"/>
      <c r="H97" s="1607"/>
      <c r="I97" s="1607"/>
      <c r="J97" s="1607"/>
      <c r="K97" s="1607"/>
      <c r="L97" s="1639"/>
      <c r="M97" s="1640"/>
      <c r="N97" s="1571"/>
      <c r="O97" s="1571"/>
      <c r="P97" s="2209"/>
      <c r="Q97" s="2210"/>
      <c r="R97" s="1484"/>
      <c r="S97" s="1484"/>
      <c r="T97" s="1484"/>
      <c r="U97" s="1484"/>
      <c r="V97" s="1484"/>
      <c r="W97" s="1484"/>
      <c r="X97" s="1484"/>
      <c r="Y97" s="1484"/>
      <c r="Z97" s="1484"/>
      <c r="AA97" s="1484"/>
      <c r="AB97" s="1484"/>
      <c r="AC97" s="1484"/>
    </row>
    <row r="98" spans="1:29">
      <c r="A98" s="1516"/>
      <c r="B98" s="1599"/>
      <c r="C98" s="1608"/>
      <c r="D98" s="1518"/>
      <c r="E98" s="1518"/>
      <c r="F98" s="1518"/>
      <c r="G98" s="1608"/>
      <c r="H98" s="1609"/>
      <c r="I98" s="1609"/>
      <c r="J98" s="1609"/>
      <c r="K98" s="1609"/>
      <c r="L98" s="1609"/>
      <c r="M98" s="1644"/>
      <c r="N98" s="1571"/>
      <c r="O98" s="1571"/>
      <c r="P98" s="2196"/>
      <c r="Q98" s="1588"/>
      <c r="R98" s="1484"/>
      <c r="S98" s="1484"/>
      <c r="T98" s="1484"/>
      <c r="U98" s="1484"/>
      <c r="V98" s="1484"/>
      <c r="W98" s="1484"/>
      <c r="X98" s="1484"/>
      <c r="Y98" s="1484"/>
      <c r="Z98" s="1484"/>
      <c r="AA98" s="1484"/>
      <c r="AB98" s="1484"/>
      <c r="AC98" s="1484"/>
    </row>
    <row r="99" spans="1:29" s="1355" customFormat="1">
      <c r="A99" s="1626"/>
      <c r="B99" s="1597">
        <f>B35</f>
        <v>111</v>
      </c>
      <c r="C99" s="1603"/>
      <c r="D99" s="1603"/>
      <c r="E99" s="1603"/>
      <c r="F99" s="1603"/>
      <c r="G99" s="1606"/>
      <c r="H99" s="1607"/>
      <c r="I99" s="1607"/>
      <c r="J99" s="1607"/>
      <c r="K99" s="1607"/>
      <c r="L99" s="1639"/>
      <c r="M99" s="1640"/>
      <c r="N99" s="1641"/>
      <c r="O99" s="1641"/>
      <c r="P99" s="2203"/>
      <c r="Q99" s="1671"/>
      <c r="R99" s="1672"/>
      <c r="S99" s="1672"/>
      <c r="T99" s="1672"/>
      <c r="U99" s="1672"/>
      <c r="V99" s="1672"/>
      <c r="W99" s="1672"/>
      <c r="X99" s="1672"/>
      <c r="Y99" s="1672"/>
      <c r="Z99" s="1672"/>
      <c r="AA99" s="1672"/>
      <c r="AB99" s="1672"/>
      <c r="AC99" s="1672"/>
    </row>
    <row r="100" spans="1:29" s="1355" customFormat="1">
      <c r="A100" s="1605"/>
      <c r="B100" s="1517"/>
      <c r="C100" s="1608"/>
      <c r="D100" s="1518"/>
      <c r="E100" s="1518"/>
      <c r="F100" s="1518"/>
      <c r="G100" s="1608"/>
      <c r="H100" s="1609"/>
      <c r="I100" s="1609"/>
      <c r="J100" s="1609"/>
      <c r="K100" s="1609"/>
      <c r="L100" s="1609"/>
      <c r="M100" s="1644"/>
      <c r="N100" s="1641"/>
      <c r="O100" s="1641"/>
      <c r="P100" s="2203"/>
      <c r="Q100" s="1671"/>
      <c r="R100" s="1672"/>
      <c r="S100" s="1672"/>
      <c r="T100" s="1672"/>
      <c r="U100" s="1672"/>
      <c r="V100" s="1672"/>
      <c r="W100" s="1672"/>
      <c r="X100" s="1672"/>
      <c r="Y100" s="1672"/>
      <c r="Z100" s="1672"/>
      <c r="AA100" s="1672"/>
      <c r="AB100" s="1672"/>
      <c r="AC100" s="1672"/>
    </row>
    <row r="101" spans="1:29">
      <c r="A101" s="1629"/>
      <c r="B101" s="1597">
        <f>B36</f>
        <v>111</v>
      </c>
      <c r="C101" s="1606"/>
      <c r="D101" s="1606"/>
      <c r="E101" s="1606"/>
      <c r="F101" s="1606"/>
      <c r="G101" s="1606"/>
      <c r="H101" s="1607"/>
      <c r="I101" s="1607"/>
      <c r="J101" s="1607"/>
      <c r="K101" s="1607"/>
      <c r="L101" s="1639"/>
      <c r="M101" s="1640"/>
      <c r="N101" s="1568"/>
      <c r="O101" s="1568"/>
      <c r="P101" s="2196"/>
      <c r="Q101" s="1588"/>
      <c r="R101" s="1484"/>
      <c r="S101" s="1484"/>
      <c r="T101" s="1484"/>
      <c r="U101" s="1484"/>
      <c r="V101" s="1484"/>
      <c r="W101" s="1484"/>
      <c r="X101" s="1484"/>
      <c r="Y101" s="1484"/>
      <c r="Z101" s="1484"/>
      <c r="AA101" s="1484"/>
      <c r="AB101" s="1484"/>
      <c r="AC101" s="1484"/>
    </row>
    <row r="102" spans="1:29">
      <c r="A102" s="1516"/>
      <c r="B102" s="1599"/>
      <c r="C102" s="1608"/>
      <c r="D102" s="1608"/>
      <c r="E102" s="1608"/>
      <c r="F102" s="1608"/>
      <c r="G102" s="1608"/>
      <c r="H102" s="1609"/>
      <c r="I102" s="1609"/>
      <c r="J102" s="1609"/>
      <c r="K102" s="1609"/>
      <c r="L102" s="1609"/>
      <c r="M102" s="1644"/>
      <c r="N102" s="1571"/>
      <c r="O102" s="1571"/>
      <c r="P102" s="2196"/>
      <c r="Q102" s="1588"/>
      <c r="R102" s="1484"/>
      <c r="S102" s="1484"/>
      <c r="T102" s="1484"/>
      <c r="U102" s="1484"/>
      <c r="V102" s="1484"/>
      <c r="W102" s="1484"/>
      <c r="X102" s="1484"/>
      <c r="Y102" s="1484"/>
      <c r="Z102" s="1484"/>
      <c r="AA102" s="1484"/>
      <c r="AB102" s="1484"/>
      <c r="AC102" s="1484"/>
    </row>
    <row r="103" spans="1:29">
      <c r="N103" s="1484"/>
      <c r="O103" s="1484"/>
      <c r="P103" s="2190"/>
      <c r="Q103" s="1484"/>
      <c r="R103" s="1484"/>
      <c r="S103" s="1484"/>
      <c r="T103" s="1484"/>
      <c r="U103" s="1484"/>
      <c r="V103" s="1484"/>
      <c r="W103" s="1484"/>
      <c r="X103" s="1484"/>
      <c r="Y103" s="1484"/>
      <c r="Z103" s="1484"/>
      <c r="AA103" s="1484"/>
      <c r="AB103" s="1484"/>
      <c r="AC103" s="148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9" type="noConversion"/>
  <conditionalFormatting sqref="F38">
    <cfRule type="expression" dxfId="193" priority="4">
      <formula>$D$38="简单平均"</formula>
    </cfRule>
  </conditionalFormatting>
  <conditionalFormatting sqref="H38">
    <cfRule type="expression" dxfId="192" priority="3">
      <formula>$D$38="简单平均"</formula>
    </cfRule>
  </conditionalFormatting>
  <conditionalFormatting sqref="J38">
    <cfRule type="expression" dxfId="191" priority="2">
      <formula>$D$38="简单平均"</formula>
    </cfRule>
  </conditionalFormatting>
  <conditionalFormatting sqref="E42">
    <cfRule type="expression" dxfId="190" priority="13" stopIfTrue="1">
      <formula>$F$42="超过30%"</formula>
    </cfRule>
  </conditionalFormatting>
  <conditionalFormatting sqref="G42">
    <cfRule type="expression" dxfId="189" priority="9" stopIfTrue="1">
      <formula>$H$52+$H$42="超过30%"</formula>
    </cfRule>
  </conditionalFormatting>
  <conditionalFormatting sqref="I42">
    <cfRule type="expression" dxfId="188" priority="7" stopIfTrue="1">
      <formula>$J$52+$J$42="超过30%"</formula>
    </cfRule>
  </conditionalFormatting>
  <conditionalFormatting sqref="E43">
    <cfRule type="expression" dxfId="187" priority="11" stopIfTrue="1">
      <formula>$F$43="超过20%"</formula>
    </cfRule>
  </conditionalFormatting>
  <conditionalFormatting sqref="G43">
    <cfRule type="expression" dxfId="186" priority="8" stopIfTrue="1">
      <formula>$H$43="超过20%"</formula>
    </cfRule>
  </conditionalFormatting>
  <conditionalFormatting sqref="I43">
    <cfRule type="expression" dxfId="185" priority="6" stopIfTrue="1">
      <formula>$J$53+$J$43="超过20%"</formula>
    </cfRule>
  </conditionalFormatting>
  <conditionalFormatting sqref="E44">
    <cfRule type="expression" dxfId="184" priority="10" stopIfTrue="1">
      <formula>$F$44="超过30%"</formula>
    </cfRule>
  </conditionalFormatting>
  <conditionalFormatting sqref="F44">
    <cfRule type="containsText" dxfId="183" priority="15" stopIfTrue="1" operator="containsText" text="超过">
      <formula>NOT(ISERROR(SEARCH("超过",F44)))</formula>
    </cfRule>
  </conditionalFormatting>
  <conditionalFormatting sqref="G44">
    <cfRule type="expression" dxfId="182" priority="12" stopIfTrue="1">
      <formula>$H$54+$H$44="超过30%"</formula>
    </cfRule>
  </conditionalFormatting>
  <conditionalFormatting sqref="H44">
    <cfRule type="containsText" dxfId="181" priority="16" stopIfTrue="1" operator="containsText" text="超过">
      <formula>NOT(ISERROR(SEARCH("超过",H44)))</formula>
    </cfRule>
  </conditionalFormatting>
  <conditionalFormatting sqref="I44">
    <cfRule type="expression" dxfId="180" priority="5" stopIfTrue="1">
      <formula>$J$44="超过30%"</formula>
    </cfRule>
  </conditionalFormatting>
  <conditionalFormatting sqref="J44">
    <cfRule type="containsText" dxfId="179" priority="17" stopIfTrue="1" operator="containsText" text="超过">
      <formula>NOT(ISERROR(SEARCH("超过",J44)))</formula>
    </cfRule>
  </conditionalFormatting>
  <conditionalFormatting sqref="F7:F36 H7:H36 J7:J36">
    <cfRule type="cellIs" dxfId="178" priority="1" operator="notEqual">
      <formula>100</formula>
    </cfRule>
  </conditionalFormatting>
  <conditionalFormatting sqref="F42 H42 J42">
    <cfRule type="containsText" dxfId="177" priority="18" stopIfTrue="1" operator="containsText" text="超过">
      <formula>NOT(ISERROR(SEARCH("超过",F42)))</formula>
    </cfRule>
  </conditionalFormatting>
  <conditionalFormatting sqref="F43 H43 J43">
    <cfRule type="containsText" dxfId="17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6"/>
  <sheetViews>
    <sheetView topLeftCell="A4" zoomScale="70" zoomScaleNormal="70" workbookViewId="0">
      <selection activeCell="F4" sqref="F4:F6"/>
    </sheetView>
  </sheetViews>
  <sheetFormatPr defaultColWidth="9" defaultRowHeight="15.6"/>
  <cols>
    <col min="1" max="2" width="9" style="2490"/>
    <col min="3" max="3" width="6" style="2490" customWidth="1"/>
    <col min="4" max="4" width="16.77734375" style="2490" customWidth="1"/>
    <col min="5" max="5" width="10.88671875" style="2490" customWidth="1"/>
    <col min="6" max="6" width="15.77734375" style="2490" customWidth="1"/>
    <col min="7" max="7" width="14" style="2490" customWidth="1"/>
    <col min="8" max="8" width="11.109375" style="2490"/>
    <col min="9" max="16384" width="9" style="2490"/>
  </cols>
  <sheetData>
    <row r="2" spans="3:8">
      <c r="C2" s="2490" t="s">
        <v>613</v>
      </c>
      <c r="D2" s="2490" t="s">
        <v>2944</v>
      </c>
      <c r="E2" s="2490" t="s">
        <v>2945</v>
      </c>
      <c r="F2" s="2490" t="s">
        <v>2946</v>
      </c>
      <c r="G2" s="2490" t="s">
        <v>2947</v>
      </c>
      <c r="H2" s="2490" t="s">
        <v>2948</v>
      </c>
    </row>
    <row r="3" spans="3:8">
      <c r="D3" s="2490" t="s">
        <v>2949</v>
      </c>
      <c r="E3" s="2490" t="s">
        <v>2950</v>
      </c>
    </row>
    <row r="4" spans="3:8">
      <c r="C4" s="2490">
        <v>1</v>
      </c>
      <c r="D4" s="2490" t="s">
        <v>2951</v>
      </c>
      <c r="E4" s="2490" t="s">
        <v>2952</v>
      </c>
      <c r="F4" s="2490">
        <f>ROUND(15436.06/279,2)</f>
        <v>55.33</v>
      </c>
      <c r="G4" s="2490">
        <f>ROUND(15436.06*10000/8659,0)</f>
        <v>17827</v>
      </c>
      <c r="H4" s="2490">
        <f>8659/279</f>
        <v>31.0358422939068</v>
      </c>
    </row>
    <row r="5" spans="3:8">
      <c r="C5" s="2490">
        <v>2</v>
      </c>
      <c r="D5" s="2490" t="s">
        <v>2878</v>
      </c>
      <c r="E5" s="2490" t="s">
        <v>2953</v>
      </c>
      <c r="F5" s="2490">
        <f>ROUND(5962.36/122,2)</f>
        <v>48.87</v>
      </c>
      <c r="G5" s="2490">
        <f>ROUND(5962.36*10000/5183,0)</f>
        <v>11504</v>
      </c>
      <c r="H5" s="2490">
        <f>5183/122</f>
        <v>42.483606557377101</v>
      </c>
    </row>
    <row r="6" spans="3:8">
      <c r="C6" s="2490">
        <v>3</v>
      </c>
      <c r="D6" s="2490" t="s">
        <v>2879</v>
      </c>
      <c r="E6" s="2490" t="s">
        <v>2954</v>
      </c>
      <c r="F6" s="2490">
        <f>ROUND(6305.34/120,2)</f>
        <v>52.54</v>
      </c>
      <c r="G6" s="2490">
        <f>ROUND(6305.34*10000/3867,0)</f>
        <v>16306</v>
      </c>
      <c r="H6" s="2490">
        <f>3867/120</f>
        <v>32.225000000000001</v>
      </c>
    </row>
  </sheetData>
  <phoneticPr fontId="229" type="noConversion"/>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85" zoomScaleNormal="85" workbookViewId="0">
      <pane ySplit="24" topLeftCell="A25" activePane="bottomLeft" state="frozen"/>
      <selection pane="bottomLeft" activeCell="V36" sqref="V36"/>
    </sheetView>
  </sheetViews>
  <sheetFormatPr defaultColWidth="9" defaultRowHeight="13.2"/>
  <cols>
    <col min="1" max="1" width="11.44140625" style="542" customWidth="1"/>
    <col min="2" max="2" width="9.21875" style="543" customWidth="1"/>
    <col min="3" max="3" width="8.44140625" style="543" customWidth="1"/>
    <col min="4" max="4" width="9" style="543"/>
    <col min="5" max="5" width="7.33203125" style="543" customWidth="1"/>
    <col min="6" max="6" width="9" style="543"/>
    <col min="7" max="7" width="5" style="543" customWidth="1"/>
    <col min="8" max="8" width="9" style="543"/>
    <col min="9" max="9" width="5" style="543" customWidth="1"/>
    <col min="10" max="10" width="9" style="543"/>
    <col min="11" max="11" width="5" style="543" customWidth="1"/>
    <col min="12" max="12" width="9" style="543"/>
    <col min="13" max="13" width="5" style="543" customWidth="1"/>
    <col min="14" max="14" width="9" style="543"/>
    <col min="15" max="15" width="5" style="543" customWidth="1"/>
    <col min="16" max="16" width="9" style="543"/>
    <col min="17" max="17" width="5" style="543" customWidth="1"/>
    <col min="18" max="18" width="9" style="544"/>
    <col min="19" max="19" width="9" style="542"/>
    <col min="20" max="45" width="9" style="545"/>
    <col min="46" max="16384" width="9" style="542"/>
  </cols>
  <sheetData>
    <row r="1" spans="1:45" ht="14.25" customHeight="1">
      <c r="A1" s="546"/>
      <c r="B1" s="547" t="s">
        <v>2955</v>
      </c>
      <c r="C1" s="3690" t="s">
        <v>2956</v>
      </c>
      <c r="D1" s="3691"/>
      <c r="E1" s="3691"/>
      <c r="F1" s="3691"/>
      <c r="G1" s="3691"/>
      <c r="H1" s="3691"/>
      <c r="I1" s="3691"/>
      <c r="J1" s="3691"/>
      <c r="K1" s="3691"/>
      <c r="L1" s="3691"/>
      <c r="M1" s="3691"/>
      <c r="N1" s="3691"/>
      <c r="O1" s="3691"/>
      <c r="P1" s="3691"/>
      <c r="Q1" s="3691"/>
      <c r="R1" s="3691"/>
      <c r="S1" s="3692"/>
      <c r="T1" s="547" t="s">
        <v>2957</v>
      </c>
    </row>
    <row r="2" spans="1:45" s="537" customFormat="1" ht="26.4">
      <c r="A2" s="548"/>
      <c r="B2" s="549" t="s">
        <v>458</v>
      </c>
      <c r="C2" s="550" t="str">
        <f t="shared" ref="C2:L2" si="0">C3&amp;"(含)"&amp;"-"&amp;D3</f>
        <v>25(含)-30</v>
      </c>
      <c r="D2" s="551" t="str">
        <f t="shared" si="0"/>
        <v>30(含)-40</v>
      </c>
      <c r="E2" s="551" t="str">
        <f t="shared" si="0"/>
        <v>40(含)-70</v>
      </c>
      <c r="F2" s="551" t="str">
        <f t="shared" si="0"/>
        <v>70(含)-</v>
      </c>
      <c r="G2" s="551" t="str">
        <f t="shared" si="0"/>
        <v>(含)-</v>
      </c>
      <c r="H2" s="551" t="str">
        <f t="shared" si="0"/>
        <v>(含)-</v>
      </c>
      <c r="I2" s="551" t="str">
        <f t="shared" si="0"/>
        <v>(含)-</v>
      </c>
      <c r="J2" s="551" t="str">
        <f t="shared" si="0"/>
        <v>(含)-</v>
      </c>
      <c r="K2" s="551" t="str">
        <f t="shared" si="0"/>
        <v>(含)-</v>
      </c>
      <c r="L2" s="551" t="str">
        <f t="shared" si="0"/>
        <v>(含)-</v>
      </c>
      <c r="M2" s="551" t="str">
        <f t="shared" ref="M2" si="1">M3&amp;"(含)"&amp;"-"&amp;N3</f>
        <v>(含)-</v>
      </c>
      <c r="N2" s="551" t="str">
        <f t="shared" ref="N2" si="2">N3&amp;"(含)"&amp;"-"&amp;O3</f>
        <v>(含)-</v>
      </c>
      <c r="O2" s="551" t="str">
        <f t="shared" ref="O2" si="3">O3&amp;"(含)"&amp;"-"&amp;P3</f>
        <v>(含)-</v>
      </c>
      <c r="P2" s="551" t="str">
        <f t="shared" ref="P2" si="4">P3&amp;"(含)"&amp;"-"&amp;Q3</f>
        <v>(含)-</v>
      </c>
      <c r="Q2" s="551" t="str">
        <f t="shared" ref="Q2" si="5">Q3&amp;"(含)"&amp;"-"&amp;R3</f>
        <v>(含)-</v>
      </c>
      <c r="R2" s="551" t="str">
        <f t="shared" ref="R2" si="6">R3&amp;"(含)"&amp;"-"&amp;S3</f>
        <v>(含)-</v>
      </c>
      <c r="S2" s="631" t="str">
        <f>S3&amp;"(含)"&amp;"-"</f>
        <v>(含)-</v>
      </c>
      <c r="T2" s="632"/>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row>
    <row r="3" spans="1:45" s="538" customFormat="1" ht="24" customHeight="1">
      <c r="A3" s="552"/>
      <c r="B3" s="553"/>
      <c r="C3" s="2604">
        <v>25</v>
      </c>
      <c r="D3" s="2605">
        <v>30</v>
      </c>
      <c r="E3" s="2605">
        <v>40</v>
      </c>
      <c r="F3" s="556">
        <v>70</v>
      </c>
      <c r="G3" s="556"/>
      <c r="H3" s="556"/>
      <c r="I3" s="556"/>
      <c r="J3" s="556"/>
      <c r="K3" s="556"/>
      <c r="L3" s="609"/>
      <c r="M3" s="610"/>
      <c r="N3" s="610"/>
      <c r="O3" s="556"/>
      <c r="P3" s="556"/>
      <c r="Q3" s="556"/>
      <c r="R3" s="556"/>
      <c r="S3" s="634"/>
      <c r="T3" s="635"/>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row>
    <row r="4" spans="1:45" s="538" customFormat="1">
      <c r="A4" s="557"/>
      <c r="B4" s="558"/>
      <c r="C4" s="559">
        <v>95</v>
      </c>
      <c r="D4" s="560">
        <v>100</v>
      </c>
      <c r="E4" s="560">
        <v>100</v>
      </c>
      <c r="F4" s="561"/>
      <c r="G4" s="561"/>
      <c r="H4" s="561"/>
      <c r="I4" s="561"/>
      <c r="J4" s="561"/>
      <c r="K4" s="561"/>
      <c r="L4" s="561"/>
      <c r="M4" s="611"/>
      <c r="N4" s="611"/>
      <c r="O4" s="561"/>
      <c r="P4" s="561"/>
      <c r="Q4" s="561"/>
      <c r="R4" s="561"/>
      <c r="S4" s="637"/>
      <c r="T4" s="638"/>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row>
    <row r="5" spans="1:45" s="539" customFormat="1" ht="24">
      <c r="A5" s="562"/>
      <c r="B5" s="2606" t="s">
        <v>2958</v>
      </c>
      <c r="C5" s="2607" t="s">
        <v>2959</v>
      </c>
      <c r="D5" s="2608" t="s">
        <v>2960</v>
      </c>
      <c r="E5" s="2608" t="s">
        <v>2961</v>
      </c>
      <c r="F5" s="566"/>
      <c r="G5" s="566"/>
      <c r="H5" s="566"/>
      <c r="I5" s="566"/>
      <c r="J5" s="566"/>
      <c r="K5" s="566"/>
      <c r="L5" s="612"/>
      <c r="M5" s="613"/>
      <c r="N5" s="613"/>
      <c r="O5" s="566"/>
      <c r="P5" s="566"/>
      <c r="Q5" s="566"/>
      <c r="R5" s="566"/>
      <c r="S5" s="639"/>
      <c r="T5" s="640">
        <v>30</v>
      </c>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row>
    <row r="6" spans="1:45" s="539" customFormat="1">
      <c r="A6" s="562"/>
      <c r="B6" s="567"/>
      <c r="C6" s="568">
        <v>125</v>
      </c>
      <c r="D6" s="569">
        <v>100</v>
      </c>
      <c r="E6" s="569">
        <v>95</v>
      </c>
      <c r="F6" s="570">
        <f t="shared" ref="F6:S6" si="7">E6-$T5</f>
        <v>65</v>
      </c>
      <c r="G6" s="570">
        <f t="shared" si="7"/>
        <v>35</v>
      </c>
      <c r="H6" s="570">
        <f t="shared" si="7"/>
        <v>5</v>
      </c>
      <c r="I6" s="570">
        <f t="shared" si="7"/>
        <v>-25</v>
      </c>
      <c r="J6" s="570">
        <f t="shared" si="7"/>
        <v>-55</v>
      </c>
      <c r="K6" s="570">
        <f t="shared" si="7"/>
        <v>-85</v>
      </c>
      <c r="L6" s="570">
        <f t="shared" si="7"/>
        <v>-115</v>
      </c>
      <c r="M6" s="570">
        <f t="shared" si="7"/>
        <v>-145</v>
      </c>
      <c r="N6" s="570">
        <f t="shared" si="7"/>
        <v>-175</v>
      </c>
      <c r="O6" s="570">
        <f t="shared" si="7"/>
        <v>-205</v>
      </c>
      <c r="P6" s="570">
        <f t="shared" si="7"/>
        <v>-235</v>
      </c>
      <c r="Q6" s="570">
        <f t="shared" si="7"/>
        <v>-265</v>
      </c>
      <c r="R6" s="570">
        <f t="shared" si="7"/>
        <v>-295</v>
      </c>
      <c r="S6" s="570">
        <f t="shared" si="7"/>
        <v>-325</v>
      </c>
      <c r="T6" s="642"/>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row>
    <row r="7" spans="1:45" s="539" customFormat="1">
      <c r="A7" s="562"/>
      <c r="B7" s="571" t="s">
        <v>2962</v>
      </c>
      <c r="C7" s="572"/>
      <c r="D7" s="573"/>
      <c r="E7" s="573"/>
      <c r="F7" s="574"/>
      <c r="G7" s="574"/>
      <c r="H7" s="574"/>
      <c r="I7" s="574"/>
      <c r="J7" s="574"/>
      <c r="K7" s="574"/>
      <c r="L7" s="574"/>
      <c r="M7" s="614"/>
      <c r="N7" s="615"/>
      <c r="O7" s="616"/>
      <c r="P7" s="617"/>
      <c r="Q7" s="643"/>
      <c r="R7" s="644"/>
      <c r="S7" s="645"/>
      <c r="T7" s="646"/>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row>
    <row r="8" spans="1:45" s="539" customFormat="1">
      <c r="A8" s="562"/>
      <c r="B8" s="567"/>
      <c r="C8" s="568">
        <v>100</v>
      </c>
      <c r="D8" s="569">
        <f>C8-$T7</f>
        <v>100</v>
      </c>
      <c r="E8" s="569">
        <f t="shared" ref="E8:S8" si="8">D8-$T7</f>
        <v>100</v>
      </c>
      <c r="F8" s="570">
        <f t="shared" si="8"/>
        <v>100</v>
      </c>
      <c r="G8" s="570">
        <f t="shared" si="8"/>
        <v>100</v>
      </c>
      <c r="H8" s="570">
        <f t="shared" si="8"/>
        <v>100</v>
      </c>
      <c r="I8" s="570">
        <f t="shared" si="8"/>
        <v>100</v>
      </c>
      <c r="J8" s="570">
        <f t="shared" si="8"/>
        <v>100</v>
      </c>
      <c r="K8" s="570">
        <f t="shared" si="8"/>
        <v>100</v>
      </c>
      <c r="L8" s="570">
        <f t="shared" si="8"/>
        <v>100</v>
      </c>
      <c r="M8" s="570">
        <f t="shared" si="8"/>
        <v>100</v>
      </c>
      <c r="N8" s="570">
        <f t="shared" si="8"/>
        <v>100</v>
      </c>
      <c r="O8" s="570">
        <f t="shared" si="8"/>
        <v>100</v>
      </c>
      <c r="P8" s="570">
        <f t="shared" si="8"/>
        <v>100</v>
      </c>
      <c r="Q8" s="570">
        <f t="shared" si="8"/>
        <v>100</v>
      </c>
      <c r="R8" s="570">
        <f t="shared" si="8"/>
        <v>100</v>
      </c>
      <c r="S8" s="570">
        <f t="shared" si="8"/>
        <v>100</v>
      </c>
      <c r="T8" s="642"/>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row>
    <row r="9" spans="1:45" s="539" customFormat="1">
      <c r="A9" s="562"/>
      <c r="B9" s="571" t="s">
        <v>2963</v>
      </c>
      <c r="C9" s="572"/>
      <c r="D9" s="573"/>
      <c r="E9" s="573"/>
      <c r="F9" s="574"/>
      <c r="G9" s="574"/>
      <c r="H9" s="574"/>
      <c r="I9" s="574"/>
      <c r="J9" s="574"/>
      <c r="K9" s="574"/>
      <c r="L9" s="618"/>
      <c r="M9" s="614"/>
      <c r="N9" s="615"/>
      <c r="O9" s="616"/>
      <c r="P9" s="617"/>
      <c r="Q9" s="643"/>
      <c r="R9" s="644"/>
      <c r="S9" s="645"/>
      <c r="T9" s="646"/>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row>
    <row r="10" spans="1:45" s="539" customFormat="1">
      <c r="A10" s="562"/>
      <c r="B10" s="558"/>
      <c r="C10" s="575">
        <v>100</v>
      </c>
      <c r="D10" s="576">
        <f>C10-$T9</f>
        <v>100</v>
      </c>
      <c r="E10" s="576">
        <f t="shared" ref="E10:S10" si="9">D10-$T9</f>
        <v>100</v>
      </c>
      <c r="F10" s="577">
        <f t="shared" si="9"/>
        <v>100</v>
      </c>
      <c r="G10" s="577">
        <f t="shared" si="9"/>
        <v>100</v>
      </c>
      <c r="H10" s="577">
        <f t="shared" si="9"/>
        <v>100</v>
      </c>
      <c r="I10" s="577">
        <f t="shared" si="9"/>
        <v>100</v>
      </c>
      <c r="J10" s="577">
        <f t="shared" si="9"/>
        <v>100</v>
      </c>
      <c r="K10" s="577">
        <f t="shared" si="9"/>
        <v>100</v>
      </c>
      <c r="L10" s="577">
        <f t="shared" si="9"/>
        <v>100</v>
      </c>
      <c r="M10" s="577">
        <f t="shared" si="9"/>
        <v>100</v>
      </c>
      <c r="N10" s="577">
        <f t="shared" si="9"/>
        <v>100</v>
      </c>
      <c r="O10" s="577">
        <f t="shared" si="9"/>
        <v>100</v>
      </c>
      <c r="P10" s="577">
        <f t="shared" si="9"/>
        <v>100</v>
      </c>
      <c r="Q10" s="577">
        <f t="shared" si="9"/>
        <v>100</v>
      </c>
      <c r="R10" s="577">
        <f t="shared" si="9"/>
        <v>100</v>
      </c>
      <c r="S10" s="577">
        <f t="shared" si="9"/>
        <v>100</v>
      </c>
      <c r="T10" s="638"/>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row>
    <row r="11" spans="1:45" s="539" customFormat="1">
      <c r="A11" s="562"/>
      <c r="B11" s="563" t="s">
        <v>2964</v>
      </c>
      <c r="C11" s="564"/>
      <c r="D11" s="565"/>
      <c r="E11" s="565"/>
      <c r="F11" s="565"/>
      <c r="G11" s="565"/>
      <c r="H11" s="565"/>
      <c r="I11" s="565"/>
      <c r="J11" s="565"/>
      <c r="K11" s="565"/>
      <c r="L11" s="565"/>
      <c r="M11" s="619"/>
      <c r="N11" s="620"/>
      <c r="O11" s="621"/>
      <c r="P11" s="622"/>
      <c r="Q11" s="647"/>
      <c r="R11" s="648"/>
      <c r="S11" s="649"/>
      <c r="T11" s="640"/>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row>
    <row r="12" spans="1:45" s="539" customFormat="1">
      <c r="A12" s="562"/>
      <c r="B12" s="567"/>
      <c r="C12" s="568">
        <v>100</v>
      </c>
      <c r="D12" s="569">
        <f>C12-$T11</f>
        <v>100</v>
      </c>
      <c r="E12" s="569">
        <f t="shared" ref="E12:S12" si="10">D12-$T11</f>
        <v>100</v>
      </c>
      <c r="F12" s="569">
        <f t="shared" si="10"/>
        <v>100</v>
      </c>
      <c r="G12" s="569">
        <f t="shared" si="10"/>
        <v>100</v>
      </c>
      <c r="H12" s="569">
        <f t="shared" si="10"/>
        <v>100</v>
      </c>
      <c r="I12" s="569">
        <f t="shared" si="10"/>
        <v>100</v>
      </c>
      <c r="J12" s="569">
        <f t="shared" si="10"/>
        <v>100</v>
      </c>
      <c r="K12" s="569">
        <f t="shared" si="10"/>
        <v>100</v>
      </c>
      <c r="L12" s="569">
        <f t="shared" si="10"/>
        <v>100</v>
      </c>
      <c r="M12" s="569">
        <f t="shared" si="10"/>
        <v>100</v>
      </c>
      <c r="N12" s="569">
        <f t="shared" si="10"/>
        <v>100</v>
      </c>
      <c r="O12" s="569">
        <f t="shared" si="10"/>
        <v>100</v>
      </c>
      <c r="P12" s="569">
        <f t="shared" si="10"/>
        <v>100</v>
      </c>
      <c r="Q12" s="569">
        <f t="shared" si="10"/>
        <v>100</v>
      </c>
      <c r="R12" s="569">
        <f t="shared" si="10"/>
        <v>100</v>
      </c>
      <c r="S12" s="569">
        <f t="shared" si="10"/>
        <v>100</v>
      </c>
      <c r="T12" s="642"/>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row>
    <row r="13" spans="1:45" s="539" customFormat="1">
      <c r="A13" s="562"/>
      <c r="B13" s="563" t="s">
        <v>2965</v>
      </c>
      <c r="C13" s="564"/>
      <c r="D13" s="565"/>
      <c r="E13" s="565"/>
      <c r="F13" s="565"/>
      <c r="G13" s="565"/>
      <c r="H13" s="565"/>
      <c r="I13" s="565"/>
      <c r="J13" s="565"/>
      <c r="K13" s="565"/>
      <c r="L13" s="565"/>
      <c r="M13" s="619"/>
      <c r="N13" s="620"/>
      <c r="O13" s="621"/>
      <c r="P13" s="622"/>
      <c r="Q13" s="647"/>
      <c r="R13" s="648"/>
      <c r="S13" s="649"/>
      <c r="T13" s="650"/>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row>
    <row r="14" spans="1:45" s="539" customFormat="1">
      <c r="A14" s="562"/>
      <c r="B14" s="567"/>
      <c r="C14" s="578"/>
      <c r="D14" s="579"/>
      <c r="E14" s="579"/>
      <c r="F14" s="579"/>
      <c r="G14" s="579"/>
      <c r="H14" s="579"/>
      <c r="I14" s="579"/>
      <c r="J14" s="579"/>
      <c r="K14" s="579"/>
      <c r="L14" s="579"/>
      <c r="M14" s="623"/>
      <c r="N14" s="623"/>
      <c r="O14" s="579"/>
      <c r="P14" s="579"/>
      <c r="Q14" s="579"/>
      <c r="R14" s="579"/>
      <c r="S14" s="651"/>
      <c r="T14" s="642"/>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row>
    <row r="15" spans="1:45" s="539" customFormat="1">
      <c r="A15" s="562"/>
      <c r="B15" s="563" t="s">
        <v>2966</v>
      </c>
      <c r="C15" s="564"/>
      <c r="D15" s="565"/>
      <c r="E15" s="565"/>
      <c r="F15" s="565"/>
      <c r="G15" s="565"/>
      <c r="H15" s="565"/>
      <c r="I15" s="565"/>
      <c r="J15" s="565"/>
      <c r="K15" s="565"/>
      <c r="L15" s="565"/>
      <c r="M15" s="619"/>
      <c r="N15" s="620"/>
      <c r="O15" s="621"/>
      <c r="P15" s="622"/>
      <c r="Q15" s="647"/>
      <c r="R15" s="648"/>
      <c r="S15" s="649"/>
      <c r="T15" s="650"/>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row>
    <row r="16" spans="1:45" s="539" customFormat="1">
      <c r="A16" s="562"/>
      <c r="B16" s="558"/>
      <c r="C16" s="559"/>
      <c r="D16" s="560"/>
      <c r="E16" s="560"/>
      <c r="F16" s="560"/>
      <c r="G16" s="560"/>
      <c r="H16" s="560"/>
      <c r="I16" s="560"/>
      <c r="J16" s="560"/>
      <c r="K16" s="560"/>
      <c r="L16" s="560"/>
      <c r="M16" s="624"/>
      <c r="N16" s="624"/>
      <c r="O16" s="560"/>
      <c r="P16" s="560"/>
      <c r="Q16" s="560"/>
      <c r="R16" s="560"/>
      <c r="S16" s="652"/>
      <c r="T16" s="638"/>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row>
    <row r="17" spans="1:45" s="537" customFormat="1">
      <c r="A17" s="580" t="s">
        <v>2967</v>
      </c>
      <c r="B17" s="581" t="s">
        <v>2968</v>
      </c>
      <c r="C17" s="582"/>
      <c r="D17" s="583"/>
      <c r="E17" s="583"/>
      <c r="F17" s="583"/>
      <c r="G17" s="583"/>
      <c r="H17" s="583"/>
      <c r="I17" s="583"/>
      <c r="J17" s="583"/>
      <c r="K17" s="583"/>
      <c r="L17" s="625"/>
      <c r="M17" s="626"/>
      <c r="N17" s="627"/>
      <c r="O17" s="628"/>
      <c r="P17" s="629"/>
      <c r="Q17" s="653"/>
      <c r="R17" s="654"/>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633"/>
      <c r="AS17" s="633"/>
    </row>
    <row r="18" spans="1:45" s="537" customFormat="1">
      <c r="A18" s="584"/>
      <c r="B18" s="585"/>
      <c r="C18" s="586"/>
      <c r="D18" s="587"/>
      <c r="E18" s="587"/>
      <c r="F18" s="587"/>
      <c r="G18" s="587"/>
      <c r="H18" s="587"/>
      <c r="I18" s="587"/>
      <c r="J18" s="587"/>
      <c r="K18" s="587"/>
      <c r="L18" s="587"/>
      <c r="M18" s="630"/>
      <c r="N18" s="630"/>
      <c r="O18" s="587"/>
      <c r="P18" s="587"/>
      <c r="Q18" s="587"/>
      <c r="R18" s="587"/>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33"/>
      <c r="AS18" s="633"/>
    </row>
    <row r="19" spans="1:45">
      <c r="A19" s="588"/>
      <c r="B19" s="589"/>
      <c r="C19" s="589"/>
      <c r="D19" s="590" t="s">
        <v>2969</v>
      </c>
      <c r="E19" s="591"/>
      <c r="F19" s="591"/>
      <c r="G19" s="591"/>
      <c r="H19" s="592"/>
      <c r="I19" s="589"/>
      <c r="J19" s="589"/>
      <c r="K19" s="589"/>
      <c r="L19" s="589"/>
      <c r="M19" s="589"/>
      <c r="N19" s="589"/>
      <c r="O19" s="589"/>
      <c r="P19" s="589"/>
      <c r="Q19" s="589"/>
      <c r="R19" s="657"/>
      <c r="S19" s="588"/>
    </row>
    <row r="20" spans="1:45" ht="15.6">
      <c r="A20" s="593" t="s">
        <v>2970</v>
      </c>
      <c r="B20" s="594">
        <f>IF(D20="——",S22,S22-F20)</f>
        <v>1632</v>
      </c>
      <c r="C20" s="589"/>
      <c r="D20" s="595" t="s">
        <v>124</v>
      </c>
      <c r="E20" s="596"/>
      <c r="F20" s="547" t="e">
        <f ca="1">SUMIF(INDIRECT("'"&amp;H20&amp;"'"&amp;"!A:A"),"承租人权益价值",INDIRECT("'"&amp;H20&amp;"'"&amp;"!c:c"))</f>
        <v>#REF!</v>
      </c>
      <c r="G20" s="547" t="s">
        <v>2676</v>
      </c>
      <c r="H20" s="597"/>
      <c r="I20" s="589"/>
      <c r="J20" s="589"/>
      <c r="K20" s="589"/>
      <c r="L20" s="589"/>
      <c r="M20" s="589"/>
      <c r="N20" s="589"/>
      <c r="O20" s="589"/>
      <c r="P20" s="589"/>
      <c r="Q20" s="589"/>
      <c r="R20" s="657"/>
      <c r="S20" s="588"/>
    </row>
    <row r="21" spans="1:45" ht="15.6">
      <c r="A21" s="593" t="s">
        <v>2971</v>
      </c>
      <c r="B21" s="594">
        <f>ROUND(B20*10000/B22,0)</f>
        <v>15814</v>
      </c>
      <c r="C21" s="589"/>
      <c r="D21" s="589"/>
      <c r="E21" s="589"/>
      <c r="F21" s="589"/>
      <c r="G21" s="589"/>
      <c r="H21" s="589"/>
      <c r="I21" s="589"/>
      <c r="J21" s="589"/>
      <c r="K21" s="589"/>
      <c r="L21" s="589"/>
      <c r="M21" s="589"/>
      <c r="N21" s="589"/>
      <c r="O21" s="589"/>
      <c r="P21" s="589"/>
      <c r="Q21" s="589"/>
      <c r="R21" s="657"/>
      <c r="S21" s="588"/>
    </row>
    <row r="22" spans="1:45">
      <c r="A22" s="598" t="s">
        <v>2972</v>
      </c>
      <c r="B22" s="599">
        <f>SUM(B24:B10000)</f>
        <v>1032</v>
      </c>
      <c r="C22" s="3693" t="s">
        <v>124</v>
      </c>
      <c r="D22" s="3694"/>
      <c r="E22" s="3694"/>
      <c r="F22" s="3694"/>
      <c r="G22" s="3694"/>
      <c r="H22" s="3694"/>
      <c r="I22" s="3694"/>
      <c r="J22" s="3694"/>
      <c r="K22" s="3694"/>
      <c r="L22" s="3694"/>
      <c r="M22" s="3694"/>
      <c r="N22" s="3694"/>
      <c r="O22" s="3694"/>
      <c r="P22" s="3694"/>
      <c r="Q22" s="3695"/>
      <c r="R22" s="659">
        <f>ROUND(S22*10000/B22,0)</f>
        <v>15814</v>
      </c>
      <c r="S22" s="599">
        <f>SUM(S24:S10000)</f>
        <v>1632</v>
      </c>
    </row>
    <row r="23" spans="1:45" s="540" customFormat="1" ht="24">
      <c r="A23" s="602" t="s">
        <v>2973</v>
      </c>
      <c r="B23" s="602" t="s">
        <v>458</v>
      </c>
      <c r="C23" s="602" t="s">
        <v>2957</v>
      </c>
      <c r="D23" s="602" t="str">
        <f>B5</f>
        <v>车位类型</v>
      </c>
      <c r="E23" s="602" t="s">
        <v>2957</v>
      </c>
      <c r="F23" s="602" t="str">
        <f>B7</f>
        <v>修正项3</v>
      </c>
      <c r="G23" s="602" t="s">
        <v>2957</v>
      </c>
      <c r="H23" s="602" t="str">
        <f>B9</f>
        <v>修正项4</v>
      </c>
      <c r="I23" s="602" t="s">
        <v>2957</v>
      </c>
      <c r="J23" s="602" t="str">
        <f>B11</f>
        <v>修正项5</v>
      </c>
      <c r="K23" s="602" t="s">
        <v>2957</v>
      </c>
      <c r="L23" s="602" t="str">
        <f>B13</f>
        <v>修正项6</v>
      </c>
      <c r="M23" s="602" t="s">
        <v>2957</v>
      </c>
      <c r="N23" s="602" t="str">
        <f>B15</f>
        <v>修正项7</v>
      </c>
      <c r="O23" s="602" t="s">
        <v>2957</v>
      </c>
      <c r="P23" s="602" t="str">
        <f>B17</f>
        <v>楼层</v>
      </c>
      <c r="Q23" s="602" t="s">
        <v>2957</v>
      </c>
      <c r="R23" s="660" t="s">
        <v>2974</v>
      </c>
      <c r="S23" s="602" t="s">
        <v>2975</v>
      </c>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row>
    <row r="24" spans="1:45" s="541" customFormat="1">
      <c r="A24" s="603" t="s">
        <v>2976</v>
      </c>
      <c r="B24" s="603">
        <f>最新车位清单!J2</f>
        <v>31.47</v>
      </c>
      <c r="C24" s="604">
        <v>1</v>
      </c>
      <c r="D24" s="605" t="s">
        <v>2960</v>
      </c>
      <c r="E24" s="604">
        <v>1</v>
      </c>
      <c r="F24" s="605"/>
      <c r="G24" s="604">
        <v>1</v>
      </c>
      <c r="H24" s="605"/>
      <c r="I24" s="604">
        <v>1</v>
      </c>
      <c r="J24" s="605"/>
      <c r="K24" s="604">
        <v>1</v>
      </c>
      <c r="L24" s="605"/>
      <c r="M24" s="604">
        <v>1</v>
      </c>
      <c r="N24" s="605"/>
      <c r="O24" s="604">
        <v>1</v>
      </c>
      <c r="P24" s="605"/>
      <c r="Q24" s="604">
        <v>1</v>
      </c>
      <c r="R24" s="662">
        <f>'比较法-车位'!C38</f>
        <v>51</v>
      </c>
      <c r="S24" s="663">
        <f>R24</f>
        <v>51</v>
      </c>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row>
    <row r="25" spans="1:45">
      <c r="A25" s="606"/>
      <c r="B25" s="607">
        <f>最新车位清单!J3</f>
        <v>31.47</v>
      </c>
      <c r="C25" s="599">
        <f>IF(B25="",1,(LOOKUP(B25,$3:$3,$4:$4)-LOOKUP($B$24,$3:$3,$4:$4)+100)/100)</f>
        <v>1</v>
      </c>
      <c r="D25" s="608" t="s">
        <v>2960</v>
      </c>
      <c r="E25" s="599">
        <f>(SUMIF($5:$5,D25,$6:$6)-SUMIF($5:$5,$D$24,$6:$6)+100)/100</f>
        <v>1</v>
      </c>
      <c r="F25" s="608"/>
      <c r="G25" s="599">
        <f>(SUMIF($7:$7,F25,$8:$8)-SUMIF($7:$7,$F$24,$8:$8)+100)/100</f>
        <v>1</v>
      </c>
      <c r="H25" s="608"/>
      <c r="I25" s="599">
        <f>(SUMIF($9:$9,H25,$10:$10)-SUMIF($9:$9,$H$24,$10:$10)+100)/100</f>
        <v>1</v>
      </c>
      <c r="J25" s="608"/>
      <c r="K25" s="599">
        <f>(SUMIF($11:$11,J25,$12:$12)-SUMIF($11:$11,$J$24,$12:$12)+100)/100</f>
        <v>1</v>
      </c>
      <c r="L25" s="608"/>
      <c r="M25" s="599">
        <f>(SUMIF($13:$13,L25,$14:$14)-SUMIF($13:$13,$L$24,$14:$14)+100)/100</f>
        <v>1</v>
      </c>
      <c r="N25" s="608"/>
      <c r="O25" s="599">
        <f>(SUMIF($15:$15,N25,$16:$16)-SUMIF($15:$15,$N$24,$16:$16)+100)/100</f>
        <v>1</v>
      </c>
      <c r="P25" s="608"/>
      <c r="Q25" s="599">
        <f>(SUMIF($17:$17,P25,$18:$18)-SUMIF($17:$17,$P$24,$18:$18)+100)/100</f>
        <v>1</v>
      </c>
      <c r="R25" s="659">
        <f>IF(B25="",0,ROUND($R$24*C25*E25*G25*I25*K25*M25*O25*Q25,0))</f>
        <v>51</v>
      </c>
      <c r="S25" s="598">
        <f>R25</f>
        <v>51</v>
      </c>
    </row>
    <row r="26" spans="1:45">
      <c r="A26" s="606"/>
      <c r="B26" s="607">
        <f>最新车位清单!J4</f>
        <v>31.47</v>
      </c>
      <c r="C26" s="599">
        <f t="shared" ref="C26:C89" si="11">IF(B26="",1,(LOOKUP(B26,$3:$3,$4:$4)-LOOKUP($B$24,$3:$3,$4:$4)+100)/100)</f>
        <v>1</v>
      </c>
      <c r="D26" s="608" t="s">
        <v>2960</v>
      </c>
      <c r="E26" s="599">
        <f t="shared" ref="E26:E89" si="12">(SUMIF($5:$5,D26,$6:$6)-SUMIF($5:$5,$D$24,$6:$6)+100)/100</f>
        <v>1</v>
      </c>
      <c r="F26" s="608"/>
      <c r="G26" s="599">
        <f t="shared" ref="G26:G89" si="13">(SUMIF($7:$7,F26,$8:$8)-SUMIF($7:$7,$F$24,$8:$8)+100)/100</f>
        <v>1</v>
      </c>
      <c r="H26" s="608"/>
      <c r="I26" s="599">
        <f t="shared" ref="I26:I89" si="14">(SUMIF($9:$9,H26,$10:$10)-SUMIF($9:$9,$H$24,$10:$10)+100)/100</f>
        <v>1</v>
      </c>
      <c r="J26" s="608"/>
      <c r="K26" s="599">
        <f t="shared" ref="K26:K89" si="15">(SUMIF($11:$11,J26,$12:$12)-SUMIF($11:$11,$J$24,$12:$12)+100)/100</f>
        <v>1</v>
      </c>
      <c r="L26" s="608"/>
      <c r="M26" s="599">
        <f t="shared" ref="M26:M89" si="16">(SUMIF($13:$13,L26,$14:$14)-SUMIF($13:$13,$L$24,$14:$14)+100)/100</f>
        <v>1</v>
      </c>
      <c r="N26" s="608"/>
      <c r="O26" s="599">
        <f t="shared" ref="O26:O89" si="17">(SUMIF($15:$15,N26,$16:$16)-SUMIF($15:$15,$N$24,$16:$16)+100)/100</f>
        <v>1</v>
      </c>
      <c r="P26" s="608"/>
      <c r="Q26" s="599">
        <f t="shared" ref="Q26:Q89" si="18">(SUMIF($17:$17,P26,$18:$18)-SUMIF($17:$17,$P$24,$18:$18)+100)/100</f>
        <v>1</v>
      </c>
      <c r="R26" s="659">
        <f t="shared" ref="R26:R89" si="19">IF(B26="",0,ROUND($R$24*C26*E26*G26*I26*K26*M26*O26*Q26,0))</f>
        <v>51</v>
      </c>
      <c r="S26" s="598">
        <f t="shared" ref="S26:S57" si="20">R26</f>
        <v>51</v>
      </c>
    </row>
    <row r="27" spans="1:45">
      <c r="A27" s="606"/>
      <c r="B27" s="607">
        <f>最新车位清单!J5</f>
        <v>31.47</v>
      </c>
      <c r="C27" s="599">
        <f t="shared" si="11"/>
        <v>1</v>
      </c>
      <c r="D27" s="608" t="s">
        <v>2960</v>
      </c>
      <c r="E27" s="599">
        <f t="shared" si="12"/>
        <v>1</v>
      </c>
      <c r="F27" s="608"/>
      <c r="G27" s="599">
        <f t="shared" si="13"/>
        <v>1</v>
      </c>
      <c r="H27" s="608"/>
      <c r="I27" s="599">
        <f t="shared" si="14"/>
        <v>1</v>
      </c>
      <c r="J27" s="608"/>
      <c r="K27" s="599">
        <f t="shared" si="15"/>
        <v>1</v>
      </c>
      <c r="L27" s="608"/>
      <c r="M27" s="599">
        <f t="shared" si="16"/>
        <v>1</v>
      </c>
      <c r="N27" s="608"/>
      <c r="O27" s="599">
        <f t="shared" si="17"/>
        <v>1</v>
      </c>
      <c r="P27" s="608"/>
      <c r="Q27" s="599">
        <f t="shared" si="18"/>
        <v>1</v>
      </c>
      <c r="R27" s="659">
        <f t="shared" si="19"/>
        <v>51</v>
      </c>
      <c r="S27" s="598">
        <f t="shared" si="20"/>
        <v>51</v>
      </c>
    </row>
    <row r="28" spans="1:45">
      <c r="A28" s="606"/>
      <c r="B28" s="607">
        <f>最新车位清单!J6</f>
        <v>31.47</v>
      </c>
      <c r="C28" s="599">
        <f t="shared" si="11"/>
        <v>1</v>
      </c>
      <c r="D28" s="608" t="s">
        <v>2960</v>
      </c>
      <c r="E28" s="599">
        <f t="shared" si="12"/>
        <v>1</v>
      </c>
      <c r="F28" s="608"/>
      <c r="G28" s="599">
        <f t="shared" si="13"/>
        <v>1</v>
      </c>
      <c r="H28" s="608"/>
      <c r="I28" s="599">
        <f t="shared" si="14"/>
        <v>1</v>
      </c>
      <c r="J28" s="608"/>
      <c r="K28" s="599">
        <f t="shared" si="15"/>
        <v>1</v>
      </c>
      <c r="L28" s="608"/>
      <c r="M28" s="599">
        <f t="shared" si="16"/>
        <v>1</v>
      </c>
      <c r="N28" s="608"/>
      <c r="O28" s="599">
        <f t="shared" si="17"/>
        <v>1</v>
      </c>
      <c r="P28" s="608"/>
      <c r="Q28" s="599">
        <f t="shared" si="18"/>
        <v>1</v>
      </c>
      <c r="R28" s="659">
        <f t="shared" si="19"/>
        <v>51</v>
      </c>
      <c r="S28" s="598">
        <f t="shared" si="20"/>
        <v>51</v>
      </c>
    </row>
    <row r="29" spans="1:45">
      <c r="A29" s="606"/>
      <c r="B29" s="607">
        <f>最新车位清单!J7</f>
        <v>31.47</v>
      </c>
      <c r="C29" s="599">
        <f t="shared" si="11"/>
        <v>1</v>
      </c>
      <c r="D29" s="608" t="s">
        <v>2960</v>
      </c>
      <c r="E29" s="599">
        <f t="shared" si="12"/>
        <v>1</v>
      </c>
      <c r="F29" s="608"/>
      <c r="G29" s="599">
        <f t="shared" si="13"/>
        <v>1</v>
      </c>
      <c r="H29" s="608"/>
      <c r="I29" s="599">
        <f t="shared" si="14"/>
        <v>1</v>
      </c>
      <c r="J29" s="608"/>
      <c r="K29" s="599">
        <f t="shared" si="15"/>
        <v>1</v>
      </c>
      <c r="L29" s="608"/>
      <c r="M29" s="599">
        <f t="shared" si="16"/>
        <v>1</v>
      </c>
      <c r="N29" s="608"/>
      <c r="O29" s="599">
        <f t="shared" si="17"/>
        <v>1</v>
      </c>
      <c r="P29" s="608"/>
      <c r="Q29" s="599">
        <f t="shared" si="18"/>
        <v>1</v>
      </c>
      <c r="R29" s="659">
        <f t="shared" si="19"/>
        <v>51</v>
      </c>
      <c r="S29" s="598">
        <f t="shared" si="20"/>
        <v>51</v>
      </c>
    </row>
    <row r="30" spans="1:45">
      <c r="A30" s="606"/>
      <c r="B30" s="607">
        <f>最新车位清单!J8</f>
        <v>31.47</v>
      </c>
      <c r="C30" s="599">
        <f t="shared" si="11"/>
        <v>1</v>
      </c>
      <c r="D30" s="608" t="s">
        <v>2960</v>
      </c>
      <c r="E30" s="599">
        <f t="shared" si="12"/>
        <v>1</v>
      </c>
      <c r="F30" s="608"/>
      <c r="G30" s="599">
        <f t="shared" si="13"/>
        <v>1</v>
      </c>
      <c r="H30" s="608"/>
      <c r="I30" s="599">
        <f t="shared" si="14"/>
        <v>1</v>
      </c>
      <c r="J30" s="608"/>
      <c r="K30" s="599">
        <f t="shared" si="15"/>
        <v>1</v>
      </c>
      <c r="L30" s="608"/>
      <c r="M30" s="599">
        <f t="shared" si="16"/>
        <v>1</v>
      </c>
      <c r="N30" s="608"/>
      <c r="O30" s="599">
        <f t="shared" si="17"/>
        <v>1</v>
      </c>
      <c r="P30" s="608"/>
      <c r="Q30" s="599">
        <f t="shared" si="18"/>
        <v>1</v>
      </c>
      <c r="R30" s="659">
        <f t="shared" si="19"/>
        <v>51</v>
      </c>
      <c r="S30" s="598">
        <f t="shared" si="20"/>
        <v>51</v>
      </c>
    </row>
    <row r="31" spans="1:45">
      <c r="A31" s="606"/>
      <c r="B31" s="607">
        <f>最新车位清单!J9</f>
        <v>31.47</v>
      </c>
      <c r="C31" s="599">
        <f t="shared" si="11"/>
        <v>1</v>
      </c>
      <c r="D31" s="608" t="s">
        <v>2960</v>
      </c>
      <c r="E31" s="599">
        <f t="shared" si="12"/>
        <v>1</v>
      </c>
      <c r="F31" s="608"/>
      <c r="G31" s="599">
        <f t="shared" si="13"/>
        <v>1</v>
      </c>
      <c r="H31" s="608"/>
      <c r="I31" s="599">
        <f t="shared" si="14"/>
        <v>1</v>
      </c>
      <c r="J31" s="608"/>
      <c r="K31" s="599">
        <f t="shared" si="15"/>
        <v>1</v>
      </c>
      <c r="L31" s="608"/>
      <c r="M31" s="599">
        <f t="shared" si="16"/>
        <v>1</v>
      </c>
      <c r="N31" s="608"/>
      <c r="O31" s="599">
        <f t="shared" si="17"/>
        <v>1</v>
      </c>
      <c r="P31" s="608"/>
      <c r="Q31" s="599">
        <f t="shared" si="18"/>
        <v>1</v>
      </c>
      <c r="R31" s="659">
        <f t="shared" si="19"/>
        <v>51</v>
      </c>
      <c r="S31" s="598">
        <f t="shared" si="20"/>
        <v>51</v>
      </c>
    </row>
    <row r="32" spans="1:45">
      <c r="A32" s="606"/>
      <c r="B32" s="607">
        <f>最新车位清单!J10</f>
        <v>31.47</v>
      </c>
      <c r="C32" s="599">
        <f t="shared" si="11"/>
        <v>1</v>
      </c>
      <c r="D32" s="608" t="s">
        <v>2960</v>
      </c>
      <c r="E32" s="599">
        <f t="shared" si="12"/>
        <v>1</v>
      </c>
      <c r="F32" s="608"/>
      <c r="G32" s="599">
        <f t="shared" si="13"/>
        <v>1</v>
      </c>
      <c r="H32" s="608"/>
      <c r="I32" s="599">
        <f t="shared" si="14"/>
        <v>1</v>
      </c>
      <c r="J32" s="608"/>
      <c r="K32" s="599">
        <f t="shared" si="15"/>
        <v>1</v>
      </c>
      <c r="L32" s="608"/>
      <c r="M32" s="599">
        <f t="shared" si="16"/>
        <v>1</v>
      </c>
      <c r="N32" s="608"/>
      <c r="O32" s="599">
        <f t="shared" si="17"/>
        <v>1</v>
      </c>
      <c r="P32" s="608"/>
      <c r="Q32" s="599">
        <f t="shared" si="18"/>
        <v>1</v>
      </c>
      <c r="R32" s="659">
        <f t="shared" si="19"/>
        <v>51</v>
      </c>
      <c r="S32" s="598">
        <f t="shared" si="20"/>
        <v>51</v>
      </c>
    </row>
    <row r="33" spans="1:19">
      <c r="A33" s="606"/>
      <c r="B33" s="607">
        <f>最新车位清单!J11</f>
        <v>31.47</v>
      </c>
      <c r="C33" s="599">
        <f t="shared" si="11"/>
        <v>1</v>
      </c>
      <c r="D33" s="608" t="s">
        <v>2960</v>
      </c>
      <c r="E33" s="599">
        <f t="shared" si="12"/>
        <v>1</v>
      </c>
      <c r="F33" s="608"/>
      <c r="G33" s="599">
        <f t="shared" si="13"/>
        <v>1</v>
      </c>
      <c r="H33" s="608"/>
      <c r="I33" s="599">
        <f t="shared" si="14"/>
        <v>1</v>
      </c>
      <c r="J33" s="608"/>
      <c r="K33" s="599">
        <f t="shared" si="15"/>
        <v>1</v>
      </c>
      <c r="L33" s="608"/>
      <c r="M33" s="599">
        <f t="shared" si="16"/>
        <v>1</v>
      </c>
      <c r="N33" s="608"/>
      <c r="O33" s="599">
        <f t="shared" si="17"/>
        <v>1</v>
      </c>
      <c r="P33" s="608"/>
      <c r="Q33" s="599">
        <f t="shared" si="18"/>
        <v>1</v>
      </c>
      <c r="R33" s="659">
        <f t="shared" si="19"/>
        <v>51</v>
      </c>
      <c r="S33" s="598">
        <f t="shared" si="20"/>
        <v>51</v>
      </c>
    </row>
    <row r="34" spans="1:19">
      <c r="A34" s="606"/>
      <c r="B34" s="607">
        <f>最新车位清单!J12</f>
        <v>31.47</v>
      </c>
      <c r="C34" s="599">
        <f t="shared" si="11"/>
        <v>1</v>
      </c>
      <c r="D34" s="608" t="s">
        <v>2960</v>
      </c>
      <c r="E34" s="599">
        <f t="shared" si="12"/>
        <v>1</v>
      </c>
      <c r="F34" s="608"/>
      <c r="G34" s="599">
        <f t="shared" si="13"/>
        <v>1</v>
      </c>
      <c r="H34" s="608"/>
      <c r="I34" s="599">
        <f t="shared" si="14"/>
        <v>1</v>
      </c>
      <c r="J34" s="608"/>
      <c r="K34" s="599">
        <f t="shared" si="15"/>
        <v>1</v>
      </c>
      <c r="L34" s="608"/>
      <c r="M34" s="599">
        <f t="shared" si="16"/>
        <v>1</v>
      </c>
      <c r="N34" s="608"/>
      <c r="O34" s="599">
        <f t="shared" si="17"/>
        <v>1</v>
      </c>
      <c r="P34" s="608"/>
      <c r="Q34" s="599">
        <f t="shared" si="18"/>
        <v>1</v>
      </c>
      <c r="R34" s="659">
        <f t="shared" si="19"/>
        <v>51</v>
      </c>
      <c r="S34" s="598">
        <f t="shared" si="20"/>
        <v>51</v>
      </c>
    </row>
    <row r="35" spans="1:19">
      <c r="A35" s="606"/>
      <c r="B35" s="607">
        <f>最新车位清单!J13</f>
        <v>31.47</v>
      </c>
      <c r="C35" s="599">
        <f t="shared" si="11"/>
        <v>1</v>
      </c>
      <c r="D35" s="608" t="s">
        <v>2960</v>
      </c>
      <c r="E35" s="599">
        <f t="shared" si="12"/>
        <v>1</v>
      </c>
      <c r="F35" s="608"/>
      <c r="G35" s="599">
        <f t="shared" si="13"/>
        <v>1</v>
      </c>
      <c r="H35" s="608"/>
      <c r="I35" s="599">
        <f t="shared" si="14"/>
        <v>1</v>
      </c>
      <c r="J35" s="608"/>
      <c r="K35" s="599">
        <f t="shared" si="15"/>
        <v>1</v>
      </c>
      <c r="L35" s="608"/>
      <c r="M35" s="599">
        <f t="shared" si="16"/>
        <v>1</v>
      </c>
      <c r="N35" s="608"/>
      <c r="O35" s="599">
        <f t="shared" si="17"/>
        <v>1</v>
      </c>
      <c r="P35" s="608"/>
      <c r="Q35" s="599">
        <f t="shared" si="18"/>
        <v>1</v>
      </c>
      <c r="R35" s="659">
        <f t="shared" si="19"/>
        <v>51</v>
      </c>
      <c r="S35" s="598">
        <f t="shared" si="20"/>
        <v>51</v>
      </c>
    </row>
    <row r="36" spans="1:19">
      <c r="A36" s="606"/>
      <c r="B36" s="607">
        <f>最新车位清单!J14</f>
        <v>31.47</v>
      </c>
      <c r="C36" s="599">
        <f t="shared" si="11"/>
        <v>1</v>
      </c>
      <c r="D36" s="608" t="s">
        <v>2960</v>
      </c>
      <c r="E36" s="599">
        <f t="shared" si="12"/>
        <v>1</v>
      </c>
      <c r="F36" s="608"/>
      <c r="G36" s="599">
        <f t="shared" si="13"/>
        <v>1</v>
      </c>
      <c r="H36" s="608"/>
      <c r="I36" s="599">
        <f t="shared" si="14"/>
        <v>1</v>
      </c>
      <c r="J36" s="608"/>
      <c r="K36" s="599">
        <f t="shared" si="15"/>
        <v>1</v>
      </c>
      <c r="L36" s="608"/>
      <c r="M36" s="599">
        <f t="shared" si="16"/>
        <v>1</v>
      </c>
      <c r="N36" s="608"/>
      <c r="O36" s="599">
        <f t="shared" si="17"/>
        <v>1</v>
      </c>
      <c r="P36" s="608"/>
      <c r="Q36" s="599">
        <f t="shared" si="18"/>
        <v>1</v>
      </c>
      <c r="R36" s="659">
        <f t="shared" si="19"/>
        <v>51</v>
      </c>
      <c r="S36" s="598">
        <f t="shared" si="20"/>
        <v>51</v>
      </c>
    </row>
    <row r="37" spans="1:19">
      <c r="A37" s="606"/>
      <c r="B37" s="607">
        <f>最新车位清单!J15</f>
        <v>31.47</v>
      </c>
      <c r="C37" s="599">
        <f t="shared" si="11"/>
        <v>1</v>
      </c>
      <c r="D37" s="608" t="s">
        <v>2960</v>
      </c>
      <c r="E37" s="599">
        <f t="shared" si="12"/>
        <v>1</v>
      </c>
      <c r="F37" s="608"/>
      <c r="G37" s="599">
        <f t="shared" si="13"/>
        <v>1</v>
      </c>
      <c r="H37" s="608"/>
      <c r="I37" s="599">
        <f t="shared" si="14"/>
        <v>1</v>
      </c>
      <c r="J37" s="608"/>
      <c r="K37" s="599">
        <f t="shared" si="15"/>
        <v>1</v>
      </c>
      <c r="L37" s="608"/>
      <c r="M37" s="599">
        <f t="shared" si="16"/>
        <v>1</v>
      </c>
      <c r="N37" s="608"/>
      <c r="O37" s="599">
        <f t="shared" si="17"/>
        <v>1</v>
      </c>
      <c r="P37" s="608"/>
      <c r="Q37" s="599">
        <f t="shared" si="18"/>
        <v>1</v>
      </c>
      <c r="R37" s="659">
        <f t="shared" si="19"/>
        <v>51</v>
      </c>
      <c r="S37" s="598">
        <f t="shared" si="20"/>
        <v>51</v>
      </c>
    </row>
    <row r="38" spans="1:19">
      <c r="A38" s="606"/>
      <c r="B38" s="607">
        <f>最新车位清单!J16</f>
        <v>31.47</v>
      </c>
      <c r="C38" s="599">
        <f t="shared" si="11"/>
        <v>1</v>
      </c>
      <c r="D38" s="608" t="s">
        <v>2960</v>
      </c>
      <c r="E38" s="599">
        <f t="shared" si="12"/>
        <v>1</v>
      </c>
      <c r="F38" s="608"/>
      <c r="G38" s="599">
        <f t="shared" si="13"/>
        <v>1</v>
      </c>
      <c r="H38" s="608"/>
      <c r="I38" s="599">
        <f t="shared" si="14"/>
        <v>1</v>
      </c>
      <c r="J38" s="608"/>
      <c r="K38" s="599">
        <f t="shared" si="15"/>
        <v>1</v>
      </c>
      <c r="L38" s="608"/>
      <c r="M38" s="599">
        <f t="shared" si="16"/>
        <v>1</v>
      </c>
      <c r="N38" s="608"/>
      <c r="O38" s="599">
        <f t="shared" si="17"/>
        <v>1</v>
      </c>
      <c r="P38" s="608"/>
      <c r="Q38" s="599">
        <f t="shared" si="18"/>
        <v>1</v>
      </c>
      <c r="R38" s="659">
        <f t="shared" si="19"/>
        <v>51</v>
      </c>
      <c r="S38" s="598">
        <f t="shared" si="20"/>
        <v>51</v>
      </c>
    </row>
    <row r="39" spans="1:19">
      <c r="A39" s="606"/>
      <c r="B39" s="607">
        <f>最新车位清单!J17</f>
        <v>31.47</v>
      </c>
      <c r="C39" s="599">
        <f t="shared" si="11"/>
        <v>1</v>
      </c>
      <c r="D39" s="608" t="s">
        <v>2960</v>
      </c>
      <c r="E39" s="599">
        <f t="shared" si="12"/>
        <v>1</v>
      </c>
      <c r="F39" s="608"/>
      <c r="G39" s="599">
        <f t="shared" si="13"/>
        <v>1</v>
      </c>
      <c r="H39" s="608"/>
      <c r="I39" s="599">
        <f t="shared" si="14"/>
        <v>1</v>
      </c>
      <c r="J39" s="608"/>
      <c r="K39" s="599">
        <f t="shared" si="15"/>
        <v>1</v>
      </c>
      <c r="L39" s="608"/>
      <c r="M39" s="599">
        <f t="shared" si="16"/>
        <v>1</v>
      </c>
      <c r="N39" s="608"/>
      <c r="O39" s="599">
        <f t="shared" si="17"/>
        <v>1</v>
      </c>
      <c r="P39" s="608"/>
      <c r="Q39" s="599">
        <f t="shared" si="18"/>
        <v>1</v>
      </c>
      <c r="R39" s="659">
        <f t="shared" si="19"/>
        <v>51</v>
      </c>
      <c r="S39" s="598">
        <f t="shared" si="20"/>
        <v>51</v>
      </c>
    </row>
    <row r="40" spans="1:19">
      <c r="A40" s="606"/>
      <c r="B40" s="607">
        <f>最新车位清单!J18</f>
        <v>33.03</v>
      </c>
      <c r="C40" s="599">
        <f t="shared" si="11"/>
        <v>1</v>
      </c>
      <c r="D40" s="608" t="s">
        <v>2960</v>
      </c>
      <c r="E40" s="599">
        <f t="shared" si="12"/>
        <v>1</v>
      </c>
      <c r="F40" s="608"/>
      <c r="G40" s="599">
        <f t="shared" si="13"/>
        <v>1</v>
      </c>
      <c r="H40" s="608"/>
      <c r="I40" s="599">
        <f t="shared" si="14"/>
        <v>1</v>
      </c>
      <c r="J40" s="608"/>
      <c r="K40" s="599">
        <f t="shared" si="15"/>
        <v>1</v>
      </c>
      <c r="L40" s="608"/>
      <c r="M40" s="599">
        <f t="shared" si="16"/>
        <v>1</v>
      </c>
      <c r="N40" s="608"/>
      <c r="O40" s="599">
        <f t="shared" si="17"/>
        <v>1</v>
      </c>
      <c r="P40" s="608"/>
      <c r="Q40" s="599">
        <f t="shared" si="18"/>
        <v>1</v>
      </c>
      <c r="R40" s="659">
        <f t="shared" si="19"/>
        <v>51</v>
      </c>
      <c r="S40" s="598">
        <f t="shared" si="20"/>
        <v>51</v>
      </c>
    </row>
    <row r="41" spans="1:19">
      <c r="A41" s="606"/>
      <c r="B41" s="607">
        <f>最新车位清单!J19</f>
        <v>33.03</v>
      </c>
      <c r="C41" s="599">
        <f t="shared" si="11"/>
        <v>1</v>
      </c>
      <c r="D41" s="608" t="s">
        <v>2960</v>
      </c>
      <c r="E41" s="599">
        <f t="shared" si="12"/>
        <v>1</v>
      </c>
      <c r="F41" s="608"/>
      <c r="G41" s="599">
        <f t="shared" si="13"/>
        <v>1</v>
      </c>
      <c r="H41" s="608"/>
      <c r="I41" s="599">
        <f t="shared" si="14"/>
        <v>1</v>
      </c>
      <c r="J41" s="608"/>
      <c r="K41" s="599">
        <f t="shared" si="15"/>
        <v>1</v>
      </c>
      <c r="L41" s="608"/>
      <c r="M41" s="599">
        <f t="shared" si="16"/>
        <v>1</v>
      </c>
      <c r="N41" s="608"/>
      <c r="O41" s="599">
        <f t="shared" si="17"/>
        <v>1</v>
      </c>
      <c r="P41" s="608"/>
      <c r="Q41" s="599">
        <f t="shared" si="18"/>
        <v>1</v>
      </c>
      <c r="R41" s="659">
        <f t="shared" si="19"/>
        <v>51</v>
      </c>
      <c r="S41" s="598">
        <f t="shared" si="20"/>
        <v>51</v>
      </c>
    </row>
    <row r="42" spans="1:19">
      <c r="A42" s="606"/>
      <c r="B42" s="607">
        <f>最新车位清单!J20</f>
        <v>33.03</v>
      </c>
      <c r="C42" s="599">
        <f t="shared" si="11"/>
        <v>1</v>
      </c>
      <c r="D42" s="608" t="s">
        <v>2960</v>
      </c>
      <c r="E42" s="599">
        <f t="shared" si="12"/>
        <v>1</v>
      </c>
      <c r="F42" s="608"/>
      <c r="G42" s="599">
        <f t="shared" si="13"/>
        <v>1</v>
      </c>
      <c r="H42" s="608"/>
      <c r="I42" s="599">
        <f t="shared" si="14"/>
        <v>1</v>
      </c>
      <c r="J42" s="608"/>
      <c r="K42" s="599">
        <f t="shared" si="15"/>
        <v>1</v>
      </c>
      <c r="L42" s="608"/>
      <c r="M42" s="599">
        <f t="shared" si="16"/>
        <v>1</v>
      </c>
      <c r="N42" s="608"/>
      <c r="O42" s="599">
        <f t="shared" si="17"/>
        <v>1</v>
      </c>
      <c r="P42" s="608"/>
      <c r="Q42" s="599">
        <f t="shared" si="18"/>
        <v>1</v>
      </c>
      <c r="R42" s="659">
        <f t="shared" si="19"/>
        <v>51</v>
      </c>
      <c r="S42" s="598">
        <f t="shared" si="20"/>
        <v>51</v>
      </c>
    </row>
    <row r="43" spans="1:19">
      <c r="A43" s="606"/>
      <c r="B43" s="607">
        <f>最新车位清单!J21</f>
        <v>33.03</v>
      </c>
      <c r="C43" s="599">
        <f t="shared" si="11"/>
        <v>1</v>
      </c>
      <c r="D43" s="608" t="s">
        <v>2960</v>
      </c>
      <c r="E43" s="599">
        <f t="shared" si="12"/>
        <v>1</v>
      </c>
      <c r="F43" s="608"/>
      <c r="G43" s="599">
        <f t="shared" si="13"/>
        <v>1</v>
      </c>
      <c r="H43" s="608"/>
      <c r="I43" s="599">
        <f t="shared" si="14"/>
        <v>1</v>
      </c>
      <c r="J43" s="608"/>
      <c r="K43" s="599">
        <f t="shared" si="15"/>
        <v>1</v>
      </c>
      <c r="L43" s="608"/>
      <c r="M43" s="599">
        <f t="shared" si="16"/>
        <v>1</v>
      </c>
      <c r="N43" s="608"/>
      <c r="O43" s="599">
        <f t="shared" si="17"/>
        <v>1</v>
      </c>
      <c r="P43" s="608"/>
      <c r="Q43" s="599">
        <f t="shared" si="18"/>
        <v>1</v>
      </c>
      <c r="R43" s="659">
        <f t="shared" si="19"/>
        <v>51</v>
      </c>
      <c r="S43" s="598">
        <f t="shared" si="20"/>
        <v>51</v>
      </c>
    </row>
    <row r="44" spans="1:19">
      <c r="A44" s="606"/>
      <c r="B44" s="607">
        <f>最新车位清单!J22</f>
        <v>33.03</v>
      </c>
      <c r="C44" s="599">
        <f t="shared" si="11"/>
        <v>1</v>
      </c>
      <c r="D44" s="608" t="s">
        <v>2960</v>
      </c>
      <c r="E44" s="599">
        <f t="shared" si="12"/>
        <v>1</v>
      </c>
      <c r="F44" s="608"/>
      <c r="G44" s="599">
        <f t="shared" si="13"/>
        <v>1</v>
      </c>
      <c r="H44" s="608"/>
      <c r="I44" s="599">
        <f t="shared" si="14"/>
        <v>1</v>
      </c>
      <c r="J44" s="608"/>
      <c r="K44" s="599">
        <f t="shared" si="15"/>
        <v>1</v>
      </c>
      <c r="L44" s="608"/>
      <c r="M44" s="599">
        <f t="shared" si="16"/>
        <v>1</v>
      </c>
      <c r="N44" s="608"/>
      <c r="O44" s="599">
        <f t="shared" si="17"/>
        <v>1</v>
      </c>
      <c r="P44" s="608"/>
      <c r="Q44" s="599">
        <f t="shared" si="18"/>
        <v>1</v>
      </c>
      <c r="R44" s="659">
        <f t="shared" si="19"/>
        <v>51</v>
      </c>
      <c r="S44" s="598">
        <f t="shared" si="20"/>
        <v>51</v>
      </c>
    </row>
    <row r="45" spans="1:19">
      <c r="A45" s="606"/>
      <c r="B45" s="607">
        <f>最新车位清单!J23</f>
        <v>33.03</v>
      </c>
      <c r="C45" s="599">
        <f t="shared" si="11"/>
        <v>1</v>
      </c>
      <c r="D45" s="608" t="s">
        <v>2960</v>
      </c>
      <c r="E45" s="599">
        <f t="shared" si="12"/>
        <v>1</v>
      </c>
      <c r="F45" s="608"/>
      <c r="G45" s="599">
        <f t="shared" si="13"/>
        <v>1</v>
      </c>
      <c r="H45" s="608"/>
      <c r="I45" s="599">
        <f t="shared" si="14"/>
        <v>1</v>
      </c>
      <c r="J45" s="608"/>
      <c r="K45" s="599">
        <f t="shared" si="15"/>
        <v>1</v>
      </c>
      <c r="L45" s="608"/>
      <c r="M45" s="599">
        <f t="shared" si="16"/>
        <v>1</v>
      </c>
      <c r="N45" s="608"/>
      <c r="O45" s="599">
        <f t="shared" si="17"/>
        <v>1</v>
      </c>
      <c r="P45" s="608"/>
      <c r="Q45" s="599">
        <f t="shared" si="18"/>
        <v>1</v>
      </c>
      <c r="R45" s="659">
        <f t="shared" si="19"/>
        <v>51</v>
      </c>
      <c r="S45" s="598">
        <f t="shared" si="20"/>
        <v>51</v>
      </c>
    </row>
    <row r="46" spans="1:19">
      <c r="A46" s="606"/>
      <c r="B46" s="607">
        <f>最新车位清单!J24</f>
        <v>33.03</v>
      </c>
      <c r="C46" s="599">
        <f t="shared" si="11"/>
        <v>1</v>
      </c>
      <c r="D46" s="608" t="s">
        <v>2960</v>
      </c>
      <c r="E46" s="599">
        <f t="shared" si="12"/>
        <v>1</v>
      </c>
      <c r="F46" s="608"/>
      <c r="G46" s="599">
        <f t="shared" si="13"/>
        <v>1</v>
      </c>
      <c r="H46" s="608"/>
      <c r="I46" s="599">
        <f t="shared" si="14"/>
        <v>1</v>
      </c>
      <c r="J46" s="608"/>
      <c r="K46" s="599">
        <f t="shared" si="15"/>
        <v>1</v>
      </c>
      <c r="L46" s="608"/>
      <c r="M46" s="599">
        <f t="shared" si="16"/>
        <v>1</v>
      </c>
      <c r="N46" s="608"/>
      <c r="O46" s="599">
        <f t="shared" si="17"/>
        <v>1</v>
      </c>
      <c r="P46" s="608"/>
      <c r="Q46" s="599">
        <f t="shared" si="18"/>
        <v>1</v>
      </c>
      <c r="R46" s="659">
        <f t="shared" si="19"/>
        <v>51</v>
      </c>
      <c r="S46" s="598">
        <f t="shared" si="20"/>
        <v>51</v>
      </c>
    </row>
    <row r="47" spans="1:19">
      <c r="A47" s="606"/>
      <c r="B47" s="607">
        <f>最新车位清单!J25</f>
        <v>33.03</v>
      </c>
      <c r="C47" s="599">
        <f t="shared" si="11"/>
        <v>1</v>
      </c>
      <c r="D47" s="608" t="s">
        <v>2960</v>
      </c>
      <c r="E47" s="599">
        <f t="shared" si="12"/>
        <v>1</v>
      </c>
      <c r="F47" s="608"/>
      <c r="G47" s="599">
        <f t="shared" si="13"/>
        <v>1</v>
      </c>
      <c r="H47" s="608"/>
      <c r="I47" s="599">
        <f t="shared" si="14"/>
        <v>1</v>
      </c>
      <c r="J47" s="608"/>
      <c r="K47" s="599">
        <f t="shared" si="15"/>
        <v>1</v>
      </c>
      <c r="L47" s="608"/>
      <c r="M47" s="599">
        <f t="shared" si="16"/>
        <v>1</v>
      </c>
      <c r="N47" s="608"/>
      <c r="O47" s="599">
        <f t="shared" si="17"/>
        <v>1</v>
      </c>
      <c r="P47" s="608"/>
      <c r="Q47" s="599">
        <f t="shared" si="18"/>
        <v>1</v>
      </c>
      <c r="R47" s="659">
        <f t="shared" si="19"/>
        <v>51</v>
      </c>
      <c r="S47" s="598">
        <f t="shared" si="20"/>
        <v>51</v>
      </c>
    </row>
    <row r="48" spans="1:19">
      <c r="A48" s="606"/>
      <c r="B48" s="607">
        <f>最新车位清单!J26</f>
        <v>33.03</v>
      </c>
      <c r="C48" s="599">
        <f t="shared" si="11"/>
        <v>1</v>
      </c>
      <c r="D48" s="608" t="s">
        <v>2960</v>
      </c>
      <c r="E48" s="599">
        <f t="shared" si="12"/>
        <v>1</v>
      </c>
      <c r="F48" s="608"/>
      <c r="G48" s="599">
        <f t="shared" si="13"/>
        <v>1</v>
      </c>
      <c r="H48" s="608"/>
      <c r="I48" s="599">
        <f t="shared" si="14"/>
        <v>1</v>
      </c>
      <c r="J48" s="608"/>
      <c r="K48" s="599">
        <f t="shared" si="15"/>
        <v>1</v>
      </c>
      <c r="L48" s="608"/>
      <c r="M48" s="599">
        <f t="shared" si="16"/>
        <v>1</v>
      </c>
      <c r="N48" s="608"/>
      <c r="O48" s="599">
        <f t="shared" si="17"/>
        <v>1</v>
      </c>
      <c r="P48" s="608"/>
      <c r="Q48" s="599">
        <f t="shared" si="18"/>
        <v>1</v>
      </c>
      <c r="R48" s="659">
        <f t="shared" si="19"/>
        <v>51</v>
      </c>
      <c r="S48" s="598">
        <f t="shared" si="20"/>
        <v>51</v>
      </c>
    </row>
    <row r="49" spans="1:19">
      <c r="A49" s="606"/>
      <c r="B49" s="607">
        <f>最新车位清单!J27</f>
        <v>33.03</v>
      </c>
      <c r="C49" s="599">
        <f t="shared" si="11"/>
        <v>1</v>
      </c>
      <c r="D49" s="608" t="s">
        <v>2960</v>
      </c>
      <c r="E49" s="599">
        <f t="shared" si="12"/>
        <v>1</v>
      </c>
      <c r="F49" s="608"/>
      <c r="G49" s="599">
        <f t="shared" si="13"/>
        <v>1</v>
      </c>
      <c r="H49" s="608"/>
      <c r="I49" s="599">
        <f t="shared" si="14"/>
        <v>1</v>
      </c>
      <c r="J49" s="608"/>
      <c r="K49" s="599">
        <f t="shared" si="15"/>
        <v>1</v>
      </c>
      <c r="L49" s="608"/>
      <c r="M49" s="599">
        <f t="shared" si="16"/>
        <v>1</v>
      </c>
      <c r="N49" s="608"/>
      <c r="O49" s="599">
        <f t="shared" si="17"/>
        <v>1</v>
      </c>
      <c r="P49" s="608"/>
      <c r="Q49" s="599">
        <f t="shared" si="18"/>
        <v>1</v>
      </c>
      <c r="R49" s="659">
        <f t="shared" si="19"/>
        <v>51</v>
      </c>
      <c r="S49" s="598">
        <f t="shared" si="20"/>
        <v>51</v>
      </c>
    </row>
    <row r="50" spans="1:19">
      <c r="A50" s="606"/>
      <c r="B50" s="607">
        <f>最新车位清单!J28</f>
        <v>33.03</v>
      </c>
      <c r="C50" s="599">
        <f t="shared" si="11"/>
        <v>1</v>
      </c>
      <c r="D50" s="608" t="s">
        <v>2960</v>
      </c>
      <c r="E50" s="599">
        <f t="shared" si="12"/>
        <v>1</v>
      </c>
      <c r="F50" s="608"/>
      <c r="G50" s="599">
        <f t="shared" si="13"/>
        <v>1</v>
      </c>
      <c r="H50" s="608"/>
      <c r="I50" s="599">
        <f t="shared" si="14"/>
        <v>1</v>
      </c>
      <c r="J50" s="608"/>
      <c r="K50" s="599">
        <f t="shared" si="15"/>
        <v>1</v>
      </c>
      <c r="L50" s="608"/>
      <c r="M50" s="599">
        <f t="shared" si="16"/>
        <v>1</v>
      </c>
      <c r="N50" s="608"/>
      <c r="O50" s="599">
        <f t="shared" si="17"/>
        <v>1</v>
      </c>
      <c r="P50" s="608"/>
      <c r="Q50" s="599">
        <f t="shared" si="18"/>
        <v>1</v>
      </c>
      <c r="R50" s="659">
        <f t="shared" si="19"/>
        <v>51</v>
      </c>
      <c r="S50" s="598">
        <f t="shared" si="20"/>
        <v>51</v>
      </c>
    </row>
    <row r="51" spans="1:19">
      <c r="A51" s="606"/>
      <c r="B51" s="607">
        <f>最新车位清单!J29</f>
        <v>33.03</v>
      </c>
      <c r="C51" s="599">
        <f t="shared" si="11"/>
        <v>1</v>
      </c>
      <c r="D51" s="608" t="s">
        <v>2960</v>
      </c>
      <c r="E51" s="599">
        <f t="shared" si="12"/>
        <v>1</v>
      </c>
      <c r="F51" s="608"/>
      <c r="G51" s="599">
        <f t="shared" si="13"/>
        <v>1</v>
      </c>
      <c r="H51" s="608"/>
      <c r="I51" s="599">
        <f t="shared" si="14"/>
        <v>1</v>
      </c>
      <c r="J51" s="608"/>
      <c r="K51" s="599">
        <f t="shared" si="15"/>
        <v>1</v>
      </c>
      <c r="L51" s="608"/>
      <c r="M51" s="599">
        <f t="shared" si="16"/>
        <v>1</v>
      </c>
      <c r="N51" s="608"/>
      <c r="O51" s="599">
        <f t="shared" si="17"/>
        <v>1</v>
      </c>
      <c r="P51" s="608"/>
      <c r="Q51" s="599">
        <f t="shared" si="18"/>
        <v>1</v>
      </c>
      <c r="R51" s="659">
        <f t="shared" si="19"/>
        <v>51</v>
      </c>
      <c r="S51" s="598">
        <f t="shared" si="20"/>
        <v>51</v>
      </c>
    </row>
    <row r="52" spans="1:19">
      <c r="A52" s="606"/>
      <c r="B52" s="607">
        <f>最新车位清单!J30</f>
        <v>33.03</v>
      </c>
      <c r="C52" s="599">
        <f t="shared" si="11"/>
        <v>1</v>
      </c>
      <c r="D52" s="608" t="s">
        <v>2960</v>
      </c>
      <c r="E52" s="599">
        <f t="shared" si="12"/>
        <v>1</v>
      </c>
      <c r="F52" s="608"/>
      <c r="G52" s="599">
        <f t="shared" si="13"/>
        <v>1</v>
      </c>
      <c r="H52" s="608"/>
      <c r="I52" s="599">
        <f t="shared" si="14"/>
        <v>1</v>
      </c>
      <c r="J52" s="608"/>
      <c r="K52" s="599">
        <f t="shared" si="15"/>
        <v>1</v>
      </c>
      <c r="L52" s="608"/>
      <c r="M52" s="599">
        <f t="shared" si="16"/>
        <v>1</v>
      </c>
      <c r="N52" s="608"/>
      <c r="O52" s="599">
        <f t="shared" si="17"/>
        <v>1</v>
      </c>
      <c r="P52" s="608"/>
      <c r="Q52" s="599">
        <f t="shared" si="18"/>
        <v>1</v>
      </c>
      <c r="R52" s="659">
        <f t="shared" si="19"/>
        <v>51</v>
      </c>
      <c r="S52" s="598">
        <f t="shared" si="20"/>
        <v>51</v>
      </c>
    </row>
    <row r="53" spans="1:19">
      <c r="A53" s="606"/>
      <c r="B53" s="607">
        <f>最新车位清单!J31</f>
        <v>33.03</v>
      </c>
      <c r="C53" s="599">
        <f t="shared" si="11"/>
        <v>1</v>
      </c>
      <c r="D53" s="608" t="s">
        <v>2960</v>
      </c>
      <c r="E53" s="599">
        <f t="shared" si="12"/>
        <v>1</v>
      </c>
      <c r="F53" s="608"/>
      <c r="G53" s="599">
        <f t="shared" si="13"/>
        <v>1</v>
      </c>
      <c r="H53" s="608"/>
      <c r="I53" s="599">
        <f t="shared" si="14"/>
        <v>1</v>
      </c>
      <c r="J53" s="608"/>
      <c r="K53" s="599">
        <f t="shared" si="15"/>
        <v>1</v>
      </c>
      <c r="L53" s="608"/>
      <c r="M53" s="599">
        <f t="shared" si="16"/>
        <v>1</v>
      </c>
      <c r="N53" s="608"/>
      <c r="O53" s="599">
        <f t="shared" si="17"/>
        <v>1</v>
      </c>
      <c r="P53" s="608"/>
      <c r="Q53" s="599">
        <f t="shared" si="18"/>
        <v>1</v>
      </c>
      <c r="R53" s="659">
        <f t="shared" si="19"/>
        <v>51</v>
      </c>
      <c r="S53" s="598">
        <f t="shared" si="20"/>
        <v>51</v>
      </c>
    </row>
    <row r="54" spans="1:19">
      <c r="A54" s="606"/>
      <c r="B54" s="607">
        <f>最新车位清单!J32</f>
        <v>33.03</v>
      </c>
      <c r="C54" s="599">
        <f t="shared" si="11"/>
        <v>1</v>
      </c>
      <c r="D54" s="608" t="s">
        <v>2960</v>
      </c>
      <c r="E54" s="599">
        <f t="shared" si="12"/>
        <v>1</v>
      </c>
      <c r="F54" s="608"/>
      <c r="G54" s="599">
        <f t="shared" si="13"/>
        <v>1</v>
      </c>
      <c r="H54" s="608"/>
      <c r="I54" s="599">
        <f t="shared" si="14"/>
        <v>1</v>
      </c>
      <c r="J54" s="608"/>
      <c r="K54" s="599">
        <f t="shared" si="15"/>
        <v>1</v>
      </c>
      <c r="L54" s="608"/>
      <c r="M54" s="599">
        <f t="shared" si="16"/>
        <v>1</v>
      </c>
      <c r="N54" s="608"/>
      <c r="O54" s="599">
        <f t="shared" si="17"/>
        <v>1</v>
      </c>
      <c r="P54" s="608"/>
      <c r="Q54" s="599">
        <f t="shared" si="18"/>
        <v>1</v>
      </c>
      <c r="R54" s="659">
        <f t="shared" si="19"/>
        <v>51</v>
      </c>
      <c r="S54" s="598">
        <f t="shared" si="20"/>
        <v>51</v>
      </c>
    </row>
    <row r="55" spans="1:19">
      <c r="A55" s="2609"/>
      <c r="B55" s="607">
        <f>最新车位清单!J33</f>
        <v>33.03</v>
      </c>
      <c r="C55" s="599">
        <f t="shared" si="11"/>
        <v>1</v>
      </c>
      <c r="D55" s="608" t="s">
        <v>2960</v>
      </c>
      <c r="E55" s="599">
        <f t="shared" si="12"/>
        <v>1</v>
      </c>
      <c r="F55" s="608"/>
      <c r="G55" s="599">
        <f t="shared" si="13"/>
        <v>1</v>
      </c>
      <c r="H55" s="608"/>
      <c r="I55" s="599">
        <f t="shared" si="14"/>
        <v>1</v>
      </c>
      <c r="J55" s="608"/>
      <c r="K55" s="599">
        <f t="shared" si="15"/>
        <v>1</v>
      </c>
      <c r="L55" s="608"/>
      <c r="M55" s="599">
        <f t="shared" si="16"/>
        <v>1</v>
      </c>
      <c r="N55" s="608"/>
      <c r="O55" s="599">
        <f t="shared" si="17"/>
        <v>1</v>
      </c>
      <c r="P55" s="608"/>
      <c r="Q55" s="599">
        <f t="shared" si="18"/>
        <v>1</v>
      </c>
      <c r="R55" s="659">
        <f t="shared" si="19"/>
        <v>51</v>
      </c>
      <c r="S55" s="598">
        <f t="shared" si="20"/>
        <v>51</v>
      </c>
    </row>
    <row r="56" spans="1:19">
      <c r="A56" s="2609"/>
      <c r="B56" s="607"/>
      <c r="C56" s="599">
        <f t="shared" si="11"/>
        <v>1</v>
      </c>
      <c r="D56" s="608"/>
      <c r="E56" s="599">
        <f t="shared" si="12"/>
        <v>0</v>
      </c>
      <c r="F56" s="608"/>
      <c r="G56" s="599">
        <f t="shared" si="13"/>
        <v>1</v>
      </c>
      <c r="H56" s="608"/>
      <c r="I56" s="599">
        <f t="shared" si="14"/>
        <v>1</v>
      </c>
      <c r="J56" s="608"/>
      <c r="K56" s="599">
        <f t="shared" si="15"/>
        <v>1</v>
      </c>
      <c r="L56" s="608"/>
      <c r="M56" s="599">
        <f t="shared" si="16"/>
        <v>1</v>
      </c>
      <c r="N56" s="608"/>
      <c r="O56" s="599">
        <f t="shared" si="17"/>
        <v>1</v>
      </c>
      <c r="P56" s="608"/>
      <c r="Q56" s="599">
        <f t="shared" si="18"/>
        <v>1</v>
      </c>
      <c r="R56" s="659">
        <f t="shared" si="19"/>
        <v>0</v>
      </c>
      <c r="S56" s="598">
        <f t="shared" si="20"/>
        <v>0</v>
      </c>
    </row>
    <row r="57" spans="1:19">
      <c r="A57" s="2609"/>
      <c r="B57" s="607"/>
      <c r="C57" s="599">
        <f t="shared" si="11"/>
        <v>1</v>
      </c>
      <c r="D57" s="608"/>
      <c r="E57" s="599">
        <f t="shared" si="12"/>
        <v>0</v>
      </c>
      <c r="F57" s="608"/>
      <c r="G57" s="599">
        <f t="shared" si="13"/>
        <v>1</v>
      </c>
      <c r="H57" s="608"/>
      <c r="I57" s="599">
        <f t="shared" si="14"/>
        <v>1</v>
      </c>
      <c r="J57" s="608"/>
      <c r="K57" s="599">
        <f t="shared" si="15"/>
        <v>1</v>
      </c>
      <c r="L57" s="608"/>
      <c r="M57" s="599">
        <f t="shared" si="16"/>
        <v>1</v>
      </c>
      <c r="N57" s="608"/>
      <c r="O57" s="599">
        <f t="shared" si="17"/>
        <v>1</v>
      </c>
      <c r="P57" s="608"/>
      <c r="Q57" s="599">
        <f t="shared" si="18"/>
        <v>1</v>
      </c>
      <c r="R57" s="659">
        <f t="shared" si="19"/>
        <v>0</v>
      </c>
      <c r="S57" s="598">
        <f t="shared" si="20"/>
        <v>0</v>
      </c>
    </row>
    <row r="58" spans="1:19">
      <c r="A58" s="606"/>
      <c r="B58" s="607"/>
      <c r="C58" s="599">
        <f t="shared" si="11"/>
        <v>1</v>
      </c>
      <c r="D58" s="608"/>
      <c r="E58" s="599">
        <f t="shared" si="12"/>
        <v>0</v>
      </c>
      <c r="F58" s="608"/>
      <c r="G58" s="599">
        <f t="shared" si="13"/>
        <v>1</v>
      </c>
      <c r="H58" s="608"/>
      <c r="I58" s="599">
        <f t="shared" si="14"/>
        <v>1</v>
      </c>
      <c r="J58" s="608"/>
      <c r="K58" s="599">
        <f t="shared" si="15"/>
        <v>1</v>
      </c>
      <c r="L58" s="608"/>
      <c r="M58" s="599">
        <f t="shared" si="16"/>
        <v>1</v>
      </c>
      <c r="N58" s="608"/>
      <c r="O58" s="599">
        <f t="shared" si="17"/>
        <v>1</v>
      </c>
      <c r="P58" s="608"/>
      <c r="Q58" s="599">
        <f t="shared" si="18"/>
        <v>1</v>
      </c>
      <c r="R58" s="659">
        <f t="shared" si="19"/>
        <v>0</v>
      </c>
      <c r="S58" s="598">
        <f t="shared" ref="S58:S89" si="21">R58</f>
        <v>0</v>
      </c>
    </row>
    <row r="59" spans="1:19">
      <c r="A59" s="606"/>
      <c r="B59" s="607"/>
      <c r="C59" s="599">
        <f t="shared" si="11"/>
        <v>1</v>
      </c>
      <c r="D59" s="608"/>
      <c r="E59" s="599">
        <f t="shared" si="12"/>
        <v>0</v>
      </c>
      <c r="F59" s="608"/>
      <c r="G59" s="599">
        <f t="shared" si="13"/>
        <v>1</v>
      </c>
      <c r="H59" s="608"/>
      <c r="I59" s="599">
        <f t="shared" si="14"/>
        <v>1</v>
      </c>
      <c r="J59" s="608"/>
      <c r="K59" s="599">
        <f t="shared" si="15"/>
        <v>1</v>
      </c>
      <c r="L59" s="608"/>
      <c r="M59" s="599">
        <f t="shared" si="16"/>
        <v>1</v>
      </c>
      <c r="N59" s="608"/>
      <c r="O59" s="599">
        <f t="shared" si="17"/>
        <v>1</v>
      </c>
      <c r="P59" s="608"/>
      <c r="Q59" s="599">
        <f t="shared" si="18"/>
        <v>1</v>
      </c>
      <c r="R59" s="659">
        <f t="shared" si="19"/>
        <v>0</v>
      </c>
      <c r="S59" s="598">
        <f t="shared" si="21"/>
        <v>0</v>
      </c>
    </row>
    <row r="60" spans="1:19">
      <c r="A60" s="606"/>
      <c r="B60" s="607"/>
      <c r="C60" s="599">
        <f t="shared" si="11"/>
        <v>1</v>
      </c>
      <c r="D60" s="608"/>
      <c r="E60" s="599">
        <f t="shared" si="12"/>
        <v>0</v>
      </c>
      <c r="F60" s="608"/>
      <c r="G60" s="599">
        <f t="shared" si="13"/>
        <v>1</v>
      </c>
      <c r="H60" s="608"/>
      <c r="I60" s="599">
        <f t="shared" si="14"/>
        <v>1</v>
      </c>
      <c r="J60" s="608"/>
      <c r="K60" s="599">
        <f t="shared" si="15"/>
        <v>1</v>
      </c>
      <c r="L60" s="608"/>
      <c r="M60" s="599">
        <f t="shared" si="16"/>
        <v>1</v>
      </c>
      <c r="N60" s="608"/>
      <c r="O60" s="599">
        <f t="shared" si="17"/>
        <v>1</v>
      </c>
      <c r="P60" s="608"/>
      <c r="Q60" s="599">
        <f t="shared" si="18"/>
        <v>1</v>
      </c>
      <c r="R60" s="659">
        <f t="shared" si="19"/>
        <v>0</v>
      </c>
      <c r="S60" s="598">
        <f t="shared" si="21"/>
        <v>0</v>
      </c>
    </row>
    <row r="61" spans="1:19">
      <c r="A61" s="606"/>
      <c r="B61" s="607"/>
      <c r="C61" s="599">
        <f t="shared" si="11"/>
        <v>1</v>
      </c>
      <c r="D61" s="608"/>
      <c r="E61" s="599">
        <f t="shared" si="12"/>
        <v>0</v>
      </c>
      <c r="F61" s="608"/>
      <c r="G61" s="599">
        <f t="shared" si="13"/>
        <v>1</v>
      </c>
      <c r="H61" s="608"/>
      <c r="I61" s="599">
        <f t="shared" si="14"/>
        <v>1</v>
      </c>
      <c r="J61" s="608"/>
      <c r="K61" s="599">
        <f t="shared" si="15"/>
        <v>1</v>
      </c>
      <c r="L61" s="608"/>
      <c r="M61" s="599">
        <f t="shared" si="16"/>
        <v>1</v>
      </c>
      <c r="N61" s="608"/>
      <c r="O61" s="599">
        <f t="shared" si="17"/>
        <v>1</v>
      </c>
      <c r="P61" s="608"/>
      <c r="Q61" s="599">
        <f t="shared" si="18"/>
        <v>1</v>
      </c>
      <c r="R61" s="659">
        <f t="shared" si="19"/>
        <v>0</v>
      </c>
      <c r="S61" s="598">
        <f t="shared" si="21"/>
        <v>0</v>
      </c>
    </row>
    <row r="62" spans="1:19">
      <c r="A62" s="606"/>
      <c r="B62" s="607"/>
      <c r="C62" s="599">
        <f t="shared" si="11"/>
        <v>1</v>
      </c>
      <c r="D62" s="608"/>
      <c r="E62" s="599">
        <f t="shared" si="12"/>
        <v>0</v>
      </c>
      <c r="F62" s="608"/>
      <c r="G62" s="599">
        <f t="shared" si="13"/>
        <v>1</v>
      </c>
      <c r="H62" s="608"/>
      <c r="I62" s="599">
        <f t="shared" si="14"/>
        <v>1</v>
      </c>
      <c r="J62" s="608"/>
      <c r="K62" s="599">
        <f t="shared" si="15"/>
        <v>1</v>
      </c>
      <c r="L62" s="608"/>
      <c r="M62" s="599">
        <f t="shared" si="16"/>
        <v>1</v>
      </c>
      <c r="N62" s="608"/>
      <c r="O62" s="599">
        <f t="shared" si="17"/>
        <v>1</v>
      </c>
      <c r="P62" s="608"/>
      <c r="Q62" s="599">
        <f t="shared" si="18"/>
        <v>1</v>
      </c>
      <c r="R62" s="659">
        <f t="shared" si="19"/>
        <v>0</v>
      </c>
      <c r="S62" s="598">
        <f t="shared" si="21"/>
        <v>0</v>
      </c>
    </row>
    <row r="63" spans="1:19">
      <c r="A63" s="606"/>
      <c r="B63" s="607"/>
      <c r="C63" s="599">
        <f t="shared" si="11"/>
        <v>1</v>
      </c>
      <c r="D63" s="608"/>
      <c r="E63" s="599">
        <f t="shared" si="12"/>
        <v>0</v>
      </c>
      <c r="F63" s="608"/>
      <c r="G63" s="599">
        <f t="shared" si="13"/>
        <v>1</v>
      </c>
      <c r="H63" s="608"/>
      <c r="I63" s="599">
        <f t="shared" si="14"/>
        <v>1</v>
      </c>
      <c r="J63" s="608"/>
      <c r="K63" s="599">
        <f t="shared" si="15"/>
        <v>1</v>
      </c>
      <c r="L63" s="608"/>
      <c r="M63" s="599">
        <f t="shared" si="16"/>
        <v>1</v>
      </c>
      <c r="N63" s="608"/>
      <c r="O63" s="599">
        <f t="shared" si="17"/>
        <v>1</v>
      </c>
      <c r="P63" s="608"/>
      <c r="Q63" s="599">
        <f t="shared" si="18"/>
        <v>1</v>
      </c>
      <c r="R63" s="659">
        <f t="shared" si="19"/>
        <v>0</v>
      </c>
      <c r="S63" s="598">
        <f t="shared" si="21"/>
        <v>0</v>
      </c>
    </row>
    <row r="64" spans="1:19">
      <c r="A64" s="606"/>
      <c r="B64" s="607"/>
      <c r="C64" s="599">
        <f t="shared" si="11"/>
        <v>1</v>
      </c>
      <c r="D64" s="608"/>
      <c r="E64" s="599">
        <f t="shared" si="12"/>
        <v>0</v>
      </c>
      <c r="F64" s="608"/>
      <c r="G64" s="599">
        <f t="shared" si="13"/>
        <v>1</v>
      </c>
      <c r="H64" s="608"/>
      <c r="I64" s="599">
        <f t="shared" si="14"/>
        <v>1</v>
      </c>
      <c r="J64" s="608"/>
      <c r="K64" s="599">
        <f t="shared" si="15"/>
        <v>1</v>
      </c>
      <c r="L64" s="608"/>
      <c r="M64" s="599">
        <f t="shared" si="16"/>
        <v>1</v>
      </c>
      <c r="N64" s="608"/>
      <c r="O64" s="599">
        <f t="shared" si="17"/>
        <v>1</v>
      </c>
      <c r="P64" s="608"/>
      <c r="Q64" s="599">
        <f t="shared" si="18"/>
        <v>1</v>
      </c>
      <c r="R64" s="659">
        <f t="shared" si="19"/>
        <v>0</v>
      </c>
      <c r="S64" s="598">
        <f t="shared" si="21"/>
        <v>0</v>
      </c>
    </row>
    <row r="65" spans="1:19">
      <c r="A65" s="606"/>
      <c r="B65" s="607"/>
      <c r="C65" s="599">
        <f t="shared" si="11"/>
        <v>1</v>
      </c>
      <c r="D65" s="608"/>
      <c r="E65" s="599">
        <f t="shared" si="12"/>
        <v>0</v>
      </c>
      <c r="F65" s="608"/>
      <c r="G65" s="599">
        <f t="shared" si="13"/>
        <v>1</v>
      </c>
      <c r="H65" s="608"/>
      <c r="I65" s="599">
        <f t="shared" si="14"/>
        <v>1</v>
      </c>
      <c r="J65" s="608"/>
      <c r="K65" s="599">
        <f t="shared" si="15"/>
        <v>1</v>
      </c>
      <c r="L65" s="608"/>
      <c r="M65" s="599">
        <f t="shared" si="16"/>
        <v>1</v>
      </c>
      <c r="N65" s="608"/>
      <c r="O65" s="599">
        <f t="shared" si="17"/>
        <v>1</v>
      </c>
      <c r="P65" s="608"/>
      <c r="Q65" s="599">
        <f t="shared" si="18"/>
        <v>1</v>
      </c>
      <c r="R65" s="659">
        <f t="shared" si="19"/>
        <v>0</v>
      </c>
      <c r="S65" s="598">
        <f t="shared" si="21"/>
        <v>0</v>
      </c>
    </row>
    <row r="66" spans="1:19">
      <c r="A66" s="606"/>
      <c r="B66" s="607"/>
      <c r="C66" s="599">
        <f t="shared" si="11"/>
        <v>1</v>
      </c>
      <c r="D66" s="608"/>
      <c r="E66" s="599">
        <f t="shared" si="12"/>
        <v>0</v>
      </c>
      <c r="F66" s="608"/>
      <c r="G66" s="599">
        <f t="shared" si="13"/>
        <v>1</v>
      </c>
      <c r="H66" s="608"/>
      <c r="I66" s="599">
        <f t="shared" si="14"/>
        <v>1</v>
      </c>
      <c r="J66" s="608"/>
      <c r="K66" s="599">
        <f t="shared" si="15"/>
        <v>1</v>
      </c>
      <c r="L66" s="608"/>
      <c r="M66" s="599">
        <f t="shared" si="16"/>
        <v>1</v>
      </c>
      <c r="N66" s="608"/>
      <c r="O66" s="599">
        <f t="shared" si="17"/>
        <v>1</v>
      </c>
      <c r="P66" s="608"/>
      <c r="Q66" s="599">
        <f t="shared" si="18"/>
        <v>1</v>
      </c>
      <c r="R66" s="659">
        <f t="shared" si="19"/>
        <v>0</v>
      </c>
      <c r="S66" s="598">
        <f t="shared" si="21"/>
        <v>0</v>
      </c>
    </row>
    <row r="67" spans="1:19">
      <c r="A67" s="606"/>
      <c r="B67" s="607"/>
      <c r="C67" s="599">
        <f t="shared" si="11"/>
        <v>1</v>
      </c>
      <c r="D67" s="608"/>
      <c r="E67" s="599">
        <f t="shared" si="12"/>
        <v>0</v>
      </c>
      <c r="F67" s="608"/>
      <c r="G67" s="599">
        <f t="shared" si="13"/>
        <v>1</v>
      </c>
      <c r="H67" s="608"/>
      <c r="I67" s="599">
        <f t="shared" si="14"/>
        <v>1</v>
      </c>
      <c r="J67" s="608"/>
      <c r="K67" s="599">
        <f t="shared" si="15"/>
        <v>1</v>
      </c>
      <c r="L67" s="608"/>
      <c r="M67" s="599">
        <f t="shared" si="16"/>
        <v>1</v>
      </c>
      <c r="N67" s="608"/>
      <c r="O67" s="599">
        <f t="shared" si="17"/>
        <v>1</v>
      </c>
      <c r="P67" s="608"/>
      <c r="Q67" s="599">
        <f t="shared" si="18"/>
        <v>1</v>
      </c>
      <c r="R67" s="659">
        <f t="shared" si="19"/>
        <v>0</v>
      </c>
      <c r="S67" s="598">
        <f t="shared" si="21"/>
        <v>0</v>
      </c>
    </row>
    <row r="68" spans="1:19">
      <c r="A68" s="606"/>
      <c r="B68" s="607"/>
      <c r="C68" s="599">
        <f t="shared" si="11"/>
        <v>1</v>
      </c>
      <c r="D68" s="608"/>
      <c r="E68" s="599">
        <f t="shared" si="12"/>
        <v>0</v>
      </c>
      <c r="F68" s="608"/>
      <c r="G68" s="599">
        <f t="shared" si="13"/>
        <v>1</v>
      </c>
      <c r="H68" s="608"/>
      <c r="I68" s="599">
        <f t="shared" si="14"/>
        <v>1</v>
      </c>
      <c r="J68" s="608"/>
      <c r="K68" s="599">
        <f t="shared" si="15"/>
        <v>1</v>
      </c>
      <c r="L68" s="608"/>
      <c r="M68" s="599">
        <f t="shared" si="16"/>
        <v>1</v>
      </c>
      <c r="N68" s="608"/>
      <c r="O68" s="599">
        <f t="shared" si="17"/>
        <v>1</v>
      </c>
      <c r="P68" s="608"/>
      <c r="Q68" s="599">
        <f t="shared" si="18"/>
        <v>1</v>
      </c>
      <c r="R68" s="659">
        <f t="shared" si="19"/>
        <v>0</v>
      </c>
      <c r="S68" s="598">
        <f t="shared" si="21"/>
        <v>0</v>
      </c>
    </row>
    <row r="69" spans="1:19">
      <c r="A69" s="606"/>
      <c r="B69" s="607"/>
      <c r="C69" s="599">
        <f t="shared" si="11"/>
        <v>1</v>
      </c>
      <c r="D69" s="608"/>
      <c r="E69" s="599">
        <f t="shared" si="12"/>
        <v>0</v>
      </c>
      <c r="F69" s="608"/>
      <c r="G69" s="599">
        <f t="shared" si="13"/>
        <v>1</v>
      </c>
      <c r="H69" s="608"/>
      <c r="I69" s="599">
        <f t="shared" si="14"/>
        <v>1</v>
      </c>
      <c r="J69" s="608"/>
      <c r="K69" s="599">
        <f t="shared" si="15"/>
        <v>1</v>
      </c>
      <c r="L69" s="608"/>
      <c r="M69" s="599">
        <f t="shared" si="16"/>
        <v>1</v>
      </c>
      <c r="N69" s="608"/>
      <c r="O69" s="599">
        <f t="shared" si="17"/>
        <v>1</v>
      </c>
      <c r="P69" s="608"/>
      <c r="Q69" s="599">
        <f t="shared" si="18"/>
        <v>1</v>
      </c>
      <c r="R69" s="659">
        <f t="shared" si="19"/>
        <v>0</v>
      </c>
      <c r="S69" s="598">
        <f t="shared" si="21"/>
        <v>0</v>
      </c>
    </row>
    <row r="70" spans="1:19">
      <c r="A70" s="606"/>
      <c r="B70" s="607"/>
      <c r="C70" s="599">
        <f t="shared" si="11"/>
        <v>1</v>
      </c>
      <c r="D70" s="608"/>
      <c r="E70" s="599">
        <f t="shared" si="12"/>
        <v>0</v>
      </c>
      <c r="F70" s="608"/>
      <c r="G70" s="599">
        <f t="shared" si="13"/>
        <v>1</v>
      </c>
      <c r="H70" s="608"/>
      <c r="I70" s="599">
        <f t="shared" si="14"/>
        <v>1</v>
      </c>
      <c r="J70" s="608"/>
      <c r="K70" s="599">
        <f t="shared" si="15"/>
        <v>1</v>
      </c>
      <c r="L70" s="608"/>
      <c r="M70" s="599">
        <f t="shared" si="16"/>
        <v>1</v>
      </c>
      <c r="N70" s="608"/>
      <c r="O70" s="599">
        <f t="shared" si="17"/>
        <v>1</v>
      </c>
      <c r="P70" s="608"/>
      <c r="Q70" s="599">
        <f t="shared" si="18"/>
        <v>1</v>
      </c>
      <c r="R70" s="659">
        <f t="shared" si="19"/>
        <v>0</v>
      </c>
      <c r="S70" s="598">
        <f t="shared" si="21"/>
        <v>0</v>
      </c>
    </row>
    <row r="71" spans="1:19">
      <c r="A71" s="606"/>
      <c r="B71" s="607"/>
      <c r="C71" s="599">
        <f t="shared" si="11"/>
        <v>1</v>
      </c>
      <c r="D71" s="608"/>
      <c r="E71" s="599">
        <f t="shared" si="12"/>
        <v>0</v>
      </c>
      <c r="F71" s="608"/>
      <c r="G71" s="599">
        <f t="shared" si="13"/>
        <v>1</v>
      </c>
      <c r="H71" s="608"/>
      <c r="I71" s="599">
        <f t="shared" si="14"/>
        <v>1</v>
      </c>
      <c r="J71" s="608"/>
      <c r="K71" s="599">
        <f t="shared" si="15"/>
        <v>1</v>
      </c>
      <c r="L71" s="608"/>
      <c r="M71" s="599">
        <f t="shared" si="16"/>
        <v>1</v>
      </c>
      <c r="N71" s="608"/>
      <c r="O71" s="599">
        <f t="shared" si="17"/>
        <v>1</v>
      </c>
      <c r="P71" s="608"/>
      <c r="Q71" s="599">
        <f t="shared" si="18"/>
        <v>1</v>
      </c>
      <c r="R71" s="659">
        <f t="shared" si="19"/>
        <v>0</v>
      </c>
      <c r="S71" s="598">
        <f t="shared" si="21"/>
        <v>0</v>
      </c>
    </row>
    <row r="72" spans="1:19">
      <c r="A72" s="606"/>
      <c r="B72" s="607"/>
      <c r="C72" s="599">
        <f t="shared" si="11"/>
        <v>1</v>
      </c>
      <c r="D72" s="608"/>
      <c r="E72" s="599">
        <f t="shared" si="12"/>
        <v>0</v>
      </c>
      <c r="F72" s="608"/>
      <c r="G72" s="599">
        <f t="shared" si="13"/>
        <v>1</v>
      </c>
      <c r="H72" s="608"/>
      <c r="I72" s="599">
        <f t="shared" si="14"/>
        <v>1</v>
      </c>
      <c r="J72" s="608"/>
      <c r="K72" s="599">
        <f t="shared" si="15"/>
        <v>1</v>
      </c>
      <c r="L72" s="608"/>
      <c r="M72" s="599">
        <f t="shared" si="16"/>
        <v>1</v>
      </c>
      <c r="N72" s="608"/>
      <c r="O72" s="599">
        <f t="shared" si="17"/>
        <v>1</v>
      </c>
      <c r="P72" s="608"/>
      <c r="Q72" s="599">
        <f t="shared" si="18"/>
        <v>1</v>
      </c>
      <c r="R72" s="659">
        <f t="shared" si="19"/>
        <v>0</v>
      </c>
      <c r="S72" s="598">
        <f t="shared" si="21"/>
        <v>0</v>
      </c>
    </row>
    <row r="73" spans="1:19">
      <c r="A73" s="606"/>
      <c r="B73" s="607"/>
      <c r="C73" s="599">
        <f t="shared" si="11"/>
        <v>1</v>
      </c>
      <c r="D73" s="608"/>
      <c r="E73" s="599">
        <f t="shared" si="12"/>
        <v>0</v>
      </c>
      <c r="F73" s="608"/>
      <c r="G73" s="599">
        <f t="shared" si="13"/>
        <v>1</v>
      </c>
      <c r="H73" s="608"/>
      <c r="I73" s="599">
        <f t="shared" si="14"/>
        <v>1</v>
      </c>
      <c r="J73" s="608"/>
      <c r="K73" s="599">
        <f t="shared" si="15"/>
        <v>1</v>
      </c>
      <c r="L73" s="608"/>
      <c r="M73" s="599">
        <f t="shared" si="16"/>
        <v>1</v>
      </c>
      <c r="N73" s="608"/>
      <c r="O73" s="599">
        <f t="shared" si="17"/>
        <v>1</v>
      </c>
      <c r="P73" s="608"/>
      <c r="Q73" s="599">
        <f t="shared" si="18"/>
        <v>1</v>
      </c>
      <c r="R73" s="659">
        <f t="shared" si="19"/>
        <v>0</v>
      </c>
      <c r="S73" s="598">
        <f t="shared" si="21"/>
        <v>0</v>
      </c>
    </row>
    <row r="74" spans="1:19">
      <c r="A74" s="606"/>
      <c r="B74" s="607"/>
      <c r="C74" s="599">
        <f t="shared" si="11"/>
        <v>1</v>
      </c>
      <c r="D74" s="608"/>
      <c r="E74" s="599">
        <f t="shared" si="12"/>
        <v>0</v>
      </c>
      <c r="F74" s="608"/>
      <c r="G74" s="599">
        <f t="shared" si="13"/>
        <v>1</v>
      </c>
      <c r="H74" s="608"/>
      <c r="I74" s="599">
        <f t="shared" si="14"/>
        <v>1</v>
      </c>
      <c r="J74" s="608"/>
      <c r="K74" s="599">
        <f t="shared" si="15"/>
        <v>1</v>
      </c>
      <c r="L74" s="608"/>
      <c r="M74" s="599">
        <f t="shared" si="16"/>
        <v>1</v>
      </c>
      <c r="N74" s="608"/>
      <c r="O74" s="599">
        <f t="shared" si="17"/>
        <v>1</v>
      </c>
      <c r="P74" s="608"/>
      <c r="Q74" s="599">
        <f t="shared" si="18"/>
        <v>1</v>
      </c>
      <c r="R74" s="659">
        <f t="shared" si="19"/>
        <v>0</v>
      </c>
      <c r="S74" s="598">
        <f t="shared" si="21"/>
        <v>0</v>
      </c>
    </row>
    <row r="75" spans="1:19">
      <c r="A75" s="606"/>
      <c r="B75" s="607"/>
      <c r="C75" s="599">
        <f t="shared" si="11"/>
        <v>1</v>
      </c>
      <c r="D75" s="608"/>
      <c r="E75" s="599">
        <f t="shared" si="12"/>
        <v>0</v>
      </c>
      <c r="F75" s="608"/>
      <c r="G75" s="599">
        <f t="shared" si="13"/>
        <v>1</v>
      </c>
      <c r="H75" s="608"/>
      <c r="I75" s="599">
        <f t="shared" si="14"/>
        <v>1</v>
      </c>
      <c r="J75" s="608"/>
      <c r="K75" s="599">
        <f t="shared" si="15"/>
        <v>1</v>
      </c>
      <c r="L75" s="608"/>
      <c r="M75" s="599">
        <f t="shared" si="16"/>
        <v>1</v>
      </c>
      <c r="N75" s="608"/>
      <c r="O75" s="599">
        <f t="shared" si="17"/>
        <v>1</v>
      </c>
      <c r="P75" s="608"/>
      <c r="Q75" s="599">
        <f t="shared" si="18"/>
        <v>1</v>
      </c>
      <c r="R75" s="659">
        <f t="shared" si="19"/>
        <v>0</v>
      </c>
      <c r="S75" s="598">
        <f t="shared" si="21"/>
        <v>0</v>
      </c>
    </row>
    <row r="76" spans="1:19">
      <c r="A76" s="606"/>
      <c r="B76" s="607"/>
      <c r="C76" s="599">
        <f t="shared" si="11"/>
        <v>1</v>
      </c>
      <c r="D76" s="608"/>
      <c r="E76" s="599">
        <f t="shared" si="12"/>
        <v>0</v>
      </c>
      <c r="F76" s="608"/>
      <c r="G76" s="599">
        <f t="shared" si="13"/>
        <v>1</v>
      </c>
      <c r="H76" s="608"/>
      <c r="I76" s="599">
        <f t="shared" si="14"/>
        <v>1</v>
      </c>
      <c r="J76" s="608"/>
      <c r="K76" s="599">
        <f t="shared" si="15"/>
        <v>1</v>
      </c>
      <c r="L76" s="608"/>
      <c r="M76" s="599">
        <f t="shared" si="16"/>
        <v>1</v>
      </c>
      <c r="N76" s="608"/>
      <c r="O76" s="599">
        <f t="shared" si="17"/>
        <v>1</v>
      </c>
      <c r="P76" s="608"/>
      <c r="Q76" s="599">
        <f t="shared" si="18"/>
        <v>1</v>
      </c>
      <c r="R76" s="659">
        <f t="shared" si="19"/>
        <v>0</v>
      </c>
      <c r="S76" s="598">
        <f t="shared" si="21"/>
        <v>0</v>
      </c>
    </row>
    <row r="77" spans="1:19">
      <c r="A77" s="606"/>
      <c r="B77" s="607"/>
      <c r="C77" s="599">
        <f t="shared" si="11"/>
        <v>1</v>
      </c>
      <c r="D77" s="608"/>
      <c r="E77" s="599">
        <f t="shared" si="12"/>
        <v>0</v>
      </c>
      <c r="F77" s="608"/>
      <c r="G77" s="599">
        <f t="shared" si="13"/>
        <v>1</v>
      </c>
      <c r="H77" s="608"/>
      <c r="I77" s="599">
        <f t="shared" si="14"/>
        <v>1</v>
      </c>
      <c r="J77" s="608"/>
      <c r="K77" s="599">
        <f t="shared" si="15"/>
        <v>1</v>
      </c>
      <c r="L77" s="608"/>
      <c r="M77" s="599">
        <f t="shared" si="16"/>
        <v>1</v>
      </c>
      <c r="N77" s="608"/>
      <c r="O77" s="599">
        <f t="shared" si="17"/>
        <v>1</v>
      </c>
      <c r="P77" s="608"/>
      <c r="Q77" s="599">
        <f t="shared" si="18"/>
        <v>1</v>
      </c>
      <c r="R77" s="659">
        <f t="shared" si="19"/>
        <v>0</v>
      </c>
      <c r="S77" s="598">
        <f t="shared" si="21"/>
        <v>0</v>
      </c>
    </row>
    <row r="78" spans="1:19">
      <c r="A78" s="606"/>
      <c r="B78" s="607"/>
      <c r="C78" s="599">
        <f t="shared" si="11"/>
        <v>1</v>
      </c>
      <c r="D78" s="608"/>
      <c r="E78" s="599">
        <f t="shared" si="12"/>
        <v>0</v>
      </c>
      <c r="F78" s="608"/>
      <c r="G78" s="599">
        <f t="shared" si="13"/>
        <v>1</v>
      </c>
      <c r="H78" s="608"/>
      <c r="I78" s="599">
        <f t="shared" si="14"/>
        <v>1</v>
      </c>
      <c r="J78" s="608"/>
      <c r="K78" s="599">
        <f t="shared" si="15"/>
        <v>1</v>
      </c>
      <c r="L78" s="608"/>
      <c r="M78" s="599">
        <f t="shared" si="16"/>
        <v>1</v>
      </c>
      <c r="N78" s="608"/>
      <c r="O78" s="599">
        <f t="shared" si="17"/>
        <v>1</v>
      </c>
      <c r="P78" s="608"/>
      <c r="Q78" s="599">
        <f t="shared" si="18"/>
        <v>1</v>
      </c>
      <c r="R78" s="659">
        <f t="shared" si="19"/>
        <v>0</v>
      </c>
      <c r="S78" s="598">
        <f t="shared" si="21"/>
        <v>0</v>
      </c>
    </row>
    <row r="79" spans="1:19">
      <c r="A79" s="606"/>
      <c r="B79" s="607"/>
      <c r="C79" s="599">
        <f t="shared" si="11"/>
        <v>1</v>
      </c>
      <c r="D79" s="608"/>
      <c r="E79" s="599">
        <f t="shared" si="12"/>
        <v>0</v>
      </c>
      <c r="F79" s="608"/>
      <c r="G79" s="599">
        <f t="shared" si="13"/>
        <v>1</v>
      </c>
      <c r="H79" s="608"/>
      <c r="I79" s="599">
        <f t="shared" si="14"/>
        <v>1</v>
      </c>
      <c r="J79" s="608"/>
      <c r="K79" s="599">
        <f t="shared" si="15"/>
        <v>1</v>
      </c>
      <c r="L79" s="608"/>
      <c r="M79" s="599">
        <f t="shared" si="16"/>
        <v>1</v>
      </c>
      <c r="N79" s="608"/>
      <c r="O79" s="599">
        <f t="shared" si="17"/>
        <v>1</v>
      </c>
      <c r="P79" s="608"/>
      <c r="Q79" s="599">
        <f t="shared" si="18"/>
        <v>1</v>
      </c>
      <c r="R79" s="659">
        <f t="shared" si="19"/>
        <v>0</v>
      </c>
      <c r="S79" s="598">
        <f t="shared" si="21"/>
        <v>0</v>
      </c>
    </row>
    <row r="80" spans="1:19">
      <c r="A80" s="606"/>
      <c r="B80" s="607"/>
      <c r="C80" s="599">
        <f t="shared" si="11"/>
        <v>1</v>
      </c>
      <c r="D80" s="608"/>
      <c r="E80" s="599">
        <f t="shared" si="12"/>
        <v>0</v>
      </c>
      <c r="F80" s="608"/>
      <c r="G80" s="599">
        <f t="shared" si="13"/>
        <v>1</v>
      </c>
      <c r="H80" s="608"/>
      <c r="I80" s="599">
        <f t="shared" si="14"/>
        <v>1</v>
      </c>
      <c r="J80" s="608"/>
      <c r="K80" s="599">
        <f t="shared" si="15"/>
        <v>1</v>
      </c>
      <c r="L80" s="608"/>
      <c r="M80" s="599">
        <f t="shared" si="16"/>
        <v>1</v>
      </c>
      <c r="N80" s="608"/>
      <c r="O80" s="599">
        <f t="shared" si="17"/>
        <v>1</v>
      </c>
      <c r="P80" s="608"/>
      <c r="Q80" s="599">
        <f t="shared" si="18"/>
        <v>1</v>
      </c>
      <c r="R80" s="659">
        <f t="shared" si="19"/>
        <v>0</v>
      </c>
      <c r="S80" s="598">
        <f t="shared" si="21"/>
        <v>0</v>
      </c>
    </row>
    <row r="81" spans="1:19">
      <c r="A81" s="606"/>
      <c r="B81" s="607"/>
      <c r="C81" s="599">
        <f t="shared" si="11"/>
        <v>1</v>
      </c>
      <c r="D81" s="608"/>
      <c r="E81" s="599">
        <f t="shared" si="12"/>
        <v>0</v>
      </c>
      <c r="F81" s="608"/>
      <c r="G81" s="599">
        <f t="shared" si="13"/>
        <v>1</v>
      </c>
      <c r="H81" s="608"/>
      <c r="I81" s="599">
        <f t="shared" si="14"/>
        <v>1</v>
      </c>
      <c r="J81" s="608"/>
      <c r="K81" s="599">
        <f t="shared" si="15"/>
        <v>1</v>
      </c>
      <c r="L81" s="608"/>
      <c r="M81" s="599">
        <f t="shared" si="16"/>
        <v>1</v>
      </c>
      <c r="N81" s="608"/>
      <c r="O81" s="599">
        <f t="shared" si="17"/>
        <v>1</v>
      </c>
      <c r="P81" s="608"/>
      <c r="Q81" s="599">
        <f t="shared" si="18"/>
        <v>1</v>
      </c>
      <c r="R81" s="659">
        <f t="shared" si="19"/>
        <v>0</v>
      </c>
      <c r="S81" s="598">
        <f t="shared" si="21"/>
        <v>0</v>
      </c>
    </row>
    <row r="82" spans="1:19">
      <c r="A82" s="606"/>
      <c r="B82" s="607"/>
      <c r="C82" s="599">
        <f t="shared" si="11"/>
        <v>1</v>
      </c>
      <c r="D82" s="608"/>
      <c r="E82" s="599">
        <f t="shared" si="12"/>
        <v>0</v>
      </c>
      <c r="F82" s="608"/>
      <c r="G82" s="599">
        <f t="shared" si="13"/>
        <v>1</v>
      </c>
      <c r="H82" s="608"/>
      <c r="I82" s="599">
        <f t="shared" si="14"/>
        <v>1</v>
      </c>
      <c r="J82" s="608"/>
      <c r="K82" s="599">
        <f t="shared" si="15"/>
        <v>1</v>
      </c>
      <c r="L82" s="608"/>
      <c r="M82" s="599">
        <f t="shared" si="16"/>
        <v>1</v>
      </c>
      <c r="N82" s="608"/>
      <c r="O82" s="599">
        <f t="shared" si="17"/>
        <v>1</v>
      </c>
      <c r="P82" s="608"/>
      <c r="Q82" s="599">
        <f t="shared" si="18"/>
        <v>1</v>
      </c>
      <c r="R82" s="659">
        <f t="shared" si="19"/>
        <v>0</v>
      </c>
      <c r="S82" s="598">
        <f t="shared" si="21"/>
        <v>0</v>
      </c>
    </row>
    <row r="83" spans="1:19">
      <c r="A83" s="606"/>
      <c r="B83" s="607"/>
      <c r="C83" s="599">
        <f t="shared" si="11"/>
        <v>1</v>
      </c>
      <c r="D83" s="608"/>
      <c r="E83" s="599">
        <f t="shared" si="12"/>
        <v>0</v>
      </c>
      <c r="F83" s="608"/>
      <c r="G83" s="599">
        <f t="shared" si="13"/>
        <v>1</v>
      </c>
      <c r="H83" s="608"/>
      <c r="I83" s="599">
        <f t="shared" si="14"/>
        <v>1</v>
      </c>
      <c r="J83" s="608"/>
      <c r="K83" s="599">
        <f t="shared" si="15"/>
        <v>1</v>
      </c>
      <c r="L83" s="608"/>
      <c r="M83" s="599">
        <f t="shared" si="16"/>
        <v>1</v>
      </c>
      <c r="N83" s="608"/>
      <c r="O83" s="599">
        <f t="shared" si="17"/>
        <v>1</v>
      </c>
      <c r="P83" s="608"/>
      <c r="Q83" s="599">
        <f t="shared" si="18"/>
        <v>1</v>
      </c>
      <c r="R83" s="659">
        <f t="shared" si="19"/>
        <v>0</v>
      </c>
      <c r="S83" s="598">
        <f t="shared" si="21"/>
        <v>0</v>
      </c>
    </row>
    <row r="84" spans="1:19">
      <c r="A84" s="606"/>
      <c r="B84" s="607"/>
      <c r="C84" s="599">
        <f t="shared" si="11"/>
        <v>1</v>
      </c>
      <c r="D84" s="608"/>
      <c r="E84" s="599">
        <f t="shared" si="12"/>
        <v>0</v>
      </c>
      <c r="F84" s="608"/>
      <c r="G84" s="599">
        <f t="shared" si="13"/>
        <v>1</v>
      </c>
      <c r="H84" s="608"/>
      <c r="I84" s="599">
        <f t="shared" si="14"/>
        <v>1</v>
      </c>
      <c r="J84" s="608"/>
      <c r="K84" s="599">
        <f t="shared" si="15"/>
        <v>1</v>
      </c>
      <c r="L84" s="608"/>
      <c r="M84" s="599">
        <f t="shared" si="16"/>
        <v>1</v>
      </c>
      <c r="N84" s="608"/>
      <c r="O84" s="599">
        <f t="shared" si="17"/>
        <v>1</v>
      </c>
      <c r="P84" s="608"/>
      <c r="Q84" s="599">
        <f t="shared" si="18"/>
        <v>1</v>
      </c>
      <c r="R84" s="659">
        <f t="shared" si="19"/>
        <v>0</v>
      </c>
      <c r="S84" s="598">
        <f t="shared" si="21"/>
        <v>0</v>
      </c>
    </row>
    <row r="85" spans="1:19">
      <c r="A85" s="606"/>
      <c r="B85" s="607"/>
      <c r="C85" s="599">
        <f t="shared" si="11"/>
        <v>1</v>
      </c>
      <c r="D85" s="608"/>
      <c r="E85" s="599">
        <f t="shared" si="12"/>
        <v>0</v>
      </c>
      <c r="F85" s="608"/>
      <c r="G85" s="599">
        <f t="shared" si="13"/>
        <v>1</v>
      </c>
      <c r="H85" s="608"/>
      <c r="I85" s="599">
        <f t="shared" si="14"/>
        <v>1</v>
      </c>
      <c r="J85" s="608"/>
      <c r="K85" s="599">
        <f t="shared" si="15"/>
        <v>1</v>
      </c>
      <c r="L85" s="608"/>
      <c r="M85" s="599">
        <f t="shared" si="16"/>
        <v>1</v>
      </c>
      <c r="N85" s="608"/>
      <c r="O85" s="599">
        <f t="shared" si="17"/>
        <v>1</v>
      </c>
      <c r="P85" s="608"/>
      <c r="Q85" s="599">
        <f t="shared" si="18"/>
        <v>1</v>
      </c>
      <c r="R85" s="659">
        <f t="shared" si="19"/>
        <v>0</v>
      </c>
      <c r="S85" s="598">
        <f t="shared" si="21"/>
        <v>0</v>
      </c>
    </row>
    <row r="86" spans="1:19">
      <c r="A86" s="606"/>
      <c r="B86" s="607"/>
      <c r="C86" s="599">
        <f t="shared" si="11"/>
        <v>1</v>
      </c>
      <c r="D86" s="608"/>
      <c r="E86" s="599">
        <f t="shared" si="12"/>
        <v>0</v>
      </c>
      <c r="F86" s="608"/>
      <c r="G86" s="599">
        <f t="shared" si="13"/>
        <v>1</v>
      </c>
      <c r="H86" s="608"/>
      <c r="I86" s="599">
        <f t="shared" si="14"/>
        <v>1</v>
      </c>
      <c r="J86" s="608"/>
      <c r="K86" s="599">
        <f t="shared" si="15"/>
        <v>1</v>
      </c>
      <c r="L86" s="608"/>
      <c r="M86" s="599">
        <f t="shared" si="16"/>
        <v>1</v>
      </c>
      <c r="N86" s="608"/>
      <c r="O86" s="599">
        <f t="shared" si="17"/>
        <v>1</v>
      </c>
      <c r="P86" s="608"/>
      <c r="Q86" s="599">
        <f t="shared" si="18"/>
        <v>1</v>
      </c>
      <c r="R86" s="659">
        <f t="shared" si="19"/>
        <v>0</v>
      </c>
      <c r="S86" s="598">
        <f t="shared" si="21"/>
        <v>0</v>
      </c>
    </row>
    <row r="87" spans="1:19">
      <c r="A87" s="606"/>
      <c r="B87" s="607"/>
      <c r="C87" s="599">
        <f t="shared" si="11"/>
        <v>1</v>
      </c>
      <c r="D87" s="608"/>
      <c r="E87" s="599">
        <f t="shared" si="12"/>
        <v>0</v>
      </c>
      <c r="F87" s="608"/>
      <c r="G87" s="599">
        <f t="shared" si="13"/>
        <v>1</v>
      </c>
      <c r="H87" s="608"/>
      <c r="I87" s="599">
        <f t="shared" si="14"/>
        <v>1</v>
      </c>
      <c r="J87" s="608"/>
      <c r="K87" s="599">
        <f t="shared" si="15"/>
        <v>1</v>
      </c>
      <c r="L87" s="608"/>
      <c r="M87" s="599">
        <f t="shared" si="16"/>
        <v>1</v>
      </c>
      <c r="N87" s="608"/>
      <c r="O87" s="599">
        <f t="shared" si="17"/>
        <v>1</v>
      </c>
      <c r="P87" s="608"/>
      <c r="Q87" s="599">
        <f t="shared" si="18"/>
        <v>1</v>
      </c>
      <c r="R87" s="659">
        <f t="shared" si="19"/>
        <v>0</v>
      </c>
      <c r="S87" s="598">
        <f t="shared" si="21"/>
        <v>0</v>
      </c>
    </row>
    <row r="88" spans="1:19">
      <c r="A88" s="606"/>
      <c r="B88" s="607"/>
      <c r="C88" s="599">
        <f t="shared" si="11"/>
        <v>1</v>
      </c>
      <c r="D88" s="608"/>
      <c r="E88" s="599">
        <f t="shared" si="12"/>
        <v>0</v>
      </c>
      <c r="F88" s="608"/>
      <c r="G88" s="599">
        <f t="shared" si="13"/>
        <v>1</v>
      </c>
      <c r="H88" s="608"/>
      <c r="I88" s="599">
        <f t="shared" si="14"/>
        <v>1</v>
      </c>
      <c r="J88" s="608"/>
      <c r="K88" s="599">
        <f t="shared" si="15"/>
        <v>1</v>
      </c>
      <c r="L88" s="608"/>
      <c r="M88" s="599">
        <f t="shared" si="16"/>
        <v>1</v>
      </c>
      <c r="N88" s="608"/>
      <c r="O88" s="599">
        <f t="shared" si="17"/>
        <v>1</v>
      </c>
      <c r="P88" s="608"/>
      <c r="Q88" s="599">
        <f t="shared" si="18"/>
        <v>1</v>
      </c>
      <c r="R88" s="659">
        <f t="shared" si="19"/>
        <v>0</v>
      </c>
      <c r="S88" s="598">
        <f t="shared" si="21"/>
        <v>0</v>
      </c>
    </row>
    <row r="89" spans="1:19">
      <c r="A89" s="606"/>
      <c r="B89" s="607"/>
      <c r="C89" s="599">
        <f t="shared" si="11"/>
        <v>1</v>
      </c>
      <c r="D89" s="608"/>
      <c r="E89" s="599">
        <f t="shared" si="12"/>
        <v>0</v>
      </c>
      <c r="F89" s="608"/>
      <c r="G89" s="599">
        <f t="shared" si="13"/>
        <v>1</v>
      </c>
      <c r="H89" s="608"/>
      <c r="I89" s="599">
        <f t="shared" si="14"/>
        <v>1</v>
      </c>
      <c r="J89" s="608"/>
      <c r="K89" s="599">
        <f t="shared" si="15"/>
        <v>1</v>
      </c>
      <c r="L89" s="608"/>
      <c r="M89" s="599">
        <f t="shared" si="16"/>
        <v>1</v>
      </c>
      <c r="N89" s="608"/>
      <c r="O89" s="599">
        <f t="shared" si="17"/>
        <v>1</v>
      </c>
      <c r="P89" s="608"/>
      <c r="Q89" s="599">
        <f t="shared" si="18"/>
        <v>1</v>
      </c>
      <c r="R89" s="659">
        <f t="shared" si="19"/>
        <v>0</v>
      </c>
      <c r="S89" s="598">
        <f t="shared" si="21"/>
        <v>0</v>
      </c>
    </row>
    <row r="90" spans="1:19">
      <c r="A90" s="606"/>
      <c r="B90" s="607"/>
      <c r="C90" s="599">
        <f t="shared" ref="C90:C153" si="22">IF(B90="",1,(LOOKUP(B90,$3:$3,$4:$4)-LOOKUP($B$24,$3:$3,$4:$4)+100)/100)</f>
        <v>1</v>
      </c>
      <c r="D90" s="608"/>
      <c r="E90" s="599">
        <f t="shared" ref="E90:E153" si="23">(SUMIF($5:$5,D90,$6:$6)-SUMIF($5:$5,$D$24,$6:$6)+100)/100</f>
        <v>0</v>
      </c>
      <c r="F90" s="608"/>
      <c r="G90" s="599">
        <f t="shared" ref="G90:G153" si="24">(SUMIF($7:$7,F90,$8:$8)-SUMIF($7:$7,$F$24,$8:$8)+100)/100</f>
        <v>1</v>
      </c>
      <c r="H90" s="608"/>
      <c r="I90" s="599">
        <f t="shared" ref="I90:I153" si="25">(SUMIF($9:$9,H90,$10:$10)-SUMIF($9:$9,$H$24,$10:$10)+100)/100</f>
        <v>1</v>
      </c>
      <c r="J90" s="608"/>
      <c r="K90" s="599">
        <f t="shared" ref="K90:K153" si="26">(SUMIF($11:$11,J90,$12:$12)-SUMIF($11:$11,$J$24,$12:$12)+100)/100</f>
        <v>1</v>
      </c>
      <c r="L90" s="608"/>
      <c r="M90" s="599">
        <f t="shared" ref="M90:M153" si="27">(SUMIF($13:$13,L90,$14:$14)-SUMIF($13:$13,$L$24,$14:$14)+100)/100</f>
        <v>1</v>
      </c>
      <c r="N90" s="608"/>
      <c r="O90" s="599">
        <f t="shared" ref="O90:O153" si="28">(SUMIF($15:$15,N90,$16:$16)-SUMIF($15:$15,$N$24,$16:$16)+100)/100</f>
        <v>1</v>
      </c>
      <c r="P90" s="608"/>
      <c r="Q90" s="599">
        <f t="shared" ref="Q90:Q153" si="29">(SUMIF($17:$17,P90,$18:$18)-SUMIF($17:$17,$P$24,$18:$18)+100)/100</f>
        <v>1</v>
      </c>
      <c r="R90" s="659">
        <f t="shared" ref="R90:R153" si="30">IF(B90="",0,ROUND($R$24*C90*E90*G90*I90*K90*M90*O90*Q90,0))</f>
        <v>0</v>
      </c>
      <c r="S90" s="598">
        <f t="shared" ref="S90:S98" si="31">R90</f>
        <v>0</v>
      </c>
    </row>
    <row r="91" spans="1:19">
      <c r="A91" s="606"/>
      <c r="B91" s="607"/>
      <c r="C91" s="599">
        <f t="shared" si="22"/>
        <v>1</v>
      </c>
      <c r="D91" s="608"/>
      <c r="E91" s="599">
        <f t="shared" si="23"/>
        <v>0</v>
      </c>
      <c r="F91" s="608"/>
      <c r="G91" s="599">
        <f t="shared" si="24"/>
        <v>1</v>
      </c>
      <c r="H91" s="608"/>
      <c r="I91" s="599">
        <f t="shared" si="25"/>
        <v>1</v>
      </c>
      <c r="J91" s="608"/>
      <c r="K91" s="599">
        <f t="shared" si="26"/>
        <v>1</v>
      </c>
      <c r="L91" s="608"/>
      <c r="M91" s="599">
        <f t="shared" si="27"/>
        <v>1</v>
      </c>
      <c r="N91" s="608"/>
      <c r="O91" s="599">
        <f t="shared" si="28"/>
        <v>1</v>
      </c>
      <c r="P91" s="608"/>
      <c r="Q91" s="599">
        <f t="shared" si="29"/>
        <v>1</v>
      </c>
      <c r="R91" s="659">
        <f t="shared" si="30"/>
        <v>0</v>
      </c>
      <c r="S91" s="598">
        <f t="shared" si="31"/>
        <v>0</v>
      </c>
    </row>
    <row r="92" spans="1:19">
      <c r="A92" s="606"/>
      <c r="B92" s="607"/>
      <c r="C92" s="599">
        <f t="shared" si="22"/>
        <v>1</v>
      </c>
      <c r="D92" s="608"/>
      <c r="E92" s="599">
        <f t="shared" si="23"/>
        <v>0</v>
      </c>
      <c r="F92" s="608"/>
      <c r="G92" s="599">
        <f t="shared" si="24"/>
        <v>1</v>
      </c>
      <c r="H92" s="608"/>
      <c r="I92" s="599">
        <f t="shared" si="25"/>
        <v>1</v>
      </c>
      <c r="J92" s="608"/>
      <c r="K92" s="599">
        <f t="shared" si="26"/>
        <v>1</v>
      </c>
      <c r="L92" s="608"/>
      <c r="M92" s="599">
        <f t="shared" si="27"/>
        <v>1</v>
      </c>
      <c r="N92" s="608"/>
      <c r="O92" s="599">
        <f t="shared" si="28"/>
        <v>1</v>
      </c>
      <c r="P92" s="608"/>
      <c r="Q92" s="599">
        <f t="shared" si="29"/>
        <v>1</v>
      </c>
      <c r="R92" s="659">
        <f t="shared" si="30"/>
        <v>0</v>
      </c>
      <c r="S92" s="598">
        <f t="shared" si="31"/>
        <v>0</v>
      </c>
    </row>
    <row r="93" spans="1:19">
      <c r="A93" s="606"/>
      <c r="B93" s="607"/>
      <c r="C93" s="599">
        <f t="shared" si="22"/>
        <v>1</v>
      </c>
      <c r="D93" s="608"/>
      <c r="E93" s="599">
        <f t="shared" si="23"/>
        <v>0</v>
      </c>
      <c r="F93" s="608"/>
      <c r="G93" s="599">
        <f t="shared" si="24"/>
        <v>1</v>
      </c>
      <c r="H93" s="608"/>
      <c r="I93" s="599">
        <f t="shared" si="25"/>
        <v>1</v>
      </c>
      <c r="J93" s="608"/>
      <c r="K93" s="599">
        <f t="shared" si="26"/>
        <v>1</v>
      </c>
      <c r="L93" s="608"/>
      <c r="M93" s="599">
        <f t="shared" si="27"/>
        <v>1</v>
      </c>
      <c r="N93" s="608"/>
      <c r="O93" s="599">
        <f t="shared" si="28"/>
        <v>1</v>
      </c>
      <c r="P93" s="608"/>
      <c r="Q93" s="599">
        <f t="shared" si="29"/>
        <v>1</v>
      </c>
      <c r="R93" s="659">
        <f t="shared" si="30"/>
        <v>0</v>
      </c>
      <c r="S93" s="598">
        <f t="shared" si="31"/>
        <v>0</v>
      </c>
    </row>
    <row r="94" spans="1:19">
      <c r="A94" s="606"/>
      <c r="B94" s="607"/>
      <c r="C94" s="599">
        <f t="shared" si="22"/>
        <v>1</v>
      </c>
      <c r="D94" s="608"/>
      <c r="E94" s="599">
        <f t="shared" si="23"/>
        <v>0</v>
      </c>
      <c r="F94" s="608"/>
      <c r="G94" s="599">
        <f t="shared" si="24"/>
        <v>1</v>
      </c>
      <c r="H94" s="608"/>
      <c r="I94" s="599">
        <f t="shared" si="25"/>
        <v>1</v>
      </c>
      <c r="J94" s="608"/>
      <c r="K94" s="599">
        <f t="shared" si="26"/>
        <v>1</v>
      </c>
      <c r="L94" s="608"/>
      <c r="M94" s="599">
        <f t="shared" si="27"/>
        <v>1</v>
      </c>
      <c r="N94" s="608"/>
      <c r="O94" s="599">
        <f t="shared" si="28"/>
        <v>1</v>
      </c>
      <c r="P94" s="608"/>
      <c r="Q94" s="599">
        <f t="shared" si="29"/>
        <v>1</v>
      </c>
      <c r="R94" s="659">
        <f t="shared" si="30"/>
        <v>0</v>
      </c>
      <c r="S94" s="598">
        <f t="shared" si="31"/>
        <v>0</v>
      </c>
    </row>
    <row r="95" spans="1:19">
      <c r="A95" s="606"/>
      <c r="B95" s="607"/>
      <c r="C95" s="599">
        <f t="shared" si="22"/>
        <v>1</v>
      </c>
      <c r="D95" s="608"/>
      <c r="E95" s="599">
        <f t="shared" si="23"/>
        <v>0</v>
      </c>
      <c r="F95" s="608"/>
      <c r="G95" s="599">
        <f t="shared" si="24"/>
        <v>1</v>
      </c>
      <c r="H95" s="608"/>
      <c r="I95" s="599">
        <f t="shared" si="25"/>
        <v>1</v>
      </c>
      <c r="J95" s="608"/>
      <c r="K95" s="599">
        <f t="shared" si="26"/>
        <v>1</v>
      </c>
      <c r="L95" s="608"/>
      <c r="M95" s="599">
        <f t="shared" si="27"/>
        <v>1</v>
      </c>
      <c r="N95" s="608"/>
      <c r="O95" s="599">
        <f t="shared" si="28"/>
        <v>1</v>
      </c>
      <c r="P95" s="608"/>
      <c r="Q95" s="599">
        <f t="shared" si="29"/>
        <v>1</v>
      </c>
      <c r="R95" s="659">
        <f t="shared" si="30"/>
        <v>0</v>
      </c>
      <c r="S95" s="598">
        <f t="shared" si="31"/>
        <v>0</v>
      </c>
    </row>
    <row r="96" spans="1:19">
      <c r="A96" s="606"/>
      <c r="B96" s="607"/>
      <c r="C96" s="599">
        <f t="shared" si="22"/>
        <v>1</v>
      </c>
      <c r="D96" s="608"/>
      <c r="E96" s="599">
        <f t="shared" si="23"/>
        <v>0</v>
      </c>
      <c r="F96" s="608"/>
      <c r="G96" s="599">
        <f t="shared" si="24"/>
        <v>1</v>
      </c>
      <c r="H96" s="608"/>
      <c r="I96" s="599">
        <f t="shared" si="25"/>
        <v>1</v>
      </c>
      <c r="J96" s="608"/>
      <c r="K96" s="599">
        <f t="shared" si="26"/>
        <v>1</v>
      </c>
      <c r="L96" s="608"/>
      <c r="M96" s="599">
        <f t="shared" si="27"/>
        <v>1</v>
      </c>
      <c r="N96" s="608"/>
      <c r="O96" s="599">
        <f t="shared" si="28"/>
        <v>1</v>
      </c>
      <c r="P96" s="608"/>
      <c r="Q96" s="599">
        <f t="shared" si="29"/>
        <v>1</v>
      </c>
      <c r="R96" s="659">
        <f t="shared" si="30"/>
        <v>0</v>
      </c>
      <c r="S96" s="598">
        <f t="shared" si="31"/>
        <v>0</v>
      </c>
    </row>
    <row r="97" spans="1:19">
      <c r="A97" s="606"/>
      <c r="B97" s="607"/>
      <c r="C97" s="599">
        <f t="shared" si="22"/>
        <v>1</v>
      </c>
      <c r="D97" s="608"/>
      <c r="E97" s="599">
        <f t="shared" si="23"/>
        <v>0</v>
      </c>
      <c r="F97" s="608"/>
      <c r="G97" s="599">
        <f t="shared" si="24"/>
        <v>1</v>
      </c>
      <c r="H97" s="608"/>
      <c r="I97" s="599">
        <f t="shared" si="25"/>
        <v>1</v>
      </c>
      <c r="J97" s="608"/>
      <c r="K97" s="599">
        <f t="shared" si="26"/>
        <v>1</v>
      </c>
      <c r="L97" s="608"/>
      <c r="M97" s="599">
        <f t="shared" si="27"/>
        <v>1</v>
      </c>
      <c r="N97" s="608"/>
      <c r="O97" s="599">
        <f t="shared" si="28"/>
        <v>1</v>
      </c>
      <c r="P97" s="608"/>
      <c r="Q97" s="599">
        <f t="shared" si="29"/>
        <v>1</v>
      </c>
      <c r="R97" s="659">
        <f t="shared" si="30"/>
        <v>0</v>
      </c>
      <c r="S97" s="598">
        <f t="shared" si="31"/>
        <v>0</v>
      </c>
    </row>
    <row r="98" spans="1:19">
      <c r="A98" s="606"/>
      <c r="B98" s="607"/>
      <c r="C98" s="599">
        <f t="shared" si="22"/>
        <v>1</v>
      </c>
      <c r="D98" s="608"/>
      <c r="E98" s="599">
        <f t="shared" si="23"/>
        <v>0</v>
      </c>
      <c r="F98" s="608"/>
      <c r="G98" s="599">
        <f t="shared" si="24"/>
        <v>1</v>
      </c>
      <c r="H98" s="608"/>
      <c r="I98" s="599">
        <f t="shared" si="25"/>
        <v>1</v>
      </c>
      <c r="J98" s="608"/>
      <c r="K98" s="599">
        <f t="shared" si="26"/>
        <v>1</v>
      </c>
      <c r="L98" s="608"/>
      <c r="M98" s="599">
        <f t="shared" si="27"/>
        <v>1</v>
      </c>
      <c r="N98" s="608"/>
      <c r="O98" s="599">
        <f t="shared" si="28"/>
        <v>1</v>
      </c>
      <c r="P98" s="608"/>
      <c r="Q98" s="599">
        <f t="shared" si="29"/>
        <v>1</v>
      </c>
      <c r="R98" s="659">
        <f t="shared" si="30"/>
        <v>0</v>
      </c>
      <c r="S98" s="598">
        <f t="shared" si="31"/>
        <v>0</v>
      </c>
    </row>
    <row r="99" spans="1:19">
      <c r="A99" s="606"/>
      <c r="B99" s="607"/>
      <c r="C99" s="599">
        <f t="shared" si="22"/>
        <v>1</v>
      </c>
      <c r="D99" s="608"/>
      <c r="E99" s="599">
        <f t="shared" si="23"/>
        <v>0</v>
      </c>
      <c r="F99" s="608"/>
      <c r="G99" s="599">
        <f t="shared" si="24"/>
        <v>1</v>
      </c>
      <c r="H99" s="608"/>
      <c r="I99" s="599">
        <f t="shared" si="25"/>
        <v>1</v>
      </c>
      <c r="J99" s="608"/>
      <c r="K99" s="599">
        <f t="shared" si="26"/>
        <v>1</v>
      </c>
      <c r="L99" s="608"/>
      <c r="M99" s="599">
        <f t="shared" si="27"/>
        <v>1</v>
      </c>
      <c r="N99" s="608"/>
      <c r="O99" s="599">
        <f t="shared" si="28"/>
        <v>1</v>
      </c>
      <c r="P99" s="608"/>
      <c r="Q99" s="599">
        <f t="shared" si="29"/>
        <v>1</v>
      </c>
      <c r="R99" s="659">
        <f t="shared" si="30"/>
        <v>0</v>
      </c>
      <c r="S99" s="598">
        <f t="shared" ref="S99:S122" si="32">ROUND(R99*B99/10000,0)</f>
        <v>0</v>
      </c>
    </row>
    <row r="100" spans="1:19">
      <c r="A100" s="606"/>
      <c r="B100" s="607"/>
      <c r="C100" s="599">
        <f t="shared" si="22"/>
        <v>1</v>
      </c>
      <c r="D100" s="608"/>
      <c r="E100" s="599">
        <f t="shared" si="23"/>
        <v>0</v>
      </c>
      <c r="F100" s="608"/>
      <c r="G100" s="599">
        <f t="shared" si="24"/>
        <v>1</v>
      </c>
      <c r="H100" s="608"/>
      <c r="I100" s="599">
        <f t="shared" si="25"/>
        <v>1</v>
      </c>
      <c r="J100" s="608"/>
      <c r="K100" s="599">
        <f t="shared" si="26"/>
        <v>1</v>
      </c>
      <c r="L100" s="608"/>
      <c r="M100" s="599">
        <f t="shared" si="27"/>
        <v>1</v>
      </c>
      <c r="N100" s="608"/>
      <c r="O100" s="599">
        <f t="shared" si="28"/>
        <v>1</v>
      </c>
      <c r="P100" s="608"/>
      <c r="Q100" s="599">
        <f t="shared" si="29"/>
        <v>1</v>
      </c>
      <c r="R100" s="659">
        <f t="shared" si="30"/>
        <v>0</v>
      </c>
      <c r="S100" s="598">
        <f t="shared" si="32"/>
        <v>0</v>
      </c>
    </row>
    <row r="101" spans="1:19">
      <c r="A101" s="606"/>
      <c r="B101" s="607"/>
      <c r="C101" s="599">
        <f t="shared" si="22"/>
        <v>1</v>
      </c>
      <c r="D101" s="608"/>
      <c r="E101" s="599">
        <f t="shared" si="23"/>
        <v>0</v>
      </c>
      <c r="F101" s="608"/>
      <c r="G101" s="599">
        <f t="shared" si="24"/>
        <v>1</v>
      </c>
      <c r="H101" s="608"/>
      <c r="I101" s="599">
        <f t="shared" si="25"/>
        <v>1</v>
      </c>
      <c r="J101" s="608"/>
      <c r="K101" s="599">
        <f t="shared" si="26"/>
        <v>1</v>
      </c>
      <c r="L101" s="608"/>
      <c r="M101" s="599">
        <f t="shared" si="27"/>
        <v>1</v>
      </c>
      <c r="N101" s="608"/>
      <c r="O101" s="599">
        <f t="shared" si="28"/>
        <v>1</v>
      </c>
      <c r="P101" s="608"/>
      <c r="Q101" s="599">
        <f t="shared" si="29"/>
        <v>1</v>
      </c>
      <c r="R101" s="659">
        <f t="shared" si="30"/>
        <v>0</v>
      </c>
      <c r="S101" s="598">
        <f t="shared" si="32"/>
        <v>0</v>
      </c>
    </row>
    <row r="102" spans="1:19">
      <c r="A102" s="606"/>
      <c r="B102" s="607"/>
      <c r="C102" s="599">
        <f t="shared" si="22"/>
        <v>1</v>
      </c>
      <c r="D102" s="608"/>
      <c r="E102" s="599">
        <f t="shared" si="23"/>
        <v>0</v>
      </c>
      <c r="F102" s="608"/>
      <c r="G102" s="599">
        <f t="shared" si="24"/>
        <v>1</v>
      </c>
      <c r="H102" s="608"/>
      <c r="I102" s="599">
        <f t="shared" si="25"/>
        <v>1</v>
      </c>
      <c r="J102" s="608"/>
      <c r="K102" s="599">
        <f t="shared" si="26"/>
        <v>1</v>
      </c>
      <c r="L102" s="608"/>
      <c r="M102" s="599">
        <f t="shared" si="27"/>
        <v>1</v>
      </c>
      <c r="N102" s="608"/>
      <c r="O102" s="599">
        <f t="shared" si="28"/>
        <v>1</v>
      </c>
      <c r="P102" s="608"/>
      <c r="Q102" s="599">
        <f t="shared" si="29"/>
        <v>1</v>
      </c>
      <c r="R102" s="659">
        <f t="shared" si="30"/>
        <v>0</v>
      </c>
      <c r="S102" s="598">
        <f t="shared" si="32"/>
        <v>0</v>
      </c>
    </row>
    <row r="103" spans="1:19">
      <c r="A103" s="606"/>
      <c r="B103" s="607"/>
      <c r="C103" s="599">
        <f t="shared" si="22"/>
        <v>1</v>
      </c>
      <c r="D103" s="608"/>
      <c r="E103" s="599">
        <f t="shared" si="23"/>
        <v>0</v>
      </c>
      <c r="F103" s="608"/>
      <c r="G103" s="599">
        <f t="shared" si="24"/>
        <v>1</v>
      </c>
      <c r="H103" s="608"/>
      <c r="I103" s="599">
        <f t="shared" si="25"/>
        <v>1</v>
      </c>
      <c r="J103" s="608"/>
      <c r="K103" s="599">
        <f t="shared" si="26"/>
        <v>1</v>
      </c>
      <c r="L103" s="608"/>
      <c r="M103" s="599">
        <f t="shared" si="27"/>
        <v>1</v>
      </c>
      <c r="N103" s="608"/>
      <c r="O103" s="599">
        <f t="shared" si="28"/>
        <v>1</v>
      </c>
      <c r="P103" s="608"/>
      <c r="Q103" s="599">
        <f t="shared" si="29"/>
        <v>1</v>
      </c>
      <c r="R103" s="659">
        <f t="shared" si="30"/>
        <v>0</v>
      </c>
      <c r="S103" s="598">
        <f t="shared" si="32"/>
        <v>0</v>
      </c>
    </row>
    <row r="104" spans="1:19">
      <c r="A104" s="606"/>
      <c r="B104" s="607"/>
      <c r="C104" s="599">
        <f t="shared" si="22"/>
        <v>1</v>
      </c>
      <c r="D104" s="608"/>
      <c r="E104" s="599">
        <f t="shared" si="23"/>
        <v>0</v>
      </c>
      <c r="F104" s="608"/>
      <c r="G104" s="599">
        <f t="shared" si="24"/>
        <v>1</v>
      </c>
      <c r="H104" s="608"/>
      <c r="I104" s="599">
        <f t="shared" si="25"/>
        <v>1</v>
      </c>
      <c r="J104" s="608"/>
      <c r="K104" s="599">
        <f t="shared" si="26"/>
        <v>1</v>
      </c>
      <c r="L104" s="608"/>
      <c r="M104" s="599">
        <f t="shared" si="27"/>
        <v>1</v>
      </c>
      <c r="N104" s="608"/>
      <c r="O104" s="599">
        <f t="shared" si="28"/>
        <v>1</v>
      </c>
      <c r="P104" s="608"/>
      <c r="Q104" s="599">
        <f t="shared" si="29"/>
        <v>1</v>
      </c>
      <c r="R104" s="659">
        <f t="shared" si="30"/>
        <v>0</v>
      </c>
      <c r="S104" s="598">
        <f t="shared" si="32"/>
        <v>0</v>
      </c>
    </row>
    <row r="105" spans="1:19">
      <c r="A105" s="606"/>
      <c r="B105" s="607"/>
      <c r="C105" s="599">
        <f t="shared" si="22"/>
        <v>1</v>
      </c>
      <c r="D105" s="608"/>
      <c r="E105" s="599">
        <f t="shared" si="23"/>
        <v>0</v>
      </c>
      <c r="F105" s="608"/>
      <c r="G105" s="599">
        <f t="shared" si="24"/>
        <v>1</v>
      </c>
      <c r="H105" s="608"/>
      <c r="I105" s="599">
        <f t="shared" si="25"/>
        <v>1</v>
      </c>
      <c r="J105" s="608"/>
      <c r="K105" s="599">
        <f t="shared" si="26"/>
        <v>1</v>
      </c>
      <c r="L105" s="608"/>
      <c r="M105" s="599">
        <f t="shared" si="27"/>
        <v>1</v>
      </c>
      <c r="N105" s="608"/>
      <c r="O105" s="599">
        <f t="shared" si="28"/>
        <v>1</v>
      </c>
      <c r="P105" s="608"/>
      <c r="Q105" s="599">
        <f t="shared" si="29"/>
        <v>1</v>
      </c>
      <c r="R105" s="659">
        <f t="shared" si="30"/>
        <v>0</v>
      </c>
      <c r="S105" s="598">
        <f t="shared" si="32"/>
        <v>0</v>
      </c>
    </row>
    <row r="106" spans="1:19">
      <c r="A106" s="606"/>
      <c r="B106" s="607"/>
      <c r="C106" s="599">
        <f t="shared" si="22"/>
        <v>1</v>
      </c>
      <c r="D106" s="608"/>
      <c r="E106" s="599">
        <f t="shared" si="23"/>
        <v>0</v>
      </c>
      <c r="F106" s="608"/>
      <c r="G106" s="599">
        <f t="shared" si="24"/>
        <v>1</v>
      </c>
      <c r="H106" s="608"/>
      <c r="I106" s="599">
        <f t="shared" si="25"/>
        <v>1</v>
      </c>
      <c r="J106" s="608"/>
      <c r="K106" s="599">
        <f t="shared" si="26"/>
        <v>1</v>
      </c>
      <c r="L106" s="608"/>
      <c r="M106" s="599">
        <f t="shared" si="27"/>
        <v>1</v>
      </c>
      <c r="N106" s="608"/>
      <c r="O106" s="599">
        <f t="shared" si="28"/>
        <v>1</v>
      </c>
      <c r="P106" s="608"/>
      <c r="Q106" s="599">
        <f t="shared" si="29"/>
        <v>1</v>
      </c>
      <c r="R106" s="659">
        <f t="shared" si="30"/>
        <v>0</v>
      </c>
      <c r="S106" s="598">
        <f t="shared" si="32"/>
        <v>0</v>
      </c>
    </row>
    <row r="107" spans="1:19">
      <c r="A107" s="606"/>
      <c r="B107" s="607"/>
      <c r="C107" s="599">
        <f t="shared" si="22"/>
        <v>1</v>
      </c>
      <c r="D107" s="608"/>
      <c r="E107" s="599">
        <f t="shared" si="23"/>
        <v>0</v>
      </c>
      <c r="F107" s="608"/>
      <c r="G107" s="599">
        <f t="shared" si="24"/>
        <v>1</v>
      </c>
      <c r="H107" s="608"/>
      <c r="I107" s="599">
        <f t="shared" si="25"/>
        <v>1</v>
      </c>
      <c r="J107" s="608"/>
      <c r="K107" s="599">
        <f t="shared" si="26"/>
        <v>1</v>
      </c>
      <c r="L107" s="608"/>
      <c r="M107" s="599">
        <f t="shared" si="27"/>
        <v>1</v>
      </c>
      <c r="N107" s="608"/>
      <c r="O107" s="599">
        <f t="shared" si="28"/>
        <v>1</v>
      </c>
      <c r="P107" s="608"/>
      <c r="Q107" s="599">
        <f t="shared" si="29"/>
        <v>1</v>
      </c>
      <c r="R107" s="659">
        <f t="shared" si="30"/>
        <v>0</v>
      </c>
      <c r="S107" s="598">
        <f t="shared" si="32"/>
        <v>0</v>
      </c>
    </row>
    <row r="108" spans="1:19">
      <c r="A108" s="606"/>
      <c r="B108" s="607"/>
      <c r="C108" s="599">
        <f t="shared" si="22"/>
        <v>1</v>
      </c>
      <c r="D108" s="608"/>
      <c r="E108" s="599">
        <f t="shared" si="23"/>
        <v>0</v>
      </c>
      <c r="F108" s="608"/>
      <c r="G108" s="599">
        <f t="shared" si="24"/>
        <v>1</v>
      </c>
      <c r="H108" s="608"/>
      <c r="I108" s="599">
        <f t="shared" si="25"/>
        <v>1</v>
      </c>
      <c r="J108" s="608"/>
      <c r="K108" s="599">
        <f t="shared" si="26"/>
        <v>1</v>
      </c>
      <c r="L108" s="608"/>
      <c r="M108" s="599">
        <f t="shared" si="27"/>
        <v>1</v>
      </c>
      <c r="N108" s="608"/>
      <c r="O108" s="599">
        <f t="shared" si="28"/>
        <v>1</v>
      </c>
      <c r="P108" s="608"/>
      <c r="Q108" s="599">
        <f t="shared" si="29"/>
        <v>1</v>
      </c>
      <c r="R108" s="659">
        <f t="shared" si="30"/>
        <v>0</v>
      </c>
      <c r="S108" s="598">
        <f t="shared" si="32"/>
        <v>0</v>
      </c>
    </row>
    <row r="109" spans="1:19">
      <c r="A109" s="606"/>
      <c r="B109" s="607"/>
      <c r="C109" s="599">
        <f t="shared" si="22"/>
        <v>1</v>
      </c>
      <c r="D109" s="608"/>
      <c r="E109" s="599">
        <f t="shared" si="23"/>
        <v>0</v>
      </c>
      <c r="F109" s="608"/>
      <c r="G109" s="599">
        <f t="shared" si="24"/>
        <v>1</v>
      </c>
      <c r="H109" s="608"/>
      <c r="I109" s="599">
        <f t="shared" si="25"/>
        <v>1</v>
      </c>
      <c r="J109" s="608"/>
      <c r="K109" s="599">
        <f t="shared" si="26"/>
        <v>1</v>
      </c>
      <c r="L109" s="608"/>
      <c r="M109" s="599">
        <f t="shared" si="27"/>
        <v>1</v>
      </c>
      <c r="N109" s="608"/>
      <c r="O109" s="599">
        <f t="shared" si="28"/>
        <v>1</v>
      </c>
      <c r="P109" s="608"/>
      <c r="Q109" s="599">
        <f t="shared" si="29"/>
        <v>1</v>
      </c>
      <c r="R109" s="659">
        <f t="shared" si="30"/>
        <v>0</v>
      </c>
      <c r="S109" s="598">
        <f t="shared" si="32"/>
        <v>0</v>
      </c>
    </row>
    <row r="110" spans="1:19">
      <c r="A110" s="606"/>
      <c r="B110" s="607"/>
      <c r="C110" s="599">
        <f t="shared" si="22"/>
        <v>1</v>
      </c>
      <c r="D110" s="608"/>
      <c r="E110" s="599">
        <f t="shared" si="23"/>
        <v>0</v>
      </c>
      <c r="F110" s="608"/>
      <c r="G110" s="599">
        <f t="shared" si="24"/>
        <v>1</v>
      </c>
      <c r="H110" s="608"/>
      <c r="I110" s="599">
        <f t="shared" si="25"/>
        <v>1</v>
      </c>
      <c r="J110" s="608"/>
      <c r="K110" s="599">
        <f t="shared" si="26"/>
        <v>1</v>
      </c>
      <c r="L110" s="608"/>
      <c r="M110" s="599">
        <f t="shared" si="27"/>
        <v>1</v>
      </c>
      <c r="N110" s="608"/>
      <c r="O110" s="599">
        <f t="shared" si="28"/>
        <v>1</v>
      </c>
      <c r="P110" s="608"/>
      <c r="Q110" s="599">
        <f t="shared" si="29"/>
        <v>1</v>
      </c>
      <c r="R110" s="659">
        <f t="shared" si="30"/>
        <v>0</v>
      </c>
      <c r="S110" s="598">
        <f t="shared" si="32"/>
        <v>0</v>
      </c>
    </row>
    <row r="111" spans="1:19">
      <c r="A111" s="606"/>
      <c r="B111" s="607"/>
      <c r="C111" s="599">
        <f t="shared" si="22"/>
        <v>1</v>
      </c>
      <c r="D111" s="608"/>
      <c r="E111" s="599">
        <f t="shared" si="23"/>
        <v>0</v>
      </c>
      <c r="F111" s="608"/>
      <c r="G111" s="599">
        <f t="shared" si="24"/>
        <v>1</v>
      </c>
      <c r="H111" s="608"/>
      <c r="I111" s="599">
        <f t="shared" si="25"/>
        <v>1</v>
      </c>
      <c r="J111" s="608"/>
      <c r="K111" s="599">
        <f t="shared" si="26"/>
        <v>1</v>
      </c>
      <c r="L111" s="608"/>
      <c r="M111" s="599">
        <f t="shared" si="27"/>
        <v>1</v>
      </c>
      <c r="N111" s="608"/>
      <c r="O111" s="599">
        <f t="shared" si="28"/>
        <v>1</v>
      </c>
      <c r="P111" s="608"/>
      <c r="Q111" s="599">
        <f t="shared" si="29"/>
        <v>1</v>
      </c>
      <c r="R111" s="659">
        <f t="shared" si="30"/>
        <v>0</v>
      </c>
      <c r="S111" s="598">
        <f t="shared" si="32"/>
        <v>0</v>
      </c>
    </row>
    <row r="112" spans="1:19">
      <c r="A112" s="606"/>
      <c r="B112" s="607"/>
      <c r="C112" s="599">
        <f t="shared" si="22"/>
        <v>1</v>
      </c>
      <c r="D112" s="608"/>
      <c r="E112" s="599">
        <f t="shared" si="23"/>
        <v>0</v>
      </c>
      <c r="F112" s="608"/>
      <c r="G112" s="599">
        <f t="shared" si="24"/>
        <v>1</v>
      </c>
      <c r="H112" s="608"/>
      <c r="I112" s="599">
        <f t="shared" si="25"/>
        <v>1</v>
      </c>
      <c r="J112" s="608"/>
      <c r="K112" s="599">
        <f t="shared" si="26"/>
        <v>1</v>
      </c>
      <c r="L112" s="608"/>
      <c r="M112" s="599">
        <f t="shared" si="27"/>
        <v>1</v>
      </c>
      <c r="N112" s="608"/>
      <c r="O112" s="599">
        <f t="shared" si="28"/>
        <v>1</v>
      </c>
      <c r="P112" s="608"/>
      <c r="Q112" s="599">
        <f t="shared" si="29"/>
        <v>1</v>
      </c>
      <c r="R112" s="659">
        <f t="shared" si="30"/>
        <v>0</v>
      </c>
      <c r="S112" s="598">
        <f t="shared" si="32"/>
        <v>0</v>
      </c>
    </row>
    <row r="113" spans="1:19">
      <c r="A113" s="606"/>
      <c r="B113" s="607"/>
      <c r="C113" s="599">
        <f t="shared" si="22"/>
        <v>1</v>
      </c>
      <c r="D113" s="608"/>
      <c r="E113" s="599">
        <f t="shared" si="23"/>
        <v>0</v>
      </c>
      <c r="F113" s="608"/>
      <c r="G113" s="599">
        <f t="shared" si="24"/>
        <v>1</v>
      </c>
      <c r="H113" s="608"/>
      <c r="I113" s="599">
        <f t="shared" si="25"/>
        <v>1</v>
      </c>
      <c r="J113" s="608"/>
      <c r="K113" s="599">
        <f t="shared" si="26"/>
        <v>1</v>
      </c>
      <c r="L113" s="608"/>
      <c r="M113" s="599">
        <f t="shared" si="27"/>
        <v>1</v>
      </c>
      <c r="N113" s="608"/>
      <c r="O113" s="599">
        <f t="shared" si="28"/>
        <v>1</v>
      </c>
      <c r="P113" s="608"/>
      <c r="Q113" s="599">
        <f t="shared" si="29"/>
        <v>1</v>
      </c>
      <c r="R113" s="659">
        <f t="shared" si="30"/>
        <v>0</v>
      </c>
      <c r="S113" s="598">
        <f t="shared" si="32"/>
        <v>0</v>
      </c>
    </row>
    <row r="114" spans="1:19">
      <c r="A114" s="606"/>
      <c r="B114" s="607"/>
      <c r="C114" s="599">
        <f t="shared" si="22"/>
        <v>1</v>
      </c>
      <c r="D114" s="608"/>
      <c r="E114" s="599">
        <f t="shared" si="23"/>
        <v>0</v>
      </c>
      <c r="F114" s="608"/>
      <c r="G114" s="599">
        <f t="shared" si="24"/>
        <v>1</v>
      </c>
      <c r="H114" s="608"/>
      <c r="I114" s="599">
        <f t="shared" si="25"/>
        <v>1</v>
      </c>
      <c r="J114" s="608"/>
      <c r="K114" s="599">
        <f t="shared" si="26"/>
        <v>1</v>
      </c>
      <c r="L114" s="608"/>
      <c r="M114" s="599">
        <f t="shared" si="27"/>
        <v>1</v>
      </c>
      <c r="N114" s="608"/>
      <c r="O114" s="599">
        <f t="shared" si="28"/>
        <v>1</v>
      </c>
      <c r="P114" s="608"/>
      <c r="Q114" s="599">
        <f t="shared" si="29"/>
        <v>1</v>
      </c>
      <c r="R114" s="659">
        <f t="shared" si="30"/>
        <v>0</v>
      </c>
      <c r="S114" s="598">
        <f t="shared" si="32"/>
        <v>0</v>
      </c>
    </row>
    <row r="115" spans="1:19">
      <c r="A115" s="606"/>
      <c r="B115" s="607"/>
      <c r="C115" s="599">
        <f t="shared" si="22"/>
        <v>1</v>
      </c>
      <c r="D115" s="608"/>
      <c r="E115" s="599">
        <f t="shared" si="23"/>
        <v>0</v>
      </c>
      <c r="F115" s="608"/>
      <c r="G115" s="599">
        <f t="shared" si="24"/>
        <v>1</v>
      </c>
      <c r="H115" s="608"/>
      <c r="I115" s="599">
        <f t="shared" si="25"/>
        <v>1</v>
      </c>
      <c r="J115" s="608"/>
      <c r="K115" s="599">
        <f t="shared" si="26"/>
        <v>1</v>
      </c>
      <c r="L115" s="608"/>
      <c r="M115" s="599">
        <f t="shared" si="27"/>
        <v>1</v>
      </c>
      <c r="N115" s="608"/>
      <c r="O115" s="599">
        <f t="shared" si="28"/>
        <v>1</v>
      </c>
      <c r="P115" s="608"/>
      <c r="Q115" s="599">
        <f t="shared" si="29"/>
        <v>1</v>
      </c>
      <c r="R115" s="659">
        <f t="shared" si="30"/>
        <v>0</v>
      </c>
      <c r="S115" s="598">
        <f t="shared" si="32"/>
        <v>0</v>
      </c>
    </row>
    <row r="116" spans="1:19">
      <c r="A116" s="606"/>
      <c r="B116" s="607"/>
      <c r="C116" s="599">
        <f t="shared" si="22"/>
        <v>1</v>
      </c>
      <c r="D116" s="608"/>
      <c r="E116" s="599">
        <f t="shared" si="23"/>
        <v>0</v>
      </c>
      <c r="F116" s="608"/>
      <c r="G116" s="599">
        <f t="shared" si="24"/>
        <v>1</v>
      </c>
      <c r="H116" s="608"/>
      <c r="I116" s="599">
        <f t="shared" si="25"/>
        <v>1</v>
      </c>
      <c r="J116" s="608"/>
      <c r="K116" s="599">
        <f t="shared" si="26"/>
        <v>1</v>
      </c>
      <c r="L116" s="608"/>
      <c r="M116" s="599">
        <f t="shared" si="27"/>
        <v>1</v>
      </c>
      <c r="N116" s="608"/>
      <c r="O116" s="599">
        <f t="shared" si="28"/>
        <v>1</v>
      </c>
      <c r="P116" s="608"/>
      <c r="Q116" s="599">
        <f t="shared" si="29"/>
        <v>1</v>
      </c>
      <c r="R116" s="659">
        <f t="shared" si="30"/>
        <v>0</v>
      </c>
      <c r="S116" s="598">
        <f t="shared" si="32"/>
        <v>0</v>
      </c>
    </row>
    <row r="117" spans="1:19">
      <c r="A117" s="606"/>
      <c r="B117" s="607"/>
      <c r="C117" s="599">
        <f t="shared" si="22"/>
        <v>1</v>
      </c>
      <c r="D117" s="608"/>
      <c r="E117" s="599">
        <f t="shared" si="23"/>
        <v>0</v>
      </c>
      <c r="F117" s="608"/>
      <c r="G117" s="599">
        <f t="shared" si="24"/>
        <v>1</v>
      </c>
      <c r="H117" s="608"/>
      <c r="I117" s="599">
        <f t="shared" si="25"/>
        <v>1</v>
      </c>
      <c r="J117" s="608"/>
      <c r="K117" s="599">
        <f t="shared" si="26"/>
        <v>1</v>
      </c>
      <c r="L117" s="608"/>
      <c r="M117" s="599">
        <f t="shared" si="27"/>
        <v>1</v>
      </c>
      <c r="N117" s="608"/>
      <c r="O117" s="599">
        <f t="shared" si="28"/>
        <v>1</v>
      </c>
      <c r="P117" s="608"/>
      <c r="Q117" s="599">
        <f t="shared" si="29"/>
        <v>1</v>
      </c>
      <c r="R117" s="659">
        <f t="shared" si="30"/>
        <v>0</v>
      </c>
      <c r="S117" s="598">
        <f t="shared" si="32"/>
        <v>0</v>
      </c>
    </row>
    <row r="118" spans="1:19">
      <c r="A118" s="606"/>
      <c r="B118" s="607"/>
      <c r="C118" s="599">
        <f t="shared" si="22"/>
        <v>1</v>
      </c>
      <c r="D118" s="608"/>
      <c r="E118" s="599">
        <f t="shared" si="23"/>
        <v>0</v>
      </c>
      <c r="F118" s="608"/>
      <c r="G118" s="599">
        <f t="shared" si="24"/>
        <v>1</v>
      </c>
      <c r="H118" s="608"/>
      <c r="I118" s="599">
        <f t="shared" si="25"/>
        <v>1</v>
      </c>
      <c r="J118" s="608"/>
      <c r="K118" s="599">
        <f t="shared" si="26"/>
        <v>1</v>
      </c>
      <c r="L118" s="608"/>
      <c r="M118" s="599">
        <f t="shared" si="27"/>
        <v>1</v>
      </c>
      <c r="N118" s="608"/>
      <c r="O118" s="599">
        <f t="shared" si="28"/>
        <v>1</v>
      </c>
      <c r="P118" s="608"/>
      <c r="Q118" s="599">
        <f t="shared" si="29"/>
        <v>1</v>
      </c>
      <c r="R118" s="659">
        <f t="shared" si="30"/>
        <v>0</v>
      </c>
      <c r="S118" s="598">
        <f t="shared" si="32"/>
        <v>0</v>
      </c>
    </row>
    <row r="119" spans="1:19">
      <c r="A119" s="606"/>
      <c r="B119" s="607"/>
      <c r="C119" s="599">
        <f t="shared" si="22"/>
        <v>1</v>
      </c>
      <c r="D119" s="608"/>
      <c r="E119" s="599">
        <f t="shared" si="23"/>
        <v>0</v>
      </c>
      <c r="F119" s="608"/>
      <c r="G119" s="599">
        <f t="shared" si="24"/>
        <v>1</v>
      </c>
      <c r="H119" s="608"/>
      <c r="I119" s="599">
        <f t="shared" si="25"/>
        <v>1</v>
      </c>
      <c r="J119" s="608"/>
      <c r="K119" s="599">
        <f t="shared" si="26"/>
        <v>1</v>
      </c>
      <c r="L119" s="608"/>
      <c r="M119" s="599">
        <f t="shared" si="27"/>
        <v>1</v>
      </c>
      <c r="N119" s="608"/>
      <c r="O119" s="599">
        <f t="shared" si="28"/>
        <v>1</v>
      </c>
      <c r="P119" s="608"/>
      <c r="Q119" s="599">
        <f t="shared" si="29"/>
        <v>1</v>
      </c>
      <c r="R119" s="659">
        <f t="shared" si="30"/>
        <v>0</v>
      </c>
      <c r="S119" s="598">
        <f t="shared" si="32"/>
        <v>0</v>
      </c>
    </row>
    <row r="120" spans="1:19">
      <c r="A120" s="606"/>
      <c r="B120" s="607"/>
      <c r="C120" s="599">
        <f t="shared" si="22"/>
        <v>1</v>
      </c>
      <c r="D120" s="608"/>
      <c r="E120" s="599">
        <f t="shared" si="23"/>
        <v>0</v>
      </c>
      <c r="F120" s="608"/>
      <c r="G120" s="599">
        <f t="shared" si="24"/>
        <v>1</v>
      </c>
      <c r="H120" s="608"/>
      <c r="I120" s="599">
        <f t="shared" si="25"/>
        <v>1</v>
      </c>
      <c r="J120" s="608"/>
      <c r="K120" s="599">
        <f t="shared" si="26"/>
        <v>1</v>
      </c>
      <c r="L120" s="608"/>
      <c r="M120" s="599">
        <f t="shared" si="27"/>
        <v>1</v>
      </c>
      <c r="N120" s="608"/>
      <c r="O120" s="599">
        <f t="shared" si="28"/>
        <v>1</v>
      </c>
      <c r="P120" s="608"/>
      <c r="Q120" s="599">
        <f t="shared" si="29"/>
        <v>1</v>
      </c>
      <c r="R120" s="659">
        <f t="shared" si="30"/>
        <v>0</v>
      </c>
      <c r="S120" s="598">
        <f t="shared" si="32"/>
        <v>0</v>
      </c>
    </row>
    <row r="121" spans="1:19">
      <c r="A121" s="606"/>
      <c r="B121" s="607"/>
      <c r="C121" s="599">
        <f t="shared" si="22"/>
        <v>1</v>
      </c>
      <c r="D121" s="608"/>
      <c r="E121" s="599">
        <f t="shared" si="23"/>
        <v>0</v>
      </c>
      <c r="F121" s="608"/>
      <c r="G121" s="599">
        <f t="shared" si="24"/>
        <v>1</v>
      </c>
      <c r="H121" s="608"/>
      <c r="I121" s="599">
        <f t="shared" si="25"/>
        <v>1</v>
      </c>
      <c r="J121" s="608"/>
      <c r="K121" s="599">
        <f t="shared" si="26"/>
        <v>1</v>
      </c>
      <c r="L121" s="608"/>
      <c r="M121" s="599">
        <f t="shared" si="27"/>
        <v>1</v>
      </c>
      <c r="N121" s="608"/>
      <c r="O121" s="599">
        <f t="shared" si="28"/>
        <v>1</v>
      </c>
      <c r="P121" s="608"/>
      <c r="Q121" s="599">
        <f t="shared" si="29"/>
        <v>1</v>
      </c>
      <c r="R121" s="659">
        <f t="shared" si="30"/>
        <v>0</v>
      </c>
      <c r="S121" s="598">
        <f t="shared" si="32"/>
        <v>0</v>
      </c>
    </row>
    <row r="122" spans="1:19">
      <c r="A122" s="606"/>
      <c r="B122" s="607"/>
      <c r="C122" s="599">
        <f t="shared" si="22"/>
        <v>1</v>
      </c>
      <c r="D122" s="608"/>
      <c r="E122" s="599">
        <f t="shared" si="23"/>
        <v>0</v>
      </c>
      <c r="F122" s="608"/>
      <c r="G122" s="599">
        <f t="shared" si="24"/>
        <v>1</v>
      </c>
      <c r="H122" s="608"/>
      <c r="I122" s="599">
        <f t="shared" si="25"/>
        <v>1</v>
      </c>
      <c r="J122" s="608"/>
      <c r="K122" s="599">
        <f t="shared" si="26"/>
        <v>1</v>
      </c>
      <c r="L122" s="608"/>
      <c r="M122" s="599">
        <f t="shared" si="27"/>
        <v>1</v>
      </c>
      <c r="N122" s="608"/>
      <c r="O122" s="599">
        <f t="shared" si="28"/>
        <v>1</v>
      </c>
      <c r="P122" s="608"/>
      <c r="Q122" s="599">
        <f t="shared" si="29"/>
        <v>1</v>
      </c>
      <c r="R122" s="659">
        <f t="shared" si="30"/>
        <v>0</v>
      </c>
      <c r="S122" s="598">
        <f t="shared" si="32"/>
        <v>0</v>
      </c>
    </row>
    <row r="123" spans="1:19">
      <c r="A123" s="606"/>
      <c r="B123" s="607"/>
      <c r="C123" s="599">
        <f t="shared" si="22"/>
        <v>1</v>
      </c>
      <c r="D123" s="608"/>
      <c r="E123" s="599">
        <f t="shared" si="23"/>
        <v>0</v>
      </c>
      <c r="F123" s="608"/>
      <c r="G123" s="599">
        <f t="shared" si="24"/>
        <v>1</v>
      </c>
      <c r="H123" s="608"/>
      <c r="I123" s="599">
        <f t="shared" si="25"/>
        <v>1</v>
      </c>
      <c r="J123" s="608"/>
      <c r="K123" s="599">
        <f t="shared" si="26"/>
        <v>1</v>
      </c>
      <c r="L123" s="608"/>
      <c r="M123" s="599">
        <f t="shared" si="27"/>
        <v>1</v>
      </c>
      <c r="N123" s="608"/>
      <c r="O123" s="599">
        <f t="shared" si="28"/>
        <v>1</v>
      </c>
      <c r="P123" s="608"/>
      <c r="Q123" s="599">
        <f t="shared" si="29"/>
        <v>1</v>
      </c>
      <c r="R123" s="659">
        <f t="shared" si="30"/>
        <v>0</v>
      </c>
      <c r="S123" s="598">
        <f t="shared" ref="S123:S186" si="33">ROUND(R123*B123/10000,0)</f>
        <v>0</v>
      </c>
    </row>
    <row r="124" spans="1:19">
      <c r="A124" s="606"/>
      <c r="B124" s="607"/>
      <c r="C124" s="599">
        <f t="shared" si="22"/>
        <v>1</v>
      </c>
      <c r="D124" s="608"/>
      <c r="E124" s="599">
        <f t="shared" si="23"/>
        <v>0</v>
      </c>
      <c r="F124" s="608"/>
      <c r="G124" s="599">
        <f t="shared" si="24"/>
        <v>1</v>
      </c>
      <c r="H124" s="608"/>
      <c r="I124" s="599">
        <f t="shared" si="25"/>
        <v>1</v>
      </c>
      <c r="J124" s="608"/>
      <c r="K124" s="599">
        <f t="shared" si="26"/>
        <v>1</v>
      </c>
      <c r="L124" s="608"/>
      <c r="M124" s="599">
        <f t="shared" si="27"/>
        <v>1</v>
      </c>
      <c r="N124" s="608"/>
      <c r="O124" s="599">
        <f t="shared" si="28"/>
        <v>1</v>
      </c>
      <c r="P124" s="608"/>
      <c r="Q124" s="599">
        <f t="shared" si="29"/>
        <v>1</v>
      </c>
      <c r="R124" s="659">
        <f t="shared" si="30"/>
        <v>0</v>
      </c>
      <c r="S124" s="598">
        <f t="shared" si="33"/>
        <v>0</v>
      </c>
    </row>
    <row r="125" spans="1:19">
      <c r="A125" s="606"/>
      <c r="B125" s="607"/>
      <c r="C125" s="599">
        <f t="shared" si="22"/>
        <v>1</v>
      </c>
      <c r="D125" s="608"/>
      <c r="E125" s="599">
        <f t="shared" si="23"/>
        <v>0</v>
      </c>
      <c r="F125" s="608"/>
      <c r="G125" s="599">
        <f t="shared" si="24"/>
        <v>1</v>
      </c>
      <c r="H125" s="608"/>
      <c r="I125" s="599">
        <f t="shared" si="25"/>
        <v>1</v>
      </c>
      <c r="J125" s="608"/>
      <c r="K125" s="599">
        <f t="shared" si="26"/>
        <v>1</v>
      </c>
      <c r="L125" s="608"/>
      <c r="M125" s="599">
        <f t="shared" si="27"/>
        <v>1</v>
      </c>
      <c r="N125" s="608"/>
      <c r="O125" s="599">
        <f t="shared" si="28"/>
        <v>1</v>
      </c>
      <c r="P125" s="608"/>
      <c r="Q125" s="599">
        <f t="shared" si="29"/>
        <v>1</v>
      </c>
      <c r="R125" s="659">
        <f t="shared" si="30"/>
        <v>0</v>
      </c>
      <c r="S125" s="598">
        <f t="shared" si="33"/>
        <v>0</v>
      </c>
    </row>
    <row r="126" spans="1:19">
      <c r="A126" s="606"/>
      <c r="B126" s="607"/>
      <c r="C126" s="599">
        <f t="shared" si="22"/>
        <v>1</v>
      </c>
      <c r="D126" s="608"/>
      <c r="E126" s="599">
        <f t="shared" si="23"/>
        <v>0</v>
      </c>
      <c r="F126" s="608"/>
      <c r="G126" s="599">
        <f t="shared" si="24"/>
        <v>1</v>
      </c>
      <c r="H126" s="608"/>
      <c r="I126" s="599">
        <f t="shared" si="25"/>
        <v>1</v>
      </c>
      <c r="J126" s="608"/>
      <c r="K126" s="599">
        <f t="shared" si="26"/>
        <v>1</v>
      </c>
      <c r="L126" s="608"/>
      <c r="M126" s="599">
        <f t="shared" si="27"/>
        <v>1</v>
      </c>
      <c r="N126" s="608"/>
      <c r="O126" s="599">
        <f t="shared" si="28"/>
        <v>1</v>
      </c>
      <c r="P126" s="608"/>
      <c r="Q126" s="599">
        <f t="shared" si="29"/>
        <v>1</v>
      </c>
      <c r="R126" s="659">
        <f t="shared" si="30"/>
        <v>0</v>
      </c>
      <c r="S126" s="598">
        <f t="shared" si="33"/>
        <v>0</v>
      </c>
    </row>
    <row r="127" spans="1:19">
      <c r="A127" s="606"/>
      <c r="B127" s="607"/>
      <c r="C127" s="599">
        <f t="shared" si="22"/>
        <v>1</v>
      </c>
      <c r="D127" s="608"/>
      <c r="E127" s="599">
        <f t="shared" si="23"/>
        <v>0</v>
      </c>
      <c r="F127" s="608"/>
      <c r="G127" s="599">
        <f t="shared" si="24"/>
        <v>1</v>
      </c>
      <c r="H127" s="608"/>
      <c r="I127" s="599">
        <f t="shared" si="25"/>
        <v>1</v>
      </c>
      <c r="J127" s="608"/>
      <c r="K127" s="599">
        <f t="shared" si="26"/>
        <v>1</v>
      </c>
      <c r="L127" s="608"/>
      <c r="M127" s="599">
        <f t="shared" si="27"/>
        <v>1</v>
      </c>
      <c r="N127" s="608"/>
      <c r="O127" s="599">
        <f t="shared" si="28"/>
        <v>1</v>
      </c>
      <c r="P127" s="608"/>
      <c r="Q127" s="599">
        <f t="shared" si="29"/>
        <v>1</v>
      </c>
      <c r="R127" s="659">
        <f t="shared" si="30"/>
        <v>0</v>
      </c>
      <c r="S127" s="598">
        <f t="shared" si="33"/>
        <v>0</v>
      </c>
    </row>
    <row r="128" spans="1:19">
      <c r="A128" s="606"/>
      <c r="B128" s="607"/>
      <c r="C128" s="599">
        <f t="shared" si="22"/>
        <v>1</v>
      </c>
      <c r="D128" s="608"/>
      <c r="E128" s="599">
        <f t="shared" si="23"/>
        <v>0</v>
      </c>
      <c r="F128" s="608"/>
      <c r="G128" s="599">
        <f t="shared" si="24"/>
        <v>1</v>
      </c>
      <c r="H128" s="608"/>
      <c r="I128" s="599">
        <f t="shared" si="25"/>
        <v>1</v>
      </c>
      <c r="J128" s="608"/>
      <c r="K128" s="599">
        <f t="shared" si="26"/>
        <v>1</v>
      </c>
      <c r="L128" s="608"/>
      <c r="M128" s="599">
        <f t="shared" si="27"/>
        <v>1</v>
      </c>
      <c r="N128" s="608"/>
      <c r="O128" s="599">
        <f t="shared" si="28"/>
        <v>1</v>
      </c>
      <c r="P128" s="608"/>
      <c r="Q128" s="599">
        <f t="shared" si="29"/>
        <v>1</v>
      </c>
      <c r="R128" s="659">
        <f t="shared" si="30"/>
        <v>0</v>
      </c>
      <c r="S128" s="598">
        <f t="shared" si="33"/>
        <v>0</v>
      </c>
    </row>
    <row r="129" spans="1:19">
      <c r="A129" s="606"/>
      <c r="B129" s="607"/>
      <c r="C129" s="599">
        <f t="shared" si="22"/>
        <v>1</v>
      </c>
      <c r="D129" s="608"/>
      <c r="E129" s="599">
        <f t="shared" si="23"/>
        <v>0</v>
      </c>
      <c r="F129" s="608"/>
      <c r="G129" s="599">
        <f t="shared" si="24"/>
        <v>1</v>
      </c>
      <c r="H129" s="608"/>
      <c r="I129" s="599">
        <f t="shared" si="25"/>
        <v>1</v>
      </c>
      <c r="J129" s="608"/>
      <c r="K129" s="599">
        <f t="shared" si="26"/>
        <v>1</v>
      </c>
      <c r="L129" s="608"/>
      <c r="M129" s="599">
        <f t="shared" si="27"/>
        <v>1</v>
      </c>
      <c r="N129" s="608"/>
      <c r="O129" s="599">
        <f t="shared" si="28"/>
        <v>1</v>
      </c>
      <c r="P129" s="608"/>
      <c r="Q129" s="599">
        <f t="shared" si="29"/>
        <v>1</v>
      </c>
      <c r="R129" s="659">
        <f t="shared" si="30"/>
        <v>0</v>
      </c>
      <c r="S129" s="598">
        <f t="shared" si="33"/>
        <v>0</v>
      </c>
    </row>
    <row r="130" spans="1:19">
      <c r="A130" s="606"/>
      <c r="B130" s="607"/>
      <c r="C130" s="599">
        <f t="shared" si="22"/>
        <v>1</v>
      </c>
      <c r="D130" s="608"/>
      <c r="E130" s="599">
        <f t="shared" si="23"/>
        <v>0</v>
      </c>
      <c r="F130" s="608"/>
      <c r="G130" s="599">
        <f t="shared" si="24"/>
        <v>1</v>
      </c>
      <c r="H130" s="608"/>
      <c r="I130" s="599">
        <f t="shared" si="25"/>
        <v>1</v>
      </c>
      <c r="J130" s="608"/>
      <c r="K130" s="599">
        <f t="shared" si="26"/>
        <v>1</v>
      </c>
      <c r="L130" s="608"/>
      <c r="M130" s="599">
        <f t="shared" si="27"/>
        <v>1</v>
      </c>
      <c r="N130" s="608"/>
      <c r="O130" s="599">
        <f t="shared" si="28"/>
        <v>1</v>
      </c>
      <c r="P130" s="608"/>
      <c r="Q130" s="599">
        <f t="shared" si="29"/>
        <v>1</v>
      </c>
      <c r="R130" s="659">
        <f t="shared" si="30"/>
        <v>0</v>
      </c>
      <c r="S130" s="598">
        <f t="shared" si="33"/>
        <v>0</v>
      </c>
    </row>
    <row r="131" spans="1:19">
      <c r="A131" s="606"/>
      <c r="B131" s="607"/>
      <c r="C131" s="599">
        <f t="shared" si="22"/>
        <v>1</v>
      </c>
      <c r="D131" s="608"/>
      <c r="E131" s="599">
        <f t="shared" si="23"/>
        <v>0</v>
      </c>
      <c r="F131" s="608"/>
      <c r="G131" s="599">
        <f t="shared" si="24"/>
        <v>1</v>
      </c>
      <c r="H131" s="608"/>
      <c r="I131" s="599">
        <f t="shared" si="25"/>
        <v>1</v>
      </c>
      <c r="J131" s="608"/>
      <c r="K131" s="599">
        <f t="shared" si="26"/>
        <v>1</v>
      </c>
      <c r="L131" s="608"/>
      <c r="M131" s="599">
        <f t="shared" si="27"/>
        <v>1</v>
      </c>
      <c r="N131" s="608"/>
      <c r="O131" s="599">
        <f t="shared" si="28"/>
        <v>1</v>
      </c>
      <c r="P131" s="608"/>
      <c r="Q131" s="599">
        <f t="shared" si="29"/>
        <v>1</v>
      </c>
      <c r="R131" s="659">
        <f t="shared" si="30"/>
        <v>0</v>
      </c>
      <c r="S131" s="598">
        <f t="shared" si="33"/>
        <v>0</v>
      </c>
    </row>
    <row r="132" spans="1:19">
      <c r="A132" s="606"/>
      <c r="B132" s="607"/>
      <c r="C132" s="599">
        <f t="shared" si="22"/>
        <v>1</v>
      </c>
      <c r="D132" s="608"/>
      <c r="E132" s="599">
        <f t="shared" si="23"/>
        <v>0</v>
      </c>
      <c r="F132" s="608"/>
      <c r="G132" s="599">
        <f t="shared" si="24"/>
        <v>1</v>
      </c>
      <c r="H132" s="608"/>
      <c r="I132" s="599">
        <f t="shared" si="25"/>
        <v>1</v>
      </c>
      <c r="J132" s="608"/>
      <c r="K132" s="599">
        <f t="shared" si="26"/>
        <v>1</v>
      </c>
      <c r="L132" s="608"/>
      <c r="M132" s="599">
        <f t="shared" si="27"/>
        <v>1</v>
      </c>
      <c r="N132" s="608"/>
      <c r="O132" s="599">
        <f t="shared" si="28"/>
        <v>1</v>
      </c>
      <c r="P132" s="608"/>
      <c r="Q132" s="599">
        <f t="shared" si="29"/>
        <v>1</v>
      </c>
      <c r="R132" s="659">
        <f t="shared" si="30"/>
        <v>0</v>
      </c>
      <c r="S132" s="598">
        <f t="shared" si="33"/>
        <v>0</v>
      </c>
    </row>
    <row r="133" spans="1:19">
      <c r="A133" s="606"/>
      <c r="B133" s="607"/>
      <c r="C133" s="599">
        <f t="shared" si="22"/>
        <v>1</v>
      </c>
      <c r="D133" s="608"/>
      <c r="E133" s="599">
        <f t="shared" si="23"/>
        <v>0</v>
      </c>
      <c r="F133" s="608"/>
      <c r="G133" s="599">
        <f t="shared" si="24"/>
        <v>1</v>
      </c>
      <c r="H133" s="608"/>
      <c r="I133" s="599">
        <f t="shared" si="25"/>
        <v>1</v>
      </c>
      <c r="J133" s="608"/>
      <c r="K133" s="599">
        <f t="shared" si="26"/>
        <v>1</v>
      </c>
      <c r="L133" s="608"/>
      <c r="M133" s="599">
        <f t="shared" si="27"/>
        <v>1</v>
      </c>
      <c r="N133" s="608"/>
      <c r="O133" s="599">
        <f t="shared" si="28"/>
        <v>1</v>
      </c>
      <c r="P133" s="608"/>
      <c r="Q133" s="599">
        <f t="shared" si="29"/>
        <v>1</v>
      </c>
      <c r="R133" s="659">
        <f t="shared" si="30"/>
        <v>0</v>
      </c>
      <c r="S133" s="598">
        <f t="shared" si="33"/>
        <v>0</v>
      </c>
    </row>
    <row r="134" spans="1:19">
      <c r="A134" s="606"/>
      <c r="B134" s="607"/>
      <c r="C134" s="599">
        <f t="shared" si="22"/>
        <v>1</v>
      </c>
      <c r="D134" s="608"/>
      <c r="E134" s="599">
        <f t="shared" si="23"/>
        <v>0</v>
      </c>
      <c r="F134" s="608"/>
      <c r="G134" s="599">
        <f t="shared" si="24"/>
        <v>1</v>
      </c>
      <c r="H134" s="608"/>
      <c r="I134" s="599">
        <f t="shared" si="25"/>
        <v>1</v>
      </c>
      <c r="J134" s="608"/>
      <c r="K134" s="599">
        <f t="shared" si="26"/>
        <v>1</v>
      </c>
      <c r="L134" s="608"/>
      <c r="M134" s="599">
        <f t="shared" si="27"/>
        <v>1</v>
      </c>
      <c r="N134" s="608"/>
      <c r="O134" s="599">
        <f t="shared" si="28"/>
        <v>1</v>
      </c>
      <c r="P134" s="608"/>
      <c r="Q134" s="599">
        <f t="shared" si="29"/>
        <v>1</v>
      </c>
      <c r="R134" s="659">
        <f t="shared" si="30"/>
        <v>0</v>
      </c>
      <c r="S134" s="598">
        <f t="shared" si="33"/>
        <v>0</v>
      </c>
    </row>
    <row r="135" spans="1:19">
      <c r="A135" s="606"/>
      <c r="B135" s="607"/>
      <c r="C135" s="599">
        <f t="shared" si="22"/>
        <v>1</v>
      </c>
      <c r="D135" s="608"/>
      <c r="E135" s="599">
        <f t="shared" si="23"/>
        <v>0</v>
      </c>
      <c r="F135" s="608"/>
      <c r="G135" s="599">
        <f t="shared" si="24"/>
        <v>1</v>
      </c>
      <c r="H135" s="608"/>
      <c r="I135" s="599">
        <f t="shared" si="25"/>
        <v>1</v>
      </c>
      <c r="J135" s="608"/>
      <c r="K135" s="599">
        <f t="shared" si="26"/>
        <v>1</v>
      </c>
      <c r="L135" s="608"/>
      <c r="M135" s="599">
        <f t="shared" si="27"/>
        <v>1</v>
      </c>
      <c r="N135" s="608"/>
      <c r="O135" s="599">
        <f t="shared" si="28"/>
        <v>1</v>
      </c>
      <c r="P135" s="608"/>
      <c r="Q135" s="599">
        <f t="shared" si="29"/>
        <v>1</v>
      </c>
      <c r="R135" s="659">
        <f t="shared" si="30"/>
        <v>0</v>
      </c>
      <c r="S135" s="598">
        <f t="shared" si="33"/>
        <v>0</v>
      </c>
    </row>
    <row r="136" spans="1:19">
      <c r="A136" s="606"/>
      <c r="B136" s="607"/>
      <c r="C136" s="599">
        <f t="shared" si="22"/>
        <v>1</v>
      </c>
      <c r="D136" s="608"/>
      <c r="E136" s="599">
        <f t="shared" si="23"/>
        <v>0</v>
      </c>
      <c r="F136" s="608"/>
      <c r="G136" s="599">
        <f t="shared" si="24"/>
        <v>1</v>
      </c>
      <c r="H136" s="608"/>
      <c r="I136" s="599">
        <f t="shared" si="25"/>
        <v>1</v>
      </c>
      <c r="J136" s="608"/>
      <c r="K136" s="599">
        <f t="shared" si="26"/>
        <v>1</v>
      </c>
      <c r="L136" s="608"/>
      <c r="M136" s="599">
        <f t="shared" si="27"/>
        <v>1</v>
      </c>
      <c r="N136" s="608"/>
      <c r="O136" s="599">
        <f t="shared" si="28"/>
        <v>1</v>
      </c>
      <c r="P136" s="608"/>
      <c r="Q136" s="599">
        <f t="shared" si="29"/>
        <v>1</v>
      </c>
      <c r="R136" s="659">
        <f t="shared" si="30"/>
        <v>0</v>
      </c>
      <c r="S136" s="598">
        <f t="shared" si="33"/>
        <v>0</v>
      </c>
    </row>
    <row r="137" spans="1:19">
      <c r="A137" s="606"/>
      <c r="B137" s="607"/>
      <c r="C137" s="599">
        <f t="shared" si="22"/>
        <v>1</v>
      </c>
      <c r="D137" s="608"/>
      <c r="E137" s="599">
        <f t="shared" si="23"/>
        <v>0</v>
      </c>
      <c r="F137" s="608"/>
      <c r="G137" s="599">
        <f t="shared" si="24"/>
        <v>1</v>
      </c>
      <c r="H137" s="608"/>
      <c r="I137" s="599">
        <f t="shared" si="25"/>
        <v>1</v>
      </c>
      <c r="J137" s="608"/>
      <c r="K137" s="599">
        <f t="shared" si="26"/>
        <v>1</v>
      </c>
      <c r="L137" s="608"/>
      <c r="M137" s="599">
        <f t="shared" si="27"/>
        <v>1</v>
      </c>
      <c r="N137" s="608"/>
      <c r="O137" s="599">
        <f t="shared" si="28"/>
        <v>1</v>
      </c>
      <c r="P137" s="608"/>
      <c r="Q137" s="599">
        <f t="shared" si="29"/>
        <v>1</v>
      </c>
      <c r="R137" s="659">
        <f t="shared" si="30"/>
        <v>0</v>
      </c>
      <c r="S137" s="598">
        <f t="shared" si="33"/>
        <v>0</v>
      </c>
    </row>
    <row r="138" spans="1:19">
      <c r="A138" s="606"/>
      <c r="B138" s="607"/>
      <c r="C138" s="599">
        <f t="shared" si="22"/>
        <v>1</v>
      </c>
      <c r="D138" s="608"/>
      <c r="E138" s="599">
        <f t="shared" si="23"/>
        <v>0</v>
      </c>
      <c r="F138" s="608"/>
      <c r="G138" s="599">
        <f t="shared" si="24"/>
        <v>1</v>
      </c>
      <c r="H138" s="608"/>
      <c r="I138" s="599">
        <f t="shared" si="25"/>
        <v>1</v>
      </c>
      <c r="J138" s="608"/>
      <c r="K138" s="599">
        <f t="shared" si="26"/>
        <v>1</v>
      </c>
      <c r="L138" s="608"/>
      <c r="M138" s="599">
        <f t="shared" si="27"/>
        <v>1</v>
      </c>
      <c r="N138" s="608"/>
      <c r="O138" s="599">
        <f t="shared" si="28"/>
        <v>1</v>
      </c>
      <c r="P138" s="608"/>
      <c r="Q138" s="599">
        <f t="shared" si="29"/>
        <v>1</v>
      </c>
      <c r="R138" s="659">
        <f t="shared" si="30"/>
        <v>0</v>
      </c>
      <c r="S138" s="598">
        <f t="shared" si="33"/>
        <v>0</v>
      </c>
    </row>
    <row r="139" spans="1:19">
      <c r="A139" s="606"/>
      <c r="B139" s="607"/>
      <c r="C139" s="599">
        <f t="shared" si="22"/>
        <v>1</v>
      </c>
      <c r="D139" s="608"/>
      <c r="E139" s="599">
        <f t="shared" si="23"/>
        <v>0</v>
      </c>
      <c r="F139" s="608"/>
      <c r="G139" s="599">
        <f t="shared" si="24"/>
        <v>1</v>
      </c>
      <c r="H139" s="608"/>
      <c r="I139" s="599">
        <f t="shared" si="25"/>
        <v>1</v>
      </c>
      <c r="J139" s="608"/>
      <c r="K139" s="599">
        <f t="shared" si="26"/>
        <v>1</v>
      </c>
      <c r="L139" s="608"/>
      <c r="M139" s="599">
        <f t="shared" si="27"/>
        <v>1</v>
      </c>
      <c r="N139" s="608"/>
      <c r="O139" s="599">
        <f t="shared" si="28"/>
        <v>1</v>
      </c>
      <c r="P139" s="608"/>
      <c r="Q139" s="599">
        <f t="shared" si="29"/>
        <v>1</v>
      </c>
      <c r="R139" s="659">
        <f t="shared" si="30"/>
        <v>0</v>
      </c>
      <c r="S139" s="598">
        <f t="shared" si="33"/>
        <v>0</v>
      </c>
    </row>
    <row r="140" spans="1:19">
      <c r="A140" s="606"/>
      <c r="B140" s="607"/>
      <c r="C140" s="599">
        <f t="shared" si="22"/>
        <v>1</v>
      </c>
      <c r="D140" s="608"/>
      <c r="E140" s="599">
        <f t="shared" si="23"/>
        <v>0</v>
      </c>
      <c r="F140" s="608"/>
      <c r="G140" s="599">
        <f t="shared" si="24"/>
        <v>1</v>
      </c>
      <c r="H140" s="608"/>
      <c r="I140" s="599">
        <f t="shared" si="25"/>
        <v>1</v>
      </c>
      <c r="J140" s="608"/>
      <c r="K140" s="599">
        <f t="shared" si="26"/>
        <v>1</v>
      </c>
      <c r="L140" s="608"/>
      <c r="M140" s="599">
        <f t="shared" si="27"/>
        <v>1</v>
      </c>
      <c r="N140" s="608"/>
      <c r="O140" s="599">
        <f t="shared" si="28"/>
        <v>1</v>
      </c>
      <c r="P140" s="608"/>
      <c r="Q140" s="599">
        <f t="shared" si="29"/>
        <v>1</v>
      </c>
      <c r="R140" s="659">
        <f t="shared" si="30"/>
        <v>0</v>
      </c>
      <c r="S140" s="598">
        <f t="shared" si="33"/>
        <v>0</v>
      </c>
    </row>
    <row r="141" spans="1:19">
      <c r="A141" s="606"/>
      <c r="B141" s="607"/>
      <c r="C141" s="599">
        <f t="shared" si="22"/>
        <v>1</v>
      </c>
      <c r="D141" s="608"/>
      <c r="E141" s="599">
        <f t="shared" si="23"/>
        <v>0</v>
      </c>
      <c r="F141" s="608"/>
      <c r="G141" s="599">
        <f t="shared" si="24"/>
        <v>1</v>
      </c>
      <c r="H141" s="608"/>
      <c r="I141" s="599">
        <f t="shared" si="25"/>
        <v>1</v>
      </c>
      <c r="J141" s="608"/>
      <c r="K141" s="599">
        <f t="shared" si="26"/>
        <v>1</v>
      </c>
      <c r="L141" s="608"/>
      <c r="M141" s="599">
        <f t="shared" si="27"/>
        <v>1</v>
      </c>
      <c r="N141" s="608"/>
      <c r="O141" s="599">
        <f t="shared" si="28"/>
        <v>1</v>
      </c>
      <c r="P141" s="608"/>
      <c r="Q141" s="599">
        <f t="shared" si="29"/>
        <v>1</v>
      </c>
      <c r="R141" s="659">
        <f t="shared" si="30"/>
        <v>0</v>
      </c>
      <c r="S141" s="598">
        <f t="shared" si="33"/>
        <v>0</v>
      </c>
    </row>
    <row r="142" spans="1:19">
      <c r="A142" s="606"/>
      <c r="B142" s="607"/>
      <c r="C142" s="599">
        <f t="shared" si="22"/>
        <v>1</v>
      </c>
      <c r="D142" s="608"/>
      <c r="E142" s="599">
        <f t="shared" si="23"/>
        <v>0</v>
      </c>
      <c r="F142" s="608"/>
      <c r="G142" s="599">
        <f t="shared" si="24"/>
        <v>1</v>
      </c>
      <c r="H142" s="608"/>
      <c r="I142" s="599">
        <f t="shared" si="25"/>
        <v>1</v>
      </c>
      <c r="J142" s="608"/>
      <c r="K142" s="599">
        <f t="shared" si="26"/>
        <v>1</v>
      </c>
      <c r="L142" s="608"/>
      <c r="M142" s="599">
        <f t="shared" si="27"/>
        <v>1</v>
      </c>
      <c r="N142" s="608"/>
      <c r="O142" s="599">
        <f t="shared" si="28"/>
        <v>1</v>
      </c>
      <c r="P142" s="608"/>
      <c r="Q142" s="599">
        <f t="shared" si="29"/>
        <v>1</v>
      </c>
      <c r="R142" s="659">
        <f t="shared" si="30"/>
        <v>0</v>
      </c>
      <c r="S142" s="598">
        <f t="shared" si="33"/>
        <v>0</v>
      </c>
    </row>
    <row r="143" spans="1:19">
      <c r="A143" s="606"/>
      <c r="B143" s="607"/>
      <c r="C143" s="599">
        <f t="shared" si="22"/>
        <v>1</v>
      </c>
      <c r="D143" s="608"/>
      <c r="E143" s="599">
        <f t="shared" si="23"/>
        <v>0</v>
      </c>
      <c r="F143" s="608"/>
      <c r="G143" s="599">
        <f t="shared" si="24"/>
        <v>1</v>
      </c>
      <c r="H143" s="608"/>
      <c r="I143" s="599">
        <f t="shared" si="25"/>
        <v>1</v>
      </c>
      <c r="J143" s="608"/>
      <c r="K143" s="599">
        <f t="shared" si="26"/>
        <v>1</v>
      </c>
      <c r="L143" s="608"/>
      <c r="M143" s="599">
        <f t="shared" si="27"/>
        <v>1</v>
      </c>
      <c r="N143" s="608"/>
      <c r="O143" s="599">
        <f t="shared" si="28"/>
        <v>1</v>
      </c>
      <c r="P143" s="608"/>
      <c r="Q143" s="599">
        <f t="shared" si="29"/>
        <v>1</v>
      </c>
      <c r="R143" s="659">
        <f t="shared" si="30"/>
        <v>0</v>
      </c>
      <c r="S143" s="598">
        <f t="shared" si="33"/>
        <v>0</v>
      </c>
    </row>
    <row r="144" spans="1:19">
      <c r="A144" s="606"/>
      <c r="B144" s="607"/>
      <c r="C144" s="599">
        <f t="shared" si="22"/>
        <v>1</v>
      </c>
      <c r="D144" s="608"/>
      <c r="E144" s="599">
        <f t="shared" si="23"/>
        <v>0</v>
      </c>
      <c r="F144" s="608"/>
      <c r="G144" s="599">
        <f t="shared" si="24"/>
        <v>1</v>
      </c>
      <c r="H144" s="608"/>
      <c r="I144" s="599">
        <f t="shared" si="25"/>
        <v>1</v>
      </c>
      <c r="J144" s="608"/>
      <c r="K144" s="599">
        <f t="shared" si="26"/>
        <v>1</v>
      </c>
      <c r="L144" s="608"/>
      <c r="M144" s="599">
        <f t="shared" si="27"/>
        <v>1</v>
      </c>
      <c r="N144" s="608"/>
      <c r="O144" s="599">
        <f t="shared" si="28"/>
        <v>1</v>
      </c>
      <c r="P144" s="608"/>
      <c r="Q144" s="599">
        <f t="shared" si="29"/>
        <v>1</v>
      </c>
      <c r="R144" s="659">
        <f t="shared" si="30"/>
        <v>0</v>
      </c>
      <c r="S144" s="598">
        <f t="shared" si="33"/>
        <v>0</v>
      </c>
    </row>
    <row r="145" spans="1:19">
      <c r="A145" s="606"/>
      <c r="B145" s="607"/>
      <c r="C145" s="599">
        <f t="shared" si="22"/>
        <v>1</v>
      </c>
      <c r="D145" s="608"/>
      <c r="E145" s="599">
        <f t="shared" si="23"/>
        <v>0</v>
      </c>
      <c r="F145" s="608"/>
      <c r="G145" s="599">
        <f t="shared" si="24"/>
        <v>1</v>
      </c>
      <c r="H145" s="608"/>
      <c r="I145" s="599">
        <f t="shared" si="25"/>
        <v>1</v>
      </c>
      <c r="J145" s="608"/>
      <c r="K145" s="599">
        <f t="shared" si="26"/>
        <v>1</v>
      </c>
      <c r="L145" s="608"/>
      <c r="M145" s="599">
        <f t="shared" si="27"/>
        <v>1</v>
      </c>
      <c r="N145" s="608"/>
      <c r="O145" s="599">
        <f t="shared" si="28"/>
        <v>1</v>
      </c>
      <c r="P145" s="608"/>
      <c r="Q145" s="599">
        <f t="shared" si="29"/>
        <v>1</v>
      </c>
      <c r="R145" s="659">
        <f t="shared" si="30"/>
        <v>0</v>
      </c>
      <c r="S145" s="598">
        <f t="shared" si="33"/>
        <v>0</v>
      </c>
    </row>
    <row r="146" spans="1:19">
      <c r="A146" s="606"/>
      <c r="B146" s="607"/>
      <c r="C146" s="599">
        <f t="shared" si="22"/>
        <v>1</v>
      </c>
      <c r="D146" s="608"/>
      <c r="E146" s="599">
        <f t="shared" si="23"/>
        <v>0</v>
      </c>
      <c r="F146" s="608"/>
      <c r="G146" s="599">
        <f t="shared" si="24"/>
        <v>1</v>
      </c>
      <c r="H146" s="608"/>
      <c r="I146" s="599">
        <f t="shared" si="25"/>
        <v>1</v>
      </c>
      <c r="J146" s="608"/>
      <c r="K146" s="599">
        <f t="shared" si="26"/>
        <v>1</v>
      </c>
      <c r="L146" s="608"/>
      <c r="M146" s="599">
        <f t="shared" si="27"/>
        <v>1</v>
      </c>
      <c r="N146" s="608"/>
      <c r="O146" s="599">
        <f t="shared" si="28"/>
        <v>1</v>
      </c>
      <c r="P146" s="608"/>
      <c r="Q146" s="599">
        <f t="shared" si="29"/>
        <v>1</v>
      </c>
      <c r="R146" s="659">
        <f t="shared" si="30"/>
        <v>0</v>
      </c>
      <c r="S146" s="598">
        <f t="shared" si="33"/>
        <v>0</v>
      </c>
    </row>
    <row r="147" spans="1:19">
      <c r="A147" s="606"/>
      <c r="B147" s="607"/>
      <c r="C147" s="599">
        <f t="shared" si="22"/>
        <v>1</v>
      </c>
      <c r="D147" s="608"/>
      <c r="E147" s="599">
        <f t="shared" si="23"/>
        <v>0</v>
      </c>
      <c r="F147" s="608"/>
      <c r="G147" s="599">
        <f t="shared" si="24"/>
        <v>1</v>
      </c>
      <c r="H147" s="608"/>
      <c r="I147" s="599">
        <f t="shared" si="25"/>
        <v>1</v>
      </c>
      <c r="J147" s="608"/>
      <c r="K147" s="599">
        <f t="shared" si="26"/>
        <v>1</v>
      </c>
      <c r="L147" s="608"/>
      <c r="M147" s="599">
        <f t="shared" si="27"/>
        <v>1</v>
      </c>
      <c r="N147" s="608"/>
      <c r="O147" s="599">
        <f t="shared" si="28"/>
        <v>1</v>
      </c>
      <c r="P147" s="608"/>
      <c r="Q147" s="599">
        <f t="shared" si="29"/>
        <v>1</v>
      </c>
      <c r="R147" s="659">
        <f t="shared" si="30"/>
        <v>0</v>
      </c>
      <c r="S147" s="598">
        <f t="shared" si="33"/>
        <v>0</v>
      </c>
    </row>
    <row r="148" spans="1:19">
      <c r="A148" s="606"/>
      <c r="B148" s="607"/>
      <c r="C148" s="599">
        <f t="shared" si="22"/>
        <v>1</v>
      </c>
      <c r="D148" s="608"/>
      <c r="E148" s="599">
        <f t="shared" si="23"/>
        <v>0</v>
      </c>
      <c r="F148" s="608"/>
      <c r="G148" s="599">
        <f t="shared" si="24"/>
        <v>1</v>
      </c>
      <c r="H148" s="608"/>
      <c r="I148" s="599">
        <f t="shared" si="25"/>
        <v>1</v>
      </c>
      <c r="J148" s="608"/>
      <c r="K148" s="599">
        <f t="shared" si="26"/>
        <v>1</v>
      </c>
      <c r="L148" s="608"/>
      <c r="M148" s="599">
        <f t="shared" si="27"/>
        <v>1</v>
      </c>
      <c r="N148" s="608"/>
      <c r="O148" s="599">
        <f t="shared" si="28"/>
        <v>1</v>
      </c>
      <c r="P148" s="608"/>
      <c r="Q148" s="599">
        <f t="shared" si="29"/>
        <v>1</v>
      </c>
      <c r="R148" s="659">
        <f t="shared" si="30"/>
        <v>0</v>
      </c>
      <c r="S148" s="598">
        <f t="shared" si="33"/>
        <v>0</v>
      </c>
    </row>
    <row r="149" spans="1:19">
      <c r="A149" s="606"/>
      <c r="B149" s="607"/>
      <c r="C149" s="599">
        <f t="shared" si="22"/>
        <v>1</v>
      </c>
      <c r="D149" s="608"/>
      <c r="E149" s="599">
        <f t="shared" si="23"/>
        <v>0</v>
      </c>
      <c r="F149" s="608"/>
      <c r="G149" s="599">
        <f t="shared" si="24"/>
        <v>1</v>
      </c>
      <c r="H149" s="608"/>
      <c r="I149" s="599">
        <f t="shared" si="25"/>
        <v>1</v>
      </c>
      <c r="J149" s="608"/>
      <c r="K149" s="599">
        <f t="shared" si="26"/>
        <v>1</v>
      </c>
      <c r="L149" s="608"/>
      <c r="M149" s="599">
        <f t="shared" si="27"/>
        <v>1</v>
      </c>
      <c r="N149" s="608"/>
      <c r="O149" s="599">
        <f t="shared" si="28"/>
        <v>1</v>
      </c>
      <c r="P149" s="608"/>
      <c r="Q149" s="599">
        <f t="shared" si="29"/>
        <v>1</v>
      </c>
      <c r="R149" s="659">
        <f t="shared" si="30"/>
        <v>0</v>
      </c>
      <c r="S149" s="598">
        <f t="shared" si="33"/>
        <v>0</v>
      </c>
    </row>
    <row r="150" spans="1:19">
      <c r="A150" s="606"/>
      <c r="B150" s="607"/>
      <c r="C150" s="599">
        <f t="shared" si="22"/>
        <v>1</v>
      </c>
      <c r="D150" s="608"/>
      <c r="E150" s="599">
        <f t="shared" si="23"/>
        <v>0</v>
      </c>
      <c r="F150" s="608"/>
      <c r="G150" s="599">
        <f t="shared" si="24"/>
        <v>1</v>
      </c>
      <c r="H150" s="608"/>
      <c r="I150" s="599">
        <f t="shared" si="25"/>
        <v>1</v>
      </c>
      <c r="J150" s="608"/>
      <c r="K150" s="599">
        <f t="shared" si="26"/>
        <v>1</v>
      </c>
      <c r="L150" s="608"/>
      <c r="M150" s="599">
        <f t="shared" si="27"/>
        <v>1</v>
      </c>
      <c r="N150" s="608"/>
      <c r="O150" s="599">
        <f t="shared" si="28"/>
        <v>1</v>
      </c>
      <c r="P150" s="608"/>
      <c r="Q150" s="599">
        <f t="shared" si="29"/>
        <v>1</v>
      </c>
      <c r="R150" s="659">
        <f t="shared" si="30"/>
        <v>0</v>
      </c>
      <c r="S150" s="598">
        <f t="shared" si="33"/>
        <v>0</v>
      </c>
    </row>
    <row r="151" spans="1:19">
      <c r="A151" s="606"/>
      <c r="B151" s="607"/>
      <c r="C151" s="599">
        <f t="shared" si="22"/>
        <v>1</v>
      </c>
      <c r="D151" s="608"/>
      <c r="E151" s="599">
        <f t="shared" si="23"/>
        <v>0</v>
      </c>
      <c r="F151" s="608"/>
      <c r="G151" s="599">
        <f t="shared" si="24"/>
        <v>1</v>
      </c>
      <c r="H151" s="608"/>
      <c r="I151" s="599">
        <f t="shared" si="25"/>
        <v>1</v>
      </c>
      <c r="J151" s="608"/>
      <c r="K151" s="599">
        <f t="shared" si="26"/>
        <v>1</v>
      </c>
      <c r="L151" s="608"/>
      <c r="M151" s="599">
        <f t="shared" si="27"/>
        <v>1</v>
      </c>
      <c r="N151" s="608"/>
      <c r="O151" s="599">
        <f t="shared" si="28"/>
        <v>1</v>
      </c>
      <c r="P151" s="608"/>
      <c r="Q151" s="599">
        <f t="shared" si="29"/>
        <v>1</v>
      </c>
      <c r="R151" s="659">
        <f t="shared" si="30"/>
        <v>0</v>
      </c>
      <c r="S151" s="598">
        <f t="shared" si="33"/>
        <v>0</v>
      </c>
    </row>
    <row r="152" spans="1:19">
      <c r="A152" s="606"/>
      <c r="B152" s="607"/>
      <c r="C152" s="599">
        <f t="shared" si="22"/>
        <v>1</v>
      </c>
      <c r="D152" s="608"/>
      <c r="E152" s="599">
        <f t="shared" si="23"/>
        <v>0</v>
      </c>
      <c r="F152" s="608"/>
      <c r="G152" s="599">
        <f t="shared" si="24"/>
        <v>1</v>
      </c>
      <c r="H152" s="608"/>
      <c r="I152" s="599">
        <f t="shared" si="25"/>
        <v>1</v>
      </c>
      <c r="J152" s="608"/>
      <c r="K152" s="599">
        <f t="shared" si="26"/>
        <v>1</v>
      </c>
      <c r="L152" s="608"/>
      <c r="M152" s="599">
        <f t="shared" si="27"/>
        <v>1</v>
      </c>
      <c r="N152" s="608"/>
      <c r="O152" s="599">
        <f t="shared" si="28"/>
        <v>1</v>
      </c>
      <c r="P152" s="608"/>
      <c r="Q152" s="599">
        <f t="shared" si="29"/>
        <v>1</v>
      </c>
      <c r="R152" s="659">
        <f t="shared" si="30"/>
        <v>0</v>
      </c>
      <c r="S152" s="598">
        <f t="shared" si="33"/>
        <v>0</v>
      </c>
    </row>
    <row r="153" spans="1:19">
      <c r="A153" s="606"/>
      <c r="B153" s="607"/>
      <c r="C153" s="599">
        <f t="shared" si="22"/>
        <v>1</v>
      </c>
      <c r="D153" s="608"/>
      <c r="E153" s="599">
        <f t="shared" si="23"/>
        <v>0</v>
      </c>
      <c r="F153" s="608"/>
      <c r="G153" s="599">
        <f t="shared" si="24"/>
        <v>1</v>
      </c>
      <c r="H153" s="608"/>
      <c r="I153" s="599">
        <f t="shared" si="25"/>
        <v>1</v>
      </c>
      <c r="J153" s="608"/>
      <c r="K153" s="599">
        <f t="shared" si="26"/>
        <v>1</v>
      </c>
      <c r="L153" s="608"/>
      <c r="M153" s="599">
        <f t="shared" si="27"/>
        <v>1</v>
      </c>
      <c r="N153" s="608"/>
      <c r="O153" s="599">
        <f t="shared" si="28"/>
        <v>1</v>
      </c>
      <c r="P153" s="608"/>
      <c r="Q153" s="599">
        <f t="shared" si="29"/>
        <v>1</v>
      </c>
      <c r="R153" s="659">
        <f t="shared" si="30"/>
        <v>0</v>
      </c>
      <c r="S153" s="598">
        <f t="shared" si="33"/>
        <v>0</v>
      </c>
    </row>
    <row r="154" spans="1:19">
      <c r="A154" s="606"/>
      <c r="B154" s="607"/>
      <c r="C154" s="599">
        <f t="shared" ref="C154:C217" si="34">IF(B154="",1,(LOOKUP(B154,$3:$3,$4:$4)-LOOKUP($B$24,$3:$3,$4:$4)+100)/100)</f>
        <v>1</v>
      </c>
      <c r="D154" s="608"/>
      <c r="E154" s="599">
        <f t="shared" ref="E154:E217" si="35">(SUMIF($5:$5,D154,$6:$6)-SUMIF($5:$5,$D$24,$6:$6)+100)/100</f>
        <v>0</v>
      </c>
      <c r="F154" s="608"/>
      <c r="G154" s="599">
        <f t="shared" ref="G154:G217" si="36">(SUMIF($7:$7,F154,$8:$8)-SUMIF($7:$7,$F$24,$8:$8)+100)/100</f>
        <v>1</v>
      </c>
      <c r="H154" s="608"/>
      <c r="I154" s="599">
        <f t="shared" ref="I154:I217" si="37">(SUMIF($9:$9,H154,$10:$10)-SUMIF($9:$9,$H$24,$10:$10)+100)/100</f>
        <v>1</v>
      </c>
      <c r="J154" s="608"/>
      <c r="K154" s="599">
        <f t="shared" ref="K154:K217" si="38">(SUMIF($11:$11,J154,$12:$12)-SUMIF($11:$11,$J$24,$12:$12)+100)/100</f>
        <v>1</v>
      </c>
      <c r="L154" s="608"/>
      <c r="M154" s="599">
        <f t="shared" ref="M154:M217" si="39">(SUMIF($13:$13,L154,$14:$14)-SUMIF($13:$13,$L$24,$14:$14)+100)/100</f>
        <v>1</v>
      </c>
      <c r="N154" s="608"/>
      <c r="O154" s="599">
        <f t="shared" ref="O154:O217" si="40">(SUMIF($15:$15,N154,$16:$16)-SUMIF($15:$15,$N$24,$16:$16)+100)/100</f>
        <v>1</v>
      </c>
      <c r="P154" s="608"/>
      <c r="Q154" s="599">
        <f t="shared" ref="Q154:Q217" si="41">(SUMIF($17:$17,P154,$18:$18)-SUMIF($17:$17,$P$24,$18:$18)+100)/100</f>
        <v>1</v>
      </c>
      <c r="R154" s="659">
        <f t="shared" ref="R154:R217" si="42">IF(B154="",0,ROUND($R$24*C154*E154*G154*I154*K154*M154*O154*Q154,0))</f>
        <v>0</v>
      </c>
      <c r="S154" s="598">
        <f t="shared" si="33"/>
        <v>0</v>
      </c>
    </row>
    <row r="155" spans="1:19">
      <c r="A155" s="606"/>
      <c r="B155" s="607"/>
      <c r="C155" s="599">
        <f t="shared" si="34"/>
        <v>1</v>
      </c>
      <c r="D155" s="608"/>
      <c r="E155" s="599">
        <f t="shared" si="35"/>
        <v>0</v>
      </c>
      <c r="F155" s="608"/>
      <c r="G155" s="599">
        <f t="shared" si="36"/>
        <v>1</v>
      </c>
      <c r="H155" s="608"/>
      <c r="I155" s="599">
        <f t="shared" si="37"/>
        <v>1</v>
      </c>
      <c r="J155" s="608"/>
      <c r="K155" s="599">
        <f t="shared" si="38"/>
        <v>1</v>
      </c>
      <c r="L155" s="608"/>
      <c r="M155" s="599">
        <f t="shared" si="39"/>
        <v>1</v>
      </c>
      <c r="N155" s="608"/>
      <c r="O155" s="599">
        <f t="shared" si="40"/>
        <v>1</v>
      </c>
      <c r="P155" s="608"/>
      <c r="Q155" s="599">
        <f t="shared" si="41"/>
        <v>1</v>
      </c>
      <c r="R155" s="659">
        <f t="shared" si="42"/>
        <v>0</v>
      </c>
      <c r="S155" s="598">
        <f t="shared" si="33"/>
        <v>0</v>
      </c>
    </row>
    <row r="156" spans="1:19">
      <c r="A156" s="606"/>
      <c r="B156" s="607"/>
      <c r="C156" s="599">
        <f t="shared" si="34"/>
        <v>1</v>
      </c>
      <c r="D156" s="608"/>
      <c r="E156" s="599">
        <f t="shared" si="35"/>
        <v>0</v>
      </c>
      <c r="F156" s="608"/>
      <c r="G156" s="599">
        <f t="shared" si="36"/>
        <v>1</v>
      </c>
      <c r="H156" s="608"/>
      <c r="I156" s="599">
        <f t="shared" si="37"/>
        <v>1</v>
      </c>
      <c r="J156" s="608"/>
      <c r="K156" s="599">
        <f t="shared" si="38"/>
        <v>1</v>
      </c>
      <c r="L156" s="608"/>
      <c r="M156" s="599">
        <f t="shared" si="39"/>
        <v>1</v>
      </c>
      <c r="N156" s="608"/>
      <c r="O156" s="599">
        <f t="shared" si="40"/>
        <v>1</v>
      </c>
      <c r="P156" s="608"/>
      <c r="Q156" s="599">
        <f t="shared" si="41"/>
        <v>1</v>
      </c>
      <c r="R156" s="659">
        <f t="shared" si="42"/>
        <v>0</v>
      </c>
      <c r="S156" s="598">
        <f t="shared" si="33"/>
        <v>0</v>
      </c>
    </row>
    <row r="157" spans="1:19">
      <c r="A157" s="606"/>
      <c r="B157" s="607"/>
      <c r="C157" s="599">
        <f t="shared" si="34"/>
        <v>1</v>
      </c>
      <c r="D157" s="608"/>
      <c r="E157" s="599">
        <f t="shared" si="35"/>
        <v>0</v>
      </c>
      <c r="F157" s="608"/>
      <c r="G157" s="599">
        <f t="shared" si="36"/>
        <v>1</v>
      </c>
      <c r="H157" s="608"/>
      <c r="I157" s="599">
        <f t="shared" si="37"/>
        <v>1</v>
      </c>
      <c r="J157" s="608"/>
      <c r="K157" s="599">
        <f t="shared" si="38"/>
        <v>1</v>
      </c>
      <c r="L157" s="608"/>
      <c r="M157" s="599">
        <f t="shared" si="39"/>
        <v>1</v>
      </c>
      <c r="N157" s="608"/>
      <c r="O157" s="599">
        <f t="shared" si="40"/>
        <v>1</v>
      </c>
      <c r="P157" s="608"/>
      <c r="Q157" s="599">
        <f t="shared" si="41"/>
        <v>1</v>
      </c>
      <c r="R157" s="659">
        <f t="shared" si="42"/>
        <v>0</v>
      </c>
      <c r="S157" s="598">
        <f t="shared" si="33"/>
        <v>0</v>
      </c>
    </row>
    <row r="158" spans="1:19">
      <c r="A158" s="606"/>
      <c r="B158" s="607"/>
      <c r="C158" s="599">
        <f t="shared" si="34"/>
        <v>1</v>
      </c>
      <c r="D158" s="608"/>
      <c r="E158" s="599">
        <f t="shared" si="35"/>
        <v>0</v>
      </c>
      <c r="F158" s="608"/>
      <c r="G158" s="599">
        <f t="shared" si="36"/>
        <v>1</v>
      </c>
      <c r="H158" s="608"/>
      <c r="I158" s="599">
        <f t="shared" si="37"/>
        <v>1</v>
      </c>
      <c r="J158" s="608"/>
      <c r="K158" s="599">
        <f t="shared" si="38"/>
        <v>1</v>
      </c>
      <c r="L158" s="608"/>
      <c r="M158" s="599">
        <f t="shared" si="39"/>
        <v>1</v>
      </c>
      <c r="N158" s="608"/>
      <c r="O158" s="599">
        <f t="shared" si="40"/>
        <v>1</v>
      </c>
      <c r="P158" s="608"/>
      <c r="Q158" s="599">
        <f t="shared" si="41"/>
        <v>1</v>
      </c>
      <c r="R158" s="659">
        <f t="shared" si="42"/>
        <v>0</v>
      </c>
      <c r="S158" s="598">
        <f t="shared" si="33"/>
        <v>0</v>
      </c>
    </row>
    <row r="159" spans="1:19">
      <c r="A159" s="606"/>
      <c r="B159" s="607"/>
      <c r="C159" s="599">
        <f t="shared" si="34"/>
        <v>1</v>
      </c>
      <c r="D159" s="608"/>
      <c r="E159" s="599">
        <f t="shared" si="35"/>
        <v>0</v>
      </c>
      <c r="F159" s="608"/>
      <c r="G159" s="599">
        <f t="shared" si="36"/>
        <v>1</v>
      </c>
      <c r="H159" s="608"/>
      <c r="I159" s="599">
        <f t="shared" si="37"/>
        <v>1</v>
      </c>
      <c r="J159" s="608"/>
      <c r="K159" s="599">
        <f t="shared" si="38"/>
        <v>1</v>
      </c>
      <c r="L159" s="608"/>
      <c r="M159" s="599">
        <f t="shared" si="39"/>
        <v>1</v>
      </c>
      <c r="N159" s="608"/>
      <c r="O159" s="599">
        <f t="shared" si="40"/>
        <v>1</v>
      </c>
      <c r="P159" s="608"/>
      <c r="Q159" s="599">
        <f t="shared" si="41"/>
        <v>1</v>
      </c>
      <c r="R159" s="659">
        <f t="shared" si="42"/>
        <v>0</v>
      </c>
      <c r="S159" s="598">
        <f t="shared" si="33"/>
        <v>0</v>
      </c>
    </row>
    <row r="160" spans="1:19">
      <c r="A160" s="606"/>
      <c r="B160" s="607"/>
      <c r="C160" s="599">
        <f t="shared" si="34"/>
        <v>1</v>
      </c>
      <c r="D160" s="608"/>
      <c r="E160" s="599">
        <f t="shared" si="35"/>
        <v>0</v>
      </c>
      <c r="F160" s="608"/>
      <c r="G160" s="599">
        <f t="shared" si="36"/>
        <v>1</v>
      </c>
      <c r="H160" s="608"/>
      <c r="I160" s="599">
        <f t="shared" si="37"/>
        <v>1</v>
      </c>
      <c r="J160" s="608"/>
      <c r="K160" s="599">
        <f t="shared" si="38"/>
        <v>1</v>
      </c>
      <c r="L160" s="608"/>
      <c r="M160" s="599">
        <f t="shared" si="39"/>
        <v>1</v>
      </c>
      <c r="N160" s="608"/>
      <c r="O160" s="599">
        <f t="shared" si="40"/>
        <v>1</v>
      </c>
      <c r="P160" s="608"/>
      <c r="Q160" s="599">
        <f t="shared" si="41"/>
        <v>1</v>
      </c>
      <c r="R160" s="659">
        <f t="shared" si="42"/>
        <v>0</v>
      </c>
      <c r="S160" s="598">
        <f t="shared" si="33"/>
        <v>0</v>
      </c>
    </row>
    <row r="161" spans="1:19">
      <c r="A161" s="606"/>
      <c r="B161" s="607"/>
      <c r="C161" s="599">
        <f t="shared" si="34"/>
        <v>1</v>
      </c>
      <c r="D161" s="608"/>
      <c r="E161" s="599">
        <f t="shared" si="35"/>
        <v>0</v>
      </c>
      <c r="F161" s="608"/>
      <c r="G161" s="599">
        <f t="shared" si="36"/>
        <v>1</v>
      </c>
      <c r="H161" s="608"/>
      <c r="I161" s="599">
        <f t="shared" si="37"/>
        <v>1</v>
      </c>
      <c r="J161" s="608"/>
      <c r="K161" s="599">
        <f t="shared" si="38"/>
        <v>1</v>
      </c>
      <c r="L161" s="608"/>
      <c r="M161" s="599">
        <f t="shared" si="39"/>
        <v>1</v>
      </c>
      <c r="N161" s="608"/>
      <c r="O161" s="599">
        <f t="shared" si="40"/>
        <v>1</v>
      </c>
      <c r="P161" s="608"/>
      <c r="Q161" s="599">
        <f t="shared" si="41"/>
        <v>1</v>
      </c>
      <c r="R161" s="659">
        <f t="shared" si="42"/>
        <v>0</v>
      </c>
      <c r="S161" s="598">
        <f t="shared" si="33"/>
        <v>0</v>
      </c>
    </row>
    <row r="162" spans="1:19">
      <c r="A162" s="606"/>
      <c r="B162" s="607"/>
      <c r="C162" s="599">
        <f t="shared" si="34"/>
        <v>1</v>
      </c>
      <c r="D162" s="608"/>
      <c r="E162" s="599">
        <f t="shared" si="35"/>
        <v>0</v>
      </c>
      <c r="F162" s="608"/>
      <c r="G162" s="599">
        <f t="shared" si="36"/>
        <v>1</v>
      </c>
      <c r="H162" s="608"/>
      <c r="I162" s="599">
        <f t="shared" si="37"/>
        <v>1</v>
      </c>
      <c r="J162" s="608"/>
      <c r="K162" s="599">
        <f t="shared" si="38"/>
        <v>1</v>
      </c>
      <c r="L162" s="608"/>
      <c r="M162" s="599">
        <f t="shared" si="39"/>
        <v>1</v>
      </c>
      <c r="N162" s="608"/>
      <c r="O162" s="599">
        <f t="shared" si="40"/>
        <v>1</v>
      </c>
      <c r="P162" s="608"/>
      <c r="Q162" s="599">
        <f t="shared" si="41"/>
        <v>1</v>
      </c>
      <c r="R162" s="659">
        <f t="shared" si="42"/>
        <v>0</v>
      </c>
      <c r="S162" s="598">
        <f t="shared" si="33"/>
        <v>0</v>
      </c>
    </row>
    <row r="163" spans="1:19">
      <c r="A163" s="606"/>
      <c r="B163" s="607"/>
      <c r="C163" s="599">
        <f t="shared" si="34"/>
        <v>1</v>
      </c>
      <c r="D163" s="608"/>
      <c r="E163" s="599">
        <f t="shared" si="35"/>
        <v>0</v>
      </c>
      <c r="F163" s="608"/>
      <c r="G163" s="599">
        <f t="shared" si="36"/>
        <v>1</v>
      </c>
      <c r="H163" s="608"/>
      <c r="I163" s="599">
        <f t="shared" si="37"/>
        <v>1</v>
      </c>
      <c r="J163" s="608"/>
      <c r="K163" s="599">
        <f t="shared" si="38"/>
        <v>1</v>
      </c>
      <c r="L163" s="608"/>
      <c r="M163" s="599">
        <f t="shared" si="39"/>
        <v>1</v>
      </c>
      <c r="N163" s="608"/>
      <c r="O163" s="599">
        <f t="shared" si="40"/>
        <v>1</v>
      </c>
      <c r="P163" s="608"/>
      <c r="Q163" s="599">
        <f t="shared" si="41"/>
        <v>1</v>
      </c>
      <c r="R163" s="659">
        <f t="shared" si="42"/>
        <v>0</v>
      </c>
      <c r="S163" s="598">
        <f t="shared" si="33"/>
        <v>0</v>
      </c>
    </row>
    <row r="164" spans="1:19">
      <c r="A164" s="606"/>
      <c r="B164" s="607"/>
      <c r="C164" s="599">
        <f t="shared" si="34"/>
        <v>1</v>
      </c>
      <c r="D164" s="608"/>
      <c r="E164" s="599">
        <f t="shared" si="35"/>
        <v>0</v>
      </c>
      <c r="F164" s="608"/>
      <c r="G164" s="599">
        <f t="shared" si="36"/>
        <v>1</v>
      </c>
      <c r="H164" s="608"/>
      <c r="I164" s="599">
        <f t="shared" si="37"/>
        <v>1</v>
      </c>
      <c r="J164" s="608"/>
      <c r="K164" s="599">
        <f t="shared" si="38"/>
        <v>1</v>
      </c>
      <c r="L164" s="608"/>
      <c r="M164" s="599">
        <f t="shared" si="39"/>
        <v>1</v>
      </c>
      <c r="N164" s="608"/>
      <c r="O164" s="599">
        <f t="shared" si="40"/>
        <v>1</v>
      </c>
      <c r="P164" s="608"/>
      <c r="Q164" s="599">
        <f t="shared" si="41"/>
        <v>1</v>
      </c>
      <c r="R164" s="659">
        <f t="shared" si="42"/>
        <v>0</v>
      </c>
      <c r="S164" s="598">
        <f t="shared" si="33"/>
        <v>0</v>
      </c>
    </row>
    <row r="165" spans="1:19">
      <c r="A165" s="606"/>
      <c r="B165" s="607"/>
      <c r="C165" s="599">
        <f t="shared" si="34"/>
        <v>1</v>
      </c>
      <c r="D165" s="608"/>
      <c r="E165" s="599">
        <f t="shared" si="35"/>
        <v>0</v>
      </c>
      <c r="F165" s="608"/>
      <c r="G165" s="599">
        <f t="shared" si="36"/>
        <v>1</v>
      </c>
      <c r="H165" s="608"/>
      <c r="I165" s="599">
        <f t="shared" si="37"/>
        <v>1</v>
      </c>
      <c r="J165" s="608"/>
      <c r="K165" s="599">
        <f t="shared" si="38"/>
        <v>1</v>
      </c>
      <c r="L165" s="608"/>
      <c r="M165" s="599">
        <f t="shared" si="39"/>
        <v>1</v>
      </c>
      <c r="N165" s="608"/>
      <c r="O165" s="599">
        <f t="shared" si="40"/>
        <v>1</v>
      </c>
      <c r="P165" s="608"/>
      <c r="Q165" s="599">
        <f t="shared" si="41"/>
        <v>1</v>
      </c>
      <c r="R165" s="659">
        <f t="shared" si="42"/>
        <v>0</v>
      </c>
      <c r="S165" s="598">
        <f t="shared" si="33"/>
        <v>0</v>
      </c>
    </row>
    <row r="166" spans="1:19">
      <c r="A166" s="606"/>
      <c r="B166" s="607"/>
      <c r="C166" s="599">
        <f t="shared" si="34"/>
        <v>1</v>
      </c>
      <c r="D166" s="608"/>
      <c r="E166" s="599">
        <f t="shared" si="35"/>
        <v>0</v>
      </c>
      <c r="F166" s="608"/>
      <c r="G166" s="599">
        <f t="shared" si="36"/>
        <v>1</v>
      </c>
      <c r="H166" s="608"/>
      <c r="I166" s="599">
        <f t="shared" si="37"/>
        <v>1</v>
      </c>
      <c r="J166" s="608"/>
      <c r="K166" s="599">
        <f t="shared" si="38"/>
        <v>1</v>
      </c>
      <c r="L166" s="608"/>
      <c r="M166" s="599">
        <f t="shared" si="39"/>
        <v>1</v>
      </c>
      <c r="N166" s="608"/>
      <c r="O166" s="599">
        <f t="shared" si="40"/>
        <v>1</v>
      </c>
      <c r="P166" s="608"/>
      <c r="Q166" s="599">
        <f t="shared" si="41"/>
        <v>1</v>
      </c>
      <c r="R166" s="659">
        <f t="shared" si="42"/>
        <v>0</v>
      </c>
      <c r="S166" s="598">
        <f t="shared" si="33"/>
        <v>0</v>
      </c>
    </row>
    <row r="167" spans="1:19">
      <c r="A167" s="606"/>
      <c r="B167" s="607"/>
      <c r="C167" s="599">
        <f t="shared" si="34"/>
        <v>1</v>
      </c>
      <c r="D167" s="608"/>
      <c r="E167" s="599">
        <f t="shared" si="35"/>
        <v>0</v>
      </c>
      <c r="F167" s="608"/>
      <c r="G167" s="599">
        <f t="shared" si="36"/>
        <v>1</v>
      </c>
      <c r="H167" s="608"/>
      <c r="I167" s="599">
        <f t="shared" si="37"/>
        <v>1</v>
      </c>
      <c r="J167" s="608"/>
      <c r="K167" s="599">
        <f t="shared" si="38"/>
        <v>1</v>
      </c>
      <c r="L167" s="608"/>
      <c r="M167" s="599">
        <f t="shared" si="39"/>
        <v>1</v>
      </c>
      <c r="N167" s="608"/>
      <c r="O167" s="599">
        <f t="shared" si="40"/>
        <v>1</v>
      </c>
      <c r="P167" s="608"/>
      <c r="Q167" s="599">
        <f t="shared" si="41"/>
        <v>1</v>
      </c>
      <c r="R167" s="659">
        <f t="shared" si="42"/>
        <v>0</v>
      </c>
      <c r="S167" s="598">
        <f t="shared" si="33"/>
        <v>0</v>
      </c>
    </row>
    <row r="168" spans="1:19">
      <c r="A168" s="606"/>
      <c r="B168" s="607"/>
      <c r="C168" s="599">
        <f t="shared" si="34"/>
        <v>1</v>
      </c>
      <c r="D168" s="608"/>
      <c r="E168" s="599">
        <f t="shared" si="35"/>
        <v>0</v>
      </c>
      <c r="F168" s="608"/>
      <c r="G168" s="599">
        <f t="shared" si="36"/>
        <v>1</v>
      </c>
      <c r="H168" s="608"/>
      <c r="I168" s="599">
        <f t="shared" si="37"/>
        <v>1</v>
      </c>
      <c r="J168" s="608"/>
      <c r="K168" s="599">
        <f t="shared" si="38"/>
        <v>1</v>
      </c>
      <c r="L168" s="608"/>
      <c r="M168" s="599">
        <f t="shared" si="39"/>
        <v>1</v>
      </c>
      <c r="N168" s="608"/>
      <c r="O168" s="599">
        <f t="shared" si="40"/>
        <v>1</v>
      </c>
      <c r="P168" s="608"/>
      <c r="Q168" s="599">
        <f t="shared" si="41"/>
        <v>1</v>
      </c>
      <c r="R168" s="659">
        <f t="shared" si="42"/>
        <v>0</v>
      </c>
      <c r="S168" s="598">
        <f t="shared" si="33"/>
        <v>0</v>
      </c>
    </row>
    <row r="169" spans="1:19">
      <c r="A169" s="606"/>
      <c r="B169" s="607"/>
      <c r="C169" s="599">
        <f t="shared" si="34"/>
        <v>1</v>
      </c>
      <c r="D169" s="608"/>
      <c r="E169" s="599">
        <f t="shared" si="35"/>
        <v>0</v>
      </c>
      <c r="F169" s="608"/>
      <c r="G169" s="599">
        <f t="shared" si="36"/>
        <v>1</v>
      </c>
      <c r="H169" s="608"/>
      <c r="I169" s="599">
        <f t="shared" si="37"/>
        <v>1</v>
      </c>
      <c r="J169" s="608"/>
      <c r="K169" s="599">
        <f t="shared" si="38"/>
        <v>1</v>
      </c>
      <c r="L169" s="608"/>
      <c r="M169" s="599">
        <f t="shared" si="39"/>
        <v>1</v>
      </c>
      <c r="N169" s="608"/>
      <c r="O169" s="599">
        <f t="shared" si="40"/>
        <v>1</v>
      </c>
      <c r="P169" s="608"/>
      <c r="Q169" s="599">
        <f t="shared" si="41"/>
        <v>1</v>
      </c>
      <c r="R169" s="659">
        <f t="shared" si="42"/>
        <v>0</v>
      </c>
      <c r="S169" s="598">
        <f t="shared" si="33"/>
        <v>0</v>
      </c>
    </row>
    <row r="170" spans="1:19">
      <c r="A170" s="606"/>
      <c r="B170" s="607"/>
      <c r="C170" s="599">
        <f t="shared" si="34"/>
        <v>1</v>
      </c>
      <c r="D170" s="608"/>
      <c r="E170" s="599">
        <f t="shared" si="35"/>
        <v>0</v>
      </c>
      <c r="F170" s="608"/>
      <c r="G170" s="599">
        <f t="shared" si="36"/>
        <v>1</v>
      </c>
      <c r="H170" s="608"/>
      <c r="I170" s="599">
        <f t="shared" si="37"/>
        <v>1</v>
      </c>
      <c r="J170" s="608"/>
      <c r="K170" s="599">
        <f t="shared" si="38"/>
        <v>1</v>
      </c>
      <c r="L170" s="608"/>
      <c r="M170" s="599">
        <f t="shared" si="39"/>
        <v>1</v>
      </c>
      <c r="N170" s="608"/>
      <c r="O170" s="599">
        <f t="shared" si="40"/>
        <v>1</v>
      </c>
      <c r="P170" s="608"/>
      <c r="Q170" s="599">
        <f t="shared" si="41"/>
        <v>1</v>
      </c>
      <c r="R170" s="659">
        <f t="shared" si="42"/>
        <v>0</v>
      </c>
      <c r="S170" s="598">
        <f t="shared" si="33"/>
        <v>0</v>
      </c>
    </row>
    <row r="171" spans="1:19">
      <c r="A171" s="606"/>
      <c r="B171" s="607"/>
      <c r="C171" s="599">
        <f t="shared" si="34"/>
        <v>1</v>
      </c>
      <c r="D171" s="608"/>
      <c r="E171" s="599">
        <f t="shared" si="35"/>
        <v>0</v>
      </c>
      <c r="F171" s="608"/>
      <c r="G171" s="599">
        <f t="shared" si="36"/>
        <v>1</v>
      </c>
      <c r="H171" s="608"/>
      <c r="I171" s="599">
        <f t="shared" si="37"/>
        <v>1</v>
      </c>
      <c r="J171" s="608"/>
      <c r="K171" s="599">
        <f t="shared" si="38"/>
        <v>1</v>
      </c>
      <c r="L171" s="608"/>
      <c r="M171" s="599">
        <f t="shared" si="39"/>
        <v>1</v>
      </c>
      <c r="N171" s="608"/>
      <c r="O171" s="599">
        <f t="shared" si="40"/>
        <v>1</v>
      </c>
      <c r="P171" s="608"/>
      <c r="Q171" s="599">
        <f t="shared" si="41"/>
        <v>1</v>
      </c>
      <c r="R171" s="659">
        <f t="shared" si="42"/>
        <v>0</v>
      </c>
      <c r="S171" s="598">
        <f t="shared" si="33"/>
        <v>0</v>
      </c>
    </row>
    <row r="172" spans="1:19">
      <c r="A172" s="606"/>
      <c r="B172" s="607"/>
      <c r="C172" s="599">
        <f t="shared" si="34"/>
        <v>1</v>
      </c>
      <c r="D172" s="608"/>
      <c r="E172" s="599">
        <f t="shared" si="35"/>
        <v>0</v>
      </c>
      <c r="F172" s="608"/>
      <c r="G172" s="599">
        <f t="shared" si="36"/>
        <v>1</v>
      </c>
      <c r="H172" s="608"/>
      <c r="I172" s="599">
        <f t="shared" si="37"/>
        <v>1</v>
      </c>
      <c r="J172" s="608"/>
      <c r="K172" s="599">
        <f t="shared" si="38"/>
        <v>1</v>
      </c>
      <c r="L172" s="608"/>
      <c r="M172" s="599">
        <f t="shared" si="39"/>
        <v>1</v>
      </c>
      <c r="N172" s="608"/>
      <c r="O172" s="599">
        <f t="shared" si="40"/>
        <v>1</v>
      </c>
      <c r="P172" s="608"/>
      <c r="Q172" s="599">
        <f t="shared" si="41"/>
        <v>1</v>
      </c>
      <c r="R172" s="659">
        <f t="shared" si="42"/>
        <v>0</v>
      </c>
      <c r="S172" s="598">
        <f t="shared" si="33"/>
        <v>0</v>
      </c>
    </row>
    <row r="173" spans="1:19">
      <c r="A173" s="606"/>
      <c r="B173" s="607"/>
      <c r="C173" s="599">
        <f t="shared" si="34"/>
        <v>1</v>
      </c>
      <c r="D173" s="608"/>
      <c r="E173" s="599">
        <f t="shared" si="35"/>
        <v>0</v>
      </c>
      <c r="F173" s="608"/>
      <c r="G173" s="599">
        <f t="shared" si="36"/>
        <v>1</v>
      </c>
      <c r="H173" s="608"/>
      <c r="I173" s="599">
        <f t="shared" si="37"/>
        <v>1</v>
      </c>
      <c r="J173" s="608"/>
      <c r="K173" s="599">
        <f t="shared" si="38"/>
        <v>1</v>
      </c>
      <c r="L173" s="608"/>
      <c r="M173" s="599">
        <f t="shared" si="39"/>
        <v>1</v>
      </c>
      <c r="N173" s="608"/>
      <c r="O173" s="599">
        <f t="shared" si="40"/>
        <v>1</v>
      </c>
      <c r="P173" s="608"/>
      <c r="Q173" s="599">
        <f t="shared" si="41"/>
        <v>1</v>
      </c>
      <c r="R173" s="659">
        <f t="shared" si="42"/>
        <v>0</v>
      </c>
      <c r="S173" s="598">
        <f t="shared" si="33"/>
        <v>0</v>
      </c>
    </row>
    <row r="174" spans="1:19">
      <c r="A174" s="606"/>
      <c r="B174" s="607"/>
      <c r="C174" s="599">
        <f t="shared" si="34"/>
        <v>1</v>
      </c>
      <c r="D174" s="608"/>
      <c r="E174" s="599">
        <f t="shared" si="35"/>
        <v>0</v>
      </c>
      <c r="F174" s="608"/>
      <c r="G174" s="599">
        <f t="shared" si="36"/>
        <v>1</v>
      </c>
      <c r="H174" s="608"/>
      <c r="I174" s="599">
        <f t="shared" si="37"/>
        <v>1</v>
      </c>
      <c r="J174" s="608"/>
      <c r="K174" s="599">
        <f t="shared" si="38"/>
        <v>1</v>
      </c>
      <c r="L174" s="608"/>
      <c r="M174" s="599">
        <f t="shared" si="39"/>
        <v>1</v>
      </c>
      <c r="N174" s="608"/>
      <c r="O174" s="599">
        <f t="shared" si="40"/>
        <v>1</v>
      </c>
      <c r="P174" s="608"/>
      <c r="Q174" s="599">
        <f t="shared" si="41"/>
        <v>1</v>
      </c>
      <c r="R174" s="659">
        <f t="shared" si="42"/>
        <v>0</v>
      </c>
      <c r="S174" s="598">
        <f t="shared" si="33"/>
        <v>0</v>
      </c>
    </row>
    <row r="175" spans="1:19">
      <c r="A175" s="606"/>
      <c r="B175" s="607"/>
      <c r="C175" s="599">
        <f t="shared" si="34"/>
        <v>1</v>
      </c>
      <c r="D175" s="608"/>
      <c r="E175" s="599">
        <f t="shared" si="35"/>
        <v>0</v>
      </c>
      <c r="F175" s="608"/>
      <c r="G175" s="599">
        <f t="shared" si="36"/>
        <v>1</v>
      </c>
      <c r="H175" s="608"/>
      <c r="I175" s="599">
        <f t="shared" si="37"/>
        <v>1</v>
      </c>
      <c r="J175" s="608"/>
      <c r="K175" s="599">
        <f t="shared" si="38"/>
        <v>1</v>
      </c>
      <c r="L175" s="608"/>
      <c r="M175" s="599">
        <f t="shared" si="39"/>
        <v>1</v>
      </c>
      <c r="N175" s="608"/>
      <c r="O175" s="599">
        <f t="shared" si="40"/>
        <v>1</v>
      </c>
      <c r="P175" s="608"/>
      <c r="Q175" s="599">
        <f t="shared" si="41"/>
        <v>1</v>
      </c>
      <c r="R175" s="659">
        <f t="shared" si="42"/>
        <v>0</v>
      </c>
      <c r="S175" s="598">
        <f t="shared" si="33"/>
        <v>0</v>
      </c>
    </row>
    <row r="176" spans="1:19">
      <c r="A176" s="606"/>
      <c r="B176" s="607"/>
      <c r="C176" s="599">
        <f t="shared" si="34"/>
        <v>1</v>
      </c>
      <c r="D176" s="608"/>
      <c r="E176" s="599">
        <f t="shared" si="35"/>
        <v>0</v>
      </c>
      <c r="F176" s="608"/>
      <c r="G176" s="599">
        <f t="shared" si="36"/>
        <v>1</v>
      </c>
      <c r="H176" s="608"/>
      <c r="I176" s="599">
        <f t="shared" si="37"/>
        <v>1</v>
      </c>
      <c r="J176" s="608"/>
      <c r="K176" s="599">
        <f t="shared" si="38"/>
        <v>1</v>
      </c>
      <c r="L176" s="608"/>
      <c r="M176" s="599">
        <f t="shared" si="39"/>
        <v>1</v>
      </c>
      <c r="N176" s="608"/>
      <c r="O176" s="599">
        <f t="shared" si="40"/>
        <v>1</v>
      </c>
      <c r="P176" s="608"/>
      <c r="Q176" s="599">
        <f t="shared" si="41"/>
        <v>1</v>
      </c>
      <c r="R176" s="659">
        <f t="shared" si="42"/>
        <v>0</v>
      </c>
      <c r="S176" s="598">
        <f t="shared" si="33"/>
        <v>0</v>
      </c>
    </row>
    <row r="177" spans="1:19">
      <c r="A177" s="606"/>
      <c r="B177" s="607"/>
      <c r="C177" s="599">
        <f t="shared" si="34"/>
        <v>1</v>
      </c>
      <c r="D177" s="608"/>
      <c r="E177" s="599">
        <f t="shared" si="35"/>
        <v>0</v>
      </c>
      <c r="F177" s="608"/>
      <c r="G177" s="599">
        <f t="shared" si="36"/>
        <v>1</v>
      </c>
      <c r="H177" s="608"/>
      <c r="I177" s="599">
        <f t="shared" si="37"/>
        <v>1</v>
      </c>
      <c r="J177" s="608"/>
      <c r="K177" s="599">
        <f t="shared" si="38"/>
        <v>1</v>
      </c>
      <c r="L177" s="608"/>
      <c r="M177" s="599">
        <f t="shared" si="39"/>
        <v>1</v>
      </c>
      <c r="N177" s="608"/>
      <c r="O177" s="599">
        <f t="shared" si="40"/>
        <v>1</v>
      </c>
      <c r="P177" s="608"/>
      <c r="Q177" s="599">
        <f t="shared" si="41"/>
        <v>1</v>
      </c>
      <c r="R177" s="659">
        <f t="shared" si="42"/>
        <v>0</v>
      </c>
      <c r="S177" s="598">
        <f t="shared" si="33"/>
        <v>0</v>
      </c>
    </row>
    <row r="178" spans="1:19">
      <c r="A178" s="606"/>
      <c r="B178" s="607"/>
      <c r="C178" s="599">
        <f t="shared" si="34"/>
        <v>1</v>
      </c>
      <c r="D178" s="608"/>
      <c r="E178" s="599">
        <f t="shared" si="35"/>
        <v>0</v>
      </c>
      <c r="F178" s="608"/>
      <c r="G178" s="599">
        <f t="shared" si="36"/>
        <v>1</v>
      </c>
      <c r="H178" s="608"/>
      <c r="I178" s="599">
        <f t="shared" si="37"/>
        <v>1</v>
      </c>
      <c r="J178" s="608"/>
      <c r="K178" s="599">
        <f t="shared" si="38"/>
        <v>1</v>
      </c>
      <c r="L178" s="608"/>
      <c r="M178" s="599">
        <f t="shared" si="39"/>
        <v>1</v>
      </c>
      <c r="N178" s="608"/>
      <c r="O178" s="599">
        <f t="shared" si="40"/>
        <v>1</v>
      </c>
      <c r="P178" s="608"/>
      <c r="Q178" s="599">
        <f t="shared" si="41"/>
        <v>1</v>
      </c>
      <c r="R178" s="659">
        <f t="shared" si="42"/>
        <v>0</v>
      </c>
      <c r="S178" s="598">
        <f t="shared" si="33"/>
        <v>0</v>
      </c>
    </row>
    <row r="179" spans="1:19">
      <c r="A179" s="606"/>
      <c r="B179" s="607"/>
      <c r="C179" s="599">
        <f t="shared" si="34"/>
        <v>1</v>
      </c>
      <c r="D179" s="608"/>
      <c r="E179" s="599">
        <f t="shared" si="35"/>
        <v>0</v>
      </c>
      <c r="F179" s="608"/>
      <c r="G179" s="599">
        <f t="shared" si="36"/>
        <v>1</v>
      </c>
      <c r="H179" s="608"/>
      <c r="I179" s="599">
        <f t="shared" si="37"/>
        <v>1</v>
      </c>
      <c r="J179" s="608"/>
      <c r="K179" s="599">
        <f t="shared" si="38"/>
        <v>1</v>
      </c>
      <c r="L179" s="608"/>
      <c r="M179" s="599">
        <f t="shared" si="39"/>
        <v>1</v>
      </c>
      <c r="N179" s="608"/>
      <c r="O179" s="599">
        <f t="shared" si="40"/>
        <v>1</v>
      </c>
      <c r="P179" s="608"/>
      <c r="Q179" s="599">
        <f t="shared" si="41"/>
        <v>1</v>
      </c>
      <c r="R179" s="659">
        <f t="shared" si="42"/>
        <v>0</v>
      </c>
      <c r="S179" s="598">
        <f t="shared" si="33"/>
        <v>0</v>
      </c>
    </row>
    <row r="180" spans="1:19">
      <c r="A180" s="606"/>
      <c r="B180" s="607"/>
      <c r="C180" s="599">
        <f t="shared" si="34"/>
        <v>1</v>
      </c>
      <c r="D180" s="608"/>
      <c r="E180" s="599">
        <f t="shared" si="35"/>
        <v>0</v>
      </c>
      <c r="F180" s="608"/>
      <c r="G180" s="599">
        <f t="shared" si="36"/>
        <v>1</v>
      </c>
      <c r="H180" s="608"/>
      <c r="I180" s="599">
        <f t="shared" si="37"/>
        <v>1</v>
      </c>
      <c r="J180" s="608"/>
      <c r="K180" s="599">
        <f t="shared" si="38"/>
        <v>1</v>
      </c>
      <c r="L180" s="608"/>
      <c r="M180" s="599">
        <f t="shared" si="39"/>
        <v>1</v>
      </c>
      <c r="N180" s="608"/>
      <c r="O180" s="599">
        <f t="shared" si="40"/>
        <v>1</v>
      </c>
      <c r="P180" s="608"/>
      <c r="Q180" s="599">
        <f t="shared" si="41"/>
        <v>1</v>
      </c>
      <c r="R180" s="659">
        <f t="shared" si="42"/>
        <v>0</v>
      </c>
      <c r="S180" s="598">
        <f t="shared" si="33"/>
        <v>0</v>
      </c>
    </row>
    <row r="181" spans="1:19">
      <c r="A181" s="606"/>
      <c r="B181" s="607"/>
      <c r="C181" s="599">
        <f t="shared" si="34"/>
        <v>1</v>
      </c>
      <c r="D181" s="608"/>
      <c r="E181" s="599">
        <f t="shared" si="35"/>
        <v>0</v>
      </c>
      <c r="F181" s="608"/>
      <c r="G181" s="599">
        <f t="shared" si="36"/>
        <v>1</v>
      </c>
      <c r="H181" s="608"/>
      <c r="I181" s="599">
        <f t="shared" si="37"/>
        <v>1</v>
      </c>
      <c r="J181" s="608"/>
      <c r="K181" s="599">
        <f t="shared" si="38"/>
        <v>1</v>
      </c>
      <c r="L181" s="608"/>
      <c r="M181" s="599">
        <f t="shared" si="39"/>
        <v>1</v>
      </c>
      <c r="N181" s="608"/>
      <c r="O181" s="599">
        <f t="shared" si="40"/>
        <v>1</v>
      </c>
      <c r="P181" s="608"/>
      <c r="Q181" s="599">
        <f t="shared" si="41"/>
        <v>1</v>
      </c>
      <c r="R181" s="659">
        <f t="shared" si="42"/>
        <v>0</v>
      </c>
      <c r="S181" s="598">
        <f t="shared" si="33"/>
        <v>0</v>
      </c>
    </row>
    <row r="182" spans="1:19">
      <c r="A182" s="606"/>
      <c r="B182" s="607"/>
      <c r="C182" s="599">
        <f t="shared" si="34"/>
        <v>1</v>
      </c>
      <c r="D182" s="608"/>
      <c r="E182" s="599">
        <f t="shared" si="35"/>
        <v>0</v>
      </c>
      <c r="F182" s="608"/>
      <c r="G182" s="599">
        <f t="shared" si="36"/>
        <v>1</v>
      </c>
      <c r="H182" s="608"/>
      <c r="I182" s="599">
        <f t="shared" si="37"/>
        <v>1</v>
      </c>
      <c r="J182" s="608"/>
      <c r="K182" s="599">
        <f t="shared" si="38"/>
        <v>1</v>
      </c>
      <c r="L182" s="608"/>
      <c r="M182" s="599">
        <f t="shared" si="39"/>
        <v>1</v>
      </c>
      <c r="N182" s="608"/>
      <c r="O182" s="599">
        <f t="shared" si="40"/>
        <v>1</v>
      </c>
      <c r="P182" s="608"/>
      <c r="Q182" s="599">
        <f t="shared" si="41"/>
        <v>1</v>
      </c>
      <c r="R182" s="659">
        <f t="shared" si="42"/>
        <v>0</v>
      </c>
      <c r="S182" s="598">
        <f t="shared" si="33"/>
        <v>0</v>
      </c>
    </row>
    <row r="183" spans="1:19">
      <c r="A183" s="606"/>
      <c r="B183" s="607"/>
      <c r="C183" s="599">
        <f t="shared" si="34"/>
        <v>1</v>
      </c>
      <c r="D183" s="608"/>
      <c r="E183" s="599">
        <f t="shared" si="35"/>
        <v>0</v>
      </c>
      <c r="F183" s="608"/>
      <c r="G183" s="599">
        <f t="shared" si="36"/>
        <v>1</v>
      </c>
      <c r="H183" s="608"/>
      <c r="I183" s="599">
        <f t="shared" si="37"/>
        <v>1</v>
      </c>
      <c r="J183" s="608"/>
      <c r="K183" s="599">
        <f t="shared" si="38"/>
        <v>1</v>
      </c>
      <c r="L183" s="608"/>
      <c r="M183" s="599">
        <f t="shared" si="39"/>
        <v>1</v>
      </c>
      <c r="N183" s="608"/>
      <c r="O183" s="599">
        <f t="shared" si="40"/>
        <v>1</v>
      </c>
      <c r="P183" s="608"/>
      <c r="Q183" s="599">
        <f t="shared" si="41"/>
        <v>1</v>
      </c>
      <c r="R183" s="659">
        <f t="shared" si="42"/>
        <v>0</v>
      </c>
      <c r="S183" s="598">
        <f t="shared" si="33"/>
        <v>0</v>
      </c>
    </row>
    <row r="184" spans="1:19">
      <c r="A184" s="606"/>
      <c r="B184" s="607"/>
      <c r="C184" s="599">
        <f t="shared" si="34"/>
        <v>1</v>
      </c>
      <c r="D184" s="608"/>
      <c r="E184" s="599">
        <f t="shared" si="35"/>
        <v>0</v>
      </c>
      <c r="F184" s="608"/>
      <c r="G184" s="599">
        <f t="shared" si="36"/>
        <v>1</v>
      </c>
      <c r="H184" s="608"/>
      <c r="I184" s="599">
        <f t="shared" si="37"/>
        <v>1</v>
      </c>
      <c r="J184" s="608"/>
      <c r="K184" s="599">
        <f t="shared" si="38"/>
        <v>1</v>
      </c>
      <c r="L184" s="608"/>
      <c r="M184" s="599">
        <f t="shared" si="39"/>
        <v>1</v>
      </c>
      <c r="N184" s="608"/>
      <c r="O184" s="599">
        <f t="shared" si="40"/>
        <v>1</v>
      </c>
      <c r="P184" s="608"/>
      <c r="Q184" s="599">
        <f t="shared" si="41"/>
        <v>1</v>
      </c>
      <c r="R184" s="659">
        <f t="shared" si="42"/>
        <v>0</v>
      </c>
      <c r="S184" s="598">
        <f t="shared" si="33"/>
        <v>0</v>
      </c>
    </row>
    <row r="185" spans="1:19">
      <c r="A185" s="606"/>
      <c r="B185" s="607"/>
      <c r="C185" s="599">
        <f t="shared" si="34"/>
        <v>1</v>
      </c>
      <c r="D185" s="608"/>
      <c r="E185" s="599">
        <f t="shared" si="35"/>
        <v>0</v>
      </c>
      <c r="F185" s="608"/>
      <c r="G185" s="599">
        <f t="shared" si="36"/>
        <v>1</v>
      </c>
      <c r="H185" s="608"/>
      <c r="I185" s="599">
        <f t="shared" si="37"/>
        <v>1</v>
      </c>
      <c r="J185" s="608"/>
      <c r="K185" s="599">
        <f t="shared" si="38"/>
        <v>1</v>
      </c>
      <c r="L185" s="608"/>
      <c r="M185" s="599">
        <f t="shared" si="39"/>
        <v>1</v>
      </c>
      <c r="N185" s="608"/>
      <c r="O185" s="599">
        <f t="shared" si="40"/>
        <v>1</v>
      </c>
      <c r="P185" s="608"/>
      <c r="Q185" s="599">
        <f t="shared" si="41"/>
        <v>1</v>
      </c>
      <c r="R185" s="659">
        <f t="shared" si="42"/>
        <v>0</v>
      </c>
      <c r="S185" s="598">
        <f t="shared" si="33"/>
        <v>0</v>
      </c>
    </row>
    <row r="186" spans="1:19">
      <c r="A186" s="606"/>
      <c r="B186" s="607"/>
      <c r="C186" s="599">
        <f t="shared" si="34"/>
        <v>1</v>
      </c>
      <c r="D186" s="608"/>
      <c r="E186" s="599">
        <f t="shared" si="35"/>
        <v>0</v>
      </c>
      <c r="F186" s="608"/>
      <c r="G186" s="599">
        <f t="shared" si="36"/>
        <v>1</v>
      </c>
      <c r="H186" s="608"/>
      <c r="I186" s="599">
        <f t="shared" si="37"/>
        <v>1</v>
      </c>
      <c r="J186" s="608"/>
      <c r="K186" s="599">
        <f t="shared" si="38"/>
        <v>1</v>
      </c>
      <c r="L186" s="608"/>
      <c r="M186" s="599">
        <f t="shared" si="39"/>
        <v>1</v>
      </c>
      <c r="N186" s="608"/>
      <c r="O186" s="599">
        <f t="shared" si="40"/>
        <v>1</v>
      </c>
      <c r="P186" s="608"/>
      <c r="Q186" s="599">
        <f t="shared" si="41"/>
        <v>1</v>
      </c>
      <c r="R186" s="659">
        <f t="shared" si="42"/>
        <v>0</v>
      </c>
      <c r="S186" s="598">
        <f t="shared" si="33"/>
        <v>0</v>
      </c>
    </row>
    <row r="187" spans="1:19">
      <c r="A187" s="606"/>
      <c r="B187" s="607"/>
      <c r="C187" s="599">
        <f t="shared" si="34"/>
        <v>1</v>
      </c>
      <c r="D187" s="608"/>
      <c r="E187" s="599">
        <f t="shared" si="35"/>
        <v>0</v>
      </c>
      <c r="F187" s="608"/>
      <c r="G187" s="599">
        <f t="shared" si="36"/>
        <v>1</v>
      </c>
      <c r="H187" s="608"/>
      <c r="I187" s="599">
        <f t="shared" si="37"/>
        <v>1</v>
      </c>
      <c r="J187" s="608"/>
      <c r="K187" s="599">
        <f t="shared" si="38"/>
        <v>1</v>
      </c>
      <c r="L187" s="608"/>
      <c r="M187" s="599">
        <f t="shared" si="39"/>
        <v>1</v>
      </c>
      <c r="N187" s="608"/>
      <c r="O187" s="599">
        <f t="shared" si="40"/>
        <v>1</v>
      </c>
      <c r="P187" s="608"/>
      <c r="Q187" s="599">
        <f t="shared" si="41"/>
        <v>1</v>
      </c>
      <c r="R187" s="659">
        <f t="shared" si="42"/>
        <v>0</v>
      </c>
      <c r="S187" s="598">
        <f t="shared" ref="S187:S222" si="43">ROUND(R187*B187/10000,0)</f>
        <v>0</v>
      </c>
    </row>
    <row r="188" spans="1:19">
      <c r="A188" s="606"/>
      <c r="B188" s="607"/>
      <c r="C188" s="599">
        <f t="shared" si="34"/>
        <v>1</v>
      </c>
      <c r="D188" s="608"/>
      <c r="E188" s="599">
        <f t="shared" si="35"/>
        <v>0</v>
      </c>
      <c r="F188" s="608"/>
      <c r="G188" s="599">
        <f t="shared" si="36"/>
        <v>1</v>
      </c>
      <c r="H188" s="608"/>
      <c r="I188" s="599">
        <f t="shared" si="37"/>
        <v>1</v>
      </c>
      <c r="J188" s="608"/>
      <c r="K188" s="599">
        <f t="shared" si="38"/>
        <v>1</v>
      </c>
      <c r="L188" s="608"/>
      <c r="M188" s="599">
        <f t="shared" si="39"/>
        <v>1</v>
      </c>
      <c r="N188" s="608"/>
      <c r="O188" s="599">
        <f t="shared" si="40"/>
        <v>1</v>
      </c>
      <c r="P188" s="608"/>
      <c r="Q188" s="599">
        <f t="shared" si="41"/>
        <v>1</v>
      </c>
      <c r="R188" s="659">
        <f t="shared" si="42"/>
        <v>0</v>
      </c>
      <c r="S188" s="598">
        <f t="shared" si="43"/>
        <v>0</v>
      </c>
    </row>
    <row r="189" spans="1:19">
      <c r="A189" s="606"/>
      <c r="B189" s="607"/>
      <c r="C189" s="599">
        <f t="shared" si="34"/>
        <v>1</v>
      </c>
      <c r="D189" s="608"/>
      <c r="E189" s="599">
        <f t="shared" si="35"/>
        <v>0</v>
      </c>
      <c r="F189" s="608"/>
      <c r="G189" s="599">
        <f t="shared" si="36"/>
        <v>1</v>
      </c>
      <c r="H189" s="608"/>
      <c r="I189" s="599">
        <f t="shared" si="37"/>
        <v>1</v>
      </c>
      <c r="J189" s="608"/>
      <c r="K189" s="599">
        <f t="shared" si="38"/>
        <v>1</v>
      </c>
      <c r="L189" s="608"/>
      <c r="M189" s="599">
        <f t="shared" si="39"/>
        <v>1</v>
      </c>
      <c r="N189" s="608"/>
      <c r="O189" s="599">
        <f t="shared" si="40"/>
        <v>1</v>
      </c>
      <c r="P189" s="608"/>
      <c r="Q189" s="599">
        <f t="shared" si="41"/>
        <v>1</v>
      </c>
      <c r="R189" s="659">
        <f t="shared" si="42"/>
        <v>0</v>
      </c>
      <c r="S189" s="598">
        <f t="shared" si="43"/>
        <v>0</v>
      </c>
    </row>
    <row r="190" spans="1:19">
      <c r="A190" s="606"/>
      <c r="B190" s="607"/>
      <c r="C190" s="599">
        <f t="shared" si="34"/>
        <v>1</v>
      </c>
      <c r="D190" s="608"/>
      <c r="E190" s="599">
        <f t="shared" si="35"/>
        <v>0</v>
      </c>
      <c r="F190" s="608"/>
      <c r="G190" s="599">
        <f t="shared" si="36"/>
        <v>1</v>
      </c>
      <c r="H190" s="608"/>
      <c r="I190" s="599">
        <f t="shared" si="37"/>
        <v>1</v>
      </c>
      <c r="J190" s="608"/>
      <c r="K190" s="599">
        <f t="shared" si="38"/>
        <v>1</v>
      </c>
      <c r="L190" s="608"/>
      <c r="M190" s="599">
        <f t="shared" si="39"/>
        <v>1</v>
      </c>
      <c r="N190" s="608"/>
      <c r="O190" s="599">
        <f t="shared" si="40"/>
        <v>1</v>
      </c>
      <c r="P190" s="608"/>
      <c r="Q190" s="599">
        <f t="shared" si="41"/>
        <v>1</v>
      </c>
      <c r="R190" s="659">
        <f t="shared" si="42"/>
        <v>0</v>
      </c>
      <c r="S190" s="598">
        <f t="shared" si="43"/>
        <v>0</v>
      </c>
    </row>
    <row r="191" spans="1:19">
      <c r="A191" s="606"/>
      <c r="B191" s="607"/>
      <c r="C191" s="599">
        <f t="shared" si="34"/>
        <v>1</v>
      </c>
      <c r="D191" s="608"/>
      <c r="E191" s="599">
        <f t="shared" si="35"/>
        <v>0</v>
      </c>
      <c r="F191" s="608"/>
      <c r="G191" s="599">
        <f t="shared" si="36"/>
        <v>1</v>
      </c>
      <c r="H191" s="608"/>
      <c r="I191" s="599">
        <f t="shared" si="37"/>
        <v>1</v>
      </c>
      <c r="J191" s="608"/>
      <c r="K191" s="599">
        <f t="shared" si="38"/>
        <v>1</v>
      </c>
      <c r="L191" s="608"/>
      <c r="M191" s="599">
        <f t="shared" si="39"/>
        <v>1</v>
      </c>
      <c r="N191" s="608"/>
      <c r="O191" s="599">
        <f t="shared" si="40"/>
        <v>1</v>
      </c>
      <c r="P191" s="608"/>
      <c r="Q191" s="599">
        <f t="shared" si="41"/>
        <v>1</v>
      </c>
      <c r="R191" s="659">
        <f t="shared" si="42"/>
        <v>0</v>
      </c>
      <c r="S191" s="598">
        <f t="shared" si="43"/>
        <v>0</v>
      </c>
    </row>
    <row r="192" spans="1:19">
      <c r="A192" s="606"/>
      <c r="B192" s="607"/>
      <c r="C192" s="599">
        <f t="shared" si="34"/>
        <v>1</v>
      </c>
      <c r="D192" s="608"/>
      <c r="E192" s="599">
        <f t="shared" si="35"/>
        <v>0</v>
      </c>
      <c r="F192" s="608"/>
      <c r="G192" s="599">
        <f t="shared" si="36"/>
        <v>1</v>
      </c>
      <c r="H192" s="608"/>
      <c r="I192" s="599">
        <f t="shared" si="37"/>
        <v>1</v>
      </c>
      <c r="J192" s="608"/>
      <c r="K192" s="599">
        <f t="shared" si="38"/>
        <v>1</v>
      </c>
      <c r="L192" s="608"/>
      <c r="M192" s="599">
        <f t="shared" si="39"/>
        <v>1</v>
      </c>
      <c r="N192" s="608"/>
      <c r="O192" s="599">
        <f t="shared" si="40"/>
        <v>1</v>
      </c>
      <c r="P192" s="608"/>
      <c r="Q192" s="599">
        <f t="shared" si="41"/>
        <v>1</v>
      </c>
      <c r="R192" s="659">
        <f t="shared" si="42"/>
        <v>0</v>
      </c>
      <c r="S192" s="598">
        <f t="shared" si="43"/>
        <v>0</v>
      </c>
    </row>
    <row r="193" spans="1:19">
      <c r="A193" s="606"/>
      <c r="B193" s="607"/>
      <c r="C193" s="599">
        <f t="shared" si="34"/>
        <v>1</v>
      </c>
      <c r="D193" s="608"/>
      <c r="E193" s="599">
        <f t="shared" si="35"/>
        <v>0</v>
      </c>
      <c r="F193" s="608"/>
      <c r="G193" s="599">
        <f t="shared" si="36"/>
        <v>1</v>
      </c>
      <c r="H193" s="608"/>
      <c r="I193" s="599">
        <f t="shared" si="37"/>
        <v>1</v>
      </c>
      <c r="J193" s="608"/>
      <c r="K193" s="599">
        <f t="shared" si="38"/>
        <v>1</v>
      </c>
      <c r="L193" s="608"/>
      <c r="M193" s="599">
        <f t="shared" si="39"/>
        <v>1</v>
      </c>
      <c r="N193" s="608"/>
      <c r="O193" s="599">
        <f t="shared" si="40"/>
        <v>1</v>
      </c>
      <c r="P193" s="608"/>
      <c r="Q193" s="599">
        <f t="shared" si="41"/>
        <v>1</v>
      </c>
      <c r="R193" s="659">
        <f t="shared" si="42"/>
        <v>0</v>
      </c>
      <c r="S193" s="598">
        <f t="shared" si="43"/>
        <v>0</v>
      </c>
    </row>
    <row r="194" spans="1:19">
      <c r="A194" s="606"/>
      <c r="B194" s="607"/>
      <c r="C194" s="599">
        <f t="shared" si="34"/>
        <v>1</v>
      </c>
      <c r="D194" s="608"/>
      <c r="E194" s="599">
        <f t="shared" si="35"/>
        <v>0</v>
      </c>
      <c r="F194" s="608"/>
      <c r="G194" s="599">
        <f t="shared" si="36"/>
        <v>1</v>
      </c>
      <c r="H194" s="608"/>
      <c r="I194" s="599">
        <f t="shared" si="37"/>
        <v>1</v>
      </c>
      <c r="J194" s="608"/>
      <c r="K194" s="599">
        <f t="shared" si="38"/>
        <v>1</v>
      </c>
      <c r="L194" s="608"/>
      <c r="M194" s="599">
        <f t="shared" si="39"/>
        <v>1</v>
      </c>
      <c r="N194" s="608"/>
      <c r="O194" s="599">
        <f t="shared" si="40"/>
        <v>1</v>
      </c>
      <c r="P194" s="608"/>
      <c r="Q194" s="599">
        <f t="shared" si="41"/>
        <v>1</v>
      </c>
      <c r="R194" s="659">
        <f t="shared" si="42"/>
        <v>0</v>
      </c>
      <c r="S194" s="598">
        <f t="shared" si="43"/>
        <v>0</v>
      </c>
    </row>
    <row r="195" spans="1:19">
      <c r="A195" s="606"/>
      <c r="B195" s="607"/>
      <c r="C195" s="599">
        <f t="shared" si="34"/>
        <v>1</v>
      </c>
      <c r="D195" s="608"/>
      <c r="E195" s="599">
        <f t="shared" si="35"/>
        <v>0</v>
      </c>
      <c r="F195" s="608"/>
      <c r="G195" s="599">
        <f t="shared" si="36"/>
        <v>1</v>
      </c>
      <c r="H195" s="608"/>
      <c r="I195" s="599">
        <f t="shared" si="37"/>
        <v>1</v>
      </c>
      <c r="J195" s="608"/>
      <c r="K195" s="599">
        <f t="shared" si="38"/>
        <v>1</v>
      </c>
      <c r="L195" s="608"/>
      <c r="M195" s="599">
        <f t="shared" si="39"/>
        <v>1</v>
      </c>
      <c r="N195" s="608"/>
      <c r="O195" s="599">
        <f t="shared" si="40"/>
        <v>1</v>
      </c>
      <c r="P195" s="608"/>
      <c r="Q195" s="599">
        <f t="shared" si="41"/>
        <v>1</v>
      </c>
      <c r="R195" s="659">
        <f t="shared" si="42"/>
        <v>0</v>
      </c>
      <c r="S195" s="598">
        <f t="shared" si="43"/>
        <v>0</v>
      </c>
    </row>
    <row r="196" spans="1:19">
      <c r="A196" s="606"/>
      <c r="B196" s="607"/>
      <c r="C196" s="599">
        <f t="shared" si="34"/>
        <v>1</v>
      </c>
      <c r="D196" s="608"/>
      <c r="E196" s="599">
        <f t="shared" si="35"/>
        <v>0</v>
      </c>
      <c r="F196" s="608"/>
      <c r="G196" s="599">
        <f t="shared" si="36"/>
        <v>1</v>
      </c>
      <c r="H196" s="608"/>
      <c r="I196" s="599">
        <f t="shared" si="37"/>
        <v>1</v>
      </c>
      <c r="J196" s="608"/>
      <c r="K196" s="599">
        <f t="shared" si="38"/>
        <v>1</v>
      </c>
      <c r="L196" s="608"/>
      <c r="M196" s="599">
        <f t="shared" si="39"/>
        <v>1</v>
      </c>
      <c r="N196" s="608"/>
      <c r="O196" s="599">
        <f t="shared" si="40"/>
        <v>1</v>
      </c>
      <c r="P196" s="608"/>
      <c r="Q196" s="599">
        <f t="shared" si="41"/>
        <v>1</v>
      </c>
      <c r="R196" s="659">
        <f t="shared" si="42"/>
        <v>0</v>
      </c>
      <c r="S196" s="598">
        <f t="shared" si="43"/>
        <v>0</v>
      </c>
    </row>
    <row r="197" spans="1:19">
      <c r="A197" s="606"/>
      <c r="B197" s="607"/>
      <c r="C197" s="599">
        <f t="shared" si="34"/>
        <v>1</v>
      </c>
      <c r="D197" s="608"/>
      <c r="E197" s="599">
        <f t="shared" si="35"/>
        <v>0</v>
      </c>
      <c r="F197" s="608"/>
      <c r="G197" s="599">
        <f t="shared" si="36"/>
        <v>1</v>
      </c>
      <c r="H197" s="608"/>
      <c r="I197" s="599">
        <f t="shared" si="37"/>
        <v>1</v>
      </c>
      <c r="J197" s="608"/>
      <c r="K197" s="599">
        <f t="shared" si="38"/>
        <v>1</v>
      </c>
      <c r="L197" s="608"/>
      <c r="M197" s="599">
        <f t="shared" si="39"/>
        <v>1</v>
      </c>
      <c r="N197" s="608"/>
      <c r="O197" s="599">
        <f t="shared" si="40"/>
        <v>1</v>
      </c>
      <c r="P197" s="608"/>
      <c r="Q197" s="599">
        <f t="shared" si="41"/>
        <v>1</v>
      </c>
      <c r="R197" s="659">
        <f t="shared" si="42"/>
        <v>0</v>
      </c>
      <c r="S197" s="598">
        <f t="shared" si="43"/>
        <v>0</v>
      </c>
    </row>
    <row r="198" spans="1:19">
      <c r="A198" s="606"/>
      <c r="B198" s="607"/>
      <c r="C198" s="599">
        <f t="shared" si="34"/>
        <v>1</v>
      </c>
      <c r="D198" s="608"/>
      <c r="E198" s="599">
        <f t="shared" si="35"/>
        <v>0</v>
      </c>
      <c r="F198" s="608"/>
      <c r="G198" s="599">
        <f t="shared" si="36"/>
        <v>1</v>
      </c>
      <c r="H198" s="608"/>
      <c r="I198" s="599">
        <f t="shared" si="37"/>
        <v>1</v>
      </c>
      <c r="J198" s="608"/>
      <c r="K198" s="599">
        <f t="shared" si="38"/>
        <v>1</v>
      </c>
      <c r="L198" s="608"/>
      <c r="M198" s="599">
        <f t="shared" si="39"/>
        <v>1</v>
      </c>
      <c r="N198" s="608"/>
      <c r="O198" s="599">
        <f t="shared" si="40"/>
        <v>1</v>
      </c>
      <c r="P198" s="608"/>
      <c r="Q198" s="599">
        <f t="shared" si="41"/>
        <v>1</v>
      </c>
      <c r="R198" s="659">
        <f t="shared" si="42"/>
        <v>0</v>
      </c>
      <c r="S198" s="598">
        <f t="shared" si="43"/>
        <v>0</v>
      </c>
    </row>
    <row r="199" spans="1:19">
      <c r="A199" s="606"/>
      <c r="B199" s="607"/>
      <c r="C199" s="599">
        <f t="shared" si="34"/>
        <v>1</v>
      </c>
      <c r="D199" s="608"/>
      <c r="E199" s="599">
        <f t="shared" si="35"/>
        <v>0</v>
      </c>
      <c r="F199" s="608"/>
      <c r="G199" s="599">
        <f t="shared" si="36"/>
        <v>1</v>
      </c>
      <c r="H199" s="608"/>
      <c r="I199" s="599">
        <f t="shared" si="37"/>
        <v>1</v>
      </c>
      <c r="J199" s="608"/>
      <c r="K199" s="599">
        <f t="shared" si="38"/>
        <v>1</v>
      </c>
      <c r="L199" s="608"/>
      <c r="M199" s="599">
        <f t="shared" si="39"/>
        <v>1</v>
      </c>
      <c r="N199" s="608"/>
      <c r="O199" s="599">
        <f t="shared" si="40"/>
        <v>1</v>
      </c>
      <c r="P199" s="608"/>
      <c r="Q199" s="599">
        <f t="shared" si="41"/>
        <v>1</v>
      </c>
      <c r="R199" s="659">
        <f t="shared" si="42"/>
        <v>0</v>
      </c>
      <c r="S199" s="598">
        <f t="shared" si="43"/>
        <v>0</v>
      </c>
    </row>
    <row r="200" spans="1:19">
      <c r="A200" s="606"/>
      <c r="B200" s="607"/>
      <c r="C200" s="599">
        <f t="shared" si="34"/>
        <v>1</v>
      </c>
      <c r="D200" s="608"/>
      <c r="E200" s="599">
        <f t="shared" si="35"/>
        <v>0</v>
      </c>
      <c r="F200" s="608"/>
      <c r="G200" s="599">
        <f t="shared" si="36"/>
        <v>1</v>
      </c>
      <c r="H200" s="608"/>
      <c r="I200" s="599">
        <f t="shared" si="37"/>
        <v>1</v>
      </c>
      <c r="J200" s="608"/>
      <c r="K200" s="599">
        <f t="shared" si="38"/>
        <v>1</v>
      </c>
      <c r="L200" s="608"/>
      <c r="M200" s="599">
        <f t="shared" si="39"/>
        <v>1</v>
      </c>
      <c r="N200" s="608"/>
      <c r="O200" s="599">
        <f t="shared" si="40"/>
        <v>1</v>
      </c>
      <c r="P200" s="608"/>
      <c r="Q200" s="599">
        <f t="shared" si="41"/>
        <v>1</v>
      </c>
      <c r="R200" s="659">
        <f t="shared" si="42"/>
        <v>0</v>
      </c>
      <c r="S200" s="598">
        <f t="shared" si="43"/>
        <v>0</v>
      </c>
    </row>
    <row r="201" spans="1:19">
      <c r="A201" s="606"/>
      <c r="B201" s="607"/>
      <c r="C201" s="599">
        <f t="shared" si="34"/>
        <v>1</v>
      </c>
      <c r="D201" s="608"/>
      <c r="E201" s="599">
        <f t="shared" si="35"/>
        <v>0</v>
      </c>
      <c r="F201" s="608"/>
      <c r="G201" s="599">
        <f t="shared" si="36"/>
        <v>1</v>
      </c>
      <c r="H201" s="608"/>
      <c r="I201" s="599">
        <f t="shared" si="37"/>
        <v>1</v>
      </c>
      <c r="J201" s="608"/>
      <c r="K201" s="599">
        <f t="shared" si="38"/>
        <v>1</v>
      </c>
      <c r="L201" s="608"/>
      <c r="M201" s="599">
        <f t="shared" si="39"/>
        <v>1</v>
      </c>
      <c r="N201" s="608"/>
      <c r="O201" s="599">
        <f t="shared" si="40"/>
        <v>1</v>
      </c>
      <c r="P201" s="608"/>
      <c r="Q201" s="599">
        <f t="shared" si="41"/>
        <v>1</v>
      </c>
      <c r="R201" s="659">
        <f t="shared" si="42"/>
        <v>0</v>
      </c>
      <c r="S201" s="598">
        <f t="shared" si="43"/>
        <v>0</v>
      </c>
    </row>
    <row r="202" spans="1:19">
      <c r="A202" s="606"/>
      <c r="B202" s="607"/>
      <c r="C202" s="599">
        <f t="shared" si="34"/>
        <v>1</v>
      </c>
      <c r="D202" s="608"/>
      <c r="E202" s="599">
        <f t="shared" si="35"/>
        <v>0</v>
      </c>
      <c r="F202" s="608"/>
      <c r="G202" s="599">
        <f t="shared" si="36"/>
        <v>1</v>
      </c>
      <c r="H202" s="608"/>
      <c r="I202" s="599">
        <f t="shared" si="37"/>
        <v>1</v>
      </c>
      <c r="J202" s="608"/>
      <c r="K202" s="599">
        <f t="shared" si="38"/>
        <v>1</v>
      </c>
      <c r="L202" s="608"/>
      <c r="M202" s="599">
        <f t="shared" si="39"/>
        <v>1</v>
      </c>
      <c r="N202" s="608"/>
      <c r="O202" s="599">
        <f t="shared" si="40"/>
        <v>1</v>
      </c>
      <c r="P202" s="608"/>
      <c r="Q202" s="599">
        <f t="shared" si="41"/>
        <v>1</v>
      </c>
      <c r="R202" s="659">
        <f t="shared" si="42"/>
        <v>0</v>
      </c>
      <c r="S202" s="598">
        <f t="shared" si="43"/>
        <v>0</v>
      </c>
    </row>
    <row r="203" spans="1:19">
      <c r="A203" s="606"/>
      <c r="B203" s="607"/>
      <c r="C203" s="599">
        <f t="shared" si="34"/>
        <v>1</v>
      </c>
      <c r="D203" s="608"/>
      <c r="E203" s="599">
        <f t="shared" si="35"/>
        <v>0</v>
      </c>
      <c r="F203" s="608"/>
      <c r="G203" s="599">
        <f t="shared" si="36"/>
        <v>1</v>
      </c>
      <c r="H203" s="608"/>
      <c r="I203" s="599">
        <f t="shared" si="37"/>
        <v>1</v>
      </c>
      <c r="J203" s="608"/>
      <c r="K203" s="599">
        <f t="shared" si="38"/>
        <v>1</v>
      </c>
      <c r="L203" s="608"/>
      <c r="M203" s="599">
        <f t="shared" si="39"/>
        <v>1</v>
      </c>
      <c r="N203" s="608"/>
      <c r="O203" s="599">
        <f t="shared" si="40"/>
        <v>1</v>
      </c>
      <c r="P203" s="608"/>
      <c r="Q203" s="599">
        <f t="shared" si="41"/>
        <v>1</v>
      </c>
      <c r="R203" s="659">
        <f t="shared" si="42"/>
        <v>0</v>
      </c>
      <c r="S203" s="598">
        <f t="shared" si="43"/>
        <v>0</v>
      </c>
    </row>
    <row r="204" spans="1:19">
      <c r="A204" s="606"/>
      <c r="B204" s="607"/>
      <c r="C204" s="599">
        <f t="shared" si="34"/>
        <v>1</v>
      </c>
      <c r="D204" s="608"/>
      <c r="E204" s="599">
        <f t="shared" si="35"/>
        <v>0</v>
      </c>
      <c r="F204" s="608"/>
      <c r="G204" s="599">
        <f t="shared" si="36"/>
        <v>1</v>
      </c>
      <c r="H204" s="608"/>
      <c r="I204" s="599">
        <f t="shared" si="37"/>
        <v>1</v>
      </c>
      <c r="J204" s="608"/>
      <c r="K204" s="599">
        <f t="shared" si="38"/>
        <v>1</v>
      </c>
      <c r="L204" s="608"/>
      <c r="M204" s="599">
        <f t="shared" si="39"/>
        <v>1</v>
      </c>
      <c r="N204" s="608"/>
      <c r="O204" s="599">
        <f t="shared" si="40"/>
        <v>1</v>
      </c>
      <c r="P204" s="608"/>
      <c r="Q204" s="599">
        <f t="shared" si="41"/>
        <v>1</v>
      </c>
      <c r="R204" s="659">
        <f t="shared" si="42"/>
        <v>0</v>
      </c>
      <c r="S204" s="598">
        <f t="shared" si="43"/>
        <v>0</v>
      </c>
    </row>
    <row r="205" spans="1:19">
      <c r="A205" s="606"/>
      <c r="B205" s="607"/>
      <c r="C205" s="599">
        <f t="shared" si="34"/>
        <v>1</v>
      </c>
      <c r="D205" s="608"/>
      <c r="E205" s="599">
        <f t="shared" si="35"/>
        <v>0</v>
      </c>
      <c r="F205" s="608"/>
      <c r="G205" s="599">
        <f t="shared" si="36"/>
        <v>1</v>
      </c>
      <c r="H205" s="608"/>
      <c r="I205" s="599">
        <f t="shared" si="37"/>
        <v>1</v>
      </c>
      <c r="J205" s="608"/>
      <c r="K205" s="599">
        <f t="shared" si="38"/>
        <v>1</v>
      </c>
      <c r="L205" s="608"/>
      <c r="M205" s="599">
        <f t="shared" si="39"/>
        <v>1</v>
      </c>
      <c r="N205" s="608"/>
      <c r="O205" s="599">
        <f t="shared" si="40"/>
        <v>1</v>
      </c>
      <c r="P205" s="608"/>
      <c r="Q205" s="599">
        <f t="shared" si="41"/>
        <v>1</v>
      </c>
      <c r="R205" s="659">
        <f t="shared" si="42"/>
        <v>0</v>
      </c>
      <c r="S205" s="598">
        <f t="shared" si="43"/>
        <v>0</v>
      </c>
    </row>
    <row r="206" spans="1:19">
      <c r="A206" s="606"/>
      <c r="B206" s="607"/>
      <c r="C206" s="599">
        <f t="shared" si="34"/>
        <v>1</v>
      </c>
      <c r="D206" s="608"/>
      <c r="E206" s="599">
        <f t="shared" si="35"/>
        <v>0</v>
      </c>
      <c r="F206" s="608"/>
      <c r="G206" s="599">
        <f t="shared" si="36"/>
        <v>1</v>
      </c>
      <c r="H206" s="608"/>
      <c r="I206" s="599">
        <f t="shared" si="37"/>
        <v>1</v>
      </c>
      <c r="J206" s="608"/>
      <c r="K206" s="599">
        <f t="shared" si="38"/>
        <v>1</v>
      </c>
      <c r="L206" s="608"/>
      <c r="M206" s="599">
        <f t="shared" si="39"/>
        <v>1</v>
      </c>
      <c r="N206" s="608"/>
      <c r="O206" s="599">
        <f t="shared" si="40"/>
        <v>1</v>
      </c>
      <c r="P206" s="608"/>
      <c r="Q206" s="599">
        <f t="shared" si="41"/>
        <v>1</v>
      </c>
      <c r="R206" s="659">
        <f t="shared" si="42"/>
        <v>0</v>
      </c>
      <c r="S206" s="598">
        <f t="shared" si="43"/>
        <v>0</v>
      </c>
    </row>
    <row r="207" spans="1:19">
      <c r="A207" s="606"/>
      <c r="B207" s="607"/>
      <c r="C207" s="599">
        <f t="shared" si="34"/>
        <v>1</v>
      </c>
      <c r="D207" s="608"/>
      <c r="E207" s="599">
        <f t="shared" si="35"/>
        <v>0</v>
      </c>
      <c r="F207" s="608"/>
      <c r="G207" s="599">
        <f t="shared" si="36"/>
        <v>1</v>
      </c>
      <c r="H207" s="608"/>
      <c r="I207" s="599">
        <f t="shared" si="37"/>
        <v>1</v>
      </c>
      <c r="J207" s="608"/>
      <c r="K207" s="599">
        <f t="shared" si="38"/>
        <v>1</v>
      </c>
      <c r="L207" s="608"/>
      <c r="M207" s="599">
        <f t="shared" si="39"/>
        <v>1</v>
      </c>
      <c r="N207" s="608"/>
      <c r="O207" s="599">
        <f t="shared" si="40"/>
        <v>1</v>
      </c>
      <c r="P207" s="608"/>
      <c r="Q207" s="599">
        <f t="shared" si="41"/>
        <v>1</v>
      </c>
      <c r="R207" s="659">
        <f t="shared" si="42"/>
        <v>0</v>
      </c>
      <c r="S207" s="598">
        <f t="shared" si="43"/>
        <v>0</v>
      </c>
    </row>
    <row r="208" spans="1:19">
      <c r="A208" s="606"/>
      <c r="B208" s="607"/>
      <c r="C208" s="599">
        <f t="shared" si="34"/>
        <v>1</v>
      </c>
      <c r="D208" s="608"/>
      <c r="E208" s="599">
        <f t="shared" si="35"/>
        <v>0</v>
      </c>
      <c r="F208" s="608"/>
      <c r="G208" s="599">
        <f t="shared" si="36"/>
        <v>1</v>
      </c>
      <c r="H208" s="608"/>
      <c r="I208" s="599">
        <f t="shared" si="37"/>
        <v>1</v>
      </c>
      <c r="J208" s="608"/>
      <c r="K208" s="599">
        <f t="shared" si="38"/>
        <v>1</v>
      </c>
      <c r="L208" s="608"/>
      <c r="M208" s="599">
        <f t="shared" si="39"/>
        <v>1</v>
      </c>
      <c r="N208" s="608"/>
      <c r="O208" s="599">
        <f t="shared" si="40"/>
        <v>1</v>
      </c>
      <c r="P208" s="608"/>
      <c r="Q208" s="599">
        <f t="shared" si="41"/>
        <v>1</v>
      </c>
      <c r="R208" s="659">
        <f t="shared" si="42"/>
        <v>0</v>
      </c>
      <c r="S208" s="598">
        <f t="shared" si="43"/>
        <v>0</v>
      </c>
    </row>
    <row r="209" spans="1:19">
      <c r="A209" s="606"/>
      <c r="B209" s="607"/>
      <c r="C209" s="599">
        <f t="shared" si="34"/>
        <v>1</v>
      </c>
      <c r="D209" s="608"/>
      <c r="E209" s="599">
        <f t="shared" si="35"/>
        <v>0</v>
      </c>
      <c r="F209" s="608"/>
      <c r="G209" s="599">
        <f t="shared" si="36"/>
        <v>1</v>
      </c>
      <c r="H209" s="608"/>
      <c r="I209" s="599">
        <f t="shared" si="37"/>
        <v>1</v>
      </c>
      <c r="J209" s="608"/>
      <c r="K209" s="599">
        <f t="shared" si="38"/>
        <v>1</v>
      </c>
      <c r="L209" s="608"/>
      <c r="M209" s="599">
        <f t="shared" si="39"/>
        <v>1</v>
      </c>
      <c r="N209" s="608"/>
      <c r="O209" s="599">
        <f t="shared" si="40"/>
        <v>1</v>
      </c>
      <c r="P209" s="608"/>
      <c r="Q209" s="599">
        <f t="shared" si="41"/>
        <v>1</v>
      </c>
      <c r="R209" s="659">
        <f t="shared" si="42"/>
        <v>0</v>
      </c>
      <c r="S209" s="598">
        <f t="shared" si="43"/>
        <v>0</v>
      </c>
    </row>
    <row r="210" spans="1:19">
      <c r="A210" s="606"/>
      <c r="B210" s="607"/>
      <c r="C210" s="599">
        <f t="shared" si="34"/>
        <v>1</v>
      </c>
      <c r="D210" s="608"/>
      <c r="E210" s="599">
        <f t="shared" si="35"/>
        <v>0</v>
      </c>
      <c r="F210" s="608"/>
      <c r="G210" s="599">
        <f t="shared" si="36"/>
        <v>1</v>
      </c>
      <c r="H210" s="608"/>
      <c r="I210" s="599">
        <f t="shared" si="37"/>
        <v>1</v>
      </c>
      <c r="J210" s="608"/>
      <c r="K210" s="599">
        <f t="shared" si="38"/>
        <v>1</v>
      </c>
      <c r="L210" s="608"/>
      <c r="M210" s="599">
        <f t="shared" si="39"/>
        <v>1</v>
      </c>
      <c r="N210" s="608"/>
      <c r="O210" s="599">
        <f t="shared" si="40"/>
        <v>1</v>
      </c>
      <c r="P210" s="608"/>
      <c r="Q210" s="599">
        <f t="shared" si="41"/>
        <v>1</v>
      </c>
      <c r="R210" s="659">
        <f t="shared" si="42"/>
        <v>0</v>
      </c>
      <c r="S210" s="598">
        <f t="shared" si="43"/>
        <v>0</v>
      </c>
    </row>
    <row r="211" spans="1:19">
      <c r="A211" s="606"/>
      <c r="B211" s="607"/>
      <c r="C211" s="599">
        <f t="shared" si="34"/>
        <v>1</v>
      </c>
      <c r="D211" s="608"/>
      <c r="E211" s="599">
        <f t="shared" si="35"/>
        <v>0</v>
      </c>
      <c r="F211" s="608"/>
      <c r="G211" s="599">
        <f t="shared" si="36"/>
        <v>1</v>
      </c>
      <c r="H211" s="608"/>
      <c r="I211" s="599">
        <f t="shared" si="37"/>
        <v>1</v>
      </c>
      <c r="J211" s="608"/>
      <c r="K211" s="599">
        <f t="shared" si="38"/>
        <v>1</v>
      </c>
      <c r="L211" s="608"/>
      <c r="M211" s="599">
        <f t="shared" si="39"/>
        <v>1</v>
      </c>
      <c r="N211" s="608"/>
      <c r="O211" s="599">
        <f t="shared" si="40"/>
        <v>1</v>
      </c>
      <c r="P211" s="608"/>
      <c r="Q211" s="599">
        <f t="shared" si="41"/>
        <v>1</v>
      </c>
      <c r="R211" s="659">
        <f t="shared" si="42"/>
        <v>0</v>
      </c>
      <c r="S211" s="598">
        <f t="shared" si="43"/>
        <v>0</v>
      </c>
    </row>
    <row r="212" spans="1:19">
      <c r="A212" s="606"/>
      <c r="B212" s="607"/>
      <c r="C212" s="599">
        <f t="shared" si="34"/>
        <v>1</v>
      </c>
      <c r="D212" s="608"/>
      <c r="E212" s="599">
        <f t="shared" si="35"/>
        <v>0</v>
      </c>
      <c r="F212" s="608"/>
      <c r="G212" s="599">
        <f t="shared" si="36"/>
        <v>1</v>
      </c>
      <c r="H212" s="608"/>
      <c r="I212" s="599">
        <f t="shared" si="37"/>
        <v>1</v>
      </c>
      <c r="J212" s="608"/>
      <c r="K212" s="599">
        <f t="shared" si="38"/>
        <v>1</v>
      </c>
      <c r="L212" s="608"/>
      <c r="M212" s="599">
        <f t="shared" si="39"/>
        <v>1</v>
      </c>
      <c r="N212" s="608"/>
      <c r="O212" s="599">
        <f t="shared" si="40"/>
        <v>1</v>
      </c>
      <c r="P212" s="608"/>
      <c r="Q212" s="599">
        <f t="shared" si="41"/>
        <v>1</v>
      </c>
      <c r="R212" s="659">
        <f t="shared" si="42"/>
        <v>0</v>
      </c>
      <c r="S212" s="598">
        <f t="shared" si="43"/>
        <v>0</v>
      </c>
    </row>
    <row r="213" spans="1:19">
      <c r="A213" s="606"/>
      <c r="B213" s="607"/>
      <c r="C213" s="599">
        <f t="shared" si="34"/>
        <v>1</v>
      </c>
      <c r="D213" s="608"/>
      <c r="E213" s="599">
        <f t="shared" si="35"/>
        <v>0</v>
      </c>
      <c r="F213" s="608"/>
      <c r="G213" s="599">
        <f t="shared" si="36"/>
        <v>1</v>
      </c>
      <c r="H213" s="608"/>
      <c r="I213" s="599">
        <f t="shared" si="37"/>
        <v>1</v>
      </c>
      <c r="J213" s="608"/>
      <c r="K213" s="599">
        <f t="shared" si="38"/>
        <v>1</v>
      </c>
      <c r="L213" s="608"/>
      <c r="M213" s="599">
        <f t="shared" si="39"/>
        <v>1</v>
      </c>
      <c r="N213" s="608"/>
      <c r="O213" s="599">
        <f t="shared" si="40"/>
        <v>1</v>
      </c>
      <c r="P213" s="608"/>
      <c r="Q213" s="599">
        <f t="shared" si="41"/>
        <v>1</v>
      </c>
      <c r="R213" s="659">
        <f t="shared" si="42"/>
        <v>0</v>
      </c>
      <c r="S213" s="598">
        <f t="shared" si="43"/>
        <v>0</v>
      </c>
    </row>
    <row r="214" spans="1:19">
      <c r="A214" s="606"/>
      <c r="B214" s="607"/>
      <c r="C214" s="599">
        <f t="shared" si="34"/>
        <v>1</v>
      </c>
      <c r="D214" s="608"/>
      <c r="E214" s="599">
        <f t="shared" si="35"/>
        <v>0</v>
      </c>
      <c r="F214" s="608"/>
      <c r="G214" s="599">
        <f t="shared" si="36"/>
        <v>1</v>
      </c>
      <c r="H214" s="608"/>
      <c r="I214" s="599">
        <f t="shared" si="37"/>
        <v>1</v>
      </c>
      <c r="J214" s="608"/>
      <c r="K214" s="599">
        <f t="shared" si="38"/>
        <v>1</v>
      </c>
      <c r="L214" s="608"/>
      <c r="M214" s="599">
        <f t="shared" si="39"/>
        <v>1</v>
      </c>
      <c r="N214" s="608"/>
      <c r="O214" s="599">
        <f t="shared" si="40"/>
        <v>1</v>
      </c>
      <c r="P214" s="608"/>
      <c r="Q214" s="599">
        <f t="shared" si="41"/>
        <v>1</v>
      </c>
      <c r="R214" s="659">
        <f t="shared" si="42"/>
        <v>0</v>
      </c>
      <c r="S214" s="598">
        <f t="shared" si="43"/>
        <v>0</v>
      </c>
    </row>
    <row r="215" spans="1:19">
      <c r="A215" s="606"/>
      <c r="B215" s="607"/>
      <c r="C215" s="599">
        <f t="shared" si="34"/>
        <v>1</v>
      </c>
      <c r="D215" s="608"/>
      <c r="E215" s="599">
        <f t="shared" si="35"/>
        <v>0</v>
      </c>
      <c r="F215" s="608"/>
      <c r="G215" s="599">
        <f t="shared" si="36"/>
        <v>1</v>
      </c>
      <c r="H215" s="608"/>
      <c r="I215" s="599">
        <f t="shared" si="37"/>
        <v>1</v>
      </c>
      <c r="J215" s="608"/>
      <c r="K215" s="599">
        <f t="shared" si="38"/>
        <v>1</v>
      </c>
      <c r="L215" s="608"/>
      <c r="M215" s="599">
        <f t="shared" si="39"/>
        <v>1</v>
      </c>
      <c r="N215" s="608"/>
      <c r="O215" s="599">
        <f t="shared" si="40"/>
        <v>1</v>
      </c>
      <c r="P215" s="608"/>
      <c r="Q215" s="599">
        <f t="shared" si="41"/>
        <v>1</v>
      </c>
      <c r="R215" s="659">
        <f t="shared" si="42"/>
        <v>0</v>
      </c>
      <c r="S215" s="598">
        <f t="shared" si="43"/>
        <v>0</v>
      </c>
    </row>
    <row r="216" spans="1:19">
      <c r="A216" s="606"/>
      <c r="B216" s="607"/>
      <c r="C216" s="599">
        <f t="shared" si="34"/>
        <v>1</v>
      </c>
      <c r="D216" s="608"/>
      <c r="E216" s="599">
        <f t="shared" si="35"/>
        <v>0</v>
      </c>
      <c r="F216" s="608"/>
      <c r="G216" s="599">
        <f t="shared" si="36"/>
        <v>1</v>
      </c>
      <c r="H216" s="608"/>
      <c r="I216" s="599">
        <f t="shared" si="37"/>
        <v>1</v>
      </c>
      <c r="J216" s="608"/>
      <c r="K216" s="599">
        <f t="shared" si="38"/>
        <v>1</v>
      </c>
      <c r="L216" s="608"/>
      <c r="M216" s="599">
        <f t="shared" si="39"/>
        <v>1</v>
      </c>
      <c r="N216" s="608"/>
      <c r="O216" s="599">
        <f t="shared" si="40"/>
        <v>1</v>
      </c>
      <c r="P216" s="608"/>
      <c r="Q216" s="599">
        <f t="shared" si="41"/>
        <v>1</v>
      </c>
      <c r="R216" s="659">
        <f t="shared" si="42"/>
        <v>0</v>
      </c>
      <c r="S216" s="598">
        <f t="shared" si="43"/>
        <v>0</v>
      </c>
    </row>
    <row r="217" spans="1:19">
      <c r="A217" s="606"/>
      <c r="B217" s="607"/>
      <c r="C217" s="599">
        <f t="shared" si="34"/>
        <v>1</v>
      </c>
      <c r="D217" s="608"/>
      <c r="E217" s="599">
        <f t="shared" si="35"/>
        <v>0</v>
      </c>
      <c r="F217" s="608"/>
      <c r="G217" s="599">
        <f t="shared" si="36"/>
        <v>1</v>
      </c>
      <c r="H217" s="608"/>
      <c r="I217" s="599">
        <f t="shared" si="37"/>
        <v>1</v>
      </c>
      <c r="J217" s="608"/>
      <c r="K217" s="599">
        <f t="shared" si="38"/>
        <v>1</v>
      </c>
      <c r="L217" s="608"/>
      <c r="M217" s="599">
        <f t="shared" si="39"/>
        <v>1</v>
      </c>
      <c r="N217" s="608"/>
      <c r="O217" s="599">
        <f t="shared" si="40"/>
        <v>1</v>
      </c>
      <c r="P217" s="608"/>
      <c r="Q217" s="599">
        <f t="shared" si="41"/>
        <v>1</v>
      </c>
      <c r="R217" s="659">
        <f t="shared" si="42"/>
        <v>0</v>
      </c>
      <c r="S217" s="598">
        <f t="shared" si="43"/>
        <v>0</v>
      </c>
    </row>
    <row r="218" spans="1:19">
      <c r="A218" s="606"/>
      <c r="B218" s="607"/>
      <c r="C218" s="599">
        <f t="shared" ref="C218:C281" si="44">IF(B218="",1,(LOOKUP(B218,$3:$3,$4:$4)-LOOKUP($B$24,$3:$3,$4:$4)+100)/100)</f>
        <v>1</v>
      </c>
      <c r="D218" s="608"/>
      <c r="E218" s="599">
        <f t="shared" ref="E218:E281" si="45">(SUMIF($5:$5,D218,$6:$6)-SUMIF($5:$5,$D$24,$6:$6)+100)/100</f>
        <v>0</v>
      </c>
      <c r="F218" s="608"/>
      <c r="G218" s="599">
        <f t="shared" ref="G218:G281" si="46">(SUMIF($7:$7,F218,$8:$8)-SUMIF($7:$7,$F$24,$8:$8)+100)/100</f>
        <v>1</v>
      </c>
      <c r="H218" s="608"/>
      <c r="I218" s="599">
        <f t="shared" ref="I218:I281" si="47">(SUMIF($9:$9,H218,$10:$10)-SUMIF($9:$9,$H$24,$10:$10)+100)/100</f>
        <v>1</v>
      </c>
      <c r="J218" s="608"/>
      <c r="K218" s="599">
        <f t="shared" ref="K218:K281" si="48">(SUMIF($11:$11,J218,$12:$12)-SUMIF($11:$11,$J$24,$12:$12)+100)/100</f>
        <v>1</v>
      </c>
      <c r="L218" s="608"/>
      <c r="M218" s="599">
        <f t="shared" ref="M218:M281" si="49">(SUMIF($13:$13,L218,$14:$14)-SUMIF($13:$13,$L$24,$14:$14)+100)/100</f>
        <v>1</v>
      </c>
      <c r="N218" s="608"/>
      <c r="O218" s="599">
        <f t="shared" ref="O218:O281" si="50">(SUMIF($15:$15,N218,$16:$16)-SUMIF($15:$15,$N$24,$16:$16)+100)/100</f>
        <v>1</v>
      </c>
      <c r="P218" s="608"/>
      <c r="Q218" s="599">
        <f t="shared" ref="Q218:Q281" si="51">(SUMIF($17:$17,P218,$18:$18)-SUMIF($17:$17,$P$24,$18:$18)+100)/100</f>
        <v>1</v>
      </c>
      <c r="R218" s="659">
        <f t="shared" ref="R218:R281" si="52">IF(B218="",0,ROUND($R$24*C218*E218*G218*I218*K218*M218*O218*Q218,0))</f>
        <v>0</v>
      </c>
      <c r="S218" s="598">
        <f t="shared" si="43"/>
        <v>0</v>
      </c>
    </row>
    <row r="219" spans="1:19">
      <c r="A219" s="606"/>
      <c r="B219" s="607"/>
      <c r="C219" s="599">
        <f t="shared" si="44"/>
        <v>1</v>
      </c>
      <c r="D219" s="608"/>
      <c r="E219" s="599">
        <f t="shared" si="45"/>
        <v>0</v>
      </c>
      <c r="F219" s="608"/>
      <c r="G219" s="599">
        <f t="shared" si="46"/>
        <v>1</v>
      </c>
      <c r="H219" s="608"/>
      <c r="I219" s="599">
        <f t="shared" si="47"/>
        <v>1</v>
      </c>
      <c r="J219" s="608"/>
      <c r="K219" s="599">
        <f t="shared" si="48"/>
        <v>1</v>
      </c>
      <c r="L219" s="608"/>
      <c r="M219" s="599">
        <f t="shared" si="49"/>
        <v>1</v>
      </c>
      <c r="N219" s="608"/>
      <c r="O219" s="599">
        <f t="shared" si="50"/>
        <v>1</v>
      </c>
      <c r="P219" s="608"/>
      <c r="Q219" s="599">
        <f t="shared" si="51"/>
        <v>1</v>
      </c>
      <c r="R219" s="659">
        <f t="shared" si="52"/>
        <v>0</v>
      </c>
      <c r="S219" s="598">
        <f t="shared" si="43"/>
        <v>0</v>
      </c>
    </row>
    <row r="220" spans="1:19">
      <c r="A220" s="606"/>
      <c r="B220" s="607"/>
      <c r="C220" s="599">
        <f t="shared" si="44"/>
        <v>1</v>
      </c>
      <c r="D220" s="608"/>
      <c r="E220" s="599">
        <f t="shared" si="45"/>
        <v>0</v>
      </c>
      <c r="F220" s="608"/>
      <c r="G220" s="599">
        <f t="shared" si="46"/>
        <v>1</v>
      </c>
      <c r="H220" s="608"/>
      <c r="I220" s="599">
        <f t="shared" si="47"/>
        <v>1</v>
      </c>
      <c r="J220" s="608"/>
      <c r="K220" s="599">
        <f t="shared" si="48"/>
        <v>1</v>
      </c>
      <c r="L220" s="608"/>
      <c r="M220" s="599">
        <f t="shared" si="49"/>
        <v>1</v>
      </c>
      <c r="N220" s="608"/>
      <c r="O220" s="599">
        <f t="shared" si="50"/>
        <v>1</v>
      </c>
      <c r="P220" s="608"/>
      <c r="Q220" s="599">
        <f t="shared" si="51"/>
        <v>1</v>
      </c>
      <c r="R220" s="659">
        <f t="shared" si="52"/>
        <v>0</v>
      </c>
      <c r="S220" s="598">
        <f t="shared" si="43"/>
        <v>0</v>
      </c>
    </row>
    <row r="221" spans="1:19">
      <c r="A221" s="606"/>
      <c r="B221" s="607"/>
      <c r="C221" s="599">
        <f t="shared" si="44"/>
        <v>1</v>
      </c>
      <c r="D221" s="608"/>
      <c r="E221" s="599">
        <f t="shared" si="45"/>
        <v>0</v>
      </c>
      <c r="F221" s="608"/>
      <c r="G221" s="599">
        <f t="shared" si="46"/>
        <v>1</v>
      </c>
      <c r="H221" s="608"/>
      <c r="I221" s="599">
        <f t="shared" si="47"/>
        <v>1</v>
      </c>
      <c r="J221" s="608"/>
      <c r="K221" s="599">
        <f t="shared" si="48"/>
        <v>1</v>
      </c>
      <c r="L221" s="608"/>
      <c r="M221" s="599">
        <f t="shared" si="49"/>
        <v>1</v>
      </c>
      <c r="N221" s="608"/>
      <c r="O221" s="599">
        <f t="shared" si="50"/>
        <v>1</v>
      </c>
      <c r="P221" s="608"/>
      <c r="Q221" s="599">
        <f t="shared" si="51"/>
        <v>1</v>
      </c>
      <c r="R221" s="659">
        <f t="shared" si="52"/>
        <v>0</v>
      </c>
      <c r="S221" s="598">
        <f t="shared" si="43"/>
        <v>0</v>
      </c>
    </row>
    <row r="222" spans="1:19">
      <c r="A222" s="606"/>
      <c r="B222" s="607"/>
      <c r="C222" s="599">
        <f t="shared" si="44"/>
        <v>1</v>
      </c>
      <c r="D222" s="608"/>
      <c r="E222" s="599">
        <f t="shared" si="45"/>
        <v>0</v>
      </c>
      <c r="F222" s="608"/>
      <c r="G222" s="599">
        <f t="shared" si="46"/>
        <v>1</v>
      </c>
      <c r="H222" s="608"/>
      <c r="I222" s="599">
        <f t="shared" si="47"/>
        <v>1</v>
      </c>
      <c r="J222" s="608"/>
      <c r="K222" s="599">
        <f t="shared" si="48"/>
        <v>1</v>
      </c>
      <c r="L222" s="608"/>
      <c r="M222" s="599">
        <f t="shared" si="49"/>
        <v>1</v>
      </c>
      <c r="N222" s="608"/>
      <c r="O222" s="599">
        <f t="shared" si="50"/>
        <v>1</v>
      </c>
      <c r="P222" s="608"/>
      <c r="Q222" s="599">
        <f t="shared" si="51"/>
        <v>1</v>
      </c>
      <c r="R222" s="659">
        <f t="shared" si="52"/>
        <v>0</v>
      </c>
      <c r="S222" s="598">
        <f t="shared" si="43"/>
        <v>0</v>
      </c>
    </row>
    <row r="223" spans="1:19">
      <c r="A223" s="606"/>
      <c r="B223" s="607"/>
      <c r="C223" s="599">
        <f t="shared" si="44"/>
        <v>1</v>
      </c>
      <c r="D223" s="608"/>
      <c r="E223" s="599">
        <f t="shared" si="45"/>
        <v>0</v>
      </c>
      <c r="F223" s="608"/>
      <c r="G223" s="599">
        <f t="shared" si="46"/>
        <v>1</v>
      </c>
      <c r="H223" s="608"/>
      <c r="I223" s="599">
        <f t="shared" si="47"/>
        <v>1</v>
      </c>
      <c r="J223" s="608"/>
      <c r="K223" s="599">
        <f t="shared" si="48"/>
        <v>1</v>
      </c>
      <c r="L223" s="608"/>
      <c r="M223" s="599">
        <f t="shared" si="49"/>
        <v>1</v>
      </c>
      <c r="N223" s="608"/>
      <c r="O223" s="599">
        <f t="shared" si="50"/>
        <v>1</v>
      </c>
      <c r="P223" s="608"/>
      <c r="Q223" s="599">
        <f t="shared" si="51"/>
        <v>1</v>
      </c>
      <c r="R223" s="659">
        <f t="shared" si="52"/>
        <v>0</v>
      </c>
      <c r="S223" s="598">
        <f t="shared" ref="S223:S286" si="53">ROUND(R223*B223/10000,0)</f>
        <v>0</v>
      </c>
    </row>
    <row r="224" spans="1:19">
      <c r="A224" s="606"/>
      <c r="B224" s="607"/>
      <c r="C224" s="599">
        <f t="shared" si="44"/>
        <v>1</v>
      </c>
      <c r="D224" s="608"/>
      <c r="E224" s="599">
        <f t="shared" si="45"/>
        <v>0</v>
      </c>
      <c r="F224" s="608"/>
      <c r="G224" s="599">
        <f t="shared" si="46"/>
        <v>1</v>
      </c>
      <c r="H224" s="608"/>
      <c r="I224" s="599">
        <f t="shared" si="47"/>
        <v>1</v>
      </c>
      <c r="J224" s="608"/>
      <c r="K224" s="599">
        <f t="shared" si="48"/>
        <v>1</v>
      </c>
      <c r="L224" s="608"/>
      <c r="M224" s="599">
        <f t="shared" si="49"/>
        <v>1</v>
      </c>
      <c r="N224" s="608"/>
      <c r="O224" s="599">
        <f t="shared" si="50"/>
        <v>1</v>
      </c>
      <c r="P224" s="608"/>
      <c r="Q224" s="599">
        <f t="shared" si="51"/>
        <v>1</v>
      </c>
      <c r="R224" s="659">
        <f t="shared" si="52"/>
        <v>0</v>
      </c>
      <c r="S224" s="598">
        <f t="shared" si="53"/>
        <v>0</v>
      </c>
    </row>
    <row r="225" spans="1:19">
      <c r="A225" s="606"/>
      <c r="B225" s="607"/>
      <c r="C225" s="599">
        <f t="shared" si="44"/>
        <v>1</v>
      </c>
      <c r="D225" s="608"/>
      <c r="E225" s="599">
        <f t="shared" si="45"/>
        <v>0</v>
      </c>
      <c r="F225" s="608"/>
      <c r="G225" s="599">
        <f t="shared" si="46"/>
        <v>1</v>
      </c>
      <c r="H225" s="608"/>
      <c r="I225" s="599">
        <f t="shared" si="47"/>
        <v>1</v>
      </c>
      <c r="J225" s="608"/>
      <c r="K225" s="599">
        <f t="shared" si="48"/>
        <v>1</v>
      </c>
      <c r="L225" s="608"/>
      <c r="M225" s="599">
        <f t="shared" si="49"/>
        <v>1</v>
      </c>
      <c r="N225" s="608"/>
      <c r="O225" s="599">
        <f t="shared" si="50"/>
        <v>1</v>
      </c>
      <c r="P225" s="608"/>
      <c r="Q225" s="599">
        <f t="shared" si="51"/>
        <v>1</v>
      </c>
      <c r="R225" s="659">
        <f t="shared" si="52"/>
        <v>0</v>
      </c>
      <c r="S225" s="598">
        <f t="shared" si="53"/>
        <v>0</v>
      </c>
    </row>
    <row r="226" spans="1:19">
      <c r="A226" s="606"/>
      <c r="B226" s="607"/>
      <c r="C226" s="599">
        <f t="shared" si="44"/>
        <v>1</v>
      </c>
      <c r="D226" s="608"/>
      <c r="E226" s="599">
        <f t="shared" si="45"/>
        <v>0</v>
      </c>
      <c r="F226" s="608"/>
      <c r="G226" s="599">
        <f t="shared" si="46"/>
        <v>1</v>
      </c>
      <c r="H226" s="608"/>
      <c r="I226" s="599">
        <f t="shared" si="47"/>
        <v>1</v>
      </c>
      <c r="J226" s="608"/>
      <c r="K226" s="599">
        <f t="shared" si="48"/>
        <v>1</v>
      </c>
      <c r="L226" s="608"/>
      <c r="M226" s="599">
        <f t="shared" si="49"/>
        <v>1</v>
      </c>
      <c r="N226" s="608"/>
      <c r="O226" s="599">
        <f t="shared" si="50"/>
        <v>1</v>
      </c>
      <c r="P226" s="608"/>
      <c r="Q226" s="599">
        <f t="shared" si="51"/>
        <v>1</v>
      </c>
      <c r="R226" s="659">
        <f t="shared" si="52"/>
        <v>0</v>
      </c>
      <c r="S226" s="598">
        <f t="shared" si="53"/>
        <v>0</v>
      </c>
    </row>
    <row r="227" spans="1:19">
      <c r="A227" s="606"/>
      <c r="B227" s="607"/>
      <c r="C227" s="599">
        <f t="shared" si="44"/>
        <v>1</v>
      </c>
      <c r="D227" s="608"/>
      <c r="E227" s="599">
        <f t="shared" si="45"/>
        <v>0</v>
      </c>
      <c r="F227" s="608"/>
      <c r="G227" s="599">
        <f t="shared" si="46"/>
        <v>1</v>
      </c>
      <c r="H227" s="608"/>
      <c r="I227" s="599">
        <f t="shared" si="47"/>
        <v>1</v>
      </c>
      <c r="J227" s="608"/>
      <c r="K227" s="599">
        <f t="shared" si="48"/>
        <v>1</v>
      </c>
      <c r="L227" s="608"/>
      <c r="M227" s="599">
        <f t="shared" si="49"/>
        <v>1</v>
      </c>
      <c r="N227" s="608"/>
      <c r="O227" s="599">
        <f t="shared" si="50"/>
        <v>1</v>
      </c>
      <c r="P227" s="608"/>
      <c r="Q227" s="599">
        <f t="shared" si="51"/>
        <v>1</v>
      </c>
      <c r="R227" s="659">
        <f t="shared" si="52"/>
        <v>0</v>
      </c>
      <c r="S227" s="598">
        <f t="shared" si="53"/>
        <v>0</v>
      </c>
    </row>
    <row r="228" spans="1:19">
      <c r="A228" s="606"/>
      <c r="B228" s="607"/>
      <c r="C228" s="599">
        <f t="shared" si="44"/>
        <v>1</v>
      </c>
      <c r="D228" s="608"/>
      <c r="E228" s="599">
        <f t="shared" si="45"/>
        <v>0</v>
      </c>
      <c r="F228" s="608"/>
      <c r="G228" s="599">
        <f t="shared" si="46"/>
        <v>1</v>
      </c>
      <c r="H228" s="608"/>
      <c r="I228" s="599">
        <f t="shared" si="47"/>
        <v>1</v>
      </c>
      <c r="J228" s="608"/>
      <c r="K228" s="599">
        <f t="shared" si="48"/>
        <v>1</v>
      </c>
      <c r="L228" s="608"/>
      <c r="M228" s="599">
        <f t="shared" si="49"/>
        <v>1</v>
      </c>
      <c r="N228" s="608"/>
      <c r="O228" s="599">
        <f t="shared" si="50"/>
        <v>1</v>
      </c>
      <c r="P228" s="608"/>
      <c r="Q228" s="599">
        <f t="shared" si="51"/>
        <v>1</v>
      </c>
      <c r="R228" s="659">
        <f t="shared" si="52"/>
        <v>0</v>
      </c>
      <c r="S228" s="598">
        <f t="shared" si="53"/>
        <v>0</v>
      </c>
    </row>
    <row r="229" spans="1:19">
      <c r="A229" s="606"/>
      <c r="B229" s="607"/>
      <c r="C229" s="599">
        <f t="shared" si="44"/>
        <v>1</v>
      </c>
      <c r="D229" s="608"/>
      <c r="E229" s="599">
        <f t="shared" si="45"/>
        <v>0</v>
      </c>
      <c r="F229" s="608"/>
      <c r="G229" s="599">
        <f t="shared" si="46"/>
        <v>1</v>
      </c>
      <c r="H229" s="608"/>
      <c r="I229" s="599">
        <f t="shared" si="47"/>
        <v>1</v>
      </c>
      <c r="J229" s="608"/>
      <c r="K229" s="599">
        <f t="shared" si="48"/>
        <v>1</v>
      </c>
      <c r="L229" s="608"/>
      <c r="M229" s="599">
        <f t="shared" si="49"/>
        <v>1</v>
      </c>
      <c r="N229" s="608"/>
      <c r="O229" s="599">
        <f t="shared" si="50"/>
        <v>1</v>
      </c>
      <c r="P229" s="608"/>
      <c r="Q229" s="599">
        <f t="shared" si="51"/>
        <v>1</v>
      </c>
      <c r="R229" s="659">
        <f t="shared" si="52"/>
        <v>0</v>
      </c>
      <c r="S229" s="598">
        <f t="shared" si="53"/>
        <v>0</v>
      </c>
    </row>
    <row r="230" spans="1:19">
      <c r="A230" s="606"/>
      <c r="B230" s="607"/>
      <c r="C230" s="599">
        <f t="shared" si="44"/>
        <v>1</v>
      </c>
      <c r="D230" s="608"/>
      <c r="E230" s="599">
        <f t="shared" si="45"/>
        <v>0</v>
      </c>
      <c r="F230" s="608"/>
      <c r="G230" s="599">
        <f t="shared" si="46"/>
        <v>1</v>
      </c>
      <c r="H230" s="608"/>
      <c r="I230" s="599">
        <f t="shared" si="47"/>
        <v>1</v>
      </c>
      <c r="J230" s="608"/>
      <c r="K230" s="599">
        <f t="shared" si="48"/>
        <v>1</v>
      </c>
      <c r="L230" s="608"/>
      <c r="M230" s="599">
        <f t="shared" si="49"/>
        <v>1</v>
      </c>
      <c r="N230" s="608"/>
      <c r="O230" s="599">
        <f t="shared" si="50"/>
        <v>1</v>
      </c>
      <c r="P230" s="608"/>
      <c r="Q230" s="599">
        <f t="shared" si="51"/>
        <v>1</v>
      </c>
      <c r="R230" s="659">
        <f t="shared" si="52"/>
        <v>0</v>
      </c>
      <c r="S230" s="598">
        <f t="shared" si="53"/>
        <v>0</v>
      </c>
    </row>
    <row r="231" spans="1:19">
      <c r="A231" s="606"/>
      <c r="B231" s="607"/>
      <c r="C231" s="599">
        <f t="shared" si="44"/>
        <v>1</v>
      </c>
      <c r="D231" s="608"/>
      <c r="E231" s="599">
        <f t="shared" si="45"/>
        <v>0</v>
      </c>
      <c r="F231" s="608"/>
      <c r="G231" s="599">
        <f t="shared" si="46"/>
        <v>1</v>
      </c>
      <c r="H231" s="608"/>
      <c r="I231" s="599">
        <f t="shared" si="47"/>
        <v>1</v>
      </c>
      <c r="J231" s="608"/>
      <c r="K231" s="599">
        <f t="shared" si="48"/>
        <v>1</v>
      </c>
      <c r="L231" s="608"/>
      <c r="M231" s="599">
        <f t="shared" si="49"/>
        <v>1</v>
      </c>
      <c r="N231" s="608"/>
      <c r="O231" s="599">
        <f t="shared" si="50"/>
        <v>1</v>
      </c>
      <c r="P231" s="608"/>
      <c r="Q231" s="599">
        <f t="shared" si="51"/>
        <v>1</v>
      </c>
      <c r="R231" s="659">
        <f t="shared" si="52"/>
        <v>0</v>
      </c>
      <c r="S231" s="598">
        <f t="shared" si="53"/>
        <v>0</v>
      </c>
    </row>
    <row r="232" spans="1:19">
      <c r="A232" s="606"/>
      <c r="B232" s="607"/>
      <c r="C232" s="599">
        <f t="shared" si="44"/>
        <v>1</v>
      </c>
      <c r="D232" s="608"/>
      <c r="E232" s="599">
        <f t="shared" si="45"/>
        <v>0</v>
      </c>
      <c r="F232" s="608"/>
      <c r="G232" s="599">
        <f t="shared" si="46"/>
        <v>1</v>
      </c>
      <c r="H232" s="608"/>
      <c r="I232" s="599">
        <f t="shared" si="47"/>
        <v>1</v>
      </c>
      <c r="J232" s="608"/>
      <c r="K232" s="599">
        <f t="shared" si="48"/>
        <v>1</v>
      </c>
      <c r="L232" s="608"/>
      <c r="M232" s="599">
        <f t="shared" si="49"/>
        <v>1</v>
      </c>
      <c r="N232" s="608"/>
      <c r="O232" s="599">
        <f t="shared" si="50"/>
        <v>1</v>
      </c>
      <c r="P232" s="608"/>
      <c r="Q232" s="599">
        <f t="shared" si="51"/>
        <v>1</v>
      </c>
      <c r="R232" s="659">
        <f t="shared" si="52"/>
        <v>0</v>
      </c>
      <c r="S232" s="598">
        <f t="shared" si="53"/>
        <v>0</v>
      </c>
    </row>
    <row r="233" spans="1:19">
      <c r="A233" s="606"/>
      <c r="B233" s="607"/>
      <c r="C233" s="599">
        <f t="shared" si="44"/>
        <v>1</v>
      </c>
      <c r="D233" s="608"/>
      <c r="E233" s="599">
        <f t="shared" si="45"/>
        <v>0</v>
      </c>
      <c r="F233" s="608"/>
      <c r="G233" s="599">
        <f t="shared" si="46"/>
        <v>1</v>
      </c>
      <c r="H233" s="608"/>
      <c r="I233" s="599">
        <f t="shared" si="47"/>
        <v>1</v>
      </c>
      <c r="J233" s="608"/>
      <c r="K233" s="599">
        <f t="shared" si="48"/>
        <v>1</v>
      </c>
      <c r="L233" s="608"/>
      <c r="M233" s="599">
        <f t="shared" si="49"/>
        <v>1</v>
      </c>
      <c r="N233" s="608"/>
      <c r="O233" s="599">
        <f t="shared" si="50"/>
        <v>1</v>
      </c>
      <c r="P233" s="608"/>
      <c r="Q233" s="599">
        <f t="shared" si="51"/>
        <v>1</v>
      </c>
      <c r="R233" s="659">
        <f t="shared" si="52"/>
        <v>0</v>
      </c>
      <c r="S233" s="598">
        <f t="shared" si="53"/>
        <v>0</v>
      </c>
    </row>
    <row r="234" spans="1:19">
      <c r="A234" s="606"/>
      <c r="B234" s="607"/>
      <c r="C234" s="599">
        <f t="shared" si="44"/>
        <v>1</v>
      </c>
      <c r="D234" s="608"/>
      <c r="E234" s="599">
        <f t="shared" si="45"/>
        <v>0</v>
      </c>
      <c r="F234" s="608"/>
      <c r="G234" s="599">
        <f t="shared" si="46"/>
        <v>1</v>
      </c>
      <c r="H234" s="608"/>
      <c r="I234" s="599">
        <f t="shared" si="47"/>
        <v>1</v>
      </c>
      <c r="J234" s="608"/>
      <c r="K234" s="599">
        <f t="shared" si="48"/>
        <v>1</v>
      </c>
      <c r="L234" s="608"/>
      <c r="M234" s="599">
        <f t="shared" si="49"/>
        <v>1</v>
      </c>
      <c r="N234" s="608"/>
      <c r="O234" s="599">
        <f t="shared" si="50"/>
        <v>1</v>
      </c>
      <c r="P234" s="608"/>
      <c r="Q234" s="599">
        <f t="shared" si="51"/>
        <v>1</v>
      </c>
      <c r="R234" s="659">
        <f t="shared" si="52"/>
        <v>0</v>
      </c>
      <c r="S234" s="598">
        <f t="shared" si="53"/>
        <v>0</v>
      </c>
    </row>
    <row r="235" spans="1:19">
      <c r="A235" s="606"/>
      <c r="B235" s="607"/>
      <c r="C235" s="599">
        <f t="shared" si="44"/>
        <v>1</v>
      </c>
      <c r="D235" s="608"/>
      <c r="E235" s="599">
        <f t="shared" si="45"/>
        <v>0</v>
      </c>
      <c r="F235" s="608"/>
      <c r="G235" s="599">
        <f t="shared" si="46"/>
        <v>1</v>
      </c>
      <c r="H235" s="608"/>
      <c r="I235" s="599">
        <f t="shared" si="47"/>
        <v>1</v>
      </c>
      <c r="J235" s="608"/>
      <c r="K235" s="599">
        <f t="shared" si="48"/>
        <v>1</v>
      </c>
      <c r="L235" s="608"/>
      <c r="M235" s="599">
        <f t="shared" si="49"/>
        <v>1</v>
      </c>
      <c r="N235" s="608"/>
      <c r="O235" s="599">
        <f t="shared" si="50"/>
        <v>1</v>
      </c>
      <c r="P235" s="608"/>
      <c r="Q235" s="599">
        <f t="shared" si="51"/>
        <v>1</v>
      </c>
      <c r="R235" s="659">
        <f t="shared" si="52"/>
        <v>0</v>
      </c>
      <c r="S235" s="598">
        <f t="shared" si="53"/>
        <v>0</v>
      </c>
    </row>
    <row r="236" spans="1:19">
      <c r="A236" s="606"/>
      <c r="B236" s="607"/>
      <c r="C236" s="599">
        <f t="shared" si="44"/>
        <v>1</v>
      </c>
      <c r="D236" s="608"/>
      <c r="E236" s="599">
        <f t="shared" si="45"/>
        <v>0</v>
      </c>
      <c r="F236" s="608"/>
      <c r="G236" s="599">
        <f t="shared" si="46"/>
        <v>1</v>
      </c>
      <c r="H236" s="608"/>
      <c r="I236" s="599">
        <f t="shared" si="47"/>
        <v>1</v>
      </c>
      <c r="J236" s="608"/>
      <c r="K236" s="599">
        <f t="shared" si="48"/>
        <v>1</v>
      </c>
      <c r="L236" s="608"/>
      <c r="M236" s="599">
        <f t="shared" si="49"/>
        <v>1</v>
      </c>
      <c r="N236" s="608"/>
      <c r="O236" s="599">
        <f t="shared" si="50"/>
        <v>1</v>
      </c>
      <c r="P236" s="608"/>
      <c r="Q236" s="599">
        <f t="shared" si="51"/>
        <v>1</v>
      </c>
      <c r="R236" s="659">
        <f t="shared" si="52"/>
        <v>0</v>
      </c>
      <c r="S236" s="598">
        <f t="shared" si="53"/>
        <v>0</v>
      </c>
    </row>
    <row r="237" spans="1:19">
      <c r="A237" s="606"/>
      <c r="B237" s="607"/>
      <c r="C237" s="599">
        <f t="shared" si="44"/>
        <v>1</v>
      </c>
      <c r="D237" s="608"/>
      <c r="E237" s="599">
        <f t="shared" si="45"/>
        <v>0</v>
      </c>
      <c r="F237" s="608"/>
      <c r="G237" s="599">
        <f t="shared" si="46"/>
        <v>1</v>
      </c>
      <c r="H237" s="608"/>
      <c r="I237" s="599">
        <f t="shared" si="47"/>
        <v>1</v>
      </c>
      <c r="J237" s="608"/>
      <c r="K237" s="599">
        <f t="shared" si="48"/>
        <v>1</v>
      </c>
      <c r="L237" s="608"/>
      <c r="M237" s="599">
        <f t="shared" si="49"/>
        <v>1</v>
      </c>
      <c r="N237" s="608"/>
      <c r="O237" s="599">
        <f t="shared" si="50"/>
        <v>1</v>
      </c>
      <c r="P237" s="608"/>
      <c r="Q237" s="599">
        <f t="shared" si="51"/>
        <v>1</v>
      </c>
      <c r="R237" s="659">
        <f t="shared" si="52"/>
        <v>0</v>
      </c>
      <c r="S237" s="598">
        <f t="shared" si="53"/>
        <v>0</v>
      </c>
    </row>
    <row r="238" spans="1:19">
      <c r="A238" s="606"/>
      <c r="B238" s="607"/>
      <c r="C238" s="599">
        <f t="shared" si="44"/>
        <v>1</v>
      </c>
      <c r="D238" s="608"/>
      <c r="E238" s="599">
        <f t="shared" si="45"/>
        <v>0</v>
      </c>
      <c r="F238" s="608"/>
      <c r="G238" s="599">
        <f t="shared" si="46"/>
        <v>1</v>
      </c>
      <c r="H238" s="608"/>
      <c r="I238" s="599">
        <f t="shared" si="47"/>
        <v>1</v>
      </c>
      <c r="J238" s="608"/>
      <c r="K238" s="599">
        <f t="shared" si="48"/>
        <v>1</v>
      </c>
      <c r="L238" s="608"/>
      <c r="M238" s="599">
        <f t="shared" si="49"/>
        <v>1</v>
      </c>
      <c r="N238" s="608"/>
      <c r="O238" s="599">
        <f t="shared" si="50"/>
        <v>1</v>
      </c>
      <c r="P238" s="608"/>
      <c r="Q238" s="599">
        <f t="shared" si="51"/>
        <v>1</v>
      </c>
      <c r="R238" s="659">
        <f t="shared" si="52"/>
        <v>0</v>
      </c>
      <c r="S238" s="598">
        <f t="shared" si="53"/>
        <v>0</v>
      </c>
    </row>
    <row r="239" spans="1:19">
      <c r="A239" s="606"/>
      <c r="B239" s="607"/>
      <c r="C239" s="599">
        <f t="shared" si="44"/>
        <v>1</v>
      </c>
      <c r="D239" s="608"/>
      <c r="E239" s="599">
        <f t="shared" si="45"/>
        <v>0</v>
      </c>
      <c r="F239" s="608"/>
      <c r="G239" s="599">
        <f t="shared" si="46"/>
        <v>1</v>
      </c>
      <c r="H239" s="608"/>
      <c r="I239" s="599">
        <f t="shared" si="47"/>
        <v>1</v>
      </c>
      <c r="J239" s="608"/>
      <c r="K239" s="599">
        <f t="shared" si="48"/>
        <v>1</v>
      </c>
      <c r="L239" s="608"/>
      <c r="M239" s="599">
        <f t="shared" si="49"/>
        <v>1</v>
      </c>
      <c r="N239" s="608"/>
      <c r="O239" s="599">
        <f t="shared" si="50"/>
        <v>1</v>
      </c>
      <c r="P239" s="608"/>
      <c r="Q239" s="599">
        <f t="shared" si="51"/>
        <v>1</v>
      </c>
      <c r="R239" s="659">
        <f t="shared" si="52"/>
        <v>0</v>
      </c>
      <c r="S239" s="598">
        <f t="shared" si="53"/>
        <v>0</v>
      </c>
    </row>
    <row r="240" spans="1:19">
      <c r="A240" s="606"/>
      <c r="B240" s="607"/>
      <c r="C240" s="599">
        <f t="shared" si="44"/>
        <v>1</v>
      </c>
      <c r="D240" s="608"/>
      <c r="E240" s="599">
        <f t="shared" si="45"/>
        <v>0</v>
      </c>
      <c r="F240" s="608"/>
      <c r="G240" s="599">
        <f t="shared" si="46"/>
        <v>1</v>
      </c>
      <c r="H240" s="608"/>
      <c r="I240" s="599">
        <f t="shared" si="47"/>
        <v>1</v>
      </c>
      <c r="J240" s="608"/>
      <c r="K240" s="599">
        <f t="shared" si="48"/>
        <v>1</v>
      </c>
      <c r="L240" s="608"/>
      <c r="M240" s="599">
        <f t="shared" si="49"/>
        <v>1</v>
      </c>
      <c r="N240" s="608"/>
      <c r="O240" s="599">
        <f t="shared" si="50"/>
        <v>1</v>
      </c>
      <c r="P240" s="608"/>
      <c r="Q240" s="599">
        <f t="shared" si="51"/>
        <v>1</v>
      </c>
      <c r="R240" s="659">
        <f t="shared" si="52"/>
        <v>0</v>
      </c>
      <c r="S240" s="598">
        <f t="shared" si="53"/>
        <v>0</v>
      </c>
    </row>
    <row r="241" spans="1:19">
      <c r="A241" s="606"/>
      <c r="B241" s="607"/>
      <c r="C241" s="599">
        <f t="shared" si="44"/>
        <v>1</v>
      </c>
      <c r="D241" s="608"/>
      <c r="E241" s="599">
        <f t="shared" si="45"/>
        <v>0</v>
      </c>
      <c r="F241" s="608"/>
      <c r="G241" s="599">
        <f t="shared" si="46"/>
        <v>1</v>
      </c>
      <c r="H241" s="608"/>
      <c r="I241" s="599">
        <f t="shared" si="47"/>
        <v>1</v>
      </c>
      <c r="J241" s="608"/>
      <c r="K241" s="599">
        <f t="shared" si="48"/>
        <v>1</v>
      </c>
      <c r="L241" s="608"/>
      <c r="M241" s="599">
        <f t="shared" si="49"/>
        <v>1</v>
      </c>
      <c r="N241" s="608"/>
      <c r="O241" s="599">
        <f t="shared" si="50"/>
        <v>1</v>
      </c>
      <c r="P241" s="608"/>
      <c r="Q241" s="599">
        <f t="shared" si="51"/>
        <v>1</v>
      </c>
      <c r="R241" s="659">
        <f t="shared" si="52"/>
        <v>0</v>
      </c>
      <c r="S241" s="598">
        <f t="shared" si="53"/>
        <v>0</v>
      </c>
    </row>
    <row r="242" spans="1:19">
      <c r="A242" s="606"/>
      <c r="B242" s="607"/>
      <c r="C242" s="599">
        <f t="shared" si="44"/>
        <v>1</v>
      </c>
      <c r="D242" s="608"/>
      <c r="E242" s="599">
        <f t="shared" si="45"/>
        <v>0</v>
      </c>
      <c r="F242" s="608"/>
      <c r="G242" s="599">
        <f t="shared" si="46"/>
        <v>1</v>
      </c>
      <c r="H242" s="608"/>
      <c r="I242" s="599">
        <f t="shared" si="47"/>
        <v>1</v>
      </c>
      <c r="J242" s="608"/>
      <c r="K242" s="599">
        <f t="shared" si="48"/>
        <v>1</v>
      </c>
      <c r="L242" s="608"/>
      <c r="M242" s="599">
        <f t="shared" si="49"/>
        <v>1</v>
      </c>
      <c r="N242" s="608"/>
      <c r="O242" s="599">
        <f t="shared" si="50"/>
        <v>1</v>
      </c>
      <c r="P242" s="608"/>
      <c r="Q242" s="599">
        <f t="shared" si="51"/>
        <v>1</v>
      </c>
      <c r="R242" s="659">
        <f t="shared" si="52"/>
        <v>0</v>
      </c>
      <c r="S242" s="598">
        <f t="shared" si="53"/>
        <v>0</v>
      </c>
    </row>
    <row r="243" spans="1:19">
      <c r="A243" s="606"/>
      <c r="B243" s="607"/>
      <c r="C243" s="599">
        <f t="shared" si="44"/>
        <v>1</v>
      </c>
      <c r="D243" s="608"/>
      <c r="E243" s="599">
        <f t="shared" si="45"/>
        <v>0</v>
      </c>
      <c r="F243" s="608"/>
      <c r="G243" s="599">
        <f t="shared" si="46"/>
        <v>1</v>
      </c>
      <c r="H243" s="608"/>
      <c r="I243" s="599">
        <f t="shared" si="47"/>
        <v>1</v>
      </c>
      <c r="J243" s="608"/>
      <c r="K243" s="599">
        <f t="shared" si="48"/>
        <v>1</v>
      </c>
      <c r="L243" s="608"/>
      <c r="M243" s="599">
        <f t="shared" si="49"/>
        <v>1</v>
      </c>
      <c r="N243" s="608"/>
      <c r="O243" s="599">
        <f t="shared" si="50"/>
        <v>1</v>
      </c>
      <c r="P243" s="608"/>
      <c r="Q243" s="599">
        <f t="shared" si="51"/>
        <v>1</v>
      </c>
      <c r="R243" s="659">
        <f t="shared" si="52"/>
        <v>0</v>
      </c>
      <c r="S243" s="598">
        <f t="shared" si="53"/>
        <v>0</v>
      </c>
    </row>
    <row r="244" spans="1:19">
      <c r="A244" s="606"/>
      <c r="B244" s="607"/>
      <c r="C244" s="599">
        <f t="shared" si="44"/>
        <v>1</v>
      </c>
      <c r="D244" s="608"/>
      <c r="E244" s="599">
        <f t="shared" si="45"/>
        <v>0</v>
      </c>
      <c r="F244" s="608"/>
      <c r="G244" s="599">
        <f t="shared" si="46"/>
        <v>1</v>
      </c>
      <c r="H244" s="608"/>
      <c r="I244" s="599">
        <f t="shared" si="47"/>
        <v>1</v>
      </c>
      <c r="J244" s="608"/>
      <c r="K244" s="599">
        <f t="shared" si="48"/>
        <v>1</v>
      </c>
      <c r="L244" s="608"/>
      <c r="M244" s="599">
        <f t="shared" si="49"/>
        <v>1</v>
      </c>
      <c r="N244" s="608"/>
      <c r="O244" s="599">
        <f t="shared" si="50"/>
        <v>1</v>
      </c>
      <c r="P244" s="608"/>
      <c r="Q244" s="599">
        <f t="shared" si="51"/>
        <v>1</v>
      </c>
      <c r="R244" s="659">
        <f t="shared" si="52"/>
        <v>0</v>
      </c>
      <c r="S244" s="598">
        <f t="shared" si="53"/>
        <v>0</v>
      </c>
    </row>
    <row r="245" spans="1:19">
      <c r="A245" s="606"/>
      <c r="B245" s="607"/>
      <c r="C245" s="599">
        <f t="shared" si="44"/>
        <v>1</v>
      </c>
      <c r="D245" s="608"/>
      <c r="E245" s="599">
        <f t="shared" si="45"/>
        <v>0</v>
      </c>
      <c r="F245" s="608"/>
      <c r="G245" s="599">
        <f t="shared" si="46"/>
        <v>1</v>
      </c>
      <c r="H245" s="608"/>
      <c r="I245" s="599">
        <f t="shared" si="47"/>
        <v>1</v>
      </c>
      <c r="J245" s="608"/>
      <c r="K245" s="599">
        <f t="shared" si="48"/>
        <v>1</v>
      </c>
      <c r="L245" s="608"/>
      <c r="M245" s="599">
        <f t="shared" si="49"/>
        <v>1</v>
      </c>
      <c r="N245" s="608"/>
      <c r="O245" s="599">
        <f t="shared" si="50"/>
        <v>1</v>
      </c>
      <c r="P245" s="608"/>
      <c r="Q245" s="599">
        <f t="shared" si="51"/>
        <v>1</v>
      </c>
      <c r="R245" s="659">
        <f t="shared" si="52"/>
        <v>0</v>
      </c>
      <c r="S245" s="598">
        <f t="shared" si="53"/>
        <v>0</v>
      </c>
    </row>
    <row r="246" spans="1:19">
      <c r="A246" s="606"/>
      <c r="B246" s="607"/>
      <c r="C246" s="599">
        <f t="shared" si="44"/>
        <v>1</v>
      </c>
      <c r="D246" s="608"/>
      <c r="E246" s="599">
        <f t="shared" si="45"/>
        <v>0</v>
      </c>
      <c r="F246" s="608"/>
      <c r="G246" s="599">
        <f t="shared" si="46"/>
        <v>1</v>
      </c>
      <c r="H246" s="608"/>
      <c r="I246" s="599">
        <f t="shared" si="47"/>
        <v>1</v>
      </c>
      <c r="J246" s="608"/>
      <c r="K246" s="599">
        <f t="shared" si="48"/>
        <v>1</v>
      </c>
      <c r="L246" s="608"/>
      <c r="M246" s="599">
        <f t="shared" si="49"/>
        <v>1</v>
      </c>
      <c r="N246" s="608"/>
      <c r="O246" s="599">
        <f t="shared" si="50"/>
        <v>1</v>
      </c>
      <c r="P246" s="608"/>
      <c r="Q246" s="599">
        <f t="shared" si="51"/>
        <v>1</v>
      </c>
      <c r="R246" s="659">
        <f t="shared" si="52"/>
        <v>0</v>
      </c>
      <c r="S246" s="598">
        <f t="shared" si="53"/>
        <v>0</v>
      </c>
    </row>
    <row r="247" spans="1:19">
      <c r="A247" s="606"/>
      <c r="B247" s="607"/>
      <c r="C247" s="599">
        <f t="shared" si="44"/>
        <v>1</v>
      </c>
      <c r="D247" s="608"/>
      <c r="E247" s="599">
        <f t="shared" si="45"/>
        <v>0</v>
      </c>
      <c r="F247" s="608"/>
      <c r="G247" s="599">
        <f t="shared" si="46"/>
        <v>1</v>
      </c>
      <c r="H247" s="608"/>
      <c r="I247" s="599">
        <f t="shared" si="47"/>
        <v>1</v>
      </c>
      <c r="J247" s="608"/>
      <c r="K247" s="599">
        <f t="shared" si="48"/>
        <v>1</v>
      </c>
      <c r="L247" s="608"/>
      <c r="M247" s="599">
        <f t="shared" si="49"/>
        <v>1</v>
      </c>
      <c r="N247" s="608"/>
      <c r="O247" s="599">
        <f t="shared" si="50"/>
        <v>1</v>
      </c>
      <c r="P247" s="608"/>
      <c r="Q247" s="599">
        <f t="shared" si="51"/>
        <v>1</v>
      </c>
      <c r="R247" s="659">
        <f t="shared" si="52"/>
        <v>0</v>
      </c>
      <c r="S247" s="598">
        <f t="shared" si="53"/>
        <v>0</v>
      </c>
    </row>
    <row r="248" spans="1:19">
      <c r="A248" s="606"/>
      <c r="B248" s="607"/>
      <c r="C248" s="599">
        <f t="shared" si="44"/>
        <v>1</v>
      </c>
      <c r="D248" s="608"/>
      <c r="E248" s="599">
        <f t="shared" si="45"/>
        <v>0</v>
      </c>
      <c r="F248" s="608"/>
      <c r="G248" s="599">
        <f t="shared" si="46"/>
        <v>1</v>
      </c>
      <c r="H248" s="608"/>
      <c r="I248" s="599">
        <f t="shared" si="47"/>
        <v>1</v>
      </c>
      <c r="J248" s="608"/>
      <c r="K248" s="599">
        <f t="shared" si="48"/>
        <v>1</v>
      </c>
      <c r="L248" s="608"/>
      <c r="M248" s="599">
        <f t="shared" si="49"/>
        <v>1</v>
      </c>
      <c r="N248" s="608"/>
      <c r="O248" s="599">
        <f t="shared" si="50"/>
        <v>1</v>
      </c>
      <c r="P248" s="608"/>
      <c r="Q248" s="599">
        <f t="shared" si="51"/>
        <v>1</v>
      </c>
      <c r="R248" s="659">
        <f t="shared" si="52"/>
        <v>0</v>
      </c>
      <c r="S248" s="598">
        <f t="shared" si="53"/>
        <v>0</v>
      </c>
    </row>
    <row r="249" spans="1:19">
      <c r="A249" s="606"/>
      <c r="B249" s="607"/>
      <c r="C249" s="599">
        <f t="shared" si="44"/>
        <v>1</v>
      </c>
      <c r="D249" s="608"/>
      <c r="E249" s="599">
        <f t="shared" si="45"/>
        <v>0</v>
      </c>
      <c r="F249" s="608"/>
      <c r="G249" s="599">
        <f t="shared" si="46"/>
        <v>1</v>
      </c>
      <c r="H249" s="608"/>
      <c r="I249" s="599">
        <f t="shared" si="47"/>
        <v>1</v>
      </c>
      <c r="J249" s="608"/>
      <c r="K249" s="599">
        <f t="shared" si="48"/>
        <v>1</v>
      </c>
      <c r="L249" s="608"/>
      <c r="M249" s="599">
        <f t="shared" si="49"/>
        <v>1</v>
      </c>
      <c r="N249" s="608"/>
      <c r="O249" s="599">
        <f t="shared" si="50"/>
        <v>1</v>
      </c>
      <c r="P249" s="608"/>
      <c r="Q249" s="599">
        <f t="shared" si="51"/>
        <v>1</v>
      </c>
      <c r="R249" s="659">
        <f t="shared" si="52"/>
        <v>0</v>
      </c>
      <c r="S249" s="598">
        <f t="shared" si="53"/>
        <v>0</v>
      </c>
    </row>
    <row r="250" spans="1:19">
      <c r="A250" s="606"/>
      <c r="B250" s="607"/>
      <c r="C250" s="599">
        <f t="shared" si="44"/>
        <v>1</v>
      </c>
      <c r="D250" s="608"/>
      <c r="E250" s="599">
        <f t="shared" si="45"/>
        <v>0</v>
      </c>
      <c r="F250" s="608"/>
      <c r="G250" s="599">
        <f t="shared" si="46"/>
        <v>1</v>
      </c>
      <c r="H250" s="608"/>
      <c r="I250" s="599">
        <f t="shared" si="47"/>
        <v>1</v>
      </c>
      <c r="J250" s="608"/>
      <c r="K250" s="599">
        <f t="shared" si="48"/>
        <v>1</v>
      </c>
      <c r="L250" s="608"/>
      <c r="M250" s="599">
        <f t="shared" si="49"/>
        <v>1</v>
      </c>
      <c r="N250" s="608"/>
      <c r="O250" s="599">
        <f t="shared" si="50"/>
        <v>1</v>
      </c>
      <c r="P250" s="608"/>
      <c r="Q250" s="599">
        <f t="shared" si="51"/>
        <v>1</v>
      </c>
      <c r="R250" s="659">
        <f t="shared" si="52"/>
        <v>0</v>
      </c>
      <c r="S250" s="598">
        <f t="shared" si="53"/>
        <v>0</v>
      </c>
    </row>
    <row r="251" spans="1:19">
      <c r="A251" s="606"/>
      <c r="B251" s="607"/>
      <c r="C251" s="599">
        <f t="shared" si="44"/>
        <v>1</v>
      </c>
      <c r="D251" s="608"/>
      <c r="E251" s="599">
        <f t="shared" si="45"/>
        <v>0</v>
      </c>
      <c r="F251" s="608"/>
      <c r="G251" s="599">
        <f t="shared" si="46"/>
        <v>1</v>
      </c>
      <c r="H251" s="608"/>
      <c r="I251" s="599">
        <f t="shared" si="47"/>
        <v>1</v>
      </c>
      <c r="J251" s="608"/>
      <c r="K251" s="599">
        <f t="shared" si="48"/>
        <v>1</v>
      </c>
      <c r="L251" s="608"/>
      <c r="M251" s="599">
        <f t="shared" si="49"/>
        <v>1</v>
      </c>
      <c r="N251" s="608"/>
      <c r="O251" s="599">
        <f t="shared" si="50"/>
        <v>1</v>
      </c>
      <c r="P251" s="608"/>
      <c r="Q251" s="599">
        <f t="shared" si="51"/>
        <v>1</v>
      </c>
      <c r="R251" s="659">
        <f t="shared" si="52"/>
        <v>0</v>
      </c>
      <c r="S251" s="598">
        <f t="shared" si="53"/>
        <v>0</v>
      </c>
    </row>
    <row r="252" spans="1:19">
      <c r="A252" s="606"/>
      <c r="B252" s="607"/>
      <c r="C252" s="599">
        <f t="shared" si="44"/>
        <v>1</v>
      </c>
      <c r="D252" s="608"/>
      <c r="E252" s="599">
        <f t="shared" si="45"/>
        <v>0</v>
      </c>
      <c r="F252" s="608"/>
      <c r="G252" s="599">
        <f t="shared" si="46"/>
        <v>1</v>
      </c>
      <c r="H252" s="608"/>
      <c r="I252" s="599">
        <f t="shared" si="47"/>
        <v>1</v>
      </c>
      <c r="J252" s="608"/>
      <c r="K252" s="599">
        <f t="shared" si="48"/>
        <v>1</v>
      </c>
      <c r="L252" s="608"/>
      <c r="M252" s="599">
        <f t="shared" si="49"/>
        <v>1</v>
      </c>
      <c r="N252" s="608"/>
      <c r="O252" s="599">
        <f t="shared" si="50"/>
        <v>1</v>
      </c>
      <c r="P252" s="608"/>
      <c r="Q252" s="599">
        <f t="shared" si="51"/>
        <v>1</v>
      </c>
      <c r="R252" s="659">
        <f t="shared" si="52"/>
        <v>0</v>
      </c>
      <c r="S252" s="598">
        <f t="shared" si="53"/>
        <v>0</v>
      </c>
    </row>
    <row r="253" spans="1:19">
      <c r="A253" s="606"/>
      <c r="B253" s="607"/>
      <c r="C253" s="599">
        <f t="shared" si="44"/>
        <v>1</v>
      </c>
      <c r="D253" s="608"/>
      <c r="E253" s="599">
        <f t="shared" si="45"/>
        <v>0</v>
      </c>
      <c r="F253" s="608"/>
      <c r="G253" s="599">
        <f t="shared" si="46"/>
        <v>1</v>
      </c>
      <c r="H253" s="608"/>
      <c r="I253" s="599">
        <f t="shared" si="47"/>
        <v>1</v>
      </c>
      <c r="J253" s="608"/>
      <c r="K253" s="599">
        <f t="shared" si="48"/>
        <v>1</v>
      </c>
      <c r="L253" s="608"/>
      <c r="M253" s="599">
        <f t="shared" si="49"/>
        <v>1</v>
      </c>
      <c r="N253" s="608"/>
      <c r="O253" s="599">
        <f t="shared" si="50"/>
        <v>1</v>
      </c>
      <c r="P253" s="608"/>
      <c r="Q253" s="599">
        <f t="shared" si="51"/>
        <v>1</v>
      </c>
      <c r="R253" s="659">
        <f t="shared" si="52"/>
        <v>0</v>
      </c>
      <c r="S253" s="598">
        <f t="shared" si="53"/>
        <v>0</v>
      </c>
    </row>
    <row r="254" spans="1:19">
      <c r="A254" s="606"/>
      <c r="B254" s="607"/>
      <c r="C254" s="599">
        <f t="shared" si="44"/>
        <v>1</v>
      </c>
      <c r="D254" s="608"/>
      <c r="E254" s="599">
        <f t="shared" si="45"/>
        <v>0</v>
      </c>
      <c r="F254" s="608"/>
      <c r="G254" s="599">
        <f t="shared" si="46"/>
        <v>1</v>
      </c>
      <c r="H254" s="608"/>
      <c r="I254" s="599">
        <f t="shared" si="47"/>
        <v>1</v>
      </c>
      <c r="J254" s="608"/>
      <c r="K254" s="599">
        <f t="shared" si="48"/>
        <v>1</v>
      </c>
      <c r="L254" s="608"/>
      <c r="M254" s="599">
        <f t="shared" si="49"/>
        <v>1</v>
      </c>
      <c r="N254" s="608"/>
      <c r="O254" s="599">
        <f t="shared" si="50"/>
        <v>1</v>
      </c>
      <c r="P254" s="608"/>
      <c r="Q254" s="599">
        <f t="shared" si="51"/>
        <v>1</v>
      </c>
      <c r="R254" s="659">
        <f t="shared" si="52"/>
        <v>0</v>
      </c>
      <c r="S254" s="598">
        <f t="shared" si="53"/>
        <v>0</v>
      </c>
    </row>
    <row r="255" spans="1:19">
      <c r="A255" s="606"/>
      <c r="B255" s="607"/>
      <c r="C255" s="599">
        <f t="shared" si="44"/>
        <v>1</v>
      </c>
      <c r="D255" s="608"/>
      <c r="E255" s="599">
        <f t="shared" si="45"/>
        <v>0</v>
      </c>
      <c r="F255" s="608"/>
      <c r="G255" s="599">
        <f t="shared" si="46"/>
        <v>1</v>
      </c>
      <c r="H255" s="608"/>
      <c r="I255" s="599">
        <f t="shared" si="47"/>
        <v>1</v>
      </c>
      <c r="J255" s="608"/>
      <c r="K255" s="599">
        <f t="shared" si="48"/>
        <v>1</v>
      </c>
      <c r="L255" s="608"/>
      <c r="M255" s="599">
        <f t="shared" si="49"/>
        <v>1</v>
      </c>
      <c r="N255" s="608"/>
      <c r="O255" s="599">
        <f t="shared" si="50"/>
        <v>1</v>
      </c>
      <c r="P255" s="608"/>
      <c r="Q255" s="599">
        <f t="shared" si="51"/>
        <v>1</v>
      </c>
      <c r="R255" s="659">
        <f t="shared" si="52"/>
        <v>0</v>
      </c>
      <c r="S255" s="598">
        <f t="shared" si="53"/>
        <v>0</v>
      </c>
    </row>
    <row r="256" spans="1:19">
      <c r="A256" s="606"/>
      <c r="B256" s="607"/>
      <c r="C256" s="599">
        <f t="shared" si="44"/>
        <v>1</v>
      </c>
      <c r="D256" s="608"/>
      <c r="E256" s="599">
        <f t="shared" si="45"/>
        <v>0</v>
      </c>
      <c r="F256" s="608"/>
      <c r="G256" s="599">
        <f t="shared" si="46"/>
        <v>1</v>
      </c>
      <c r="H256" s="608"/>
      <c r="I256" s="599">
        <f t="shared" si="47"/>
        <v>1</v>
      </c>
      <c r="J256" s="608"/>
      <c r="K256" s="599">
        <f t="shared" si="48"/>
        <v>1</v>
      </c>
      <c r="L256" s="608"/>
      <c r="M256" s="599">
        <f t="shared" si="49"/>
        <v>1</v>
      </c>
      <c r="N256" s="608"/>
      <c r="O256" s="599">
        <f t="shared" si="50"/>
        <v>1</v>
      </c>
      <c r="P256" s="608"/>
      <c r="Q256" s="599">
        <f t="shared" si="51"/>
        <v>1</v>
      </c>
      <c r="R256" s="659">
        <f t="shared" si="52"/>
        <v>0</v>
      </c>
      <c r="S256" s="598">
        <f t="shared" si="53"/>
        <v>0</v>
      </c>
    </row>
    <row r="257" spans="1:19">
      <c r="A257" s="606"/>
      <c r="B257" s="607"/>
      <c r="C257" s="599">
        <f t="shared" si="44"/>
        <v>1</v>
      </c>
      <c r="D257" s="608"/>
      <c r="E257" s="599">
        <f t="shared" si="45"/>
        <v>0</v>
      </c>
      <c r="F257" s="608"/>
      <c r="G257" s="599">
        <f t="shared" si="46"/>
        <v>1</v>
      </c>
      <c r="H257" s="608"/>
      <c r="I257" s="599">
        <f t="shared" si="47"/>
        <v>1</v>
      </c>
      <c r="J257" s="608"/>
      <c r="K257" s="599">
        <f t="shared" si="48"/>
        <v>1</v>
      </c>
      <c r="L257" s="608"/>
      <c r="M257" s="599">
        <f t="shared" si="49"/>
        <v>1</v>
      </c>
      <c r="N257" s="608"/>
      <c r="O257" s="599">
        <f t="shared" si="50"/>
        <v>1</v>
      </c>
      <c r="P257" s="608"/>
      <c r="Q257" s="599">
        <f t="shared" si="51"/>
        <v>1</v>
      </c>
      <c r="R257" s="659">
        <f t="shared" si="52"/>
        <v>0</v>
      </c>
      <c r="S257" s="598">
        <f t="shared" si="53"/>
        <v>0</v>
      </c>
    </row>
    <row r="258" spans="1:19">
      <c r="A258" s="606"/>
      <c r="B258" s="607"/>
      <c r="C258" s="599">
        <f t="shared" si="44"/>
        <v>1</v>
      </c>
      <c r="D258" s="608"/>
      <c r="E258" s="599">
        <f t="shared" si="45"/>
        <v>0</v>
      </c>
      <c r="F258" s="608"/>
      <c r="G258" s="599">
        <f t="shared" si="46"/>
        <v>1</v>
      </c>
      <c r="H258" s="608"/>
      <c r="I258" s="599">
        <f t="shared" si="47"/>
        <v>1</v>
      </c>
      <c r="J258" s="608"/>
      <c r="K258" s="599">
        <f t="shared" si="48"/>
        <v>1</v>
      </c>
      <c r="L258" s="608"/>
      <c r="M258" s="599">
        <f t="shared" si="49"/>
        <v>1</v>
      </c>
      <c r="N258" s="608"/>
      <c r="O258" s="599">
        <f t="shared" si="50"/>
        <v>1</v>
      </c>
      <c r="P258" s="608"/>
      <c r="Q258" s="599">
        <f t="shared" si="51"/>
        <v>1</v>
      </c>
      <c r="R258" s="659">
        <f t="shared" si="52"/>
        <v>0</v>
      </c>
      <c r="S258" s="598">
        <f t="shared" si="53"/>
        <v>0</v>
      </c>
    </row>
    <row r="259" spans="1:19">
      <c r="A259" s="606"/>
      <c r="B259" s="607"/>
      <c r="C259" s="599">
        <f t="shared" si="44"/>
        <v>1</v>
      </c>
      <c r="D259" s="608"/>
      <c r="E259" s="599">
        <f t="shared" si="45"/>
        <v>0</v>
      </c>
      <c r="F259" s="608"/>
      <c r="G259" s="599">
        <f t="shared" si="46"/>
        <v>1</v>
      </c>
      <c r="H259" s="608"/>
      <c r="I259" s="599">
        <f t="shared" si="47"/>
        <v>1</v>
      </c>
      <c r="J259" s="608"/>
      <c r="K259" s="599">
        <f t="shared" si="48"/>
        <v>1</v>
      </c>
      <c r="L259" s="608"/>
      <c r="M259" s="599">
        <f t="shared" si="49"/>
        <v>1</v>
      </c>
      <c r="N259" s="608"/>
      <c r="O259" s="599">
        <f t="shared" si="50"/>
        <v>1</v>
      </c>
      <c r="P259" s="608"/>
      <c r="Q259" s="599">
        <f t="shared" si="51"/>
        <v>1</v>
      </c>
      <c r="R259" s="659">
        <f t="shared" si="52"/>
        <v>0</v>
      </c>
      <c r="S259" s="598">
        <f t="shared" si="53"/>
        <v>0</v>
      </c>
    </row>
    <row r="260" spans="1:19">
      <c r="A260" s="606"/>
      <c r="B260" s="607"/>
      <c r="C260" s="599">
        <f t="shared" si="44"/>
        <v>1</v>
      </c>
      <c r="D260" s="608"/>
      <c r="E260" s="599">
        <f t="shared" si="45"/>
        <v>0</v>
      </c>
      <c r="F260" s="608"/>
      <c r="G260" s="599">
        <f t="shared" si="46"/>
        <v>1</v>
      </c>
      <c r="H260" s="608"/>
      <c r="I260" s="599">
        <f t="shared" si="47"/>
        <v>1</v>
      </c>
      <c r="J260" s="608"/>
      <c r="K260" s="599">
        <f t="shared" si="48"/>
        <v>1</v>
      </c>
      <c r="L260" s="608"/>
      <c r="M260" s="599">
        <f t="shared" si="49"/>
        <v>1</v>
      </c>
      <c r="N260" s="608"/>
      <c r="O260" s="599">
        <f t="shared" si="50"/>
        <v>1</v>
      </c>
      <c r="P260" s="608"/>
      <c r="Q260" s="599">
        <f t="shared" si="51"/>
        <v>1</v>
      </c>
      <c r="R260" s="659">
        <f t="shared" si="52"/>
        <v>0</v>
      </c>
      <c r="S260" s="598">
        <f t="shared" si="53"/>
        <v>0</v>
      </c>
    </row>
    <row r="261" spans="1:19">
      <c r="A261" s="606"/>
      <c r="B261" s="607"/>
      <c r="C261" s="599">
        <f t="shared" si="44"/>
        <v>1</v>
      </c>
      <c r="D261" s="608"/>
      <c r="E261" s="599">
        <f t="shared" si="45"/>
        <v>0</v>
      </c>
      <c r="F261" s="608"/>
      <c r="G261" s="599">
        <f t="shared" si="46"/>
        <v>1</v>
      </c>
      <c r="H261" s="608"/>
      <c r="I261" s="599">
        <f t="shared" si="47"/>
        <v>1</v>
      </c>
      <c r="J261" s="608"/>
      <c r="K261" s="599">
        <f t="shared" si="48"/>
        <v>1</v>
      </c>
      <c r="L261" s="608"/>
      <c r="M261" s="599">
        <f t="shared" si="49"/>
        <v>1</v>
      </c>
      <c r="N261" s="608"/>
      <c r="O261" s="599">
        <f t="shared" si="50"/>
        <v>1</v>
      </c>
      <c r="P261" s="608"/>
      <c r="Q261" s="599">
        <f t="shared" si="51"/>
        <v>1</v>
      </c>
      <c r="R261" s="659">
        <f t="shared" si="52"/>
        <v>0</v>
      </c>
      <c r="S261" s="598">
        <f t="shared" si="53"/>
        <v>0</v>
      </c>
    </row>
    <row r="262" spans="1:19">
      <c r="A262" s="606"/>
      <c r="B262" s="607"/>
      <c r="C262" s="599">
        <f t="shared" si="44"/>
        <v>1</v>
      </c>
      <c r="D262" s="608"/>
      <c r="E262" s="599">
        <f t="shared" si="45"/>
        <v>0</v>
      </c>
      <c r="F262" s="608"/>
      <c r="G262" s="599">
        <f t="shared" si="46"/>
        <v>1</v>
      </c>
      <c r="H262" s="608"/>
      <c r="I262" s="599">
        <f t="shared" si="47"/>
        <v>1</v>
      </c>
      <c r="J262" s="608"/>
      <c r="K262" s="599">
        <f t="shared" si="48"/>
        <v>1</v>
      </c>
      <c r="L262" s="608"/>
      <c r="M262" s="599">
        <f t="shared" si="49"/>
        <v>1</v>
      </c>
      <c r="N262" s="608"/>
      <c r="O262" s="599">
        <f t="shared" si="50"/>
        <v>1</v>
      </c>
      <c r="P262" s="608"/>
      <c r="Q262" s="599">
        <f t="shared" si="51"/>
        <v>1</v>
      </c>
      <c r="R262" s="659">
        <f t="shared" si="52"/>
        <v>0</v>
      </c>
      <c r="S262" s="598">
        <f t="shared" si="53"/>
        <v>0</v>
      </c>
    </row>
    <row r="263" spans="1:19">
      <c r="A263" s="606"/>
      <c r="B263" s="607"/>
      <c r="C263" s="599">
        <f t="shared" si="44"/>
        <v>1</v>
      </c>
      <c r="D263" s="608"/>
      <c r="E263" s="599">
        <f t="shared" si="45"/>
        <v>0</v>
      </c>
      <c r="F263" s="608"/>
      <c r="G263" s="599">
        <f t="shared" si="46"/>
        <v>1</v>
      </c>
      <c r="H263" s="608"/>
      <c r="I263" s="599">
        <f t="shared" si="47"/>
        <v>1</v>
      </c>
      <c r="J263" s="608"/>
      <c r="K263" s="599">
        <f t="shared" si="48"/>
        <v>1</v>
      </c>
      <c r="L263" s="608"/>
      <c r="M263" s="599">
        <f t="shared" si="49"/>
        <v>1</v>
      </c>
      <c r="N263" s="608"/>
      <c r="O263" s="599">
        <f t="shared" si="50"/>
        <v>1</v>
      </c>
      <c r="P263" s="608"/>
      <c r="Q263" s="599">
        <f t="shared" si="51"/>
        <v>1</v>
      </c>
      <c r="R263" s="659">
        <f t="shared" si="52"/>
        <v>0</v>
      </c>
      <c r="S263" s="598">
        <f t="shared" si="53"/>
        <v>0</v>
      </c>
    </row>
    <row r="264" spans="1:19">
      <c r="A264" s="606"/>
      <c r="B264" s="607"/>
      <c r="C264" s="599">
        <f t="shared" si="44"/>
        <v>1</v>
      </c>
      <c r="D264" s="608"/>
      <c r="E264" s="599">
        <f t="shared" si="45"/>
        <v>0</v>
      </c>
      <c r="F264" s="608"/>
      <c r="G264" s="599">
        <f t="shared" si="46"/>
        <v>1</v>
      </c>
      <c r="H264" s="608"/>
      <c r="I264" s="599">
        <f t="shared" si="47"/>
        <v>1</v>
      </c>
      <c r="J264" s="608"/>
      <c r="K264" s="599">
        <f t="shared" si="48"/>
        <v>1</v>
      </c>
      <c r="L264" s="608"/>
      <c r="M264" s="599">
        <f t="shared" si="49"/>
        <v>1</v>
      </c>
      <c r="N264" s="608"/>
      <c r="O264" s="599">
        <f t="shared" si="50"/>
        <v>1</v>
      </c>
      <c r="P264" s="608"/>
      <c r="Q264" s="599">
        <f t="shared" si="51"/>
        <v>1</v>
      </c>
      <c r="R264" s="659">
        <f t="shared" si="52"/>
        <v>0</v>
      </c>
      <c r="S264" s="598">
        <f t="shared" si="53"/>
        <v>0</v>
      </c>
    </row>
    <row r="265" spans="1:19">
      <c r="A265" s="606"/>
      <c r="B265" s="607"/>
      <c r="C265" s="599">
        <f t="shared" si="44"/>
        <v>1</v>
      </c>
      <c r="D265" s="608"/>
      <c r="E265" s="599">
        <f t="shared" si="45"/>
        <v>0</v>
      </c>
      <c r="F265" s="608"/>
      <c r="G265" s="599">
        <f t="shared" si="46"/>
        <v>1</v>
      </c>
      <c r="H265" s="608"/>
      <c r="I265" s="599">
        <f t="shared" si="47"/>
        <v>1</v>
      </c>
      <c r="J265" s="608"/>
      <c r="K265" s="599">
        <f t="shared" si="48"/>
        <v>1</v>
      </c>
      <c r="L265" s="608"/>
      <c r="M265" s="599">
        <f t="shared" si="49"/>
        <v>1</v>
      </c>
      <c r="N265" s="608"/>
      <c r="O265" s="599">
        <f t="shared" si="50"/>
        <v>1</v>
      </c>
      <c r="P265" s="608"/>
      <c r="Q265" s="599">
        <f t="shared" si="51"/>
        <v>1</v>
      </c>
      <c r="R265" s="659">
        <f t="shared" si="52"/>
        <v>0</v>
      </c>
      <c r="S265" s="598">
        <f t="shared" si="53"/>
        <v>0</v>
      </c>
    </row>
    <row r="266" spans="1:19">
      <c r="A266" s="606"/>
      <c r="B266" s="607"/>
      <c r="C266" s="599">
        <f t="shared" si="44"/>
        <v>1</v>
      </c>
      <c r="D266" s="608"/>
      <c r="E266" s="599">
        <f t="shared" si="45"/>
        <v>0</v>
      </c>
      <c r="F266" s="608"/>
      <c r="G266" s="599">
        <f t="shared" si="46"/>
        <v>1</v>
      </c>
      <c r="H266" s="608"/>
      <c r="I266" s="599">
        <f t="shared" si="47"/>
        <v>1</v>
      </c>
      <c r="J266" s="608"/>
      <c r="K266" s="599">
        <f t="shared" si="48"/>
        <v>1</v>
      </c>
      <c r="L266" s="608"/>
      <c r="M266" s="599">
        <f t="shared" si="49"/>
        <v>1</v>
      </c>
      <c r="N266" s="608"/>
      <c r="O266" s="599">
        <f t="shared" si="50"/>
        <v>1</v>
      </c>
      <c r="P266" s="608"/>
      <c r="Q266" s="599">
        <f t="shared" si="51"/>
        <v>1</v>
      </c>
      <c r="R266" s="659">
        <f t="shared" si="52"/>
        <v>0</v>
      </c>
      <c r="S266" s="598">
        <f t="shared" si="53"/>
        <v>0</v>
      </c>
    </row>
    <row r="267" spans="1:19">
      <c r="A267" s="606"/>
      <c r="B267" s="607"/>
      <c r="C267" s="599">
        <f t="shared" si="44"/>
        <v>1</v>
      </c>
      <c r="D267" s="608"/>
      <c r="E267" s="599">
        <f t="shared" si="45"/>
        <v>0</v>
      </c>
      <c r="F267" s="608"/>
      <c r="G267" s="599">
        <f t="shared" si="46"/>
        <v>1</v>
      </c>
      <c r="H267" s="608"/>
      <c r="I267" s="599">
        <f t="shared" si="47"/>
        <v>1</v>
      </c>
      <c r="J267" s="608"/>
      <c r="K267" s="599">
        <f t="shared" si="48"/>
        <v>1</v>
      </c>
      <c r="L267" s="608"/>
      <c r="M267" s="599">
        <f t="shared" si="49"/>
        <v>1</v>
      </c>
      <c r="N267" s="608"/>
      <c r="O267" s="599">
        <f t="shared" si="50"/>
        <v>1</v>
      </c>
      <c r="P267" s="608"/>
      <c r="Q267" s="599">
        <f t="shared" si="51"/>
        <v>1</v>
      </c>
      <c r="R267" s="659">
        <f t="shared" si="52"/>
        <v>0</v>
      </c>
      <c r="S267" s="598">
        <f t="shared" si="53"/>
        <v>0</v>
      </c>
    </row>
    <row r="268" spans="1:19">
      <c r="A268" s="606"/>
      <c r="B268" s="607"/>
      <c r="C268" s="599">
        <f t="shared" si="44"/>
        <v>1</v>
      </c>
      <c r="D268" s="608"/>
      <c r="E268" s="599">
        <f t="shared" si="45"/>
        <v>0</v>
      </c>
      <c r="F268" s="608"/>
      <c r="G268" s="599">
        <f t="shared" si="46"/>
        <v>1</v>
      </c>
      <c r="H268" s="608"/>
      <c r="I268" s="599">
        <f t="shared" si="47"/>
        <v>1</v>
      </c>
      <c r="J268" s="608"/>
      <c r="K268" s="599">
        <f t="shared" si="48"/>
        <v>1</v>
      </c>
      <c r="L268" s="608"/>
      <c r="M268" s="599">
        <f t="shared" si="49"/>
        <v>1</v>
      </c>
      <c r="N268" s="608"/>
      <c r="O268" s="599">
        <f t="shared" si="50"/>
        <v>1</v>
      </c>
      <c r="P268" s="608"/>
      <c r="Q268" s="599">
        <f t="shared" si="51"/>
        <v>1</v>
      </c>
      <c r="R268" s="659">
        <f t="shared" si="52"/>
        <v>0</v>
      </c>
      <c r="S268" s="598">
        <f t="shared" si="53"/>
        <v>0</v>
      </c>
    </row>
    <row r="269" spans="1:19">
      <c r="A269" s="606"/>
      <c r="B269" s="607"/>
      <c r="C269" s="599">
        <f t="shared" si="44"/>
        <v>1</v>
      </c>
      <c r="D269" s="608"/>
      <c r="E269" s="599">
        <f t="shared" si="45"/>
        <v>0</v>
      </c>
      <c r="F269" s="608"/>
      <c r="G269" s="599">
        <f t="shared" si="46"/>
        <v>1</v>
      </c>
      <c r="H269" s="608"/>
      <c r="I269" s="599">
        <f t="shared" si="47"/>
        <v>1</v>
      </c>
      <c r="J269" s="608"/>
      <c r="K269" s="599">
        <f t="shared" si="48"/>
        <v>1</v>
      </c>
      <c r="L269" s="608"/>
      <c r="M269" s="599">
        <f t="shared" si="49"/>
        <v>1</v>
      </c>
      <c r="N269" s="608"/>
      <c r="O269" s="599">
        <f t="shared" si="50"/>
        <v>1</v>
      </c>
      <c r="P269" s="608"/>
      <c r="Q269" s="599">
        <f t="shared" si="51"/>
        <v>1</v>
      </c>
      <c r="R269" s="659">
        <f t="shared" si="52"/>
        <v>0</v>
      </c>
      <c r="S269" s="598">
        <f t="shared" si="53"/>
        <v>0</v>
      </c>
    </row>
    <row r="270" spans="1:19">
      <c r="A270" s="606"/>
      <c r="B270" s="607"/>
      <c r="C270" s="599">
        <f t="shared" si="44"/>
        <v>1</v>
      </c>
      <c r="D270" s="608"/>
      <c r="E270" s="599">
        <f t="shared" si="45"/>
        <v>0</v>
      </c>
      <c r="F270" s="608"/>
      <c r="G270" s="599">
        <f t="shared" si="46"/>
        <v>1</v>
      </c>
      <c r="H270" s="608"/>
      <c r="I270" s="599">
        <f t="shared" si="47"/>
        <v>1</v>
      </c>
      <c r="J270" s="608"/>
      <c r="K270" s="599">
        <f t="shared" si="48"/>
        <v>1</v>
      </c>
      <c r="L270" s="608"/>
      <c r="M270" s="599">
        <f t="shared" si="49"/>
        <v>1</v>
      </c>
      <c r="N270" s="608"/>
      <c r="O270" s="599">
        <f t="shared" si="50"/>
        <v>1</v>
      </c>
      <c r="P270" s="608"/>
      <c r="Q270" s="599">
        <f t="shared" si="51"/>
        <v>1</v>
      </c>
      <c r="R270" s="659">
        <f t="shared" si="52"/>
        <v>0</v>
      </c>
      <c r="S270" s="598">
        <f t="shared" si="53"/>
        <v>0</v>
      </c>
    </row>
    <row r="271" spans="1:19">
      <c r="A271" s="606"/>
      <c r="B271" s="607"/>
      <c r="C271" s="599">
        <f t="shared" si="44"/>
        <v>1</v>
      </c>
      <c r="D271" s="608"/>
      <c r="E271" s="599">
        <f t="shared" si="45"/>
        <v>0</v>
      </c>
      <c r="F271" s="608"/>
      <c r="G271" s="599">
        <f t="shared" si="46"/>
        <v>1</v>
      </c>
      <c r="H271" s="608"/>
      <c r="I271" s="599">
        <f t="shared" si="47"/>
        <v>1</v>
      </c>
      <c r="J271" s="608"/>
      <c r="K271" s="599">
        <f t="shared" si="48"/>
        <v>1</v>
      </c>
      <c r="L271" s="608"/>
      <c r="M271" s="599">
        <f t="shared" si="49"/>
        <v>1</v>
      </c>
      <c r="N271" s="608"/>
      <c r="O271" s="599">
        <f t="shared" si="50"/>
        <v>1</v>
      </c>
      <c r="P271" s="608"/>
      <c r="Q271" s="599">
        <f t="shared" si="51"/>
        <v>1</v>
      </c>
      <c r="R271" s="659">
        <f t="shared" si="52"/>
        <v>0</v>
      </c>
      <c r="S271" s="598">
        <f t="shared" si="53"/>
        <v>0</v>
      </c>
    </row>
    <row r="272" spans="1:19">
      <c r="A272" s="606"/>
      <c r="B272" s="607"/>
      <c r="C272" s="599">
        <f t="shared" si="44"/>
        <v>1</v>
      </c>
      <c r="D272" s="608"/>
      <c r="E272" s="599">
        <f t="shared" si="45"/>
        <v>0</v>
      </c>
      <c r="F272" s="608"/>
      <c r="G272" s="599">
        <f t="shared" si="46"/>
        <v>1</v>
      </c>
      <c r="H272" s="608"/>
      <c r="I272" s="599">
        <f t="shared" si="47"/>
        <v>1</v>
      </c>
      <c r="J272" s="608"/>
      <c r="K272" s="599">
        <f t="shared" si="48"/>
        <v>1</v>
      </c>
      <c r="L272" s="608"/>
      <c r="M272" s="599">
        <f t="shared" si="49"/>
        <v>1</v>
      </c>
      <c r="N272" s="608"/>
      <c r="O272" s="599">
        <f t="shared" si="50"/>
        <v>1</v>
      </c>
      <c r="P272" s="608"/>
      <c r="Q272" s="599">
        <f t="shared" si="51"/>
        <v>1</v>
      </c>
      <c r="R272" s="659">
        <f t="shared" si="52"/>
        <v>0</v>
      </c>
      <c r="S272" s="598">
        <f t="shared" si="53"/>
        <v>0</v>
      </c>
    </row>
    <row r="273" spans="1:19">
      <c r="A273" s="606"/>
      <c r="B273" s="607"/>
      <c r="C273" s="599">
        <f t="shared" si="44"/>
        <v>1</v>
      </c>
      <c r="D273" s="608"/>
      <c r="E273" s="599">
        <f t="shared" si="45"/>
        <v>0</v>
      </c>
      <c r="F273" s="608"/>
      <c r="G273" s="599">
        <f t="shared" si="46"/>
        <v>1</v>
      </c>
      <c r="H273" s="608"/>
      <c r="I273" s="599">
        <f t="shared" si="47"/>
        <v>1</v>
      </c>
      <c r="J273" s="608"/>
      <c r="K273" s="599">
        <f t="shared" si="48"/>
        <v>1</v>
      </c>
      <c r="L273" s="608"/>
      <c r="M273" s="599">
        <f t="shared" si="49"/>
        <v>1</v>
      </c>
      <c r="N273" s="608"/>
      <c r="O273" s="599">
        <f t="shared" si="50"/>
        <v>1</v>
      </c>
      <c r="P273" s="608"/>
      <c r="Q273" s="599">
        <f t="shared" si="51"/>
        <v>1</v>
      </c>
      <c r="R273" s="659">
        <f t="shared" si="52"/>
        <v>0</v>
      </c>
      <c r="S273" s="598">
        <f t="shared" si="53"/>
        <v>0</v>
      </c>
    </row>
    <row r="274" spans="1:19">
      <c r="A274" s="606"/>
      <c r="B274" s="607"/>
      <c r="C274" s="599">
        <f t="shared" si="44"/>
        <v>1</v>
      </c>
      <c r="D274" s="608"/>
      <c r="E274" s="599">
        <f t="shared" si="45"/>
        <v>0</v>
      </c>
      <c r="F274" s="608"/>
      <c r="G274" s="599">
        <f t="shared" si="46"/>
        <v>1</v>
      </c>
      <c r="H274" s="608"/>
      <c r="I274" s="599">
        <f t="shared" si="47"/>
        <v>1</v>
      </c>
      <c r="J274" s="608"/>
      <c r="K274" s="599">
        <f t="shared" si="48"/>
        <v>1</v>
      </c>
      <c r="L274" s="608"/>
      <c r="M274" s="599">
        <f t="shared" si="49"/>
        <v>1</v>
      </c>
      <c r="N274" s="608"/>
      <c r="O274" s="599">
        <f t="shared" si="50"/>
        <v>1</v>
      </c>
      <c r="P274" s="608"/>
      <c r="Q274" s="599">
        <f t="shared" si="51"/>
        <v>1</v>
      </c>
      <c r="R274" s="659">
        <f t="shared" si="52"/>
        <v>0</v>
      </c>
      <c r="S274" s="598">
        <f t="shared" si="53"/>
        <v>0</v>
      </c>
    </row>
    <row r="275" spans="1:19">
      <c r="A275" s="606"/>
      <c r="B275" s="607"/>
      <c r="C275" s="599">
        <f t="shared" si="44"/>
        <v>1</v>
      </c>
      <c r="D275" s="608"/>
      <c r="E275" s="599">
        <f t="shared" si="45"/>
        <v>0</v>
      </c>
      <c r="F275" s="608"/>
      <c r="G275" s="599">
        <f t="shared" si="46"/>
        <v>1</v>
      </c>
      <c r="H275" s="608"/>
      <c r="I275" s="599">
        <f t="shared" si="47"/>
        <v>1</v>
      </c>
      <c r="J275" s="608"/>
      <c r="K275" s="599">
        <f t="shared" si="48"/>
        <v>1</v>
      </c>
      <c r="L275" s="608"/>
      <c r="M275" s="599">
        <f t="shared" si="49"/>
        <v>1</v>
      </c>
      <c r="N275" s="608"/>
      <c r="O275" s="599">
        <f t="shared" si="50"/>
        <v>1</v>
      </c>
      <c r="P275" s="608"/>
      <c r="Q275" s="599">
        <f t="shared" si="51"/>
        <v>1</v>
      </c>
      <c r="R275" s="659">
        <f t="shared" si="52"/>
        <v>0</v>
      </c>
      <c r="S275" s="598">
        <f t="shared" si="53"/>
        <v>0</v>
      </c>
    </row>
    <row r="276" spans="1:19">
      <c r="A276" s="606"/>
      <c r="B276" s="607"/>
      <c r="C276" s="599">
        <f t="shared" si="44"/>
        <v>1</v>
      </c>
      <c r="D276" s="608"/>
      <c r="E276" s="599">
        <f t="shared" si="45"/>
        <v>0</v>
      </c>
      <c r="F276" s="608"/>
      <c r="G276" s="599">
        <f t="shared" si="46"/>
        <v>1</v>
      </c>
      <c r="H276" s="608"/>
      <c r="I276" s="599">
        <f t="shared" si="47"/>
        <v>1</v>
      </c>
      <c r="J276" s="608"/>
      <c r="K276" s="599">
        <f t="shared" si="48"/>
        <v>1</v>
      </c>
      <c r="L276" s="608"/>
      <c r="M276" s="599">
        <f t="shared" si="49"/>
        <v>1</v>
      </c>
      <c r="N276" s="608"/>
      <c r="O276" s="599">
        <f t="shared" si="50"/>
        <v>1</v>
      </c>
      <c r="P276" s="608"/>
      <c r="Q276" s="599">
        <f t="shared" si="51"/>
        <v>1</v>
      </c>
      <c r="R276" s="659">
        <f t="shared" si="52"/>
        <v>0</v>
      </c>
      <c r="S276" s="598">
        <f t="shared" si="53"/>
        <v>0</v>
      </c>
    </row>
    <row r="277" spans="1:19">
      <c r="A277" s="606"/>
      <c r="B277" s="607"/>
      <c r="C277" s="599">
        <f t="shared" si="44"/>
        <v>1</v>
      </c>
      <c r="D277" s="608"/>
      <c r="E277" s="599">
        <f t="shared" si="45"/>
        <v>0</v>
      </c>
      <c r="F277" s="608"/>
      <c r="G277" s="599">
        <f t="shared" si="46"/>
        <v>1</v>
      </c>
      <c r="H277" s="608"/>
      <c r="I277" s="599">
        <f t="shared" si="47"/>
        <v>1</v>
      </c>
      <c r="J277" s="608"/>
      <c r="K277" s="599">
        <f t="shared" si="48"/>
        <v>1</v>
      </c>
      <c r="L277" s="608"/>
      <c r="M277" s="599">
        <f t="shared" si="49"/>
        <v>1</v>
      </c>
      <c r="N277" s="608"/>
      <c r="O277" s="599">
        <f t="shared" si="50"/>
        <v>1</v>
      </c>
      <c r="P277" s="608"/>
      <c r="Q277" s="599">
        <f t="shared" si="51"/>
        <v>1</v>
      </c>
      <c r="R277" s="659">
        <f t="shared" si="52"/>
        <v>0</v>
      </c>
      <c r="S277" s="598">
        <f t="shared" si="53"/>
        <v>0</v>
      </c>
    </row>
    <row r="278" spans="1:19">
      <c r="A278" s="606"/>
      <c r="B278" s="607"/>
      <c r="C278" s="599">
        <f t="shared" si="44"/>
        <v>1</v>
      </c>
      <c r="D278" s="608"/>
      <c r="E278" s="599">
        <f t="shared" si="45"/>
        <v>0</v>
      </c>
      <c r="F278" s="608"/>
      <c r="G278" s="599">
        <f t="shared" si="46"/>
        <v>1</v>
      </c>
      <c r="H278" s="608"/>
      <c r="I278" s="599">
        <f t="shared" si="47"/>
        <v>1</v>
      </c>
      <c r="J278" s="608"/>
      <c r="K278" s="599">
        <f t="shared" si="48"/>
        <v>1</v>
      </c>
      <c r="L278" s="608"/>
      <c r="M278" s="599">
        <f t="shared" si="49"/>
        <v>1</v>
      </c>
      <c r="N278" s="608"/>
      <c r="O278" s="599">
        <f t="shared" si="50"/>
        <v>1</v>
      </c>
      <c r="P278" s="608"/>
      <c r="Q278" s="599">
        <f t="shared" si="51"/>
        <v>1</v>
      </c>
      <c r="R278" s="659">
        <f t="shared" si="52"/>
        <v>0</v>
      </c>
      <c r="S278" s="598">
        <f t="shared" si="53"/>
        <v>0</v>
      </c>
    </row>
    <row r="279" spans="1:19">
      <c r="A279" s="606"/>
      <c r="B279" s="607"/>
      <c r="C279" s="599">
        <f t="shared" si="44"/>
        <v>1</v>
      </c>
      <c r="D279" s="608"/>
      <c r="E279" s="599">
        <f t="shared" si="45"/>
        <v>0</v>
      </c>
      <c r="F279" s="608"/>
      <c r="G279" s="599">
        <f t="shared" si="46"/>
        <v>1</v>
      </c>
      <c r="H279" s="608"/>
      <c r="I279" s="599">
        <f t="shared" si="47"/>
        <v>1</v>
      </c>
      <c r="J279" s="608"/>
      <c r="K279" s="599">
        <f t="shared" si="48"/>
        <v>1</v>
      </c>
      <c r="L279" s="608"/>
      <c r="M279" s="599">
        <f t="shared" si="49"/>
        <v>1</v>
      </c>
      <c r="N279" s="608"/>
      <c r="O279" s="599">
        <f t="shared" si="50"/>
        <v>1</v>
      </c>
      <c r="P279" s="608"/>
      <c r="Q279" s="599">
        <f t="shared" si="51"/>
        <v>1</v>
      </c>
      <c r="R279" s="659">
        <f t="shared" si="52"/>
        <v>0</v>
      </c>
      <c r="S279" s="598">
        <f t="shared" si="53"/>
        <v>0</v>
      </c>
    </row>
    <row r="280" spans="1:19">
      <c r="A280" s="606"/>
      <c r="B280" s="607"/>
      <c r="C280" s="599">
        <f t="shared" si="44"/>
        <v>1</v>
      </c>
      <c r="D280" s="608"/>
      <c r="E280" s="599">
        <f t="shared" si="45"/>
        <v>0</v>
      </c>
      <c r="F280" s="608"/>
      <c r="G280" s="599">
        <f t="shared" si="46"/>
        <v>1</v>
      </c>
      <c r="H280" s="608"/>
      <c r="I280" s="599">
        <f t="shared" si="47"/>
        <v>1</v>
      </c>
      <c r="J280" s="608"/>
      <c r="K280" s="599">
        <f t="shared" si="48"/>
        <v>1</v>
      </c>
      <c r="L280" s="608"/>
      <c r="M280" s="599">
        <f t="shared" si="49"/>
        <v>1</v>
      </c>
      <c r="N280" s="608"/>
      <c r="O280" s="599">
        <f t="shared" si="50"/>
        <v>1</v>
      </c>
      <c r="P280" s="608"/>
      <c r="Q280" s="599">
        <f t="shared" si="51"/>
        <v>1</v>
      </c>
      <c r="R280" s="659">
        <f t="shared" si="52"/>
        <v>0</v>
      </c>
      <c r="S280" s="598">
        <f t="shared" si="53"/>
        <v>0</v>
      </c>
    </row>
    <row r="281" spans="1:19">
      <c r="A281" s="606"/>
      <c r="B281" s="607"/>
      <c r="C281" s="599">
        <f t="shared" si="44"/>
        <v>1</v>
      </c>
      <c r="D281" s="608"/>
      <c r="E281" s="599">
        <f t="shared" si="45"/>
        <v>0</v>
      </c>
      <c r="F281" s="608"/>
      <c r="G281" s="599">
        <f t="shared" si="46"/>
        <v>1</v>
      </c>
      <c r="H281" s="608"/>
      <c r="I281" s="599">
        <f t="shared" si="47"/>
        <v>1</v>
      </c>
      <c r="J281" s="608"/>
      <c r="K281" s="599">
        <f t="shared" si="48"/>
        <v>1</v>
      </c>
      <c r="L281" s="608"/>
      <c r="M281" s="599">
        <f t="shared" si="49"/>
        <v>1</v>
      </c>
      <c r="N281" s="608"/>
      <c r="O281" s="599">
        <f t="shared" si="50"/>
        <v>1</v>
      </c>
      <c r="P281" s="608"/>
      <c r="Q281" s="599">
        <f t="shared" si="51"/>
        <v>1</v>
      </c>
      <c r="R281" s="659">
        <f t="shared" si="52"/>
        <v>0</v>
      </c>
      <c r="S281" s="598">
        <f t="shared" si="53"/>
        <v>0</v>
      </c>
    </row>
    <row r="282" spans="1:19">
      <c r="A282" s="606"/>
      <c r="B282" s="607"/>
      <c r="C282" s="599">
        <f t="shared" ref="C282:C345" si="54">IF(B282="",1,(LOOKUP(B282,$3:$3,$4:$4)-LOOKUP($B$24,$3:$3,$4:$4)+100)/100)</f>
        <v>1</v>
      </c>
      <c r="D282" s="608"/>
      <c r="E282" s="599">
        <f t="shared" ref="E282:E345" si="55">(SUMIF($5:$5,D282,$6:$6)-SUMIF($5:$5,$D$24,$6:$6)+100)/100</f>
        <v>0</v>
      </c>
      <c r="F282" s="608"/>
      <c r="G282" s="599">
        <f t="shared" ref="G282:G345" si="56">(SUMIF($7:$7,F282,$8:$8)-SUMIF($7:$7,$F$24,$8:$8)+100)/100</f>
        <v>1</v>
      </c>
      <c r="H282" s="608"/>
      <c r="I282" s="599">
        <f t="shared" ref="I282:I345" si="57">(SUMIF($9:$9,H282,$10:$10)-SUMIF($9:$9,$H$24,$10:$10)+100)/100</f>
        <v>1</v>
      </c>
      <c r="J282" s="608"/>
      <c r="K282" s="599">
        <f t="shared" ref="K282:K345" si="58">(SUMIF($11:$11,J282,$12:$12)-SUMIF($11:$11,$J$24,$12:$12)+100)/100</f>
        <v>1</v>
      </c>
      <c r="L282" s="608"/>
      <c r="M282" s="599">
        <f t="shared" ref="M282:M345" si="59">(SUMIF($13:$13,L282,$14:$14)-SUMIF($13:$13,$L$24,$14:$14)+100)/100</f>
        <v>1</v>
      </c>
      <c r="N282" s="608"/>
      <c r="O282" s="599">
        <f t="shared" ref="O282:O345" si="60">(SUMIF($15:$15,N282,$16:$16)-SUMIF($15:$15,$N$24,$16:$16)+100)/100</f>
        <v>1</v>
      </c>
      <c r="P282" s="608"/>
      <c r="Q282" s="599">
        <f t="shared" ref="Q282:Q345" si="61">(SUMIF($17:$17,P282,$18:$18)-SUMIF($17:$17,$P$24,$18:$18)+100)/100</f>
        <v>1</v>
      </c>
      <c r="R282" s="659">
        <f t="shared" ref="R282:R345" si="62">IF(B282="",0,ROUND($R$24*C282*E282*G282*I282*K282*M282*O282*Q282,0))</f>
        <v>0</v>
      </c>
      <c r="S282" s="598">
        <f t="shared" si="53"/>
        <v>0</v>
      </c>
    </row>
    <row r="283" spans="1:19">
      <c r="A283" s="606"/>
      <c r="B283" s="607"/>
      <c r="C283" s="599">
        <f t="shared" si="54"/>
        <v>1</v>
      </c>
      <c r="D283" s="608"/>
      <c r="E283" s="599">
        <f t="shared" si="55"/>
        <v>0</v>
      </c>
      <c r="F283" s="608"/>
      <c r="G283" s="599">
        <f t="shared" si="56"/>
        <v>1</v>
      </c>
      <c r="H283" s="608"/>
      <c r="I283" s="599">
        <f t="shared" si="57"/>
        <v>1</v>
      </c>
      <c r="J283" s="608"/>
      <c r="K283" s="599">
        <f t="shared" si="58"/>
        <v>1</v>
      </c>
      <c r="L283" s="608"/>
      <c r="M283" s="599">
        <f t="shared" si="59"/>
        <v>1</v>
      </c>
      <c r="N283" s="608"/>
      <c r="O283" s="599">
        <f t="shared" si="60"/>
        <v>1</v>
      </c>
      <c r="P283" s="608"/>
      <c r="Q283" s="599">
        <f t="shared" si="61"/>
        <v>1</v>
      </c>
      <c r="R283" s="659">
        <f t="shared" si="62"/>
        <v>0</v>
      </c>
      <c r="S283" s="598">
        <f t="shared" si="53"/>
        <v>0</v>
      </c>
    </row>
    <row r="284" spans="1:19">
      <c r="A284" s="606"/>
      <c r="B284" s="607"/>
      <c r="C284" s="599">
        <f t="shared" si="54"/>
        <v>1</v>
      </c>
      <c r="D284" s="608"/>
      <c r="E284" s="599">
        <f t="shared" si="55"/>
        <v>0</v>
      </c>
      <c r="F284" s="608"/>
      <c r="G284" s="599">
        <f t="shared" si="56"/>
        <v>1</v>
      </c>
      <c r="H284" s="608"/>
      <c r="I284" s="599">
        <f t="shared" si="57"/>
        <v>1</v>
      </c>
      <c r="J284" s="608"/>
      <c r="K284" s="599">
        <f t="shared" si="58"/>
        <v>1</v>
      </c>
      <c r="L284" s="608"/>
      <c r="M284" s="599">
        <f t="shared" si="59"/>
        <v>1</v>
      </c>
      <c r="N284" s="608"/>
      <c r="O284" s="599">
        <f t="shared" si="60"/>
        <v>1</v>
      </c>
      <c r="P284" s="608"/>
      <c r="Q284" s="599">
        <f t="shared" si="61"/>
        <v>1</v>
      </c>
      <c r="R284" s="659">
        <f t="shared" si="62"/>
        <v>0</v>
      </c>
      <c r="S284" s="598">
        <f t="shared" si="53"/>
        <v>0</v>
      </c>
    </row>
    <row r="285" spans="1:19">
      <c r="A285" s="606"/>
      <c r="B285" s="607"/>
      <c r="C285" s="599">
        <f t="shared" si="54"/>
        <v>1</v>
      </c>
      <c r="D285" s="608"/>
      <c r="E285" s="599">
        <f t="shared" si="55"/>
        <v>0</v>
      </c>
      <c r="F285" s="608"/>
      <c r="G285" s="599">
        <f t="shared" si="56"/>
        <v>1</v>
      </c>
      <c r="H285" s="608"/>
      <c r="I285" s="599">
        <f t="shared" si="57"/>
        <v>1</v>
      </c>
      <c r="J285" s="608"/>
      <c r="K285" s="599">
        <f t="shared" si="58"/>
        <v>1</v>
      </c>
      <c r="L285" s="608"/>
      <c r="M285" s="599">
        <f t="shared" si="59"/>
        <v>1</v>
      </c>
      <c r="N285" s="608"/>
      <c r="O285" s="599">
        <f t="shared" si="60"/>
        <v>1</v>
      </c>
      <c r="P285" s="608"/>
      <c r="Q285" s="599">
        <f t="shared" si="61"/>
        <v>1</v>
      </c>
      <c r="R285" s="659">
        <f t="shared" si="62"/>
        <v>0</v>
      </c>
      <c r="S285" s="598">
        <f t="shared" si="53"/>
        <v>0</v>
      </c>
    </row>
    <row r="286" spans="1:19">
      <c r="A286" s="606"/>
      <c r="B286" s="607"/>
      <c r="C286" s="599">
        <f t="shared" si="54"/>
        <v>1</v>
      </c>
      <c r="D286" s="608"/>
      <c r="E286" s="599">
        <f t="shared" si="55"/>
        <v>0</v>
      </c>
      <c r="F286" s="608"/>
      <c r="G286" s="599">
        <f t="shared" si="56"/>
        <v>1</v>
      </c>
      <c r="H286" s="608"/>
      <c r="I286" s="599">
        <f t="shared" si="57"/>
        <v>1</v>
      </c>
      <c r="J286" s="608"/>
      <c r="K286" s="599">
        <f t="shared" si="58"/>
        <v>1</v>
      </c>
      <c r="L286" s="608"/>
      <c r="M286" s="599">
        <f t="shared" si="59"/>
        <v>1</v>
      </c>
      <c r="N286" s="608"/>
      <c r="O286" s="599">
        <f t="shared" si="60"/>
        <v>1</v>
      </c>
      <c r="P286" s="608"/>
      <c r="Q286" s="599">
        <f t="shared" si="61"/>
        <v>1</v>
      </c>
      <c r="R286" s="659">
        <f t="shared" si="62"/>
        <v>0</v>
      </c>
      <c r="S286" s="598">
        <f t="shared" si="53"/>
        <v>0</v>
      </c>
    </row>
    <row r="287" spans="1:19">
      <c r="A287" s="606"/>
      <c r="B287" s="607"/>
      <c r="C287" s="599">
        <f t="shared" si="54"/>
        <v>1</v>
      </c>
      <c r="D287" s="608"/>
      <c r="E287" s="599">
        <f t="shared" si="55"/>
        <v>0</v>
      </c>
      <c r="F287" s="608"/>
      <c r="G287" s="599">
        <f t="shared" si="56"/>
        <v>1</v>
      </c>
      <c r="H287" s="608"/>
      <c r="I287" s="599">
        <f t="shared" si="57"/>
        <v>1</v>
      </c>
      <c r="J287" s="608"/>
      <c r="K287" s="599">
        <f t="shared" si="58"/>
        <v>1</v>
      </c>
      <c r="L287" s="608"/>
      <c r="M287" s="599">
        <f t="shared" si="59"/>
        <v>1</v>
      </c>
      <c r="N287" s="608"/>
      <c r="O287" s="599">
        <f t="shared" si="60"/>
        <v>1</v>
      </c>
      <c r="P287" s="608"/>
      <c r="Q287" s="599">
        <f t="shared" si="61"/>
        <v>1</v>
      </c>
      <c r="R287" s="659">
        <f t="shared" si="62"/>
        <v>0</v>
      </c>
      <c r="S287" s="598">
        <f t="shared" ref="S287:S320" si="63">ROUND(R287*B287/10000,0)</f>
        <v>0</v>
      </c>
    </row>
    <row r="288" spans="1:19">
      <c r="A288" s="606"/>
      <c r="B288" s="607"/>
      <c r="C288" s="599">
        <f t="shared" si="54"/>
        <v>1</v>
      </c>
      <c r="D288" s="608"/>
      <c r="E288" s="599">
        <f t="shared" si="55"/>
        <v>0</v>
      </c>
      <c r="F288" s="608"/>
      <c r="G288" s="599">
        <f t="shared" si="56"/>
        <v>1</v>
      </c>
      <c r="H288" s="608"/>
      <c r="I288" s="599">
        <f t="shared" si="57"/>
        <v>1</v>
      </c>
      <c r="J288" s="608"/>
      <c r="K288" s="599">
        <f t="shared" si="58"/>
        <v>1</v>
      </c>
      <c r="L288" s="608"/>
      <c r="M288" s="599">
        <f t="shared" si="59"/>
        <v>1</v>
      </c>
      <c r="N288" s="608"/>
      <c r="O288" s="599">
        <f t="shared" si="60"/>
        <v>1</v>
      </c>
      <c r="P288" s="608"/>
      <c r="Q288" s="599">
        <f t="shared" si="61"/>
        <v>1</v>
      </c>
      <c r="R288" s="659">
        <f t="shared" si="62"/>
        <v>0</v>
      </c>
      <c r="S288" s="598">
        <f t="shared" si="63"/>
        <v>0</v>
      </c>
    </row>
    <row r="289" spans="1:19">
      <c r="A289" s="606"/>
      <c r="B289" s="607"/>
      <c r="C289" s="599">
        <f t="shared" si="54"/>
        <v>1</v>
      </c>
      <c r="D289" s="608"/>
      <c r="E289" s="599">
        <f t="shared" si="55"/>
        <v>0</v>
      </c>
      <c r="F289" s="608"/>
      <c r="G289" s="599">
        <f t="shared" si="56"/>
        <v>1</v>
      </c>
      <c r="H289" s="608"/>
      <c r="I289" s="599">
        <f t="shared" si="57"/>
        <v>1</v>
      </c>
      <c r="J289" s="608"/>
      <c r="K289" s="599">
        <f t="shared" si="58"/>
        <v>1</v>
      </c>
      <c r="L289" s="608"/>
      <c r="M289" s="599">
        <f t="shared" si="59"/>
        <v>1</v>
      </c>
      <c r="N289" s="608"/>
      <c r="O289" s="599">
        <f t="shared" si="60"/>
        <v>1</v>
      </c>
      <c r="P289" s="608"/>
      <c r="Q289" s="599">
        <f t="shared" si="61"/>
        <v>1</v>
      </c>
      <c r="R289" s="659">
        <f t="shared" si="62"/>
        <v>0</v>
      </c>
      <c r="S289" s="598">
        <f t="shared" si="63"/>
        <v>0</v>
      </c>
    </row>
    <row r="290" spans="1:19">
      <c r="A290" s="606"/>
      <c r="B290" s="607"/>
      <c r="C290" s="599">
        <f t="shared" si="54"/>
        <v>1</v>
      </c>
      <c r="D290" s="608"/>
      <c r="E290" s="599">
        <f t="shared" si="55"/>
        <v>0</v>
      </c>
      <c r="F290" s="608"/>
      <c r="G290" s="599">
        <f t="shared" si="56"/>
        <v>1</v>
      </c>
      <c r="H290" s="608"/>
      <c r="I290" s="599">
        <f t="shared" si="57"/>
        <v>1</v>
      </c>
      <c r="J290" s="608"/>
      <c r="K290" s="599">
        <f t="shared" si="58"/>
        <v>1</v>
      </c>
      <c r="L290" s="608"/>
      <c r="M290" s="599">
        <f t="shared" si="59"/>
        <v>1</v>
      </c>
      <c r="N290" s="608"/>
      <c r="O290" s="599">
        <f t="shared" si="60"/>
        <v>1</v>
      </c>
      <c r="P290" s="608"/>
      <c r="Q290" s="599">
        <f t="shared" si="61"/>
        <v>1</v>
      </c>
      <c r="R290" s="659">
        <f t="shared" si="62"/>
        <v>0</v>
      </c>
      <c r="S290" s="598">
        <f t="shared" si="63"/>
        <v>0</v>
      </c>
    </row>
    <row r="291" spans="1:19">
      <c r="A291" s="606"/>
      <c r="B291" s="607"/>
      <c r="C291" s="599">
        <f t="shared" si="54"/>
        <v>1</v>
      </c>
      <c r="D291" s="608"/>
      <c r="E291" s="599">
        <f t="shared" si="55"/>
        <v>0</v>
      </c>
      <c r="F291" s="608"/>
      <c r="G291" s="599">
        <f t="shared" si="56"/>
        <v>1</v>
      </c>
      <c r="H291" s="608"/>
      <c r="I291" s="599">
        <f t="shared" si="57"/>
        <v>1</v>
      </c>
      <c r="J291" s="608"/>
      <c r="K291" s="599">
        <f t="shared" si="58"/>
        <v>1</v>
      </c>
      <c r="L291" s="608"/>
      <c r="M291" s="599">
        <f t="shared" si="59"/>
        <v>1</v>
      </c>
      <c r="N291" s="608"/>
      <c r="O291" s="599">
        <f t="shared" si="60"/>
        <v>1</v>
      </c>
      <c r="P291" s="608"/>
      <c r="Q291" s="599">
        <f t="shared" si="61"/>
        <v>1</v>
      </c>
      <c r="R291" s="659">
        <f t="shared" si="62"/>
        <v>0</v>
      </c>
      <c r="S291" s="598">
        <f t="shared" si="63"/>
        <v>0</v>
      </c>
    </row>
    <row r="292" spans="1:19">
      <c r="A292" s="606"/>
      <c r="B292" s="607"/>
      <c r="C292" s="599">
        <f t="shared" si="54"/>
        <v>1</v>
      </c>
      <c r="D292" s="608"/>
      <c r="E292" s="599">
        <f t="shared" si="55"/>
        <v>0</v>
      </c>
      <c r="F292" s="608"/>
      <c r="G292" s="599">
        <f t="shared" si="56"/>
        <v>1</v>
      </c>
      <c r="H292" s="608"/>
      <c r="I292" s="599">
        <f t="shared" si="57"/>
        <v>1</v>
      </c>
      <c r="J292" s="608"/>
      <c r="K292" s="599">
        <f t="shared" si="58"/>
        <v>1</v>
      </c>
      <c r="L292" s="608"/>
      <c r="M292" s="599">
        <f t="shared" si="59"/>
        <v>1</v>
      </c>
      <c r="N292" s="608"/>
      <c r="O292" s="599">
        <f t="shared" si="60"/>
        <v>1</v>
      </c>
      <c r="P292" s="608"/>
      <c r="Q292" s="599">
        <f t="shared" si="61"/>
        <v>1</v>
      </c>
      <c r="R292" s="659">
        <f t="shared" si="62"/>
        <v>0</v>
      </c>
      <c r="S292" s="598">
        <f t="shared" si="63"/>
        <v>0</v>
      </c>
    </row>
    <row r="293" spans="1:19">
      <c r="A293" s="606"/>
      <c r="B293" s="607"/>
      <c r="C293" s="599">
        <f t="shared" si="54"/>
        <v>1</v>
      </c>
      <c r="D293" s="608"/>
      <c r="E293" s="599">
        <f t="shared" si="55"/>
        <v>0</v>
      </c>
      <c r="F293" s="608"/>
      <c r="G293" s="599">
        <f t="shared" si="56"/>
        <v>1</v>
      </c>
      <c r="H293" s="608"/>
      <c r="I293" s="599">
        <f t="shared" si="57"/>
        <v>1</v>
      </c>
      <c r="J293" s="608"/>
      <c r="K293" s="599">
        <f t="shared" si="58"/>
        <v>1</v>
      </c>
      <c r="L293" s="608"/>
      <c r="M293" s="599">
        <f t="shared" si="59"/>
        <v>1</v>
      </c>
      <c r="N293" s="608"/>
      <c r="O293" s="599">
        <f t="shared" si="60"/>
        <v>1</v>
      </c>
      <c r="P293" s="608"/>
      <c r="Q293" s="599">
        <f t="shared" si="61"/>
        <v>1</v>
      </c>
      <c r="R293" s="659">
        <f t="shared" si="62"/>
        <v>0</v>
      </c>
      <c r="S293" s="598">
        <f t="shared" si="63"/>
        <v>0</v>
      </c>
    </row>
    <row r="294" spans="1:19">
      <c r="A294" s="606"/>
      <c r="B294" s="607"/>
      <c r="C294" s="599">
        <f t="shared" si="54"/>
        <v>1</v>
      </c>
      <c r="D294" s="608"/>
      <c r="E294" s="599">
        <f t="shared" si="55"/>
        <v>0</v>
      </c>
      <c r="F294" s="608"/>
      <c r="G294" s="599">
        <f t="shared" si="56"/>
        <v>1</v>
      </c>
      <c r="H294" s="608"/>
      <c r="I294" s="599">
        <f t="shared" si="57"/>
        <v>1</v>
      </c>
      <c r="J294" s="608"/>
      <c r="K294" s="599">
        <f t="shared" si="58"/>
        <v>1</v>
      </c>
      <c r="L294" s="608"/>
      <c r="M294" s="599">
        <f t="shared" si="59"/>
        <v>1</v>
      </c>
      <c r="N294" s="608"/>
      <c r="O294" s="599">
        <f t="shared" si="60"/>
        <v>1</v>
      </c>
      <c r="P294" s="608"/>
      <c r="Q294" s="599">
        <f t="shared" si="61"/>
        <v>1</v>
      </c>
      <c r="R294" s="659">
        <f t="shared" si="62"/>
        <v>0</v>
      </c>
      <c r="S294" s="598">
        <f t="shared" si="63"/>
        <v>0</v>
      </c>
    </row>
    <row r="295" spans="1:19">
      <c r="A295" s="606"/>
      <c r="B295" s="607"/>
      <c r="C295" s="599">
        <f t="shared" si="54"/>
        <v>1</v>
      </c>
      <c r="D295" s="608"/>
      <c r="E295" s="599">
        <f t="shared" si="55"/>
        <v>0</v>
      </c>
      <c r="F295" s="608"/>
      <c r="G295" s="599">
        <f t="shared" si="56"/>
        <v>1</v>
      </c>
      <c r="H295" s="608"/>
      <c r="I295" s="599">
        <f t="shared" si="57"/>
        <v>1</v>
      </c>
      <c r="J295" s="608"/>
      <c r="K295" s="599">
        <f t="shared" si="58"/>
        <v>1</v>
      </c>
      <c r="L295" s="608"/>
      <c r="M295" s="599">
        <f t="shared" si="59"/>
        <v>1</v>
      </c>
      <c r="N295" s="608"/>
      <c r="O295" s="599">
        <f t="shared" si="60"/>
        <v>1</v>
      </c>
      <c r="P295" s="608"/>
      <c r="Q295" s="599">
        <f t="shared" si="61"/>
        <v>1</v>
      </c>
      <c r="R295" s="659">
        <f t="shared" si="62"/>
        <v>0</v>
      </c>
      <c r="S295" s="598">
        <f t="shared" si="63"/>
        <v>0</v>
      </c>
    </row>
    <row r="296" spans="1:19">
      <c r="A296" s="606"/>
      <c r="B296" s="607"/>
      <c r="C296" s="599">
        <f t="shared" si="54"/>
        <v>1</v>
      </c>
      <c r="D296" s="608"/>
      <c r="E296" s="599">
        <f t="shared" si="55"/>
        <v>0</v>
      </c>
      <c r="F296" s="608"/>
      <c r="G296" s="599">
        <f t="shared" si="56"/>
        <v>1</v>
      </c>
      <c r="H296" s="608"/>
      <c r="I296" s="599">
        <f t="shared" si="57"/>
        <v>1</v>
      </c>
      <c r="J296" s="608"/>
      <c r="K296" s="599">
        <f t="shared" si="58"/>
        <v>1</v>
      </c>
      <c r="L296" s="608"/>
      <c r="M296" s="599">
        <f t="shared" si="59"/>
        <v>1</v>
      </c>
      <c r="N296" s="608"/>
      <c r="O296" s="599">
        <f t="shared" si="60"/>
        <v>1</v>
      </c>
      <c r="P296" s="608"/>
      <c r="Q296" s="599">
        <f t="shared" si="61"/>
        <v>1</v>
      </c>
      <c r="R296" s="659">
        <f t="shared" si="62"/>
        <v>0</v>
      </c>
      <c r="S296" s="598">
        <f t="shared" si="63"/>
        <v>0</v>
      </c>
    </row>
    <row r="297" spans="1:19">
      <c r="A297" s="606"/>
      <c r="B297" s="607"/>
      <c r="C297" s="599">
        <f t="shared" si="54"/>
        <v>1</v>
      </c>
      <c r="D297" s="608"/>
      <c r="E297" s="599">
        <f t="shared" si="55"/>
        <v>0</v>
      </c>
      <c r="F297" s="608"/>
      <c r="G297" s="599">
        <f t="shared" si="56"/>
        <v>1</v>
      </c>
      <c r="H297" s="608"/>
      <c r="I297" s="599">
        <f t="shared" si="57"/>
        <v>1</v>
      </c>
      <c r="J297" s="608"/>
      <c r="K297" s="599">
        <f t="shared" si="58"/>
        <v>1</v>
      </c>
      <c r="L297" s="608"/>
      <c r="M297" s="599">
        <f t="shared" si="59"/>
        <v>1</v>
      </c>
      <c r="N297" s="608"/>
      <c r="O297" s="599">
        <f t="shared" si="60"/>
        <v>1</v>
      </c>
      <c r="P297" s="608"/>
      <c r="Q297" s="599">
        <f t="shared" si="61"/>
        <v>1</v>
      </c>
      <c r="R297" s="659">
        <f t="shared" si="62"/>
        <v>0</v>
      </c>
      <c r="S297" s="598">
        <f t="shared" si="63"/>
        <v>0</v>
      </c>
    </row>
    <row r="298" spans="1:19">
      <c r="A298" s="606"/>
      <c r="B298" s="607"/>
      <c r="C298" s="599">
        <f t="shared" si="54"/>
        <v>1</v>
      </c>
      <c r="D298" s="608"/>
      <c r="E298" s="599">
        <f t="shared" si="55"/>
        <v>0</v>
      </c>
      <c r="F298" s="608"/>
      <c r="G298" s="599">
        <f t="shared" si="56"/>
        <v>1</v>
      </c>
      <c r="H298" s="608"/>
      <c r="I298" s="599">
        <f t="shared" si="57"/>
        <v>1</v>
      </c>
      <c r="J298" s="608"/>
      <c r="K298" s="599">
        <f t="shared" si="58"/>
        <v>1</v>
      </c>
      <c r="L298" s="608"/>
      <c r="M298" s="599">
        <f t="shared" si="59"/>
        <v>1</v>
      </c>
      <c r="N298" s="608"/>
      <c r="O298" s="599">
        <f t="shared" si="60"/>
        <v>1</v>
      </c>
      <c r="P298" s="608"/>
      <c r="Q298" s="599">
        <f t="shared" si="61"/>
        <v>1</v>
      </c>
      <c r="R298" s="659">
        <f t="shared" si="62"/>
        <v>0</v>
      </c>
      <c r="S298" s="598">
        <f t="shared" si="63"/>
        <v>0</v>
      </c>
    </row>
    <row r="299" spans="1:19">
      <c r="A299" s="606"/>
      <c r="B299" s="607"/>
      <c r="C299" s="599">
        <f t="shared" si="54"/>
        <v>1</v>
      </c>
      <c r="D299" s="608"/>
      <c r="E299" s="599">
        <f t="shared" si="55"/>
        <v>0</v>
      </c>
      <c r="F299" s="608"/>
      <c r="G299" s="599">
        <f t="shared" si="56"/>
        <v>1</v>
      </c>
      <c r="H299" s="608"/>
      <c r="I299" s="599">
        <f t="shared" si="57"/>
        <v>1</v>
      </c>
      <c r="J299" s="608"/>
      <c r="K299" s="599">
        <f t="shared" si="58"/>
        <v>1</v>
      </c>
      <c r="L299" s="608"/>
      <c r="M299" s="599">
        <f t="shared" si="59"/>
        <v>1</v>
      </c>
      <c r="N299" s="608"/>
      <c r="O299" s="599">
        <f t="shared" si="60"/>
        <v>1</v>
      </c>
      <c r="P299" s="608"/>
      <c r="Q299" s="599">
        <f t="shared" si="61"/>
        <v>1</v>
      </c>
      <c r="R299" s="659">
        <f t="shared" si="62"/>
        <v>0</v>
      </c>
      <c r="S299" s="598">
        <f t="shared" si="63"/>
        <v>0</v>
      </c>
    </row>
    <row r="300" spans="1:19">
      <c r="A300" s="606"/>
      <c r="B300" s="607"/>
      <c r="C300" s="599">
        <f t="shared" si="54"/>
        <v>1</v>
      </c>
      <c r="D300" s="608"/>
      <c r="E300" s="599">
        <f t="shared" si="55"/>
        <v>0</v>
      </c>
      <c r="F300" s="608"/>
      <c r="G300" s="599">
        <f t="shared" si="56"/>
        <v>1</v>
      </c>
      <c r="H300" s="608"/>
      <c r="I300" s="599">
        <f t="shared" si="57"/>
        <v>1</v>
      </c>
      <c r="J300" s="608"/>
      <c r="K300" s="599">
        <f t="shared" si="58"/>
        <v>1</v>
      </c>
      <c r="L300" s="608"/>
      <c r="M300" s="599">
        <f t="shared" si="59"/>
        <v>1</v>
      </c>
      <c r="N300" s="608"/>
      <c r="O300" s="599">
        <f t="shared" si="60"/>
        <v>1</v>
      </c>
      <c r="P300" s="608"/>
      <c r="Q300" s="599">
        <f t="shared" si="61"/>
        <v>1</v>
      </c>
      <c r="R300" s="659">
        <f t="shared" si="62"/>
        <v>0</v>
      </c>
      <c r="S300" s="598">
        <f t="shared" si="63"/>
        <v>0</v>
      </c>
    </row>
    <row r="301" spans="1:19">
      <c r="A301" s="606"/>
      <c r="B301" s="607"/>
      <c r="C301" s="599">
        <f t="shared" si="54"/>
        <v>1</v>
      </c>
      <c r="D301" s="608"/>
      <c r="E301" s="599">
        <f t="shared" si="55"/>
        <v>0</v>
      </c>
      <c r="F301" s="608"/>
      <c r="G301" s="599">
        <f t="shared" si="56"/>
        <v>1</v>
      </c>
      <c r="H301" s="608"/>
      <c r="I301" s="599">
        <f t="shared" si="57"/>
        <v>1</v>
      </c>
      <c r="J301" s="608"/>
      <c r="K301" s="599">
        <f t="shared" si="58"/>
        <v>1</v>
      </c>
      <c r="L301" s="608"/>
      <c r="M301" s="599">
        <f t="shared" si="59"/>
        <v>1</v>
      </c>
      <c r="N301" s="608"/>
      <c r="O301" s="599">
        <f t="shared" si="60"/>
        <v>1</v>
      </c>
      <c r="P301" s="608"/>
      <c r="Q301" s="599">
        <f t="shared" si="61"/>
        <v>1</v>
      </c>
      <c r="R301" s="659">
        <f t="shared" si="62"/>
        <v>0</v>
      </c>
      <c r="S301" s="598">
        <f t="shared" si="63"/>
        <v>0</v>
      </c>
    </row>
    <row r="302" spans="1:19">
      <c r="A302" s="606"/>
      <c r="B302" s="607"/>
      <c r="C302" s="599">
        <f t="shared" si="54"/>
        <v>1</v>
      </c>
      <c r="D302" s="608"/>
      <c r="E302" s="599">
        <f t="shared" si="55"/>
        <v>0</v>
      </c>
      <c r="F302" s="608"/>
      <c r="G302" s="599">
        <f t="shared" si="56"/>
        <v>1</v>
      </c>
      <c r="H302" s="608"/>
      <c r="I302" s="599">
        <f t="shared" si="57"/>
        <v>1</v>
      </c>
      <c r="J302" s="608"/>
      <c r="K302" s="599">
        <f t="shared" si="58"/>
        <v>1</v>
      </c>
      <c r="L302" s="608"/>
      <c r="M302" s="599">
        <f t="shared" si="59"/>
        <v>1</v>
      </c>
      <c r="N302" s="608"/>
      <c r="O302" s="599">
        <f t="shared" si="60"/>
        <v>1</v>
      </c>
      <c r="P302" s="608"/>
      <c r="Q302" s="599">
        <f t="shared" si="61"/>
        <v>1</v>
      </c>
      <c r="R302" s="659">
        <f t="shared" si="62"/>
        <v>0</v>
      </c>
      <c r="S302" s="598">
        <f t="shared" si="63"/>
        <v>0</v>
      </c>
    </row>
    <row r="303" spans="1:19">
      <c r="A303" s="606"/>
      <c r="B303" s="607"/>
      <c r="C303" s="599">
        <f t="shared" si="54"/>
        <v>1</v>
      </c>
      <c r="D303" s="608"/>
      <c r="E303" s="599">
        <f t="shared" si="55"/>
        <v>0</v>
      </c>
      <c r="F303" s="608"/>
      <c r="G303" s="599">
        <f t="shared" si="56"/>
        <v>1</v>
      </c>
      <c r="H303" s="608"/>
      <c r="I303" s="599">
        <f t="shared" si="57"/>
        <v>1</v>
      </c>
      <c r="J303" s="608"/>
      <c r="K303" s="599">
        <f t="shared" si="58"/>
        <v>1</v>
      </c>
      <c r="L303" s="608"/>
      <c r="M303" s="599">
        <f t="shared" si="59"/>
        <v>1</v>
      </c>
      <c r="N303" s="608"/>
      <c r="O303" s="599">
        <f t="shared" si="60"/>
        <v>1</v>
      </c>
      <c r="P303" s="608"/>
      <c r="Q303" s="599">
        <f t="shared" si="61"/>
        <v>1</v>
      </c>
      <c r="R303" s="659">
        <f t="shared" si="62"/>
        <v>0</v>
      </c>
      <c r="S303" s="598">
        <f t="shared" si="63"/>
        <v>0</v>
      </c>
    </row>
    <row r="304" spans="1:19">
      <c r="A304" s="606"/>
      <c r="B304" s="607"/>
      <c r="C304" s="599">
        <f t="shared" si="54"/>
        <v>1</v>
      </c>
      <c r="D304" s="608"/>
      <c r="E304" s="599">
        <f t="shared" si="55"/>
        <v>0</v>
      </c>
      <c r="F304" s="608"/>
      <c r="G304" s="599">
        <f t="shared" si="56"/>
        <v>1</v>
      </c>
      <c r="H304" s="608"/>
      <c r="I304" s="599">
        <f t="shared" si="57"/>
        <v>1</v>
      </c>
      <c r="J304" s="608"/>
      <c r="K304" s="599">
        <f t="shared" si="58"/>
        <v>1</v>
      </c>
      <c r="L304" s="608"/>
      <c r="M304" s="599">
        <f t="shared" si="59"/>
        <v>1</v>
      </c>
      <c r="N304" s="608"/>
      <c r="O304" s="599">
        <f t="shared" si="60"/>
        <v>1</v>
      </c>
      <c r="P304" s="608"/>
      <c r="Q304" s="599">
        <f t="shared" si="61"/>
        <v>1</v>
      </c>
      <c r="R304" s="659">
        <f t="shared" si="62"/>
        <v>0</v>
      </c>
      <c r="S304" s="598">
        <f t="shared" si="63"/>
        <v>0</v>
      </c>
    </row>
    <row r="305" spans="1:19">
      <c r="A305" s="606"/>
      <c r="B305" s="607"/>
      <c r="C305" s="599">
        <f t="shared" si="54"/>
        <v>1</v>
      </c>
      <c r="D305" s="608"/>
      <c r="E305" s="599">
        <f t="shared" si="55"/>
        <v>0</v>
      </c>
      <c r="F305" s="608"/>
      <c r="G305" s="599">
        <f t="shared" si="56"/>
        <v>1</v>
      </c>
      <c r="H305" s="608"/>
      <c r="I305" s="599">
        <f t="shared" si="57"/>
        <v>1</v>
      </c>
      <c r="J305" s="608"/>
      <c r="K305" s="599">
        <f t="shared" si="58"/>
        <v>1</v>
      </c>
      <c r="L305" s="608"/>
      <c r="M305" s="599">
        <f t="shared" si="59"/>
        <v>1</v>
      </c>
      <c r="N305" s="608"/>
      <c r="O305" s="599">
        <f t="shared" si="60"/>
        <v>1</v>
      </c>
      <c r="P305" s="608"/>
      <c r="Q305" s="599">
        <f t="shared" si="61"/>
        <v>1</v>
      </c>
      <c r="R305" s="659">
        <f t="shared" si="62"/>
        <v>0</v>
      </c>
      <c r="S305" s="598">
        <f t="shared" si="63"/>
        <v>0</v>
      </c>
    </row>
    <row r="306" spans="1:19">
      <c r="A306" s="606"/>
      <c r="B306" s="607"/>
      <c r="C306" s="599">
        <f t="shared" si="54"/>
        <v>1</v>
      </c>
      <c r="D306" s="608"/>
      <c r="E306" s="599">
        <f t="shared" si="55"/>
        <v>0</v>
      </c>
      <c r="F306" s="608"/>
      <c r="G306" s="599">
        <f t="shared" si="56"/>
        <v>1</v>
      </c>
      <c r="H306" s="608"/>
      <c r="I306" s="599">
        <f t="shared" si="57"/>
        <v>1</v>
      </c>
      <c r="J306" s="608"/>
      <c r="K306" s="599">
        <f t="shared" si="58"/>
        <v>1</v>
      </c>
      <c r="L306" s="608"/>
      <c r="M306" s="599">
        <f t="shared" si="59"/>
        <v>1</v>
      </c>
      <c r="N306" s="608"/>
      <c r="O306" s="599">
        <f t="shared" si="60"/>
        <v>1</v>
      </c>
      <c r="P306" s="608"/>
      <c r="Q306" s="599">
        <f t="shared" si="61"/>
        <v>1</v>
      </c>
      <c r="R306" s="659">
        <f t="shared" si="62"/>
        <v>0</v>
      </c>
      <c r="S306" s="598">
        <f t="shared" si="63"/>
        <v>0</v>
      </c>
    </row>
    <row r="307" spans="1:19">
      <c r="A307" s="606"/>
      <c r="B307" s="607"/>
      <c r="C307" s="599">
        <f t="shared" si="54"/>
        <v>1</v>
      </c>
      <c r="D307" s="608"/>
      <c r="E307" s="599">
        <f t="shared" si="55"/>
        <v>0</v>
      </c>
      <c r="F307" s="608"/>
      <c r="G307" s="599">
        <f t="shared" si="56"/>
        <v>1</v>
      </c>
      <c r="H307" s="608"/>
      <c r="I307" s="599">
        <f t="shared" si="57"/>
        <v>1</v>
      </c>
      <c r="J307" s="608"/>
      <c r="K307" s="599">
        <f t="shared" si="58"/>
        <v>1</v>
      </c>
      <c r="L307" s="608"/>
      <c r="M307" s="599">
        <f t="shared" si="59"/>
        <v>1</v>
      </c>
      <c r="N307" s="608"/>
      <c r="O307" s="599">
        <f t="shared" si="60"/>
        <v>1</v>
      </c>
      <c r="P307" s="608"/>
      <c r="Q307" s="599">
        <f t="shared" si="61"/>
        <v>1</v>
      </c>
      <c r="R307" s="659">
        <f t="shared" si="62"/>
        <v>0</v>
      </c>
      <c r="S307" s="598">
        <f t="shared" si="63"/>
        <v>0</v>
      </c>
    </row>
    <row r="308" spans="1:19">
      <c r="A308" s="606"/>
      <c r="B308" s="607"/>
      <c r="C308" s="599">
        <f t="shared" si="54"/>
        <v>1</v>
      </c>
      <c r="D308" s="608"/>
      <c r="E308" s="599">
        <f t="shared" si="55"/>
        <v>0</v>
      </c>
      <c r="F308" s="608"/>
      <c r="G308" s="599">
        <f t="shared" si="56"/>
        <v>1</v>
      </c>
      <c r="H308" s="608"/>
      <c r="I308" s="599">
        <f t="shared" si="57"/>
        <v>1</v>
      </c>
      <c r="J308" s="608"/>
      <c r="K308" s="599">
        <f t="shared" si="58"/>
        <v>1</v>
      </c>
      <c r="L308" s="608"/>
      <c r="M308" s="599">
        <f t="shared" si="59"/>
        <v>1</v>
      </c>
      <c r="N308" s="608"/>
      <c r="O308" s="599">
        <f t="shared" si="60"/>
        <v>1</v>
      </c>
      <c r="P308" s="608"/>
      <c r="Q308" s="599">
        <f t="shared" si="61"/>
        <v>1</v>
      </c>
      <c r="R308" s="659">
        <f t="shared" si="62"/>
        <v>0</v>
      </c>
      <c r="S308" s="598">
        <f t="shared" si="63"/>
        <v>0</v>
      </c>
    </row>
    <row r="309" spans="1:19">
      <c r="A309" s="606"/>
      <c r="B309" s="607"/>
      <c r="C309" s="599">
        <f t="shared" si="54"/>
        <v>1</v>
      </c>
      <c r="D309" s="608"/>
      <c r="E309" s="599">
        <f t="shared" si="55"/>
        <v>0</v>
      </c>
      <c r="F309" s="608"/>
      <c r="G309" s="599">
        <f t="shared" si="56"/>
        <v>1</v>
      </c>
      <c r="H309" s="608"/>
      <c r="I309" s="599">
        <f t="shared" si="57"/>
        <v>1</v>
      </c>
      <c r="J309" s="608"/>
      <c r="K309" s="599">
        <f t="shared" si="58"/>
        <v>1</v>
      </c>
      <c r="L309" s="608"/>
      <c r="M309" s="599">
        <f t="shared" si="59"/>
        <v>1</v>
      </c>
      <c r="N309" s="608"/>
      <c r="O309" s="599">
        <f t="shared" si="60"/>
        <v>1</v>
      </c>
      <c r="P309" s="608"/>
      <c r="Q309" s="599">
        <f t="shared" si="61"/>
        <v>1</v>
      </c>
      <c r="R309" s="659">
        <f t="shared" si="62"/>
        <v>0</v>
      </c>
      <c r="S309" s="598">
        <f t="shared" si="63"/>
        <v>0</v>
      </c>
    </row>
    <row r="310" spans="1:19">
      <c r="A310" s="606"/>
      <c r="B310" s="607"/>
      <c r="C310" s="599">
        <f t="shared" si="54"/>
        <v>1</v>
      </c>
      <c r="D310" s="608"/>
      <c r="E310" s="599">
        <f t="shared" si="55"/>
        <v>0</v>
      </c>
      <c r="F310" s="608"/>
      <c r="G310" s="599">
        <f t="shared" si="56"/>
        <v>1</v>
      </c>
      <c r="H310" s="608"/>
      <c r="I310" s="599">
        <f t="shared" si="57"/>
        <v>1</v>
      </c>
      <c r="J310" s="608"/>
      <c r="K310" s="599">
        <f t="shared" si="58"/>
        <v>1</v>
      </c>
      <c r="L310" s="608"/>
      <c r="M310" s="599">
        <f t="shared" si="59"/>
        <v>1</v>
      </c>
      <c r="N310" s="608"/>
      <c r="O310" s="599">
        <f t="shared" si="60"/>
        <v>1</v>
      </c>
      <c r="P310" s="608"/>
      <c r="Q310" s="599">
        <f t="shared" si="61"/>
        <v>1</v>
      </c>
      <c r="R310" s="659">
        <f t="shared" si="62"/>
        <v>0</v>
      </c>
      <c r="S310" s="598">
        <f t="shared" si="63"/>
        <v>0</v>
      </c>
    </row>
    <row r="311" spans="1:19">
      <c r="A311" s="606"/>
      <c r="B311" s="607"/>
      <c r="C311" s="599">
        <f t="shared" si="54"/>
        <v>1</v>
      </c>
      <c r="D311" s="608"/>
      <c r="E311" s="599">
        <f t="shared" si="55"/>
        <v>0</v>
      </c>
      <c r="F311" s="608"/>
      <c r="G311" s="599">
        <f t="shared" si="56"/>
        <v>1</v>
      </c>
      <c r="H311" s="608"/>
      <c r="I311" s="599">
        <f t="shared" si="57"/>
        <v>1</v>
      </c>
      <c r="J311" s="608"/>
      <c r="K311" s="599">
        <f t="shared" si="58"/>
        <v>1</v>
      </c>
      <c r="L311" s="608"/>
      <c r="M311" s="599">
        <f t="shared" si="59"/>
        <v>1</v>
      </c>
      <c r="N311" s="608"/>
      <c r="O311" s="599">
        <f t="shared" si="60"/>
        <v>1</v>
      </c>
      <c r="P311" s="608"/>
      <c r="Q311" s="599">
        <f t="shared" si="61"/>
        <v>1</v>
      </c>
      <c r="R311" s="659">
        <f t="shared" si="62"/>
        <v>0</v>
      </c>
      <c r="S311" s="598">
        <f t="shared" si="63"/>
        <v>0</v>
      </c>
    </row>
    <row r="312" spans="1:19">
      <c r="A312" s="606"/>
      <c r="B312" s="607"/>
      <c r="C312" s="599">
        <f t="shared" si="54"/>
        <v>1</v>
      </c>
      <c r="D312" s="608"/>
      <c r="E312" s="599">
        <f t="shared" si="55"/>
        <v>0</v>
      </c>
      <c r="F312" s="608"/>
      <c r="G312" s="599">
        <f t="shared" si="56"/>
        <v>1</v>
      </c>
      <c r="H312" s="608"/>
      <c r="I312" s="599">
        <f t="shared" si="57"/>
        <v>1</v>
      </c>
      <c r="J312" s="608"/>
      <c r="K312" s="599">
        <f t="shared" si="58"/>
        <v>1</v>
      </c>
      <c r="L312" s="608"/>
      <c r="M312" s="599">
        <f t="shared" si="59"/>
        <v>1</v>
      </c>
      <c r="N312" s="608"/>
      <c r="O312" s="599">
        <f t="shared" si="60"/>
        <v>1</v>
      </c>
      <c r="P312" s="608"/>
      <c r="Q312" s="599">
        <f t="shared" si="61"/>
        <v>1</v>
      </c>
      <c r="R312" s="659">
        <f t="shared" si="62"/>
        <v>0</v>
      </c>
      <c r="S312" s="598">
        <f t="shared" si="63"/>
        <v>0</v>
      </c>
    </row>
    <row r="313" spans="1:19">
      <c r="A313" s="606"/>
      <c r="B313" s="607"/>
      <c r="C313" s="599">
        <f t="shared" si="54"/>
        <v>1</v>
      </c>
      <c r="D313" s="608"/>
      <c r="E313" s="599">
        <f t="shared" si="55"/>
        <v>0</v>
      </c>
      <c r="F313" s="608"/>
      <c r="G313" s="599">
        <f t="shared" si="56"/>
        <v>1</v>
      </c>
      <c r="H313" s="608"/>
      <c r="I313" s="599">
        <f t="shared" si="57"/>
        <v>1</v>
      </c>
      <c r="J313" s="608"/>
      <c r="K313" s="599">
        <f t="shared" si="58"/>
        <v>1</v>
      </c>
      <c r="L313" s="608"/>
      <c r="M313" s="599">
        <f t="shared" si="59"/>
        <v>1</v>
      </c>
      <c r="N313" s="608"/>
      <c r="O313" s="599">
        <f t="shared" si="60"/>
        <v>1</v>
      </c>
      <c r="P313" s="608"/>
      <c r="Q313" s="599">
        <f t="shared" si="61"/>
        <v>1</v>
      </c>
      <c r="R313" s="659">
        <f t="shared" si="62"/>
        <v>0</v>
      </c>
      <c r="S313" s="598">
        <f t="shared" si="63"/>
        <v>0</v>
      </c>
    </row>
    <row r="314" spans="1:19">
      <c r="A314" s="606"/>
      <c r="B314" s="607"/>
      <c r="C314" s="599">
        <f t="shared" si="54"/>
        <v>1</v>
      </c>
      <c r="D314" s="608"/>
      <c r="E314" s="599">
        <f t="shared" si="55"/>
        <v>0</v>
      </c>
      <c r="F314" s="608"/>
      <c r="G314" s="599">
        <f t="shared" si="56"/>
        <v>1</v>
      </c>
      <c r="H314" s="608"/>
      <c r="I314" s="599">
        <f t="shared" si="57"/>
        <v>1</v>
      </c>
      <c r="J314" s="608"/>
      <c r="K314" s="599">
        <f t="shared" si="58"/>
        <v>1</v>
      </c>
      <c r="L314" s="608"/>
      <c r="M314" s="599">
        <f t="shared" si="59"/>
        <v>1</v>
      </c>
      <c r="N314" s="608"/>
      <c r="O314" s="599">
        <f t="shared" si="60"/>
        <v>1</v>
      </c>
      <c r="P314" s="608"/>
      <c r="Q314" s="599">
        <f t="shared" si="61"/>
        <v>1</v>
      </c>
      <c r="R314" s="659">
        <f t="shared" si="62"/>
        <v>0</v>
      </c>
      <c r="S314" s="598">
        <f t="shared" si="63"/>
        <v>0</v>
      </c>
    </row>
    <row r="315" spans="1:19">
      <c r="A315" s="606"/>
      <c r="B315" s="607"/>
      <c r="C315" s="599">
        <f t="shared" si="54"/>
        <v>1</v>
      </c>
      <c r="D315" s="608"/>
      <c r="E315" s="599">
        <f t="shared" si="55"/>
        <v>0</v>
      </c>
      <c r="F315" s="608"/>
      <c r="G315" s="599">
        <f t="shared" si="56"/>
        <v>1</v>
      </c>
      <c r="H315" s="608"/>
      <c r="I315" s="599">
        <f t="shared" si="57"/>
        <v>1</v>
      </c>
      <c r="J315" s="608"/>
      <c r="K315" s="599">
        <f t="shared" si="58"/>
        <v>1</v>
      </c>
      <c r="L315" s="608"/>
      <c r="M315" s="599">
        <f t="shared" si="59"/>
        <v>1</v>
      </c>
      <c r="N315" s="608"/>
      <c r="O315" s="599">
        <f t="shared" si="60"/>
        <v>1</v>
      </c>
      <c r="P315" s="608"/>
      <c r="Q315" s="599">
        <f t="shared" si="61"/>
        <v>1</v>
      </c>
      <c r="R315" s="659">
        <f t="shared" si="62"/>
        <v>0</v>
      </c>
      <c r="S315" s="598">
        <f t="shared" si="63"/>
        <v>0</v>
      </c>
    </row>
    <row r="316" spans="1:19">
      <c r="A316" s="606"/>
      <c r="B316" s="607"/>
      <c r="C316" s="599">
        <f t="shared" si="54"/>
        <v>1</v>
      </c>
      <c r="D316" s="608"/>
      <c r="E316" s="599">
        <f t="shared" si="55"/>
        <v>0</v>
      </c>
      <c r="F316" s="608"/>
      <c r="G316" s="599">
        <f t="shared" si="56"/>
        <v>1</v>
      </c>
      <c r="H316" s="608"/>
      <c r="I316" s="599">
        <f t="shared" si="57"/>
        <v>1</v>
      </c>
      <c r="J316" s="608"/>
      <c r="K316" s="599">
        <f t="shared" si="58"/>
        <v>1</v>
      </c>
      <c r="L316" s="608"/>
      <c r="M316" s="599">
        <f t="shared" si="59"/>
        <v>1</v>
      </c>
      <c r="N316" s="608"/>
      <c r="O316" s="599">
        <f t="shared" si="60"/>
        <v>1</v>
      </c>
      <c r="P316" s="608"/>
      <c r="Q316" s="599">
        <f t="shared" si="61"/>
        <v>1</v>
      </c>
      <c r="R316" s="659">
        <f t="shared" si="62"/>
        <v>0</v>
      </c>
      <c r="S316" s="598">
        <f t="shared" si="63"/>
        <v>0</v>
      </c>
    </row>
    <row r="317" spans="1:19">
      <c r="A317" s="606"/>
      <c r="B317" s="607"/>
      <c r="C317" s="599">
        <f t="shared" si="54"/>
        <v>1</v>
      </c>
      <c r="D317" s="608"/>
      <c r="E317" s="599">
        <f t="shared" si="55"/>
        <v>0</v>
      </c>
      <c r="F317" s="608"/>
      <c r="G317" s="599">
        <f t="shared" si="56"/>
        <v>1</v>
      </c>
      <c r="H317" s="608"/>
      <c r="I317" s="599">
        <f t="shared" si="57"/>
        <v>1</v>
      </c>
      <c r="J317" s="608"/>
      <c r="K317" s="599">
        <f t="shared" si="58"/>
        <v>1</v>
      </c>
      <c r="L317" s="608"/>
      <c r="M317" s="599">
        <f t="shared" si="59"/>
        <v>1</v>
      </c>
      <c r="N317" s="608"/>
      <c r="O317" s="599">
        <f t="shared" si="60"/>
        <v>1</v>
      </c>
      <c r="P317" s="608"/>
      <c r="Q317" s="599">
        <f t="shared" si="61"/>
        <v>1</v>
      </c>
      <c r="R317" s="659">
        <f t="shared" si="62"/>
        <v>0</v>
      </c>
      <c r="S317" s="598">
        <f t="shared" si="63"/>
        <v>0</v>
      </c>
    </row>
    <row r="318" spans="1:19">
      <c r="A318" s="606"/>
      <c r="B318" s="607"/>
      <c r="C318" s="599">
        <f t="shared" si="54"/>
        <v>1</v>
      </c>
      <c r="D318" s="608"/>
      <c r="E318" s="599">
        <f t="shared" si="55"/>
        <v>0</v>
      </c>
      <c r="F318" s="608"/>
      <c r="G318" s="599">
        <f t="shared" si="56"/>
        <v>1</v>
      </c>
      <c r="H318" s="608"/>
      <c r="I318" s="599">
        <f t="shared" si="57"/>
        <v>1</v>
      </c>
      <c r="J318" s="608"/>
      <c r="K318" s="599">
        <f t="shared" si="58"/>
        <v>1</v>
      </c>
      <c r="L318" s="608"/>
      <c r="M318" s="599">
        <f t="shared" si="59"/>
        <v>1</v>
      </c>
      <c r="N318" s="608"/>
      <c r="O318" s="599">
        <f t="shared" si="60"/>
        <v>1</v>
      </c>
      <c r="P318" s="608"/>
      <c r="Q318" s="599">
        <f t="shared" si="61"/>
        <v>1</v>
      </c>
      <c r="R318" s="659">
        <f t="shared" si="62"/>
        <v>0</v>
      </c>
      <c r="S318" s="598">
        <f t="shared" si="63"/>
        <v>0</v>
      </c>
    </row>
    <row r="319" spans="1:19">
      <c r="A319" s="606"/>
      <c r="B319" s="607"/>
      <c r="C319" s="599">
        <f t="shared" si="54"/>
        <v>1</v>
      </c>
      <c r="D319" s="608"/>
      <c r="E319" s="599">
        <f t="shared" si="55"/>
        <v>0</v>
      </c>
      <c r="F319" s="608"/>
      <c r="G319" s="599">
        <f t="shared" si="56"/>
        <v>1</v>
      </c>
      <c r="H319" s="608"/>
      <c r="I319" s="599">
        <f t="shared" si="57"/>
        <v>1</v>
      </c>
      <c r="J319" s="608"/>
      <c r="K319" s="599">
        <f t="shared" si="58"/>
        <v>1</v>
      </c>
      <c r="L319" s="608"/>
      <c r="M319" s="599">
        <f t="shared" si="59"/>
        <v>1</v>
      </c>
      <c r="N319" s="608"/>
      <c r="O319" s="599">
        <f t="shared" si="60"/>
        <v>1</v>
      </c>
      <c r="P319" s="608"/>
      <c r="Q319" s="599">
        <f t="shared" si="61"/>
        <v>1</v>
      </c>
      <c r="R319" s="659">
        <f t="shared" si="62"/>
        <v>0</v>
      </c>
      <c r="S319" s="598">
        <f t="shared" si="63"/>
        <v>0</v>
      </c>
    </row>
    <row r="320" spans="1:19">
      <c r="A320" s="606"/>
      <c r="B320" s="607"/>
      <c r="C320" s="599">
        <f t="shared" si="54"/>
        <v>1</v>
      </c>
      <c r="D320" s="608"/>
      <c r="E320" s="599">
        <f t="shared" si="55"/>
        <v>0</v>
      </c>
      <c r="F320" s="608"/>
      <c r="G320" s="599">
        <f t="shared" si="56"/>
        <v>1</v>
      </c>
      <c r="H320" s="608"/>
      <c r="I320" s="599">
        <f t="shared" si="57"/>
        <v>1</v>
      </c>
      <c r="J320" s="608"/>
      <c r="K320" s="599">
        <f t="shared" si="58"/>
        <v>1</v>
      </c>
      <c r="L320" s="608"/>
      <c r="M320" s="599">
        <f t="shared" si="59"/>
        <v>1</v>
      </c>
      <c r="N320" s="608"/>
      <c r="O320" s="599">
        <f t="shared" si="60"/>
        <v>1</v>
      </c>
      <c r="P320" s="608"/>
      <c r="Q320" s="599">
        <f t="shared" si="61"/>
        <v>1</v>
      </c>
      <c r="R320" s="659">
        <f t="shared" si="62"/>
        <v>0</v>
      </c>
      <c r="S320" s="598">
        <f t="shared" si="63"/>
        <v>0</v>
      </c>
    </row>
    <row r="321" spans="1:19">
      <c r="A321" s="606"/>
      <c r="B321" s="607"/>
      <c r="C321" s="599">
        <f t="shared" si="54"/>
        <v>1</v>
      </c>
      <c r="D321" s="608"/>
      <c r="E321" s="599">
        <f t="shared" si="55"/>
        <v>0</v>
      </c>
      <c r="F321" s="608"/>
      <c r="G321" s="599">
        <f t="shared" si="56"/>
        <v>1</v>
      </c>
      <c r="H321" s="608"/>
      <c r="I321" s="599">
        <f t="shared" si="57"/>
        <v>1</v>
      </c>
      <c r="J321" s="608"/>
      <c r="K321" s="599">
        <f t="shared" si="58"/>
        <v>1</v>
      </c>
      <c r="L321" s="608"/>
      <c r="M321" s="599">
        <f t="shared" si="59"/>
        <v>1</v>
      </c>
      <c r="N321" s="608"/>
      <c r="O321" s="599">
        <f t="shared" si="60"/>
        <v>1</v>
      </c>
      <c r="P321" s="608"/>
      <c r="Q321" s="599">
        <f t="shared" si="61"/>
        <v>1</v>
      </c>
      <c r="R321" s="659">
        <f t="shared" si="62"/>
        <v>0</v>
      </c>
      <c r="S321" s="598">
        <f t="shared" ref="S321:S384" si="64">ROUND(R321*B321/10000,0)</f>
        <v>0</v>
      </c>
    </row>
    <row r="322" spans="1:19">
      <c r="A322" s="606"/>
      <c r="B322" s="607"/>
      <c r="C322" s="599">
        <f t="shared" si="54"/>
        <v>1</v>
      </c>
      <c r="D322" s="608"/>
      <c r="E322" s="599">
        <f t="shared" si="55"/>
        <v>0</v>
      </c>
      <c r="F322" s="608"/>
      <c r="G322" s="599">
        <f t="shared" si="56"/>
        <v>1</v>
      </c>
      <c r="H322" s="608"/>
      <c r="I322" s="599">
        <f t="shared" si="57"/>
        <v>1</v>
      </c>
      <c r="J322" s="608"/>
      <c r="K322" s="599">
        <f t="shared" si="58"/>
        <v>1</v>
      </c>
      <c r="L322" s="608"/>
      <c r="M322" s="599">
        <f t="shared" si="59"/>
        <v>1</v>
      </c>
      <c r="N322" s="608"/>
      <c r="O322" s="599">
        <f t="shared" si="60"/>
        <v>1</v>
      </c>
      <c r="P322" s="608"/>
      <c r="Q322" s="599">
        <f t="shared" si="61"/>
        <v>1</v>
      </c>
      <c r="R322" s="659">
        <f t="shared" si="62"/>
        <v>0</v>
      </c>
      <c r="S322" s="598">
        <f t="shared" si="64"/>
        <v>0</v>
      </c>
    </row>
    <row r="323" spans="1:19">
      <c r="A323" s="606"/>
      <c r="B323" s="607"/>
      <c r="C323" s="599">
        <f t="shared" si="54"/>
        <v>1</v>
      </c>
      <c r="D323" s="608"/>
      <c r="E323" s="599">
        <f t="shared" si="55"/>
        <v>0</v>
      </c>
      <c r="F323" s="608"/>
      <c r="G323" s="599">
        <f t="shared" si="56"/>
        <v>1</v>
      </c>
      <c r="H323" s="608"/>
      <c r="I323" s="599">
        <f t="shared" si="57"/>
        <v>1</v>
      </c>
      <c r="J323" s="608"/>
      <c r="K323" s="599">
        <f t="shared" si="58"/>
        <v>1</v>
      </c>
      <c r="L323" s="608"/>
      <c r="M323" s="599">
        <f t="shared" si="59"/>
        <v>1</v>
      </c>
      <c r="N323" s="608"/>
      <c r="O323" s="599">
        <f t="shared" si="60"/>
        <v>1</v>
      </c>
      <c r="P323" s="608"/>
      <c r="Q323" s="599">
        <f t="shared" si="61"/>
        <v>1</v>
      </c>
      <c r="R323" s="659">
        <f t="shared" si="62"/>
        <v>0</v>
      </c>
      <c r="S323" s="598">
        <f t="shared" si="64"/>
        <v>0</v>
      </c>
    </row>
    <row r="324" spans="1:19">
      <c r="A324" s="606"/>
      <c r="B324" s="607"/>
      <c r="C324" s="599">
        <f t="shared" si="54"/>
        <v>1</v>
      </c>
      <c r="D324" s="608"/>
      <c r="E324" s="599">
        <f t="shared" si="55"/>
        <v>0</v>
      </c>
      <c r="F324" s="608"/>
      <c r="G324" s="599">
        <f t="shared" si="56"/>
        <v>1</v>
      </c>
      <c r="H324" s="608"/>
      <c r="I324" s="599">
        <f t="shared" si="57"/>
        <v>1</v>
      </c>
      <c r="J324" s="608"/>
      <c r="K324" s="599">
        <f t="shared" si="58"/>
        <v>1</v>
      </c>
      <c r="L324" s="608"/>
      <c r="M324" s="599">
        <f t="shared" si="59"/>
        <v>1</v>
      </c>
      <c r="N324" s="608"/>
      <c r="O324" s="599">
        <f t="shared" si="60"/>
        <v>1</v>
      </c>
      <c r="P324" s="608"/>
      <c r="Q324" s="599">
        <f t="shared" si="61"/>
        <v>1</v>
      </c>
      <c r="R324" s="659">
        <f t="shared" si="62"/>
        <v>0</v>
      </c>
      <c r="S324" s="598">
        <f t="shared" si="64"/>
        <v>0</v>
      </c>
    </row>
    <row r="325" spans="1:19">
      <c r="A325" s="606"/>
      <c r="B325" s="607"/>
      <c r="C325" s="599">
        <f t="shared" si="54"/>
        <v>1</v>
      </c>
      <c r="D325" s="608"/>
      <c r="E325" s="599">
        <f t="shared" si="55"/>
        <v>0</v>
      </c>
      <c r="F325" s="608"/>
      <c r="G325" s="599">
        <f t="shared" si="56"/>
        <v>1</v>
      </c>
      <c r="H325" s="608"/>
      <c r="I325" s="599">
        <f t="shared" si="57"/>
        <v>1</v>
      </c>
      <c r="J325" s="608"/>
      <c r="K325" s="599">
        <f t="shared" si="58"/>
        <v>1</v>
      </c>
      <c r="L325" s="608"/>
      <c r="M325" s="599">
        <f t="shared" si="59"/>
        <v>1</v>
      </c>
      <c r="N325" s="608"/>
      <c r="O325" s="599">
        <f t="shared" si="60"/>
        <v>1</v>
      </c>
      <c r="P325" s="608"/>
      <c r="Q325" s="599">
        <f t="shared" si="61"/>
        <v>1</v>
      </c>
      <c r="R325" s="659">
        <f t="shared" si="62"/>
        <v>0</v>
      </c>
      <c r="S325" s="598">
        <f t="shared" si="64"/>
        <v>0</v>
      </c>
    </row>
    <row r="326" spans="1:19">
      <c r="A326" s="606"/>
      <c r="B326" s="607"/>
      <c r="C326" s="599">
        <f t="shared" si="54"/>
        <v>1</v>
      </c>
      <c r="D326" s="608"/>
      <c r="E326" s="599">
        <f t="shared" si="55"/>
        <v>0</v>
      </c>
      <c r="F326" s="608"/>
      <c r="G326" s="599">
        <f t="shared" si="56"/>
        <v>1</v>
      </c>
      <c r="H326" s="608"/>
      <c r="I326" s="599">
        <f t="shared" si="57"/>
        <v>1</v>
      </c>
      <c r="J326" s="608"/>
      <c r="K326" s="599">
        <f t="shared" si="58"/>
        <v>1</v>
      </c>
      <c r="L326" s="608"/>
      <c r="M326" s="599">
        <f t="shared" si="59"/>
        <v>1</v>
      </c>
      <c r="N326" s="608"/>
      <c r="O326" s="599">
        <f t="shared" si="60"/>
        <v>1</v>
      </c>
      <c r="P326" s="608"/>
      <c r="Q326" s="599">
        <f t="shared" si="61"/>
        <v>1</v>
      </c>
      <c r="R326" s="659">
        <f t="shared" si="62"/>
        <v>0</v>
      </c>
      <c r="S326" s="598">
        <f t="shared" si="64"/>
        <v>0</v>
      </c>
    </row>
    <row r="327" spans="1:19">
      <c r="A327" s="606"/>
      <c r="B327" s="607"/>
      <c r="C327" s="599">
        <f t="shared" si="54"/>
        <v>1</v>
      </c>
      <c r="D327" s="608"/>
      <c r="E327" s="599">
        <f t="shared" si="55"/>
        <v>0</v>
      </c>
      <c r="F327" s="608"/>
      <c r="G327" s="599">
        <f t="shared" si="56"/>
        <v>1</v>
      </c>
      <c r="H327" s="608"/>
      <c r="I327" s="599">
        <f t="shared" si="57"/>
        <v>1</v>
      </c>
      <c r="J327" s="608"/>
      <c r="K327" s="599">
        <f t="shared" si="58"/>
        <v>1</v>
      </c>
      <c r="L327" s="608"/>
      <c r="M327" s="599">
        <f t="shared" si="59"/>
        <v>1</v>
      </c>
      <c r="N327" s="608"/>
      <c r="O327" s="599">
        <f t="shared" si="60"/>
        <v>1</v>
      </c>
      <c r="P327" s="608"/>
      <c r="Q327" s="599">
        <f t="shared" si="61"/>
        <v>1</v>
      </c>
      <c r="R327" s="659">
        <f t="shared" si="62"/>
        <v>0</v>
      </c>
      <c r="S327" s="598">
        <f t="shared" si="64"/>
        <v>0</v>
      </c>
    </row>
    <row r="328" spans="1:19">
      <c r="A328" s="606"/>
      <c r="B328" s="607"/>
      <c r="C328" s="599">
        <f t="shared" si="54"/>
        <v>1</v>
      </c>
      <c r="D328" s="608"/>
      <c r="E328" s="599">
        <f t="shared" si="55"/>
        <v>0</v>
      </c>
      <c r="F328" s="608"/>
      <c r="G328" s="599">
        <f t="shared" si="56"/>
        <v>1</v>
      </c>
      <c r="H328" s="608"/>
      <c r="I328" s="599">
        <f t="shared" si="57"/>
        <v>1</v>
      </c>
      <c r="J328" s="608"/>
      <c r="K328" s="599">
        <f t="shared" si="58"/>
        <v>1</v>
      </c>
      <c r="L328" s="608"/>
      <c r="M328" s="599">
        <f t="shared" si="59"/>
        <v>1</v>
      </c>
      <c r="N328" s="608"/>
      <c r="O328" s="599">
        <f t="shared" si="60"/>
        <v>1</v>
      </c>
      <c r="P328" s="608"/>
      <c r="Q328" s="599">
        <f t="shared" si="61"/>
        <v>1</v>
      </c>
      <c r="R328" s="659">
        <f t="shared" si="62"/>
        <v>0</v>
      </c>
      <c r="S328" s="598">
        <f t="shared" si="64"/>
        <v>0</v>
      </c>
    </row>
    <row r="329" spans="1:19">
      <c r="A329" s="606"/>
      <c r="B329" s="607"/>
      <c r="C329" s="599">
        <f t="shared" si="54"/>
        <v>1</v>
      </c>
      <c r="D329" s="608"/>
      <c r="E329" s="599">
        <f t="shared" si="55"/>
        <v>0</v>
      </c>
      <c r="F329" s="608"/>
      <c r="G329" s="599">
        <f t="shared" si="56"/>
        <v>1</v>
      </c>
      <c r="H329" s="608"/>
      <c r="I329" s="599">
        <f t="shared" si="57"/>
        <v>1</v>
      </c>
      <c r="J329" s="608"/>
      <c r="K329" s="599">
        <f t="shared" si="58"/>
        <v>1</v>
      </c>
      <c r="L329" s="608"/>
      <c r="M329" s="599">
        <f t="shared" si="59"/>
        <v>1</v>
      </c>
      <c r="N329" s="608"/>
      <c r="O329" s="599">
        <f t="shared" si="60"/>
        <v>1</v>
      </c>
      <c r="P329" s="608"/>
      <c r="Q329" s="599">
        <f t="shared" si="61"/>
        <v>1</v>
      </c>
      <c r="R329" s="659">
        <f t="shared" si="62"/>
        <v>0</v>
      </c>
      <c r="S329" s="598">
        <f t="shared" si="64"/>
        <v>0</v>
      </c>
    </row>
    <row r="330" spans="1:19">
      <c r="A330" s="606"/>
      <c r="B330" s="607"/>
      <c r="C330" s="599">
        <f t="shared" si="54"/>
        <v>1</v>
      </c>
      <c r="D330" s="608"/>
      <c r="E330" s="599">
        <f t="shared" si="55"/>
        <v>0</v>
      </c>
      <c r="F330" s="608"/>
      <c r="G330" s="599">
        <f t="shared" si="56"/>
        <v>1</v>
      </c>
      <c r="H330" s="608"/>
      <c r="I330" s="599">
        <f t="shared" si="57"/>
        <v>1</v>
      </c>
      <c r="J330" s="608"/>
      <c r="K330" s="599">
        <f t="shared" si="58"/>
        <v>1</v>
      </c>
      <c r="L330" s="608"/>
      <c r="M330" s="599">
        <f t="shared" si="59"/>
        <v>1</v>
      </c>
      <c r="N330" s="608"/>
      <c r="O330" s="599">
        <f t="shared" si="60"/>
        <v>1</v>
      </c>
      <c r="P330" s="608"/>
      <c r="Q330" s="599">
        <f t="shared" si="61"/>
        <v>1</v>
      </c>
      <c r="R330" s="659">
        <f t="shared" si="62"/>
        <v>0</v>
      </c>
      <c r="S330" s="598">
        <f t="shared" si="64"/>
        <v>0</v>
      </c>
    </row>
    <row r="331" spans="1:19">
      <c r="A331" s="606"/>
      <c r="B331" s="607"/>
      <c r="C331" s="599">
        <f t="shared" si="54"/>
        <v>1</v>
      </c>
      <c r="D331" s="608"/>
      <c r="E331" s="599">
        <f t="shared" si="55"/>
        <v>0</v>
      </c>
      <c r="F331" s="608"/>
      <c r="G331" s="599">
        <f t="shared" si="56"/>
        <v>1</v>
      </c>
      <c r="H331" s="608"/>
      <c r="I331" s="599">
        <f t="shared" si="57"/>
        <v>1</v>
      </c>
      <c r="J331" s="608"/>
      <c r="K331" s="599">
        <f t="shared" si="58"/>
        <v>1</v>
      </c>
      <c r="L331" s="608"/>
      <c r="M331" s="599">
        <f t="shared" si="59"/>
        <v>1</v>
      </c>
      <c r="N331" s="608"/>
      <c r="O331" s="599">
        <f t="shared" si="60"/>
        <v>1</v>
      </c>
      <c r="P331" s="608"/>
      <c r="Q331" s="599">
        <f t="shared" si="61"/>
        <v>1</v>
      </c>
      <c r="R331" s="659">
        <f t="shared" si="62"/>
        <v>0</v>
      </c>
      <c r="S331" s="598">
        <f t="shared" si="64"/>
        <v>0</v>
      </c>
    </row>
    <row r="332" spans="1:19">
      <c r="A332" s="606"/>
      <c r="B332" s="607"/>
      <c r="C332" s="599">
        <f t="shared" si="54"/>
        <v>1</v>
      </c>
      <c r="D332" s="608"/>
      <c r="E332" s="599">
        <f t="shared" si="55"/>
        <v>0</v>
      </c>
      <c r="F332" s="608"/>
      <c r="G332" s="599">
        <f t="shared" si="56"/>
        <v>1</v>
      </c>
      <c r="H332" s="608"/>
      <c r="I332" s="599">
        <f t="shared" si="57"/>
        <v>1</v>
      </c>
      <c r="J332" s="608"/>
      <c r="K332" s="599">
        <f t="shared" si="58"/>
        <v>1</v>
      </c>
      <c r="L332" s="608"/>
      <c r="M332" s="599">
        <f t="shared" si="59"/>
        <v>1</v>
      </c>
      <c r="N332" s="608"/>
      <c r="O332" s="599">
        <f t="shared" si="60"/>
        <v>1</v>
      </c>
      <c r="P332" s="608"/>
      <c r="Q332" s="599">
        <f t="shared" si="61"/>
        <v>1</v>
      </c>
      <c r="R332" s="659">
        <f t="shared" si="62"/>
        <v>0</v>
      </c>
      <c r="S332" s="598">
        <f t="shared" si="64"/>
        <v>0</v>
      </c>
    </row>
    <row r="333" spans="1:19">
      <c r="A333" s="606"/>
      <c r="B333" s="607"/>
      <c r="C333" s="599">
        <f t="shared" si="54"/>
        <v>1</v>
      </c>
      <c r="D333" s="608"/>
      <c r="E333" s="599">
        <f t="shared" si="55"/>
        <v>0</v>
      </c>
      <c r="F333" s="608"/>
      <c r="G333" s="599">
        <f t="shared" si="56"/>
        <v>1</v>
      </c>
      <c r="H333" s="608"/>
      <c r="I333" s="599">
        <f t="shared" si="57"/>
        <v>1</v>
      </c>
      <c r="J333" s="608"/>
      <c r="K333" s="599">
        <f t="shared" si="58"/>
        <v>1</v>
      </c>
      <c r="L333" s="608"/>
      <c r="M333" s="599">
        <f t="shared" si="59"/>
        <v>1</v>
      </c>
      <c r="N333" s="608"/>
      <c r="O333" s="599">
        <f t="shared" si="60"/>
        <v>1</v>
      </c>
      <c r="P333" s="608"/>
      <c r="Q333" s="599">
        <f t="shared" si="61"/>
        <v>1</v>
      </c>
      <c r="R333" s="659">
        <f t="shared" si="62"/>
        <v>0</v>
      </c>
      <c r="S333" s="598">
        <f t="shared" si="64"/>
        <v>0</v>
      </c>
    </row>
    <row r="334" spans="1:19">
      <c r="A334" s="606"/>
      <c r="B334" s="607"/>
      <c r="C334" s="599">
        <f t="shared" si="54"/>
        <v>1</v>
      </c>
      <c r="D334" s="608"/>
      <c r="E334" s="599">
        <f t="shared" si="55"/>
        <v>0</v>
      </c>
      <c r="F334" s="608"/>
      <c r="G334" s="599">
        <f t="shared" si="56"/>
        <v>1</v>
      </c>
      <c r="H334" s="608"/>
      <c r="I334" s="599">
        <f t="shared" si="57"/>
        <v>1</v>
      </c>
      <c r="J334" s="608"/>
      <c r="K334" s="599">
        <f t="shared" si="58"/>
        <v>1</v>
      </c>
      <c r="L334" s="608"/>
      <c r="M334" s="599">
        <f t="shared" si="59"/>
        <v>1</v>
      </c>
      <c r="N334" s="608"/>
      <c r="O334" s="599">
        <f t="shared" si="60"/>
        <v>1</v>
      </c>
      <c r="P334" s="608"/>
      <c r="Q334" s="599">
        <f t="shared" si="61"/>
        <v>1</v>
      </c>
      <c r="R334" s="659">
        <f t="shared" si="62"/>
        <v>0</v>
      </c>
      <c r="S334" s="598">
        <f t="shared" si="64"/>
        <v>0</v>
      </c>
    </row>
    <row r="335" spans="1:19">
      <c r="A335" s="606"/>
      <c r="B335" s="607"/>
      <c r="C335" s="599">
        <f t="shared" si="54"/>
        <v>1</v>
      </c>
      <c r="D335" s="608"/>
      <c r="E335" s="599">
        <f t="shared" si="55"/>
        <v>0</v>
      </c>
      <c r="F335" s="608"/>
      <c r="G335" s="599">
        <f t="shared" si="56"/>
        <v>1</v>
      </c>
      <c r="H335" s="608"/>
      <c r="I335" s="599">
        <f t="shared" si="57"/>
        <v>1</v>
      </c>
      <c r="J335" s="608"/>
      <c r="K335" s="599">
        <f t="shared" si="58"/>
        <v>1</v>
      </c>
      <c r="L335" s="608"/>
      <c r="M335" s="599">
        <f t="shared" si="59"/>
        <v>1</v>
      </c>
      <c r="N335" s="608"/>
      <c r="O335" s="599">
        <f t="shared" si="60"/>
        <v>1</v>
      </c>
      <c r="P335" s="608"/>
      <c r="Q335" s="599">
        <f t="shared" si="61"/>
        <v>1</v>
      </c>
      <c r="R335" s="659">
        <f t="shared" si="62"/>
        <v>0</v>
      </c>
      <c r="S335" s="598">
        <f t="shared" si="64"/>
        <v>0</v>
      </c>
    </row>
    <row r="336" spans="1:19">
      <c r="A336" s="606"/>
      <c r="B336" s="607"/>
      <c r="C336" s="599">
        <f t="shared" si="54"/>
        <v>1</v>
      </c>
      <c r="D336" s="608"/>
      <c r="E336" s="599">
        <f t="shared" si="55"/>
        <v>0</v>
      </c>
      <c r="F336" s="608"/>
      <c r="G336" s="599">
        <f t="shared" si="56"/>
        <v>1</v>
      </c>
      <c r="H336" s="608"/>
      <c r="I336" s="599">
        <f t="shared" si="57"/>
        <v>1</v>
      </c>
      <c r="J336" s="608"/>
      <c r="K336" s="599">
        <f t="shared" si="58"/>
        <v>1</v>
      </c>
      <c r="L336" s="608"/>
      <c r="M336" s="599">
        <f t="shared" si="59"/>
        <v>1</v>
      </c>
      <c r="N336" s="608"/>
      <c r="O336" s="599">
        <f t="shared" si="60"/>
        <v>1</v>
      </c>
      <c r="P336" s="608"/>
      <c r="Q336" s="599">
        <f t="shared" si="61"/>
        <v>1</v>
      </c>
      <c r="R336" s="659">
        <f t="shared" si="62"/>
        <v>0</v>
      </c>
      <c r="S336" s="598">
        <f t="shared" si="64"/>
        <v>0</v>
      </c>
    </row>
    <row r="337" spans="1:19">
      <c r="A337" s="606"/>
      <c r="B337" s="607"/>
      <c r="C337" s="599">
        <f t="shared" si="54"/>
        <v>1</v>
      </c>
      <c r="D337" s="608"/>
      <c r="E337" s="599">
        <f t="shared" si="55"/>
        <v>0</v>
      </c>
      <c r="F337" s="608"/>
      <c r="G337" s="599">
        <f t="shared" si="56"/>
        <v>1</v>
      </c>
      <c r="H337" s="608"/>
      <c r="I337" s="599">
        <f t="shared" si="57"/>
        <v>1</v>
      </c>
      <c r="J337" s="608"/>
      <c r="K337" s="599">
        <f t="shared" si="58"/>
        <v>1</v>
      </c>
      <c r="L337" s="608"/>
      <c r="M337" s="599">
        <f t="shared" si="59"/>
        <v>1</v>
      </c>
      <c r="N337" s="608"/>
      <c r="O337" s="599">
        <f t="shared" si="60"/>
        <v>1</v>
      </c>
      <c r="P337" s="608"/>
      <c r="Q337" s="599">
        <f t="shared" si="61"/>
        <v>1</v>
      </c>
      <c r="R337" s="659">
        <f t="shared" si="62"/>
        <v>0</v>
      </c>
      <c r="S337" s="598">
        <f t="shared" si="64"/>
        <v>0</v>
      </c>
    </row>
    <row r="338" spans="1:19">
      <c r="A338" s="606"/>
      <c r="B338" s="607"/>
      <c r="C338" s="599">
        <f t="shared" si="54"/>
        <v>1</v>
      </c>
      <c r="D338" s="608"/>
      <c r="E338" s="599">
        <f t="shared" si="55"/>
        <v>0</v>
      </c>
      <c r="F338" s="608"/>
      <c r="G338" s="599">
        <f t="shared" si="56"/>
        <v>1</v>
      </c>
      <c r="H338" s="608"/>
      <c r="I338" s="599">
        <f t="shared" si="57"/>
        <v>1</v>
      </c>
      <c r="J338" s="608"/>
      <c r="K338" s="599">
        <f t="shared" si="58"/>
        <v>1</v>
      </c>
      <c r="L338" s="608"/>
      <c r="M338" s="599">
        <f t="shared" si="59"/>
        <v>1</v>
      </c>
      <c r="N338" s="608"/>
      <c r="O338" s="599">
        <f t="shared" si="60"/>
        <v>1</v>
      </c>
      <c r="P338" s="608"/>
      <c r="Q338" s="599">
        <f t="shared" si="61"/>
        <v>1</v>
      </c>
      <c r="R338" s="659">
        <f t="shared" si="62"/>
        <v>0</v>
      </c>
      <c r="S338" s="598">
        <f t="shared" si="64"/>
        <v>0</v>
      </c>
    </row>
    <row r="339" spans="1:19">
      <c r="A339" s="606"/>
      <c r="B339" s="607"/>
      <c r="C339" s="599">
        <f t="shared" si="54"/>
        <v>1</v>
      </c>
      <c r="D339" s="608"/>
      <c r="E339" s="599">
        <f t="shared" si="55"/>
        <v>0</v>
      </c>
      <c r="F339" s="608"/>
      <c r="G339" s="599">
        <f t="shared" si="56"/>
        <v>1</v>
      </c>
      <c r="H339" s="608"/>
      <c r="I339" s="599">
        <f t="shared" si="57"/>
        <v>1</v>
      </c>
      <c r="J339" s="608"/>
      <c r="K339" s="599">
        <f t="shared" si="58"/>
        <v>1</v>
      </c>
      <c r="L339" s="608"/>
      <c r="M339" s="599">
        <f t="shared" si="59"/>
        <v>1</v>
      </c>
      <c r="N339" s="608"/>
      <c r="O339" s="599">
        <f t="shared" si="60"/>
        <v>1</v>
      </c>
      <c r="P339" s="608"/>
      <c r="Q339" s="599">
        <f t="shared" si="61"/>
        <v>1</v>
      </c>
      <c r="R339" s="659">
        <f t="shared" si="62"/>
        <v>0</v>
      </c>
      <c r="S339" s="598">
        <f t="shared" si="64"/>
        <v>0</v>
      </c>
    </row>
    <row r="340" spans="1:19">
      <c r="A340" s="606"/>
      <c r="B340" s="607"/>
      <c r="C340" s="599">
        <f t="shared" si="54"/>
        <v>1</v>
      </c>
      <c r="D340" s="608"/>
      <c r="E340" s="599">
        <f t="shared" si="55"/>
        <v>0</v>
      </c>
      <c r="F340" s="608"/>
      <c r="G340" s="599">
        <f t="shared" si="56"/>
        <v>1</v>
      </c>
      <c r="H340" s="608"/>
      <c r="I340" s="599">
        <f t="shared" si="57"/>
        <v>1</v>
      </c>
      <c r="J340" s="608"/>
      <c r="K340" s="599">
        <f t="shared" si="58"/>
        <v>1</v>
      </c>
      <c r="L340" s="608"/>
      <c r="M340" s="599">
        <f t="shared" si="59"/>
        <v>1</v>
      </c>
      <c r="N340" s="608"/>
      <c r="O340" s="599">
        <f t="shared" si="60"/>
        <v>1</v>
      </c>
      <c r="P340" s="608"/>
      <c r="Q340" s="599">
        <f t="shared" si="61"/>
        <v>1</v>
      </c>
      <c r="R340" s="659">
        <f t="shared" si="62"/>
        <v>0</v>
      </c>
      <c r="S340" s="598">
        <f t="shared" si="64"/>
        <v>0</v>
      </c>
    </row>
    <row r="341" spans="1:19">
      <c r="A341" s="606"/>
      <c r="B341" s="607"/>
      <c r="C341" s="599">
        <f t="shared" si="54"/>
        <v>1</v>
      </c>
      <c r="D341" s="608"/>
      <c r="E341" s="599">
        <f t="shared" si="55"/>
        <v>0</v>
      </c>
      <c r="F341" s="608"/>
      <c r="G341" s="599">
        <f t="shared" si="56"/>
        <v>1</v>
      </c>
      <c r="H341" s="608"/>
      <c r="I341" s="599">
        <f t="shared" si="57"/>
        <v>1</v>
      </c>
      <c r="J341" s="608"/>
      <c r="K341" s="599">
        <f t="shared" si="58"/>
        <v>1</v>
      </c>
      <c r="L341" s="608"/>
      <c r="M341" s="599">
        <f t="shared" si="59"/>
        <v>1</v>
      </c>
      <c r="N341" s="608"/>
      <c r="O341" s="599">
        <f t="shared" si="60"/>
        <v>1</v>
      </c>
      <c r="P341" s="608"/>
      <c r="Q341" s="599">
        <f t="shared" si="61"/>
        <v>1</v>
      </c>
      <c r="R341" s="659">
        <f t="shared" si="62"/>
        <v>0</v>
      </c>
      <c r="S341" s="598">
        <f t="shared" si="64"/>
        <v>0</v>
      </c>
    </row>
    <row r="342" spans="1:19">
      <c r="A342" s="606"/>
      <c r="B342" s="607"/>
      <c r="C342" s="599">
        <f t="shared" si="54"/>
        <v>1</v>
      </c>
      <c r="D342" s="608"/>
      <c r="E342" s="599">
        <f t="shared" si="55"/>
        <v>0</v>
      </c>
      <c r="F342" s="608"/>
      <c r="G342" s="599">
        <f t="shared" si="56"/>
        <v>1</v>
      </c>
      <c r="H342" s="608"/>
      <c r="I342" s="599">
        <f t="shared" si="57"/>
        <v>1</v>
      </c>
      <c r="J342" s="608"/>
      <c r="K342" s="599">
        <f t="shared" si="58"/>
        <v>1</v>
      </c>
      <c r="L342" s="608"/>
      <c r="M342" s="599">
        <f t="shared" si="59"/>
        <v>1</v>
      </c>
      <c r="N342" s="608"/>
      <c r="O342" s="599">
        <f t="shared" si="60"/>
        <v>1</v>
      </c>
      <c r="P342" s="608"/>
      <c r="Q342" s="599">
        <f t="shared" si="61"/>
        <v>1</v>
      </c>
      <c r="R342" s="659">
        <f t="shared" si="62"/>
        <v>0</v>
      </c>
      <c r="S342" s="598">
        <f t="shared" si="64"/>
        <v>0</v>
      </c>
    </row>
    <row r="343" spans="1:19">
      <c r="A343" s="606"/>
      <c r="B343" s="607"/>
      <c r="C343" s="599">
        <f t="shared" si="54"/>
        <v>1</v>
      </c>
      <c r="D343" s="608"/>
      <c r="E343" s="599">
        <f t="shared" si="55"/>
        <v>0</v>
      </c>
      <c r="F343" s="608"/>
      <c r="G343" s="599">
        <f t="shared" si="56"/>
        <v>1</v>
      </c>
      <c r="H343" s="608"/>
      <c r="I343" s="599">
        <f t="shared" si="57"/>
        <v>1</v>
      </c>
      <c r="J343" s="608"/>
      <c r="K343" s="599">
        <f t="shared" si="58"/>
        <v>1</v>
      </c>
      <c r="L343" s="608"/>
      <c r="M343" s="599">
        <f t="shared" si="59"/>
        <v>1</v>
      </c>
      <c r="N343" s="608"/>
      <c r="O343" s="599">
        <f t="shared" si="60"/>
        <v>1</v>
      </c>
      <c r="P343" s="608"/>
      <c r="Q343" s="599">
        <f t="shared" si="61"/>
        <v>1</v>
      </c>
      <c r="R343" s="659">
        <f t="shared" si="62"/>
        <v>0</v>
      </c>
      <c r="S343" s="598">
        <f t="shared" si="64"/>
        <v>0</v>
      </c>
    </row>
    <row r="344" spans="1:19">
      <c r="A344" s="606"/>
      <c r="B344" s="607"/>
      <c r="C344" s="599">
        <f t="shared" si="54"/>
        <v>1</v>
      </c>
      <c r="D344" s="608"/>
      <c r="E344" s="599">
        <f t="shared" si="55"/>
        <v>0</v>
      </c>
      <c r="F344" s="608"/>
      <c r="G344" s="599">
        <f t="shared" si="56"/>
        <v>1</v>
      </c>
      <c r="H344" s="608"/>
      <c r="I344" s="599">
        <f t="shared" si="57"/>
        <v>1</v>
      </c>
      <c r="J344" s="608"/>
      <c r="K344" s="599">
        <f t="shared" si="58"/>
        <v>1</v>
      </c>
      <c r="L344" s="608"/>
      <c r="M344" s="599">
        <f t="shared" si="59"/>
        <v>1</v>
      </c>
      <c r="N344" s="608"/>
      <c r="O344" s="599">
        <f t="shared" si="60"/>
        <v>1</v>
      </c>
      <c r="P344" s="608"/>
      <c r="Q344" s="599">
        <f t="shared" si="61"/>
        <v>1</v>
      </c>
      <c r="R344" s="659">
        <f t="shared" si="62"/>
        <v>0</v>
      </c>
      <c r="S344" s="598">
        <f t="shared" si="64"/>
        <v>0</v>
      </c>
    </row>
    <row r="345" spans="1:19">
      <c r="A345" s="606"/>
      <c r="B345" s="607"/>
      <c r="C345" s="599">
        <f t="shared" si="54"/>
        <v>1</v>
      </c>
      <c r="D345" s="608"/>
      <c r="E345" s="599">
        <f t="shared" si="55"/>
        <v>0</v>
      </c>
      <c r="F345" s="608"/>
      <c r="G345" s="599">
        <f t="shared" si="56"/>
        <v>1</v>
      </c>
      <c r="H345" s="608"/>
      <c r="I345" s="599">
        <f t="shared" si="57"/>
        <v>1</v>
      </c>
      <c r="J345" s="608"/>
      <c r="K345" s="599">
        <f t="shared" si="58"/>
        <v>1</v>
      </c>
      <c r="L345" s="608"/>
      <c r="M345" s="599">
        <f t="shared" si="59"/>
        <v>1</v>
      </c>
      <c r="N345" s="608"/>
      <c r="O345" s="599">
        <f t="shared" si="60"/>
        <v>1</v>
      </c>
      <c r="P345" s="608"/>
      <c r="Q345" s="599">
        <f t="shared" si="61"/>
        <v>1</v>
      </c>
      <c r="R345" s="659">
        <f t="shared" si="62"/>
        <v>0</v>
      </c>
      <c r="S345" s="598">
        <f t="shared" si="64"/>
        <v>0</v>
      </c>
    </row>
    <row r="346" spans="1:19">
      <c r="A346" s="606"/>
      <c r="B346" s="607"/>
      <c r="C346" s="599">
        <f t="shared" ref="C346:C409" si="65">IF(B346="",1,(LOOKUP(B346,$3:$3,$4:$4)-LOOKUP($B$24,$3:$3,$4:$4)+100)/100)</f>
        <v>1</v>
      </c>
      <c r="D346" s="608"/>
      <c r="E346" s="599">
        <f t="shared" ref="E346:E409" si="66">(SUMIF($5:$5,D346,$6:$6)-SUMIF($5:$5,$D$24,$6:$6)+100)/100</f>
        <v>0</v>
      </c>
      <c r="F346" s="608"/>
      <c r="G346" s="599">
        <f t="shared" ref="G346:G409" si="67">(SUMIF($7:$7,F346,$8:$8)-SUMIF($7:$7,$F$24,$8:$8)+100)/100</f>
        <v>1</v>
      </c>
      <c r="H346" s="608"/>
      <c r="I346" s="599">
        <f t="shared" ref="I346:I409" si="68">(SUMIF($9:$9,H346,$10:$10)-SUMIF($9:$9,$H$24,$10:$10)+100)/100</f>
        <v>1</v>
      </c>
      <c r="J346" s="608"/>
      <c r="K346" s="599">
        <f t="shared" ref="K346:K409" si="69">(SUMIF($11:$11,J346,$12:$12)-SUMIF($11:$11,$J$24,$12:$12)+100)/100</f>
        <v>1</v>
      </c>
      <c r="L346" s="608"/>
      <c r="M346" s="599">
        <f t="shared" ref="M346:M409" si="70">(SUMIF($13:$13,L346,$14:$14)-SUMIF($13:$13,$L$24,$14:$14)+100)/100</f>
        <v>1</v>
      </c>
      <c r="N346" s="608"/>
      <c r="O346" s="599">
        <f t="shared" ref="O346:O409" si="71">(SUMIF($15:$15,N346,$16:$16)-SUMIF($15:$15,$N$24,$16:$16)+100)/100</f>
        <v>1</v>
      </c>
      <c r="P346" s="608"/>
      <c r="Q346" s="599">
        <f t="shared" ref="Q346:Q409" si="72">(SUMIF($17:$17,P346,$18:$18)-SUMIF($17:$17,$P$24,$18:$18)+100)/100</f>
        <v>1</v>
      </c>
      <c r="R346" s="659">
        <f t="shared" ref="R346:R409" si="73">IF(B346="",0,ROUND($R$24*C346*E346*G346*I346*K346*M346*O346*Q346,0))</f>
        <v>0</v>
      </c>
      <c r="S346" s="598">
        <f t="shared" si="64"/>
        <v>0</v>
      </c>
    </row>
    <row r="347" spans="1:19">
      <c r="A347" s="606"/>
      <c r="B347" s="607"/>
      <c r="C347" s="599">
        <f t="shared" si="65"/>
        <v>1</v>
      </c>
      <c r="D347" s="608"/>
      <c r="E347" s="599">
        <f t="shared" si="66"/>
        <v>0</v>
      </c>
      <c r="F347" s="608"/>
      <c r="G347" s="599">
        <f t="shared" si="67"/>
        <v>1</v>
      </c>
      <c r="H347" s="608"/>
      <c r="I347" s="599">
        <f t="shared" si="68"/>
        <v>1</v>
      </c>
      <c r="J347" s="608"/>
      <c r="K347" s="599">
        <f t="shared" si="69"/>
        <v>1</v>
      </c>
      <c r="L347" s="608"/>
      <c r="M347" s="599">
        <f t="shared" si="70"/>
        <v>1</v>
      </c>
      <c r="N347" s="608"/>
      <c r="O347" s="599">
        <f t="shared" si="71"/>
        <v>1</v>
      </c>
      <c r="P347" s="608"/>
      <c r="Q347" s="599">
        <f t="shared" si="72"/>
        <v>1</v>
      </c>
      <c r="R347" s="659">
        <f t="shared" si="73"/>
        <v>0</v>
      </c>
      <c r="S347" s="598">
        <f t="shared" si="64"/>
        <v>0</v>
      </c>
    </row>
    <row r="348" spans="1:19">
      <c r="A348" s="606"/>
      <c r="B348" s="607"/>
      <c r="C348" s="599">
        <f t="shared" si="65"/>
        <v>1</v>
      </c>
      <c r="D348" s="608"/>
      <c r="E348" s="599">
        <f t="shared" si="66"/>
        <v>0</v>
      </c>
      <c r="F348" s="608"/>
      <c r="G348" s="599">
        <f t="shared" si="67"/>
        <v>1</v>
      </c>
      <c r="H348" s="608"/>
      <c r="I348" s="599">
        <f t="shared" si="68"/>
        <v>1</v>
      </c>
      <c r="J348" s="608"/>
      <c r="K348" s="599">
        <f t="shared" si="69"/>
        <v>1</v>
      </c>
      <c r="L348" s="608"/>
      <c r="M348" s="599">
        <f t="shared" si="70"/>
        <v>1</v>
      </c>
      <c r="N348" s="608"/>
      <c r="O348" s="599">
        <f t="shared" si="71"/>
        <v>1</v>
      </c>
      <c r="P348" s="608"/>
      <c r="Q348" s="599">
        <f t="shared" si="72"/>
        <v>1</v>
      </c>
      <c r="R348" s="659">
        <f t="shared" si="73"/>
        <v>0</v>
      </c>
      <c r="S348" s="598">
        <f t="shared" si="64"/>
        <v>0</v>
      </c>
    </row>
    <row r="349" spans="1:19">
      <c r="A349" s="606"/>
      <c r="B349" s="607"/>
      <c r="C349" s="599">
        <f t="shared" si="65"/>
        <v>1</v>
      </c>
      <c r="D349" s="608"/>
      <c r="E349" s="599">
        <f t="shared" si="66"/>
        <v>0</v>
      </c>
      <c r="F349" s="608"/>
      <c r="G349" s="599">
        <f t="shared" si="67"/>
        <v>1</v>
      </c>
      <c r="H349" s="608"/>
      <c r="I349" s="599">
        <f t="shared" si="68"/>
        <v>1</v>
      </c>
      <c r="J349" s="608"/>
      <c r="K349" s="599">
        <f t="shared" si="69"/>
        <v>1</v>
      </c>
      <c r="L349" s="608"/>
      <c r="M349" s="599">
        <f t="shared" si="70"/>
        <v>1</v>
      </c>
      <c r="N349" s="608"/>
      <c r="O349" s="599">
        <f t="shared" si="71"/>
        <v>1</v>
      </c>
      <c r="P349" s="608"/>
      <c r="Q349" s="599">
        <f t="shared" si="72"/>
        <v>1</v>
      </c>
      <c r="R349" s="659">
        <f t="shared" si="73"/>
        <v>0</v>
      </c>
      <c r="S349" s="598">
        <f t="shared" si="64"/>
        <v>0</v>
      </c>
    </row>
    <row r="350" spans="1:19">
      <c r="A350" s="606"/>
      <c r="B350" s="607"/>
      <c r="C350" s="599">
        <f t="shared" si="65"/>
        <v>1</v>
      </c>
      <c r="D350" s="608"/>
      <c r="E350" s="599">
        <f t="shared" si="66"/>
        <v>0</v>
      </c>
      <c r="F350" s="608"/>
      <c r="G350" s="599">
        <f t="shared" si="67"/>
        <v>1</v>
      </c>
      <c r="H350" s="608"/>
      <c r="I350" s="599">
        <f t="shared" si="68"/>
        <v>1</v>
      </c>
      <c r="J350" s="608"/>
      <c r="K350" s="599">
        <f t="shared" si="69"/>
        <v>1</v>
      </c>
      <c r="L350" s="608"/>
      <c r="M350" s="599">
        <f t="shared" si="70"/>
        <v>1</v>
      </c>
      <c r="N350" s="608"/>
      <c r="O350" s="599">
        <f t="shared" si="71"/>
        <v>1</v>
      </c>
      <c r="P350" s="608"/>
      <c r="Q350" s="599">
        <f t="shared" si="72"/>
        <v>1</v>
      </c>
      <c r="R350" s="659">
        <f t="shared" si="73"/>
        <v>0</v>
      </c>
      <c r="S350" s="598">
        <f t="shared" si="64"/>
        <v>0</v>
      </c>
    </row>
    <row r="351" spans="1:19">
      <c r="A351" s="606"/>
      <c r="B351" s="607"/>
      <c r="C351" s="599">
        <f t="shared" si="65"/>
        <v>1</v>
      </c>
      <c r="D351" s="608"/>
      <c r="E351" s="599">
        <f t="shared" si="66"/>
        <v>0</v>
      </c>
      <c r="F351" s="608"/>
      <c r="G351" s="599">
        <f t="shared" si="67"/>
        <v>1</v>
      </c>
      <c r="H351" s="608"/>
      <c r="I351" s="599">
        <f t="shared" si="68"/>
        <v>1</v>
      </c>
      <c r="J351" s="608"/>
      <c r="K351" s="599">
        <f t="shared" si="69"/>
        <v>1</v>
      </c>
      <c r="L351" s="608"/>
      <c r="M351" s="599">
        <f t="shared" si="70"/>
        <v>1</v>
      </c>
      <c r="N351" s="608"/>
      <c r="O351" s="599">
        <f t="shared" si="71"/>
        <v>1</v>
      </c>
      <c r="P351" s="608"/>
      <c r="Q351" s="599">
        <f t="shared" si="72"/>
        <v>1</v>
      </c>
      <c r="R351" s="659">
        <f t="shared" si="73"/>
        <v>0</v>
      </c>
      <c r="S351" s="598">
        <f t="shared" si="64"/>
        <v>0</v>
      </c>
    </row>
    <row r="352" spans="1:19">
      <c r="A352" s="606"/>
      <c r="B352" s="607"/>
      <c r="C352" s="599">
        <f t="shared" si="65"/>
        <v>1</v>
      </c>
      <c r="D352" s="608"/>
      <c r="E352" s="599">
        <f t="shared" si="66"/>
        <v>0</v>
      </c>
      <c r="F352" s="608"/>
      <c r="G352" s="599">
        <f t="shared" si="67"/>
        <v>1</v>
      </c>
      <c r="H352" s="608"/>
      <c r="I352" s="599">
        <f t="shared" si="68"/>
        <v>1</v>
      </c>
      <c r="J352" s="608"/>
      <c r="K352" s="599">
        <f t="shared" si="69"/>
        <v>1</v>
      </c>
      <c r="L352" s="608"/>
      <c r="M352" s="599">
        <f t="shared" si="70"/>
        <v>1</v>
      </c>
      <c r="N352" s="608"/>
      <c r="O352" s="599">
        <f t="shared" si="71"/>
        <v>1</v>
      </c>
      <c r="P352" s="608"/>
      <c r="Q352" s="599">
        <f t="shared" si="72"/>
        <v>1</v>
      </c>
      <c r="R352" s="659">
        <f t="shared" si="73"/>
        <v>0</v>
      </c>
      <c r="S352" s="598">
        <f t="shared" si="64"/>
        <v>0</v>
      </c>
    </row>
    <row r="353" spans="1:19">
      <c r="A353" s="606"/>
      <c r="B353" s="607"/>
      <c r="C353" s="599">
        <f t="shared" si="65"/>
        <v>1</v>
      </c>
      <c r="D353" s="608"/>
      <c r="E353" s="599">
        <f t="shared" si="66"/>
        <v>0</v>
      </c>
      <c r="F353" s="608"/>
      <c r="G353" s="599">
        <f t="shared" si="67"/>
        <v>1</v>
      </c>
      <c r="H353" s="608"/>
      <c r="I353" s="599">
        <f t="shared" si="68"/>
        <v>1</v>
      </c>
      <c r="J353" s="608"/>
      <c r="K353" s="599">
        <f t="shared" si="69"/>
        <v>1</v>
      </c>
      <c r="L353" s="608"/>
      <c r="M353" s="599">
        <f t="shared" si="70"/>
        <v>1</v>
      </c>
      <c r="N353" s="608"/>
      <c r="O353" s="599">
        <f t="shared" si="71"/>
        <v>1</v>
      </c>
      <c r="P353" s="608"/>
      <c r="Q353" s="599">
        <f t="shared" si="72"/>
        <v>1</v>
      </c>
      <c r="R353" s="659">
        <f t="shared" si="73"/>
        <v>0</v>
      </c>
      <c r="S353" s="598">
        <f t="shared" si="64"/>
        <v>0</v>
      </c>
    </row>
    <row r="354" spans="1:19">
      <c r="A354" s="606"/>
      <c r="B354" s="607"/>
      <c r="C354" s="599">
        <f t="shared" si="65"/>
        <v>1</v>
      </c>
      <c r="D354" s="608"/>
      <c r="E354" s="599">
        <f t="shared" si="66"/>
        <v>0</v>
      </c>
      <c r="F354" s="608"/>
      <c r="G354" s="599">
        <f t="shared" si="67"/>
        <v>1</v>
      </c>
      <c r="H354" s="608"/>
      <c r="I354" s="599">
        <f t="shared" si="68"/>
        <v>1</v>
      </c>
      <c r="J354" s="608"/>
      <c r="K354" s="599">
        <f t="shared" si="69"/>
        <v>1</v>
      </c>
      <c r="L354" s="608"/>
      <c r="M354" s="599">
        <f t="shared" si="70"/>
        <v>1</v>
      </c>
      <c r="N354" s="608"/>
      <c r="O354" s="599">
        <f t="shared" si="71"/>
        <v>1</v>
      </c>
      <c r="P354" s="608"/>
      <c r="Q354" s="599">
        <f t="shared" si="72"/>
        <v>1</v>
      </c>
      <c r="R354" s="659">
        <f t="shared" si="73"/>
        <v>0</v>
      </c>
      <c r="S354" s="598">
        <f t="shared" si="64"/>
        <v>0</v>
      </c>
    </row>
    <row r="355" spans="1:19">
      <c r="A355" s="606"/>
      <c r="B355" s="607"/>
      <c r="C355" s="599">
        <f t="shared" si="65"/>
        <v>1</v>
      </c>
      <c r="D355" s="608"/>
      <c r="E355" s="599">
        <f t="shared" si="66"/>
        <v>0</v>
      </c>
      <c r="F355" s="608"/>
      <c r="G355" s="599">
        <f t="shared" si="67"/>
        <v>1</v>
      </c>
      <c r="H355" s="608"/>
      <c r="I355" s="599">
        <f t="shared" si="68"/>
        <v>1</v>
      </c>
      <c r="J355" s="608"/>
      <c r="K355" s="599">
        <f t="shared" si="69"/>
        <v>1</v>
      </c>
      <c r="L355" s="608"/>
      <c r="M355" s="599">
        <f t="shared" si="70"/>
        <v>1</v>
      </c>
      <c r="N355" s="608"/>
      <c r="O355" s="599">
        <f t="shared" si="71"/>
        <v>1</v>
      </c>
      <c r="P355" s="608"/>
      <c r="Q355" s="599">
        <f t="shared" si="72"/>
        <v>1</v>
      </c>
      <c r="R355" s="659">
        <f t="shared" si="73"/>
        <v>0</v>
      </c>
      <c r="S355" s="598">
        <f t="shared" si="64"/>
        <v>0</v>
      </c>
    </row>
    <row r="356" spans="1:19">
      <c r="A356" s="606"/>
      <c r="B356" s="607"/>
      <c r="C356" s="599">
        <f t="shared" si="65"/>
        <v>1</v>
      </c>
      <c r="D356" s="608"/>
      <c r="E356" s="599">
        <f t="shared" si="66"/>
        <v>0</v>
      </c>
      <c r="F356" s="608"/>
      <c r="G356" s="599">
        <f t="shared" si="67"/>
        <v>1</v>
      </c>
      <c r="H356" s="608"/>
      <c r="I356" s="599">
        <f t="shared" si="68"/>
        <v>1</v>
      </c>
      <c r="J356" s="608"/>
      <c r="K356" s="599">
        <f t="shared" si="69"/>
        <v>1</v>
      </c>
      <c r="L356" s="608"/>
      <c r="M356" s="599">
        <f t="shared" si="70"/>
        <v>1</v>
      </c>
      <c r="N356" s="608"/>
      <c r="O356" s="599">
        <f t="shared" si="71"/>
        <v>1</v>
      </c>
      <c r="P356" s="608"/>
      <c r="Q356" s="599">
        <f t="shared" si="72"/>
        <v>1</v>
      </c>
      <c r="R356" s="659">
        <f t="shared" si="73"/>
        <v>0</v>
      </c>
      <c r="S356" s="598">
        <f t="shared" si="64"/>
        <v>0</v>
      </c>
    </row>
    <row r="357" spans="1:19">
      <c r="A357" s="606"/>
      <c r="B357" s="607"/>
      <c r="C357" s="599">
        <f t="shared" si="65"/>
        <v>1</v>
      </c>
      <c r="D357" s="608"/>
      <c r="E357" s="599">
        <f t="shared" si="66"/>
        <v>0</v>
      </c>
      <c r="F357" s="608"/>
      <c r="G357" s="599">
        <f t="shared" si="67"/>
        <v>1</v>
      </c>
      <c r="H357" s="608"/>
      <c r="I357" s="599">
        <f t="shared" si="68"/>
        <v>1</v>
      </c>
      <c r="J357" s="608"/>
      <c r="K357" s="599">
        <f t="shared" si="69"/>
        <v>1</v>
      </c>
      <c r="L357" s="608"/>
      <c r="M357" s="599">
        <f t="shared" si="70"/>
        <v>1</v>
      </c>
      <c r="N357" s="608"/>
      <c r="O357" s="599">
        <f t="shared" si="71"/>
        <v>1</v>
      </c>
      <c r="P357" s="608"/>
      <c r="Q357" s="599">
        <f t="shared" si="72"/>
        <v>1</v>
      </c>
      <c r="R357" s="659">
        <f t="shared" si="73"/>
        <v>0</v>
      </c>
      <c r="S357" s="598">
        <f t="shared" si="64"/>
        <v>0</v>
      </c>
    </row>
    <row r="358" spans="1:19">
      <c r="A358" s="606"/>
      <c r="B358" s="607"/>
      <c r="C358" s="599">
        <f t="shared" si="65"/>
        <v>1</v>
      </c>
      <c r="D358" s="608"/>
      <c r="E358" s="599">
        <f t="shared" si="66"/>
        <v>0</v>
      </c>
      <c r="F358" s="608"/>
      <c r="G358" s="599">
        <f t="shared" si="67"/>
        <v>1</v>
      </c>
      <c r="H358" s="608"/>
      <c r="I358" s="599">
        <f t="shared" si="68"/>
        <v>1</v>
      </c>
      <c r="J358" s="608"/>
      <c r="K358" s="599">
        <f t="shared" si="69"/>
        <v>1</v>
      </c>
      <c r="L358" s="608"/>
      <c r="M358" s="599">
        <f t="shared" si="70"/>
        <v>1</v>
      </c>
      <c r="N358" s="608"/>
      <c r="O358" s="599">
        <f t="shared" si="71"/>
        <v>1</v>
      </c>
      <c r="P358" s="608"/>
      <c r="Q358" s="599">
        <f t="shared" si="72"/>
        <v>1</v>
      </c>
      <c r="R358" s="659">
        <f t="shared" si="73"/>
        <v>0</v>
      </c>
      <c r="S358" s="598">
        <f t="shared" si="64"/>
        <v>0</v>
      </c>
    </row>
    <row r="359" spans="1:19">
      <c r="A359" s="606"/>
      <c r="B359" s="607"/>
      <c r="C359" s="599">
        <f t="shared" si="65"/>
        <v>1</v>
      </c>
      <c r="D359" s="608"/>
      <c r="E359" s="599">
        <f t="shared" si="66"/>
        <v>0</v>
      </c>
      <c r="F359" s="608"/>
      <c r="G359" s="599">
        <f t="shared" si="67"/>
        <v>1</v>
      </c>
      <c r="H359" s="608"/>
      <c r="I359" s="599">
        <f t="shared" si="68"/>
        <v>1</v>
      </c>
      <c r="J359" s="608"/>
      <c r="K359" s="599">
        <f t="shared" si="69"/>
        <v>1</v>
      </c>
      <c r="L359" s="608"/>
      <c r="M359" s="599">
        <f t="shared" si="70"/>
        <v>1</v>
      </c>
      <c r="N359" s="608"/>
      <c r="O359" s="599">
        <f t="shared" si="71"/>
        <v>1</v>
      </c>
      <c r="P359" s="608"/>
      <c r="Q359" s="599">
        <f t="shared" si="72"/>
        <v>1</v>
      </c>
      <c r="R359" s="659">
        <f t="shared" si="73"/>
        <v>0</v>
      </c>
      <c r="S359" s="598">
        <f t="shared" si="64"/>
        <v>0</v>
      </c>
    </row>
    <row r="360" spans="1:19">
      <c r="A360" s="606"/>
      <c r="B360" s="607"/>
      <c r="C360" s="599">
        <f t="shared" si="65"/>
        <v>1</v>
      </c>
      <c r="D360" s="608"/>
      <c r="E360" s="599">
        <f t="shared" si="66"/>
        <v>0</v>
      </c>
      <c r="F360" s="608"/>
      <c r="G360" s="599">
        <f t="shared" si="67"/>
        <v>1</v>
      </c>
      <c r="H360" s="608"/>
      <c r="I360" s="599">
        <f t="shared" si="68"/>
        <v>1</v>
      </c>
      <c r="J360" s="608"/>
      <c r="K360" s="599">
        <f t="shared" si="69"/>
        <v>1</v>
      </c>
      <c r="L360" s="608"/>
      <c r="M360" s="599">
        <f t="shared" si="70"/>
        <v>1</v>
      </c>
      <c r="N360" s="608"/>
      <c r="O360" s="599">
        <f t="shared" si="71"/>
        <v>1</v>
      </c>
      <c r="P360" s="608"/>
      <c r="Q360" s="599">
        <f t="shared" si="72"/>
        <v>1</v>
      </c>
      <c r="R360" s="659">
        <f t="shared" si="73"/>
        <v>0</v>
      </c>
      <c r="S360" s="598">
        <f t="shared" si="64"/>
        <v>0</v>
      </c>
    </row>
    <row r="361" spans="1:19">
      <c r="A361" s="606"/>
      <c r="B361" s="607"/>
      <c r="C361" s="599">
        <f t="shared" si="65"/>
        <v>1</v>
      </c>
      <c r="D361" s="608"/>
      <c r="E361" s="599">
        <f t="shared" si="66"/>
        <v>0</v>
      </c>
      <c r="F361" s="608"/>
      <c r="G361" s="599">
        <f t="shared" si="67"/>
        <v>1</v>
      </c>
      <c r="H361" s="608"/>
      <c r="I361" s="599">
        <f t="shared" si="68"/>
        <v>1</v>
      </c>
      <c r="J361" s="608"/>
      <c r="K361" s="599">
        <f t="shared" si="69"/>
        <v>1</v>
      </c>
      <c r="L361" s="608"/>
      <c r="M361" s="599">
        <f t="shared" si="70"/>
        <v>1</v>
      </c>
      <c r="N361" s="608"/>
      <c r="O361" s="599">
        <f t="shared" si="71"/>
        <v>1</v>
      </c>
      <c r="P361" s="608"/>
      <c r="Q361" s="599">
        <f t="shared" si="72"/>
        <v>1</v>
      </c>
      <c r="R361" s="659">
        <f t="shared" si="73"/>
        <v>0</v>
      </c>
      <c r="S361" s="598">
        <f t="shared" si="64"/>
        <v>0</v>
      </c>
    </row>
    <row r="362" spans="1:19">
      <c r="A362" s="606"/>
      <c r="B362" s="607"/>
      <c r="C362" s="599">
        <f t="shared" si="65"/>
        <v>1</v>
      </c>
      <c r="D362" s="608"/>
      <c r="E362" s="599">
        <f t="shared" si="66"/>
        <v>0</v>
      </c>
      <c r="F362" s="608"/>
      <c r="G362" s="599">
        <f t="shared" si="67"/>
        <v>1</v>
      </c>
      <c r="H362" s="608"/>
      <c r="I362" s="599">
        <f t="shared" si="68"/>
        <v>1</v>
      </c>
      <c r="J362" s="608"/>
      <c r="K362" s="599">
        <f t="shared" si="69"/>
        <v>1</v>
      </c>
      <c r="L362" s="608"/>
      <c r="M362" s="599">
        <f t="shared" si="70"/>
        <v>1</v>
      </c>
      <c r="N362" s="608"/>
      <c r="O362" s="599">
        <f t="shared" si="71"/>
        <v>1</v>
      </c>
      <c r="P362" s="608"/>
      <c r="Q362" s="599">
        <f t="shared" si="72"/>
        <v>1</v>
      </c>
      <c r="R362" s="659">
        <f t="shared" si="73"/>
        <v>0</v>
      </c>
      <c r="S362" s="598">
        <f t="shared" si="64"/>
        <v>0</v>
      </c>
    </row>
    <row r="363" spans="1:19">
      <c r="A363" s="606"/>
      <c r="B363" s="607"/>
      <c r="C363" s="599">
        <f t="shared" si="65"/>
        <v>1</v>
      </c>
      <c r="D363" s="608"/>
      <c r="E363" s="599">
        <f t="shared" si="66"/>
        <v>0</v>
      </c>
      <c r="F363" s="608"/>
      <c r="G363" s="599">
        <f t="shared" si="67"/>
        <v>1</v>
      </c>
      <c r="H363" s="608"/>
      <c r="I363" s="599">
        <f t="shared" si="68"/>
        <v>1</v>
      </c>
      <c r="J363" s="608"/>
      <c r="K363" s="599">
        <f t="shared" si="69"/>
        <v>1</v>
      </c>
      <c r="L363" s="608"/>
      <c r="M363" s="599">
        <f t="shared" si="70"/>
        <v>1</v>
      </c>
      <c r="N363" s="608"/>
      <c r="O363" s="599">
        <f t="shared" si="71"/>
        <v>1</v>
      </c>
      <c r="P363" s="608"/>
      <c r="Q363" s="599">
        <f t="shared" si="72"/>
        <v>1</v>
      </c>
      <c r="R363" s="659">
        <f t="shared" si="73"/>
        <v>0</v>
      </c>
      <c r="S363" s="598">
        <f t="shared" si="64"/>
        <v>0</v>
      </c>
    </row>
    <row r="364" spans="1:19">
      <c r="A364" s="606"/>
      <c r="B364" s="607"/>
      <c r="C364" s="599">
        <f t="shared" si="65"/>
        <v>1</v>
      </c>
      <c r="D364" s="608"/>
      <c r="E364" s="599">
        <f t="shared" si="66"/>
        <v>0</v>
      </c>
      <c r="F364" s="608"/>
      <c r="G364" s="599">
        <f t="shared" si="67"/>
        <v>1</v>
      </c>
      <c r="H364" s="608"/>
      <c r="I364" s="599">
        <f t="shared" si="68"/>
        <v>1</v>
      </c>
      <c r="J364" s="608"/>
      <c r="K364" s="599">
        <f t="shared" si="69"/>
        <v>1</v>
      </c>
      <c r="L364" s="608"/>
      <c r="M364" s="599">
        <f t="shared" si="70"/>
        <v>1</v>
      </c>
      <c r="N364" s="608"/>
      <c r="O364" s="599">
        <f t="shared" si="71"/>
        <v>1</v>
      </c>
      <c r="P364" s="608"/>
      <c r="Q364" s="599">
        <f t="shared" si="72"/>
        <v>1</v>
      </c>
      <c r="R364" s="659">
        <f t="shared" si="73"/>
        <v>0</v>
      </c>
      <c r="S364" s="598">
        <f t="shared" si="64"/>
        <v>0</v>
      </c>
    </row>
    <row r="365" spans="1:19">
      <c r="A365" s="606"/>
      <c r="B365" s="607"/>
      <c r="C365" s="599">
        <f t="shared" si="65"/>
        <v>1</v>
      </c>
      <c r="D365" s="608"/>
      <c r="E365" s="599">
        <f t="shared" si="66"/>
        <v>0</v>
      </c>
      <c r="F365" s="608"/>
      <c r="G365" s="599">
        <f t="shared" si="67"/>
        <v>1</v>
      </c>
      <c r="H365" s="608"/>
      <c r="I365" s="599">
        <f t="shared" si="68"/>
        <v>1</v>
      </c>
      <c r="J365" s="608"/>
      <c r="K365" s="599">
        <f t="shared" si="69"/>
        <v>1</v>
      </c>
      <c r="L365" s="608"/>
      <c r="M365" s="599">
        <f t="shared" si="70"/>
        <v>1</v>
      </c>
      <c r="N365" s="608"/>
      <c r="O365" s="599">
        <f t="shared" si="71"/>
        <v>1</v>
      </c>
      <c r="P365" s="608"/>
      <c r="Q365" s="599">
        <f t="shared" si="72"/>
        <v>1</v>
      </c>
      <c r="R365" s="659">
        <f t="shared" si="73"/>
        <v>0</v>
      </c>
      <c r="S365" s="598">
        <f t="shared" si="64"/>
        <v>0</v>
      </c>
    </row>
    <row r="366" spans="1:19">
      <c r="A366" s="606"/>
      <c r="B366" s="607"/>
      <c r="C366" s="599">
        <f t="shared" si="65"/>
        <v>1</v>
      </c>
      <c r="D366" s="608"/>
      <c r="E366" s="599">
        <f t="shared" si="66"/>
        <v>0</v>
      </c>
      <c r="F366" s="608"/>
      <c r="G366" s="599">
        <f t="shared" si="67"/>
        <v>1</v>
      </c>
      <c r="H366" s="608"/>
      <c r="I366" s="599">
        <f t="shared" si="68"/>
        <v>1</v>
      </c>
      <c r="J366" s="608"/>
      <c r="K366" s="599">
        <f t="shared" si="69"/>
        <v>1</v>
      </c>
      <c r="L366" s="608"/>
      <c r="M366" s="599">
        <f t="shared" si="70"/>
        <v>1</v>
      </c>
      <c r="N366" s="608"/>
      <c r="O366" s="599">
        <f t="shared" si="71"/>
        <v>1</v>
      </c>
      <c r="P366" s="608"/>
      <c r="Q366" s="599">
        <f t="shared" si="72"/>
        <v>1</v>
      </c>
      <c r="R366" s="659">
        <f t="shared" si="73"/>
        <v>0</v>
      </c>
      <c r="S366" s="598">
        <f t="shared" si="64"/>
        <v>0</v>
      </c>
    </row>
    <row r="367" spans="1:19">
      <c r="A367" s="606"/>
      <c r="B367" s="607"/>
      <c r="C367" s="599">
        <f t="shared" si="65"/>
        <v>1</v>
      </c>
      <c r="D367" s="608"/>
      <c r="E367" s="599">
        <f t="shared" si="66"/>
        <v>0</v>
      </c>
      <c r="F367" s="608"/>
      <c r="G367" s="599">
        <f t="shared" si="67"/>
        <v>1</v>
      </c>
      <c r="H367" s="608"/>
      <c r="I367" s="599">
        <f t="shared" si="68"/>
        <v>1</v>
      </c>
      <c r="J367" s="608"/>
      <c r="K367" s="599">
        <f t="shared" si="69"/>
        <v>1</v>
      </c>
      <c r="L367" s="608"/>
      <c r="M367" s="599">
        <f t="shared" si="70"/>
        <v>1</v>
      </c>
      <c r="N367" s="608"/>
      <c r="O367" s="599">
        <f t="shared" si="71"/>
        <v>1</v>
      </c>
      <c r="P367" s="608"/>
      <c r="Q367" s="599">
        <f t="shared" si="72"/>
        <v>1</v>
      </c>
      <c r="R367" s="659">
        <f t="shared" si="73"/>
        <v>0</v>
      </c>
      <c r="S367" s="598">
        <f t="shared" si="64"/>
        <v>0</v>
      </c>
    </row>
    <row r="368" spans="1:19">
      <c r="A368" s="606"/>
      <c r="B368" s="607"/>
      <c r="C368" s="599">
        <f t="shared" si="65"/>
        <v>1</v>
      </c>
      <c r="D368" s="608"/>
      <c r="E368" s="599">
        <f t="shared" si="66"/>
        <v>0</v>
      </c>
      <c r="F368" s="608"/>
      <c r="G368" s="599">
        <f t="shared" si="67"/>
        <v>1</v>
      </c>
      <c r="H368" s="608"/>
      <c r="I368" s="599">
        <f t="shared" si="68"/>
        <v>1</v>
      </c>
      <c r="J368" s="608"/>
      <c r="K368" s="599">
        <f t="shared" si="69"/>
        <v>1</v>
      </c>
      <c r="L368" s="608"/>
      <c r="M368" s="599">
        <f t="shared" si="70"/>
        <v>1</v>
      </c>
      <c r="N368" s="608"/>
      <c r="O368" s="599">
        <f t="shared" si="71"/>
        <v>1</v>
      </c>
      <c r="P368" s="608"/>
      <c r="Q368" s="599">
        <f t="shared" si="72"/>
        <v>1</v>
      </c>
      <c r="R368" s="659">
        <f t="shared" si="73"/>
        <v>0</v>
      </c>
      <c r="S368" s="598">
        <f t="shared" si="64"/>
        <v>0</v>
      </c>
    </row>
    <row r="369" spans="1:19">
      <c r="A369" s="606"/>
      <c r="B369" s="607"/>
      <c r="C369" s="599">
        <f t="shared" si="65"/>
        <v>1</v>
      </c>
      <c r="D369" s="608"/>
      <c r="E369" s="599">
        <f t="shared" si="66"/>
        <v>0</v>
      </c>
      <c r="F369" s="608"/>
      <c r="G369" s="599">
        <f t="shared" si="67"/>
        <v>1</v>
      </c>
      <c r="H369" s="608"/>
      <c r="I369" s="599">
        <f t="shared" si="68"/>
        <v>1</v>
      </c>
      <c r="J369" s="608"/>
      <c r="K369" s="599">
        <f t="shared" si="69"/>
        <v>1</v>
      </c>
      <c r="L369" s="608"/>
      <c r="M369" s="599">
        <f t="shared" si="70"/>
        <v>1</v>
      </c>
      <c r="N369" s="608"/>
      <c r="O369" s="599">
        <f t="shared" si="71"/>
        <v>1</v>
      </c>
      <c r="P369" s="608"/>
      <c r="Q369" s="599">
        <f t="shared" si="72"/>
        <v>1</v>
      </c>
      <c r="R369" s="659">
        <f t="shared" si="73"/>
        <v>0</v>
      </c>
      <c r="S369" s="598">
        <f t="shared" si="64"/>
        <v>0</v>
      </c>
    </row>
    <row r="370" spans="1:19">
      <c r="A370" s="606"/>
      <c r="B370" s="607"/>
      <c r="C370" s="599">
        <f t="shared" si="65"/>
        <v>1</v>
      </c>
      <c r="D370" s="608"/>
      <c r="E370" s="599">
        <f t="shared" si="66"/>
        <v>0</v>
      </c>
      <c r="F370" s="608"/>
      <c r="G370" s="599">
        <f t="shared" si="67"/>
        <v>1</v>
      </c>
      <c r="H370" s="608"/>
      <c r="I370" s="599">
        <f t="shared" si="68"/>
        <v>1</v>
      </c>
      <c r="J370" s="608"/>
      <c r="K370" s="599">
        <f t="shared" si="69"/>
        <v>1</v>
      </c>
      <c r="L370" s="608"/>
      <c r="M370" s="599">
        <f t="shared" si="70"/>
        <v>1</v>
      </c>
      <c r="N370" s="608"/>
      <c r="O370" s="599">
        <f t="shared" si="71"/>
        <v>1</v>
      </c>
      <c r="P370" s="608"/>
      <c r="Q370" s="599">
        <f t="shared" si="72"/>
        <v>1</v>
      </c>
      <c r="R370" s="659">
        <f t="shared" si="73"/>
        <v>0</v>
      </c>
      <c r="S370" s="598">
        <f t="shared" si="64"/>
        <v>0</v>
      </c>
    </row>
    <row r="371" spans="1:19">
      <c r="A371" s="606"/>
      <c r="B371" s="607"/>
      <c r="C371" s="599">
        <f t="shared" si="65"/>
        <v>1</v>
      </c>
      <c r="D371" s="608"/>
      <c r="E371" s="599">
        <f t="shared" si="66"/>
        <v>0</v>
      </c>
      <c r="F371" s="608"/>
      <c r="G371" s="599">
        <f t="shared" si="67"/>
        <v>1</v>
      </c>
      <c r="H371" s="608"/>
      <c r="I371" s="599">
        <f t="shared" si="68"/>
        <v>1</v>
      </c>
      <c r="J371" s="608"/>
      <c r="K371" s="599">
        <f t="shared" si="69"/>
        <v>1</v>
      </c>
      <c r="L371" s="608"/>
      <c r="M371" s="599">
        <f t="shared" si="70"/>
        <v>1</v>
      </c>
      <c r="N371" s="608"/>
      <c r="O371" s="599">
        <f t="shared" si="71"/>
        <v>1</v>
      </c>
      <c r="P371" s="608"/>
      <c r="Q371" s="599">
        <f t="shared" si="72"/>
        <v>1</v>
      </c>
      <c r="R371" s="659">
        <f t="shared" si="73"/>
        <v>0</v>
      </c>
      <c r="S371" s="598">
        <f t="shared" si="64"/>
        <v>0</v>
      </c>
    </row>
    <row r="372" spans="1:19">
      <c r="A372" s="606"/>
      <c r="B372" s="607"/>
      <c r="C372" s="599">
        <f t="shared" si="65"/>
        <v>1</v>
      </c>
      <c r="D372" s="608"/>
      <c r="E372" s="599">
        <f t="shared" si="66"/>
        <v>0</v>
      </c>
      <c r="F372" s="608"/>
      <c r="G372" s="599">
        <f t="shared" si="67"/>
        <v>1</v>
      </c>
      <c r="H372" s="608"/>
      <c r="I372" s="599">
        <f t="shared" si="68"/>
        <v>1</v>
      </c>
      <c r="J372" s="608"/>
      <c r="K372" s="599">
        <f t="shared" si="69"/>
        <v>1</v>
      </c>
      <c r="L372" s="608"/>
      <c r="M372" s="599">
        <f t="shared" si="70"/>
        <v>1</v>
      </c>
      <c r="N372" s="608"/>
      <c r="O372" s="599">
        <f t="shared" si="71"/>
        <v>1</v>
      </c>
      <c r="P372" s="608"/>
      <c r="Q372" s="599">
        <f t="shared" si="72"/>
        <v>1</v>
      </c>
      <c r="R372" s="659">
        <f t="shared" si="73"/>
        <v>0</v>
      </c>
      <c r="S372" s="598">
        <f t="shared" si="64"/>
        <v>0</v>
      </c>
    </row>
    <row r="373" spans="1:19">
      <c r="A373" s="606"/>
      <c r="B373" s="607"/>
      <c r="C373" s="599">
        <f t="shared" si="65"/>
        <v>1</v>
      </c>
      <c r="D373" s="608"/>
      <c r="E373" s="599">
        <f t="shared" si="66"/>
        <v>0</v>
      </c>
      <c r="F373" s="608"/>
      <c r="G373" s="599">
        <f t="shared" si="67"/>
        <v>1</v>
      </c>
      <c r="H373" s="608"/>
      <c r="I373" s="599">
        <f t="shared" si="68"/>
        <v>1</v>
      </c>
      <c r="J373" s="608"/>
      <c r="K373" s="599">
        <f t="shared" si="69"/>
        <v>1</v>
      </c>
      <c r="L373" s="608"/>
      <c r="M373" s="599">
        <f t="shared" si="70"/>
        <v>1</v>
      </c>
      <c r="N373" s="608"/>
      <c r="O373" s="599">
        <f t="shared" si="71"/>
        <v>1</v>
      </c>
      <c r="P373" s="608"/>
      <c r="Q373" s="599">
        <f t="shared" si="72"/>
        <v>1</v>
      </c>
      <c r="R373" s="659">
        <f t="shared" si="73"/>
        <v>0</v>
      </c>
      <c r="S373" s="598">
        <f t="shared" si="64"/>
        <v>0</v>
      </c>
    </row>
    <row r="374" spans="1:19">
      <c r="A374" s="606"/>
      <c r="B374" s="607"/>
      <c r="C374" s="599">
        <f t="shared" si="65"/>
        <v>1</v>
      </c>
      <c r="D374" s="608"/>
      <c r="E374" s="599">
        <f t="shared" si="66"/>
        <v>0</v>
      </c>
      <c r="F374" s="608"/>
      <c r="G374" s="599">
        <f t="shared" si="67"/>
        <v>1</v>
      </c>
      <c r="H374" s="608"/>
      <c r="I374" s="599">
        <f t="shared" si="68"/>
        <v>1</v>
      </c>
      <c r="J374" s="608"/>
      <c r="K374" s="599">
        <f t="shared" si="69"/>
        <v>1</v>
      </c>
      <c r="L374" s="608"/>
      <c r="M374" s="599">
        <f t="shared" si="70"/>
        <v>1</v>
      </c>
      <c r="N374" s="608"/>
      <c r="O374" s="599">
        <f t="shared" si="71"/>
        <v>1</v>
      </c>
      <c r="P374" s="608"/>
      <c r="Q374" s="599">
        <f t="shared" si="72"/>
        <v>1</v>
      </c>
      <c r="R374" s="659">
        <f t="shared" si="73"/>
        <v>0</v>
      </c>
      <c r="S374" s="598">
        <f t="shared" si="64"/>
        <v>0</v>
      </c>
    </row>
    <row r="375" spans="1:19">
      <c r="A375" s="606"/>
      <c r="B375" s="607"/>
      <c r="C375" s="599">
        <f t="shared" si="65"/>
        <v>1</v>
      </c>
      <c r="D375" s="608"/>
      <c r="E375" s="599">
        <f t="shared" si="66"/>
        <v>0</v>
      </c>
      <c r="F375" s="608"/>
      <c r="G375" s="599">
        <f t="shared" si="67"/>
        <v>1</v>
      </c>
      <c r="H375" s="608"/>
      <c r="I375" s="599">
        <f t="shared" si="68"/>
        <v>1</v>
      </c>
      <c r="J375" s="608"/>
      <c r="K375" s="599">
        <f t="shared" si="69"/>
        <v>1</v>
      </c>
      <c r="L375" s="608"/>
      <c r="M375" s="599">
        <f t="shared" si="70"/>
        <v>1</v>
      </c>
      <c r="N375" s="608"/>
      <c r="O375" s="599">
        <f t="shared" si="71"/>
        <v>1</v>
      </c>
      <c r="P375" s="608"/>
      <c r="Q375" s="599">
        <f t="shared" si="72"/>
        <v>1</v>
      </c>
      <c r="R375" s="659">
        <f t="shared" si="73"/>
        <v>0</v>
      </c>
      <c r="S375" s="598">
        <f t="shared" si="64"/>
        <v>0</v>
      </c>
    </row>
    <row r="376" spans="1:19">
      <c r="A376" s="606"/>
      <c r="B376" s="607"/>
      <c r="C376" s="599">
        <f t="shared" si="65"/>
        <v>1</v>
      </c>
      <c r="D376" s="608"/>
      <c r="E376" s="599">
        <f t="shared" si="66"/>
        <v>0</v>
      </c>
      <c r="F376" s="608"/>
      <c r="G376" s="599">
        <f t="shared" si="67"/>
        <v>1</v>
      </c>
      <c r="H376" s="608"/>
      <c r="I376" s="599">
        <f t="shared" si="68"/>
        <v>1</v>
      </c>
      <c r="J376" s="608"/>
      <c r="K376" s="599">
        <f t="shared" si="69"/>
        <v>1</v>
      </c>
      <c r="L376" s="608"/>
      <c r="M376" s="599">
        <f t="shared" si="70"/>
        <v>1</v>
      </c>
      <c r="N376" s="608"/>
      <c r="O376" s="599">
        <f t="shared" si="71"/>
        <v>1</v>
      </c>
      <c r="P376" s="608"/>
      <c r="Q376" s="599">
        <f t="shared" si="72"/>
        <v>1</v>
      </c>
      <c r="R376" s="659">
        <f t="shared" si="73"/>
        <v>0</v>
      </c>
      <c r="S376" s="598">
        <f t="shared" si="64"/>
        <v>0</v>
      </c>
    </row>
    <row r="377" spans="1:19">
      <c r="A377" s="606"/>
      <c r="B377" s="607"/>
      <c r="C377" s="599">
        <f t="shared" si="65"/>
        <v>1</v>
      </c>
      <c r="D377" s="608"/>
      <c r="E377" s="599">
        <f t="shared" si="66"/>
        <v>0</v>
      </c>
      <c r="F377" s="608"/>
      <c r="G377" s="599">
        <f t="shared" si="67"/>
        <v>1</v>
      </c>
      <c r="H377" s="608"/>
      <c r="I377" s="599">
        <f t="shared" si="68"/>
        <v>1</v>
      </c>
      <c r="J377" s="608"/>
      <c r="K377" s="599">
        <f t="shared" si="69"/>
        <v>1</v>
      </c>
      <c r="L377" s="608"/>
      <c r="M377" s="599">
        <f t="shared" si="70"/>
        <v>1</v>
      </c>
      <c r="N377" s="608"/>
      <c r="O377" s="599">
        <f t="shared" si="71"/>
        <v>1</v>
      </c>
      <c r="P377" s="608"/>
      <c r="Q377" s="599">
        <f t="shared" si="72"/>
        <v>1</v>
      </c>
      <c r="R377" s="659">
        <f t="shared" si="73"/>
        <v>0</v>
      </c>
      <c r="S377" s="598">
        <f t="shared" si="64"/>
        <v>0</v>
      </c>
    </row>
    <row r="378" spans="1:19">
      <c r="A378" s="606"/>
      <c r="B378" s="607"/>
      <c r="C378" s="599">
        <f t="shared" si="65"/>
        <v>1</v>
      </c>
      <c r="D378" s="608"/>
      <c r="E378" s="599">
        <f t="shared" si="66"/>
        <v>0</v>
      </c>
      <c r="F378" s="608"/>
      <c r="G378" s="599">
        <f t="shared" si="67"/>
        <v>1</v>
      </c>
      <c r="H378" s="608"/>
      <c r="I378" s="599">
        <f t="shared" si="68"/>
        <v>1</v>
      </c>
      <c r="J378" s="608"/>
      <c r="K378" s="599">
        <f t="shared" si="69"/>
        <v>1</v>
      </c>
      <c r="L378" s="608"/>
      <c r="M378" s="599">
        <f t="shared" si="70"/>
        <v>1</v>
      </c>
      <c r="N378" s="608"/>
      <c r="O378" s="599">
        <f t="shared" si="71"/>
        <v>1</v>
      </c>
      <c r="P378" s="608"/>
      <c r="Q378" s="599">
        <f t="shared" si="72"/>
        <v>1</v>
      </c>
      <c r="R378" s="659">
        <f t="shared" si="73"/>
        <v>0</v>
      </c>
      <c r="S378" s="598">
        <f t="shared" si="64"/>
        <v>0</v>
      </c>
    </row>
    <row r="379" spans="1:19">
      <c r="A379" s="606"/>
      <c r="B379" s="607"/>
      <c r="C379" s="599">
        <f t="shared" si="65"/>
        <v>1</v>
      </c>
      <c r="D379" s="608"/>
      <c r="E379" s="599">
        <f t="shared" si="66"/>
        <v>0</v>
      </c>
      <c r="F379" s="608"/>
      <c r="G379" s="599">
        <f t="shared" si="67"/>
        <v>1</v>
      </c>
      <c r="H379" s="608"/>
      <c r="I379" s="599">
        <f t="shared" si="68"/>
        <v>1</v>
      </c>
      <c r="J379" s="608"/>
      <c r="K379" s="599">
        <f t="shared" si="69"/>
        <v>1</v>
      </c>
      <c r="L379" s="608"/>
      <c r="M379" s="599">
        <f t="shared" si="70"/>
        <v>1</v>
      </c>
      <c r="N379" s="608"/>
      <c r="O379" s="599">
        <f t="shared" si="71"/>
        <v>1</v>
      </c>
      <c r="P379" s="608"/>
      <c r="Q379" s="599">
        <f t="shared" si="72"/>
        <v>1</v>
      </c>
      <c r="R379" s="659">
        <f t="shared" si="73"/>
        <v>0</v>
      </c>
      <c r="S379" s="598">
        <f t="shared" si="64"/>
        <v>0</v>
      </c>
    </row>
    <row r="380" spans="1:19">
      <c r="A380" s="606"/>
      <c r="B380" s="607"/>
      <c r="C380" s="599">
        <f t="shared" si="65"/>
        <v>1</v>
      </c>
      <c r="D380" s="608"/>
      <c r="E380" s="599">
        <f t="shared" si="66"/>
        <v>0</v>
      </c>
      <c r="F380" s="608"/>
      <c r="G380" s="599">
        <f t="shared" si="67"/>
        <v>1</v>
      </c>
      <c r="H380" s="608"/>
      <c r="I380" s="599">
        <f t="shared" si="68"/>
        <v>1</v>
      </c>
      <c r="J380" s="608"/>
      <c r="K380" s="599">
        <f t="shared" si="69"/>
        <v>1</v>
      </c>
      <c r="L380" s="608"/>
      <c r="M380" s="599">
        <f t="shared" si="70"/>
        <v>1</v>
      </c>
      <c r="N380" s="608"/>
      <c r="O380" s="599">
        <f t="shared" si="71"/>
        <v>1</v>
      </c>
      <c r="P380" s="608"/>
      <c r="Q380" s="599">
        <f t="shared" si="72"/>
        <v>1</v>
      </c>
      <c r="R380" s="659">
        <f t="shared" si="73"/>
        <v>0</v>
      </c>
      <c r="S380" s="598">
        <f t="shared" si="64"/>
        <v>0</v>
      </c>
    </row>
    <row r="381" spans="1:19">
      <c r="A381" s="606"/>
      <c r="B381" s="607"/>
      <c r="C381" s="599">
        <f t="shared" si="65"/>
        <v>1</v>
      </c>
      <c r="D381" s="608"/>
      <c r="E381" s="599">
        <f t="shared" si="66"/>
        <v>0</v>
      </c>
      <c r="F381" s="608"/>
      <c r="G381" s="599">
        <f t="shared" si="67"/>
        <v>1</v>
      </c>
      <c r="H381" s="608"/>
      <c r="I381" s="599">
        <f t="shared" si="68"/>
        <v>1</v>
      </c>
      <c r="J381" s="608"/>
      <c r="K381" s="599">
        <f t="shared" si="69"/>
        <v>1</v>
      </c>
      <c r="L381" s="608"/>
      <c r="M381" s="599">
        <f t="shared" si="70"/>
        <v>1</v>
      </c>
      <c r="N381" s="608"/>
      <c r="O381" s="599">
        <f t="shared" si="71"/>
        <v>1</v>
      </c>
      <c r="P381" s="608"/>
      <c r="Q381" s="599">
        <f t="shared" si="72"/>
        <v>1</v>
      </c>
      <c r="R381" s="659">
        <f t="shared" si="73"/>
        <v>0</v>
      </c>
      <c r="S381" s="598">
        <f t="shared" si="64"/>
        <v>0</v>
      </c>
    </row>
    <row r="382" spans="1:19">
      <c r="A382" s="606"/>
      <c r="B382" s="607"/>
      <c r="C382" s="599">
        <f t="shared" si="65"/>
        <v>1</v>
      </c>
      <c r="D382" s="608"/>
      <c r="E382" s="599">
        <f t="shared" si="66"/>
        <v>0</v>
      </c>
      <c r="F382" s="608"/>
      <c r="G382" s="599">
        <f t="shared" si="67"/>
        <v>1</v>
      </c>
      <c r="H382" s="608"/>
      <c r="I382" s="599">
        <f t="shared" si="68"/>
        <v>1</v>
      </c>
      <c r="J382" s="608"/>
      <c r="K382" s="599">
        <f t="shared" si="69"/>
        <v>1</v>
      </c>
      <c r="L382" s="608"/>
      <c r="M382" s="599">
        <f t="shared" si="70"/>
        <v>1</v>
      </c>
      <c r="N382" s="608"/>
      <c r="O382" s="599">
        <f t="shared" si="71"/>
        <v>1</v>
      </c>
      <c r="P382" s="608"/>
      <c r="Q382" s="599">
        <f t="shared" si="72"/>
        <v>1</v>
      </c>
      <c r="R382" s="659">
        <f t="shared" si="73"/>
        <v>0</v>
      </c>
      <c r="S382" s="598">
        <f t="shared" si="64"/>
        <v>0</v>
      </c>
    </row>
    <row r="383" spans="1:19">
      <c r="A383" s="606"/>
      <c r="B383" s="607"/>
      <c r="C383" s="599">
        <f t="shared" si="65"/>
        <v>1</v>
      </c>
      <c r="D383" s="608"/>
      <c r="E383" s="599">
        <f t="shared" si="66"/>
        <v>0</v>
      </c>
      <c r="F383" s="608"/>
      <c r="G383" s="599">
        <f t="shared" si="67"/>
        <v>1</v>
      </c>
      <c r="H383" s="608"/>
      <c r="I383" s="599">
        <f t="shared" si="68"/>
        <v>1</v>
      </c>
      <c r="J383" s="608"/>
      <c r="K383" s="599">
        <f t="shared" si="69"/>
        <v>1</v>
      </c>
      <c r="L383" s="608"/>
      <c r="M383" s="599">
        <f t="shared" si="70"/>
        <v>1</v>
      </c>
      <c r="N383" s="608"/>
      <c r="O383" s="599">
        <f t="shared" si="71"/>
        <v>1</v>
      </c>
      <c r="P383" s="608"/>
      <c r="Q383" s="599">
        <f t="shared" si="72"/>
        <v>1</v>
      </c>
      <c r="R383" s="659">
        <f t="shared" si="73"/>
        <v>0</v>
      </c>
      <c r="S383" s="598">
        <f t="shared" si="64"/>
        <v>0</v>
      </c>
    </row>
    <row r="384" spans="1:19">
      <c r="A384" s="606"/>
      <c r="B384" s="607"/>
      <c r="C384" s="599">
        <f t="shared" si="65"/>
        <v>1</v>
      </c>
      <c r="D384" s="608"/>
      <c r="E384" s="599">
        <f t="shared" si="66"/>
        <v>0</v>
      </c>
      <c r="F384" s="608"/>
      <c r="G384" s="599">
        <f t="shared" si="67"/>
        <v>1</v>
      </c>
      <c r="H384" s="608"/>
      <c r="I384" s="599">
        <f t="shared" si="68"/>
        <v>1</v>
      </c>
      <c r="J384" s="608"/>
      <c r="K384" s="599">
        <f t="shared" si="69"/>
        <v>1</v>
      </c>
      <c r="L384" s="608"/>
      <c r="M384" s="599">
        <f t="shared" si="70"/>
        <v>1</v>
      </c>
      <c r="N384" s="608"/>
      <c r="O384" s="599">
        <f t="shared" si="71"/>
        <v>1</v>
      </c>
      <c r="P384" s="608"/>
      <c r="Q384" s="599">
        <f t="shared" si="72"/>
        <v>1</v>
      </c>
      <c r="R384" s="659">
        <f t="shared" si="73"/>
        <v>0</v>
      </c>
      <c r="S384" s="598">
        <f t="shared" si="64"/>
        <v>0</v>
      </c>
    </row>
    <row r="385" spans="1:19">
      <c r="A385" s="606"/>
      <c r="B385" s="607"/>
      <c r="C385" s="599">
        <f t="shared" si="65"/>
        <v>1</v>
      </c>
      <c r="D385" s="608"/>
      <c r="E385" s="599">
        <f t="shared" si="66"/>
        <v>0</v>
      </c>
      <c r="F385" s="608"/>
      <c r="G385" s="599">
        <f t="shared" si="67"/>
        <v>1</v>
      </c>
      <c r="H385" s="608"/>
      <c r="I385" s="599">
        <f t="shared" si="68"/>
        <v>1</v>
      </c>
      <c r="J385" s="608"/>
      <c r="K385" s="599">
        <f t="shared" si="69"/>
        <v>1</v>
      </c>
      <c r="L385" s="608"/>
      <c r="M385" s="599">
        <f t="shared" si="70"/>
        <v>1</v>
      </c>
      <c r="N385" s="608"/>
      <c r="O385" s="599">
        <f t="shared" si="71"/>
        <v>1</v>
      </c>
      <c r="P385" s="608"/>
      <c r="Q385" s="599">
        <f t="shared" si="72"/>
        <v>1</v>
      </c>
      <c r="R385" s="659">
        <f t="shared" si="73"/>
        <v>0</v>
      </c>
      <c r="S385" s="598">
        <f t="shared" ref="S385:S422" si="74">ROUND(R385*B385/10000,0)</f>
        <v>0</v>
      </c>
    </row>
    <row r="386" spans="1:19">
      <c r="A386" s="606"/>
      <c r="B386" s="607"/>
      <c r="C386" s="599">
        <f t="shared" si="65"/>
        <v>1</v>
      </c>
      <c r="D386" s="608"/>
      <c r="E386" s="599">
        <f t="shared" si="66"/>
        <v>0</v>
      </c>
      <c r="F386" s="608"/>
      <c r="G386" s="599">
        <f t="shared" si="67"/>
        <v>1</v>
      </c>
      <c r="H386" s="608"/>
      <c r="I386" s="599">
        <f t="shared" si="68"/>
        <v>1</v>
      </c>
      <c r="J386" s="608"/>
      <c r="K386" s="599">
        <f t="shared" si="69"/>
        <v>1</v>
      </c>
      <c r="L386" s="608"/>
      <c r="M386" s="599">
        <f t="shared" si="70"/>
        <v>1</v>
      </c>
      <c r="N386" s="608"/>
      <c r="O386" s="599">
        <f t="shared" si="71"/>
        <v>1</v>
      </c>
      <c r="P386" s="608"/>
      <c r="Q386" s="599">
        <f t="shared" si="72"/>
        <v>1</v>
      </c>
      <c r="R386" s="659">
        <f t="shared" si="73"/>
        <v>0</v>
      </c>
      <c r="S386" s="598">
        <f t="shared" si="74"/>
        <v>0</v>
      </c>
    </row>
    <row r="387" spans="1:19">
      <c r="A387" s="606"/>
      <c r="B387" s="607"/>
      <c r="C387" s="599">
        <f t="shared" si="65"/>
        <v>1</v>
      </c>
      <c r="D387" s="608"/>
      <c r="E387" s="599">
        <f t="shared" si="66"/>
        <v>0</v>
      </c>
      <c r="F387" s="608"/>
      <c r="G387" s="599">
        <f t="shared" si="67"/>
        <v>1</v>
      </c>
      <c r="H387" s="608"/>
      <c r="I387" s="599">
        <f t="shared" si="68"/>
        <v>1</v>
      </c>
      <c r="J387" s="608"/>
      <c r="K387" s="599">
        <f t="shared" si="69"/>
        <v>1</v>
      </c>
      <c r="L387" s="608"/>
      <c r="M387" s="599">
        <f t="shared" si="70"/>
        <v>1</v>
      </c>
      <c r="N387" s="608"/>
      <c r="O387" s="599">
        <f t="shared" si="71"/>
        <v>1</v>
      </c>
      <c r="P387" s="608"/>
      <c r="Q387" s="599">
        <f t="shared" si="72"/>
        <v>1</v>
      </c>
      <c r="R387" s="659">
        <f t="shared" si="73"/>
        <v>0</v>
      </c>
      <c r="S387" s="598">
        <f t="shared" si="74"/>
        <v>0</v>
      </c>
    </row>
    <row r="388" spans="1:19">
      <c r="A388" s="606"/>
      <c r="B388" s="607"/>
      <c r="C388" s="599">
        <f t="shared" si="65"/>
        <v>1</v>
      </c>
      <c r="D388" s="608"/>
      <c r="E388" s="599">
        <f t="shared" si="66"/>
        <v>0</v>
      </c>
      <c r="F388" s="608"/>
      <c r="G388" s="599">
        <f t="shared" si="67"/>
        <v>1</v>
      </c>
      <c r="H388" s="608"/>
      <c r="I388" s="599">
        <f t="shared" si="68"/>
        <v>1</v>
      </c>
      <c r="J388" s="608"/>
      <c r="K388" s="599">
        <f t="shared" si="69"/>
        <v>1</v>
      </c>
      <c r="L388" s="608"/>
      <c r="M388" s="599">
        <f t="shared" si="70"/>
        <v>1</v>
      </c>
      <c r="N388" s="608"/>
      <c r="O388" s="599">
        <f t="shared" si="71"/>
        <v>1</v>
      </c>
      <c r="P388" s="608"/>
      <c r="Q388" s="599">
        <f t="shared" si="72"/>
        <v>1</v>
      </c>
      <c r="R388" s="659">
        <f t="shared" si="73"/>
        <v>0</v>
      </c>
      <c r="S388" s="598">
        <f t="shared" si="74"/>
        <v>0</v>
      </c>
    </row>
    <row r="389" spans="1:19">
      <c r="A389" s="606"/>
      <c r="B389" s="607"/>
      <c r="C389" s="599">
        <f t="shared" si="65"/>
        <v>1</v>
      </c>
      <c r="D389" s="608"/>
      <c r="E389" s="599">
        <f t="shared" si="66"/>
        <v>0</v>
      </c>
      <c r="F389" s="608"/>
      <c r="G389" s="599">
        <f t="shared" si="67"/>
        <v>1</v>
      </c>
      <c r="H389" s="608"/>
      <c r="I389" s="599">
        <f t="shared" si="68"/>
        <v>1</v>
      </c>
      <c r="J389" s="608"/>
      <c r="K389" s="599">
        <f t="shared" si="69"/>
        <v>1</v>
      </c>
      <c r="L389" s="608"/>
      <c r="M389" s="599">
        <f t="shared" si="70"/>
        <v>1</v>
      </c>
      <c r="N389" s="608"/>
      <c r="O389" s="599">
        <f t="shared" si="71"/>
        <v>1</v>
      </c>
      <c r="P389" s="608"/>
      <c r="Q389" s="599">
        <f t="shared" si="72"/>
        <v>1</v>
      </c>
      <c r="R389" s="659">
        <f t="shared" si="73"/>
        <v>0</v>
      </c>
      <c r="S389" s="598">
        <f t="shared" si="74"/>
        <v>0</v>
      </c>
    </row>
    <row r="390" spans="1:19">
      <c r="A390" s="606"/>
      <c r="B390" s="607"/>
      <c r="C390" s="599">
        <f t="shared" si="65"/>
        <v>1</v>
      </c>
      <c r="D390" s="608"/>
      <c r="E390" s="599">
        <f t="shared" si="66"/>
        <v>0</v>
      </c>
      <c r="F390" s="608"/>
      <c r="G390" s="599">
        <f t="shared" si="67"/>
        <v>1</v>
      </c>
      <c r="H390" s="608"/>
      <c r="I390" s="599">
        <f t="shared" si="68"/>
        <v>1</v>
      </c>
      <c r="J390" s="608"/>
      <c r="K390" s="599">
        <f t="shared" si="69"/>
        <v>1</v>
      </c>
      <c r="L390" s="608"/>
      <c r="M390" s="599">
        <f t="shared" si="70"/>
        <v>1</v>
      </c>
      <c r="N390" s="608"/>
      <c r="O390" s="599">
        <f t="shared" si="71"/>
        <v>1</v>
      </c>
      <c r="P390" s="608"/>
      <c r="Q390" s="599">
        <f t="shared" si="72"/>
        <v>1</v>
      </c>
      <c r="R390" s="659">
        <f t="shared" si="73"/>
        <v>0</v>
      </c>
      <c r="S390" s="598">
        <f t="shared" si="74"/>
        <v>0</v>
      </c>
    </row>
    <row r="391" spans="1:19">
      <c r="A391" s="606"/>
      <c r="B391" s="607"/>
      <c r="C391" s="599">
        <f t="shared" si="65"/>
        <v>1</v>
      </c>
      <c r="D391" s="608"/>
      <c r="E391" s="599">
        <f t="shared" si="66"/>
        <v>0</v>
      </c>
      <c r="F391" s="608"/>
      <c r="G391" s="599">
        <f t="shared" si="67"/>
        <v>1</v>
      </c>
      <c r="H391" s="608"/>
      <c r="I391" s="599">
        <f t="shared" si="68"/>
        <v>1</v>
      </c>
      <c r="J391" s="608"/>
      <c r="K391" s="599">
        <f t="shared" si="69"/>
        <v>1</v>
      </c>
      <c r="L391" s="608"/>
      <c r="M391" s="599">
        <f t="shared" si="70"/>
        <v>1</v>
      </c>
      <c r="N391" s="608"/>
      <c r="O391" s="599">
        <f t="shared" si="71"/>
        <v>1</v>
      </c>
      <c r="P391" s="608"/>
      <c r="Q391" s="599">
        <f t="shared" si="72"/>
        <v>1</v>
      </c>
      <c r="R391" s="659">
        <f t="shared" si="73"/>
        <v>0</v>
      </c>
      <c r="S391" s="598">
        <f t="shared" si="74"/>
        <v>0</v>
      </c>
    </row>
    <row r="392" spans="1:19">
      <c r="A392" s="606"/>
      <c r="B392" s="607"/>
      <c r="C392" s="599">
        <f t="shared" si="65"/>
        <v>1</v>
      </c>
      <c r="D392" s="608"/>
      <c r="E392" s="599">
        <f t="shared" si="66"/>
        <v>0</v>
      </c>
      <c r="F392" s="608"/>
      <c r="G392" s="599">
        <f t="shared" si="67"/>
        <v>1</v>
      </c>
      <c r="H392" s="608"/>
      <c r="I392" s="599">
        <f t="shared" si="68"/>
        <v>1</v>
      </c>
      <c r="J392" s="608"/>
      <c r="K392" s="599">
        <f t="shared" si="69"/>
        <v>1</v>
      </c>
      <c r="L392" s="608"/>
      <c r="M392" s="599">
        <f t="shared" si="70"/>
        <v>1</v>
      </c>
      <c r="N392" s="608"/>
      <c r="O392" s="599">
        <f t="shared" si="71"/>
        <v>1</v>
      </c>
      <c r="P392" s="608"/>
      <c r="Q392" s="599">
        <f t="shared" si="72"/>
        <v>1</v>
      </c>
      <c r="R392" s="659">
        <f t="shared" si="73"/>
        <v>0</v>
      </c>
      <c r="S392" s="598">
        <f t="shared" si="74"/>
        <v>0</v>
      </c>
    </row>
    <row r="393" spans="1:19">
      <c r="A393" s="606"/>
      <c r="B393" s="607"/>
      <c r="C393" s="599">
        <f t="shared" si="65"/>
        <v>1</v>
      </c>
      <c r="D393" s="608"/>
      <c r="E393" s="599">
        <f t="shared" si="66"/>
        <v>0</v>
      </c>
      <c r="F393" s="608"/>
      <c r="G393" s="599">
        <f t="shared" si="67"/>
        <v>1</v>
      </c>
      <c r="H393" s="608"/>
      <c r="I393" s="599">
        <f t="shared" si="68"/>
        <v>1</v>
      </c>
      <c r="J393" s="608"/>
      <c r="K393" s="599">
        <f t="shared" si="69"/>
        <v>1</v>
      </c>
      <c r="L393" s="608"/>
      <c r="M393" s="599">
        <f t="shared" si="70"/>
        <v>1</v>
      </c>
      <c r="N393" s="608"/>
      <c r="O393" s="599">
        <f t="shared" si="71"/>
        <v>1</v>
      </c>
      <c r="P393" s="608"/>
      <c r="Q393" s="599">
        <f t="shared" si="72"/>
        <v>1</v>
      </c>
      <c r="R393" s="659">
        <f t="shared" si="73"/>
        <v>0</v>
      </c>
      <c r="S393" s="598">
        <f t="shared" si="74"/>
        <v>0</v>
      </c>
    </row>
    <row r="394" spans="1:19">
      <c r="A394" s="606"/>
      <c r="B394" s="607"/>
      <c r="C394" s="599">
        <f t="shared" si="65"/>
        <v>1</v>
      </c>
      <c r="D394" s="608"/>
      <c r="E394" s="599">
        <f t="shared" si="66"/>
        <v>0</v>
      </c>
      <c r="F394" s="608"/>
      <c r="G394" s="599">
        <f t="shared" si="67"/>
        <v>1</v>
      </c>
      <c r="H394" s="608"/>
      <c r="I394" s="599">
        <f t="shared" si="68"/>
        <v>1</v>
      </c>
      <c r="J394" s="608"/>
      <c r="K394" s="599">
        <f t="shared" si="69"/>
        <v>1</v>
      </c>
      <c r="L394" s="608"/>
      <c r="M394" s="599">
        <f t="shared" si="70"/>
        <v>1</v>
      </c>
      <c r="N394" s="608"/>
      <c r="O394" s="599">
        <f t="shared" si="71"/>
        <v>1</v>
      </c>
      <c r="P394" s="608"/>
      <c r="Q394" s="599">
        <f t="shared" si="72"/>
        <v>1</v>
      </c>
      <c r="R394" s="659">
        <f t="shared" si="73"/>
        <v>0</v>
      </c>
      <c r="S394" s="598">
        <f t="shared" si="74"/>
        <v>0</v>
      </c>
    </row>
    <row r="395" spans="1:19">
      <c r="A395" s="606"/>
      <c r="B395" s="607"/>
      <c r="C395" s="599">
        <f t="shared" si="65"/>
        <v>1</v>
      </c>
      <c r="D395" s="608"/>
      <c r="E395" s="599">
        <f t="shared" si="66"/>
        <v>0</v>
      </c>
      <c r="F395" s="608"/>
      <c r="G395" s="599">
        <f t="shared" si="67"/>
        <v>1</v>
      </c>
      <c r="H395" s="608"/>
      <c r="I395" s="599">
        <f t="shared" si="68"/>
        <v>1</v>
      </c>
      <c r="J395" s="608"/>
      <c r="K395" s="599">
        <f t="shared" si="69"/>
        <v>1</v>
      </c>
      <c r="L395" s="608"/>
      <c r="M395" s="599">
        <f t="shared" si="70"/>
        <v>1</v>
      </c>
      <c r="N395" s="608"/>
      <c r="O395" s="599">
        <f t="shared" si="71"/>
        <v>1</v>
      </c>
      <c r="P395" s="608"/>
      <c r="Q395" s="599">
        <f t="shared" si="72"/>
        <v>1</v>
      </c>
      <c r="R395" s="659">
        <f t="shared" si="73"/>
        <v>0</v>
      </c>
      <c r="S395" s="598">
        <f t="shared" si="74"/>
        <v>0</v>
      </c>
    </row>
    <row r="396" spans="1:19">
      <c r="A396" s="606"/>
      <c r="B396" s="607"/>
      <c r="C396" s="599">
        <f t="shared" si="65"/>
        <v>1</v>
      </c>
      <c r="D396" s="608"/>
      <c r="E396" s="599">
        <f t="shared" si="66"/>
        <v>0</v>
      </c>
      <c r="F396" s="608"/>
      <c r="G396" s="599">
        <f t="shared" si="67"/>
        <v>1</v>
      </c>
      <c r="H396" s="608"/>
      <c r="I396" s="599">
        <f t="shared" si="68"/>
        <v>1</v>
      </c>
      <c r="J396" s="608"/>
      <c r="K396" s="599">
        <f t="shared" si="69"/>
        <v>1</v>
      </c>
      <c r="L396" s="608"/>
      <c r="M396" s="599">
        <f t="shared" si="70"/>
        <v>1</v>
      </c>
      <c r="N396" s="608"/>
      <c r="O396" s="599">
        <f t="shared" si="71"/>
        <v>1</v>
      </c>
      <c r="P396" s="608"/>
      <c r="Q396" s="599">
        <f t="shared" si="72"/>
        <v>1</v>
      </c>
      <c r="R396" s="659">
        <f t="shared" si="73"/>
        <v>0</v>
      </c>
      <c r="S396" s="598">
        <f t="shared" si="74"/>
        <v>0</v>
      </c>
    </row>
    <row r="397" spans="1:19">
      <c r="A397" s="606"/>
      <c r="B397" s="607"/>
      <c r="C397" s="599">
        <f t="shared" si="65"/>
        <v>1</v>
      </c>
      <c r="D397" s="608"/>
      <c r="E397" s="599">
        <f t="shared" si="66"/>
        <v>0</v>
      </c>
      <c r="F397" s="608"/>
      <c r="G397" s="599">
        <f t="shared" si="67"/>
        <v>1</v>
      </c>
      <c r="H397" s="608"/>
      <c r="I397" s="599">
        <f t="shared" si="68"/>
        <v>1</v>
      </c>
      <c r="J397" s="608"/>
      <c r="K397" s="599">
        <f t="shared" si="69"/>
        <v>1</v>
      </c>
      <c r="L397" s="608"/>
      <c r="M397" s="599">
        <f t="shared" si="70"/>
        <v>1</v>
      </c>
      <c r="N397" s="608"/>
      <c r="O397" s="599">
        <f t="shared" si="71"/>
        <v>1</v>
      </c>
      <c r="P397" s="608"/>
      <c r="Q397" s="599">
        <f t="shared" si="72"/>
        <v>1</v>
      </c>
      <c r="R397" s="659">
        <f t="shared" si="73"/>
        <v>0</v>
      </c>
      <c r="S397" s="598">
        <f t="shared" si="74"/>
        <v>0</v>
      </c>
    </row>
    <row r="398" spans="1:19">
      <c r="A398" s="606"/>
      <c r="B398" s="607"/>
      <c r="C398" s="599">
        <f t="shared" si="65"/>
        <v>1</v>
      </c>
      <c r="D398" s="608"/>
      <c r="E398" s="599">
        <f t="shared" si="66"/>
        <v>0</v>
      </c>
      <c r="F398" s="608"/>
      <c r="G398" s="599">
        <f t="shared" si="67"/>
        <v>1</v>
      </c>
      <c r="H398" s="608"/>
      <c r="I398" s="599">
        <f t="shared" si="68"/>
        <v>1</v>
      </c>
      <c r="J398" s="608"/>
      <c r="K398" s="599">
        <f t="shared" si="69"/>
        <v>1</v>
      </c>
      <c r="L398" s="608"/>
      <c r="M398" s="599">
        <f t="shared" si="70"/>
        <v>1</v>
      </c>
      <c r="N398" s="608"/>
      <c r="O398" s="599">
        <f t="shared" si="71"/>
        <v>1</v>
      </c>
      <c r="P398" s="608"/>
      <c r="Q398" s="599">
        <f t="shared" si="72"/>
        <v>1</v>
      </c>
      <c r="R398" s="659">
        <f t="shared" si="73"/>
        <v>0</v>
      </c>
      <c r="S398" s="598">
        <f t="shared" si="74"/>
        <v>0</v>
      </c>
    </row>
    <row r="399" spans="1:19">
      <c r="A399" s="606"/>
      <c r="B399" s="607"/>
      <c r="C399" s="599">
        <f t="shared" si="65"/>
        <v>1</v>
      </c>
      <c r="D399" s="608"/>
      <c r="E399" s="599">
        <f t="shared" si="66"/>
        <v>0</v>
      </c>
      <c r="F399" s="608"/>
      <c r="G399" s="599">
        <f t="shared" si="67"/>
        <v>1</v>
      </c>
      <c r="H399" s="608"/>
      <c r="I399" s="599">
        <f t="shared" si="68"/>
        <v>1</v>
      </c>
      <c r="J399" s="608"/>
      <c r="K399" s="599">
        <f t="shared" si="69"/>
        <v>1</v>
      </c>
      <c r="L399" s="608"/>
      <c r="M399" s="599">
        <f t="shared" si="70"/>
        <v>1</v>
      </c>
      <c r="N399" s="608"/>
      <c r="O399" s="599">
        <f t="shared" si="71"/>
        <v>1</v>
      </c>
      <c r="P399" s="608"/>
      <c r="Q399" s="599">
        <f t="shared" si="72"/>
        <v>1</v>
      </c>
      <c r="R399" s="659">
        <f t="shared" si="73"/>
        <v>0</v>
      </c>
      <c r="S399" s="598">
        <f t="shared" si="74"/>
        <v>0</v>
      </c>
    </row>
    <row r="400" spans="1:19">
      <c r="A400" s="606"/>
      <c r="B400" s="607"/>
      <c r="C400" s="599">
        <f t="shared" si="65"/>
        <v>1</v>
      </c>
      <c r="D400" s="608"/>
      <c r="E400" s="599">
        <f t="shared" si="66"/>
        <v>0</v>
      </c>
      <c r="F400" s="608"/>
      <c r="G400" s="599">
        <f t="shared" si="67"/>
        <v>1</v>
      </c>
      <c r="H400" s="608"/>
      <c r="I400" s="599">
        <f t="shared" si="68"/>
        <v>1</v>
      </c>
      <c r="J400" s="608"/>
      <c r="K400" s="599">
        <f t="shared" si="69"/>
        <v>1</v>
      </c>
      <c r="L400" s="608"/>
      <c r="M400" s="599">
        <f t="shared" si="70"/>
        <v>1</v>
      </c>
      <c r="N400" s="608"/>
      <c r="O400" s="599">
        <f t="shared" si="71"/>
        <v>1</v>
      </c>
      <c r="P400" s="608"/>
      <c r="Q400" s="599">
        <f t="shared" si="72"/>
        <v>1</v>
      </c>
      <c r="R400" s="659">
        <f t="shared" si="73"/>
        <v>0</v>
      </c>
      <c r="S400" s="598">
        <f t="shared" si="74"/>
        <v>0</v>
      </c>
    </row>
    <row r="401" spans="1:19">
      <c r="A401" s="606"/>
      <c r="B401" s="607"/>
      <c r="C401" s="599">
        <f t="shared" si="65"/>
        <v>1</v>
      </c>
      <c r="D401" s="608"/>
      <c r="E401" s="599">
        <f t="shared" si="66"/>
        <v>0</v>
      </c>
      <c r="F401" s="608"/>
      <c r="G401" s="599">
        <f t="shared" si="67"/>
        <v>1</v>
      </c>
      <c r="H401" s="608"/>
      <c r="I401" s="599">
        <f t="shared" si="68"/>
        <v>1</v>
      </c>
      <c r="J401" s="608"/>
      <c r="K401" s="599">
        <f t="shared" si="69"/>
        <v>1</v>
      </c>
      <c r="L401" s="608"/>
      <c r="M401" s="599">
        <f t="shared" si="70"/>
        <v>1</v>
      </c>
      <c r="N401" s="608"/>
      <c r="O401" s="599">
        <f t="shared" si="71"/>
        <v>1</v>
      </c>
      <c r="P401" s="608"/>
      <c r="Q401" s="599">
        <f t="shared" si="72"/>
        <v>1</v>
      </c>
      <c r="R401" s="659">
        <f t="shared" si="73"/>
        <v>0</v>
      </c>
      <c r="S401" s="598">
        <f t="shared" si="74"/>
        <v>0</v>
      </c>
    </row>
    <row r="402" spans="1:19">
      <c r="A402" s="606"/>
      <c r="B402" s="607"/>
      <c r="C402" s="599">
        <f t="shared" si="65"/>
        <v>1</v>
      </c>
      <c r="D402" s="608"/>
      <c r="E402" s="599">
        <f t="shared" si="66"/>
        <v>0</v>
      </c>
      <c r="F402" s="608"/>
      <c r="G402" s="599">
        <f t="shared" si="67"/>
        <v>1</v>
      </c>
      <c r="H402" s="608"/>
      <c r="I402" s="599">
        <f t="shared" si="68"/>
        <v>1</v>
      </c>
      <c r="J402" s="608"/>
      <c r="K402" s="599">
        <f t="shared" si="69"/>
        <v>1</v>
      </c>
      <c r="L402" s="608"/>
      <c r="M402" s="599">
        <f t="shared" si="70"/>
        <v>1</v>
      </c>
      <c r="N402" s="608"/>
      <c r="O402" s="599">
        <f t="shared" si="71"/>
        <v>1</v>
      </c>
      <c r="P402" s="608"/>
      <c r="Q402" s="599">
        <f t="shared" si="72"/>
        <v>1</v>
      </c>
      <c r="R402" s="659">
        <f t="shared" si="73"/>
        <v>0</v>
      </c>
      <c r="S402" s="598">
        <f t="shared" si="74"/>
        <v>0</v>
      </c>
    </row>
    <row r="403" spans="1:19">
      <c r="A403" s="606"/>
      <c r="B403" s="607"/>
      <c r="C403" s="599">
        <f t="shared" si="65"/>
        <v>1</v>
      </c>
      <c r="D403" s="608"/>
      <c r="E403" s="599">
        <f t="shared" si="66"/>
        <v>0</v>
      </c>
      <c r="F403" s="608"/>
      <c r="G403" s="599">
        <f t="shared" si="67"/>
        <v>1</v>
      </c>
      <c r="H403" s="608"/>
      <c r="I403" s="599">
        <f t="shared" si="68"/>
        <v>1</v>
      </c>
      <c r="J403" s="608"/>
      <c r="K403" s="599">
        <f t="shared" si="69"/>
        <v>1</v>
      </c>
      <c r="L403" s="608"/>
      <c r="M403" s="599">
        <f t="shared" si="70"/>
        <v>1</v>
      </c>
      <c r="N403" s="608"/>
      <c r="O403" s="599">
        <f t="shared" si="71"/>
        <v>1</v>
      </c>
      <c r="P403" s="608"/>
      <c r="Q403" s="599">
        <f t="shared" si="72"/>
        <v>1</v>
      </c>
      <c r="R403" s="659">
        <f t="shared" si="73"/>
        <v>0</v>
      </c>
      <c r="S403" s="598">
        <f t="shared" si="74"/>
        <v>0</v>
      </c>
    </row>
    <row r="404" spans="1:19">
      <c r="A404" s="606"/>
      <c r="B404" s="607"/>
      <c r="C404" s="599">
        <f t="shared" si="65"/>
        <v>1</v>
      </c>
      <c r="D404" s="608"/>
      <c r="E404" s="599">
        <f t="shared" si="66"/>
        <v>0</v>
      </c>
      <c r="F404" s="608"/>
      <c r="G404" s="599">
        <f t="shared" si="67"/>
        <v>1</v>
      </c>
      <c r="H404" s="608"/>
      <c r="I404" s="599">
        <f t="shared" si="68"/>
        <v>1</v>
      </c>
      <c r="J404" s="608"/>
      <c r="K404" s="599">
        <f t="shared" si="69"/>
        <v>1</v>
      </c>
      <c r="L404" s="608"/>
      <c r="M404" s="599">
        <f t="shared" si="70"/>
        <v>1</v>
      </c>
      <c r="N404" s="608"/>
      <c r="O404" s="599">
        <f t="shared" si="71"/>
        <v>1</v>
      </c>
      <c r="P404" s="608"/>
      <c r="Q404" s="599">
        <f t="shared" si="72"/>
        <v>1</v>
      </c>
      <c r="R404" s="659">
        <f t="shared" si="73"/>
        <v>0</v>
      </c>
      <c r="S404" s="598">
        <f t="shared" si="74"/>
        <v>0</v>
      </c>
    </row>
    <row r="405" spans="1:19">
      <c r="A405" s="606"/>
      <c r="B405" s="607"/>
      <c r="C405" s="599">
        <f t="shared" si="65"/>
        <v>1</v>
      </c>
      <c r="D405" s="608"/>
      <c r="E405" s="599">
        <f t="shared" si="66"/>
        <v>0</v>
      </c>
      <c r="F405" s="608"/>
      <c r="G405" s="599">
        <f t="shared" si="67"/>
        <v>1</v>
      </c>
      <c r="H405" s="608"/>
      <c r="I405" s="599">
        <f t="shared" si="68"/>
        <v>1</v>
      </c>
      <c r="J405" s="608"/>
      <c r="K405" s="599">
        <f t="shared" si="69"/>
        <v>1</v>
      </c>
      <c r="L405" s="608"/>
      <c r="M405" s="599">
        <f t="shared" si="70"/>
        <v>1</v>
      </c>
      <c r="N405" s="608"/>
      <c r="O405" s="599">
        <f t="shared" si="71"/>
        <v>1</v>
      </c>
      <c r="P405" s="608"/>
      <c r="Q405" s="599">
        <f t="shared" si="72"/>
        <v>1</v>
      </c>
      <c r="R405" s="659">
        <f t="shared" si="73"/>
        <v>0</v>
      </c>
      <c r="S405" s="598">
        <f t="shared" si="74"/>
        <v>0</v>
      </c>
    </row>
    <row r="406" spans="1:19">
      <c r="A406" s="606"/>
      <c r="B406" s="607"/>
      <c r="C406" s="599">
        <f t="shared" si="65"/>
        <v>1</v>
      </c>
      <c r="D406" s="608"/>
      <c r="E406" s="599">
        <f t="shared" si="66"/>
        <v>0</v>
      </c>
      <c r="F406" s="608"/>
      <c r="G406" s="599">
        <f t="shared" si="67"/>
        <v>1</v>
      </c>
      <c r="H406" s="608"/>
      <c r="I406" s="599">
        <f t="shared" si="68"/>
        <v>1</v>
      </c>
      <c r="J406" s="608"/>
      <c r="K406" s="599">
        <f t="shared" si="69"/>
        <v>1</v>
      </c>
      <c r="L406" s="608"/>
      <c r="M406" s="599">
        <f t="shared" si="70"/>
        <v>1</v>
      </c>
      <c r="N406" s="608"/>
      <c r="O406" s="599">
        <f t="shared" si="71"/>
        <v>1</v>
      </c>
      <c r="P406" s="608"/>
      <c r="Q406" s="599">
        <f t="shared" si="72"/>
        <v>1</v>
      </c>
      <c r="R406" s="659">
        <f t="shared" si="73"/>
        <v>0</v>
      </c>
      <c r="S406" s="598">
        <f t="shared" si="74"/>
        <v>0</v>
      </c>
    </row>
    <row r="407" spans="1:19">
      <c r="A407" s="606"/>
      <c r="B407" s="607"/>
      <c r="C407" s="599">
        <f t="shared" si="65"/>
        <v>1</v>
      </c>
      <c r="D407" s="608"/>
      <c r="E407" s="599">
        <f t="shared" si="66"/>
        <v>0</v>
      </c>
      <c r="F407" s="608"/>
      <c r="G407" s="599">
        <f t="shared" si="67"/>
        <v>1</v>
      </c>
      <c r="H407" s="608"/>
      <c r="I407" s="599">
        <f t="shared" si="68"/>
        <v>1</v>
      </c>
      <c r="J407" s="608"/>
      <c r="K407" s="599">
        <f t="shared" si="69"/>
        <v>1</v>
      </c>
      <c r="L407" s="608"/>
      <c r="M407" s="599">
        <f t="shared" si="70"/>
        <v>1</v>
      </c>
      <c r="N407" s="608"/>
      <c r="O407" s="599">
        <f t="shared" si="71"/>
        <v>1</v>
      </c>
      <c r="P407" s="608"/>
      <c r="Q407" s="599">
        <f t="shared" si="72"/>
        <v>1</v>
      </c>
      <c r="R407" s="659">
        <f t="shared" si="73"/>
        <v>0</v>
      </c>
      <c r="S407" s="598">
        <f t="shared" si="74"/>
        <v>0</v>
      </c>
    </row>
    <row r="408" spans="1:19">
      <c r="A408" s="606"/>
      <c r="B408" s="607"/>
      <c r="C408" s="599">
        <f t="shared" si="65"/>
        <v>1</v>
      </c>
      <c r="D408" s="608"/>
      <c r="E408" s="599">
        <f t="shared" si="66"/>
        <v>0</v>
      </c>
      <c r="F408" s="608"/>
      <c r="G408" s="599">
        <f t="shared" si="67"/>
        <v>1</v>
      </c>
      <c r="H408" s="608"/>
      <c r="I408" s="599">
        <f t="shared" si="68"/>
        <v>1</v>
      </c>
      <c r="J408" s="608"/>
      <c r="K408" s="599">
        <f t="shared" si="69"/>
        <v>1</v>
      </c>
      <c r="L408" s="608"/>
      <c r="M408" s="599">
        <f t="shared" si="70"/>
        <v>1</v>
      </c>
      <c r="N408" s="608"/>
      <c r="O408" s="599">
        <f t="shared" si="71"/>
        <v>1</v>
      </c>
      <c r="P408" s="608"/>
      <c r="Q408" s="599">
        <f t="shared" si="72"/>
        <v>1</v>
      </c>
      <c r="R408" s="659">
        <f t="shared" si="73"/>
        <v>0</v>
      </c>
      <c r="S408" s="598">
        <f t="shared" si="74"/>
        <v>0</v>
      </c>
    </row>
    <row r="409" spans="1:19">
      <c r="A409" s="606"/>
      <c r="B409" s="607"/>
      <c r="C409" s="599">
        <f t="shared" si="65"/>
        <v>1</v>
      </c>
      <c r="D409" s="608"/>
      <c r="E409" s="599">
        <f t="shared" si="66"/>
        <v>0</v>
      </c>
      <c r="F409" s="608"/>
      <c r="G409" s="599">
        <f t="shared" si="67"/>
        <v>1</v>
      </c>
      <c r="H409" s="608"/>
      <c r="I409" s="599">
        <f t="shared" si="68"/>
        <v>1</v>
      </c>
      <c r="J409" s="608"/>
      <c r="K409" s="599">
        <f t="shared" si="69"/>
        <v>1</v>
      </c>
      <c r="L409" s="608"/>
      <c r="M409" s="599">
        <f t="shared" si="70"/>
        <v>1</v>
      </c>
      <c r="N409" s="608"/>
      <c r="O409" s="599">
        <f t="shared" si="71"/>
        <v>1</v>
      </c>
      <c r="P409" s="608"/>
      <c r="Q409" s="599">
        <f t="shared" si="72"/>
        <v>1</v>
      </c>
      <c r="R409" s="659">
        <f t="shared" si="73"/>
        <v>0</v>
      </c>
      <c r="S409" s="598">
        <f t="shared" si="74"/>
        <v>0</v>
      </c>
    </row>
    <row r="410" spans="1:19">
      <c r="A410" s="606"/>
      <c r="B410" s="607"/>
      <c r="C410" s="599">
        <f t="shared" ref="C410:C473" si="75">IF(B410="",1,(LOOKUP(B410,$3:$3,$4:$4)-LOOKUP($B$24,$3:$3,$4:$4)+100)/100)</f>
        <v>1</v>
      </c>
      <c r="D410" s="608"/>
      <c r="E410" s="599">
        <f t="shared" ref="E410:E473" si="76">(SUMIF($5:$5,D410,$6:$6)-SUMIF($5:$5,$D$24,$6:$6)+100)/100</f>
        <v>0</v>
      </c>
      <c r="F410" s="608"/>
      <c r="G410" s="599">
        <f t="shared" ref="G410:G473" si="77">(SUMIF($7:$7,F410,$8:$8)-SUMIF($7:$7,$F$24,$8:$8)+100)/100</f>
        <v>1</v>
      </c>
      <c r="H410" s="608"/>
      <c r="I410" s="599">
        <f t="shared" ref="I410:I473" si="78">(SUMIF($9:$9,H410,$10:$10)-SUMIF($9:$9,$H$24,$10:$10)+100)/100</f>
        <v>1</v>
      </c>
      <c r="J410" s="608"/>
      <c r="K410" s="599">
        <f t="shared" ref="K410:K473" si="79">(SUMIF($11:$11,J410,$12:$12)-SUMIF($11:$11,$J$24,$12:$12)+100)/100</f>
        <v>1</v>
      </c>
      <c r="L410" s="608"/>
      <c r="M410" s="599">
        <f t="shared" ref="M410:M473" si="80">(SUMIF($13:$13,L410,$14:$14)-SUMIF($13:$13,$L$24,$14:$14)+100)/100</f>
        <v>1</v>
      </c>
      <c r="N410" s="608"/>
      <c r="O410" s="599">
        <f t="shared" ref="O410:O473" si="81">(SUMIF($15:$15,N410,$16:$16)-SUMIF($15:$15,$N$24,$16:$16)+100)/100</f>
        <v>1</v>
      </c>
      <c r="P410" s="608"/>
      <c r="Q410" s="599">
        <f t="shared" ref="Q410:Q473" si="82">(SUMIF($17:$17,P410,$18:$18)-SUMIF($17:$17,$P$24,$18:$18)+100)/100</f>
        <v>1</v>
      </c>
      <c r="R410" s="659">
        <f t="shared" ref="R410:R473" si="83">IF(B410="",0,ROUND($R$24*C410*E410*G410*I410*K410*M410*O410*Q410,0))</f>
        <v>0</v>
      </c>
      <c r="S410" s="598">
        <f t="shared" si="74"/>
        <v>0</v>
      </c>
    </row>
    <row r="411" spans="1:19">
      <c r="A411" s="606"/>
      <c r="B411" s="607"/>
      <c r="C411" s="599">
        <f t="shared" si="75"/>
        <v>1</v>
      </c>
      <c r="D411" s="608"/>
      <c r="E411" s="599">
        <f t="shared" si="76"/>
        <v>0</v>
      </c>
      <c r="F411" s="608"/>
      <c r="G411" s="599">
        <f t="shared" si="77"/>
        <v>1</v>
      </c>
      <c r="H411" s="608"/>
      <c r="I411" s="599">
        <f t="shared" si="78"/>
        <v>1</v>
      </c>
      <c r="J411" s="608"/>
      <c r="K411" s="599">
        <f t="shared" si="79"/>
        <v>1</v>
      </c>
      <c r="L411" s="608"/>
      <c r="M411" s="599">
        <f t="shared" si="80"/>
        <v>1</v>
      </c>
      <c r="N411" s="608"/>
      <c r="O411" s="599">
        <f t="shared" si="81"/>
        <v>1</v>
      </c>
      <c r="P411" s="608"/>
      <c r="Q411" s="599">
        <f t="shared" si="82"/>
        <v>1</v>
      </c>
      <c r="R411" s="659">
        <f t="shared" si="83"/>
        <v>0</v>
      </c>
      <c r="S411" s="598">
        <f t="shared" si="74"/>
        <v>0</v>
      </c>
    </row>
    <row r="412" spans="1:19">
      <c r="A412" s="606"/>
      <c r="B412" s="607"/>
      <c r="C412" s="599">
        <f t="shared" si="75"/>
        <v>1</v>
      </c>
      <c r="D412" s="608"/>
      <c r="E412" s="599">
        <f t="shared" si="76"/>
        <v>0</v>
      </c>
      <c r="F412" s="608"/>
      <c r="G412" s="599">
        <f t="shared" si="77"/>
        <v>1</v>
      </c>
      <c r="H412" s="608"/>
      <c r="I412" s="599">
        <f t="shared" si="78"/>
        <v>1</v>
      </c>
      <c r="J412" s="608"/>
      <c r="K412" s="599">
        <f t="shared" si="79"/>
        <v>1</v>
      </c>
      <c r="L412" s="608"/>
      <c r="M412" s="599">
        <f t="shared" si="80"/>
        <v>1</v>
      </c>
      <c r="N412" s="608"/>
      <c r="O412" s="599">
        <f t="shared" si="81"/>
        <v>1</v>
      </c>
      <c r="P412" s="608"/>
      <c r="Q412" s="599">
        <f t="shared" si="82"/>
        <v>1</v>
      </c>
      <c r="R412" s="659">
        <f t="shared" si="83"/>
        <v>0</v>
      </c>
      <c r="S412" s="598">
        <f t="shared" si="74"/>
        <v>0</v>
      </c>
    </row>
    <row r="413" spans="1:19">
      <c r="A413" s="606"/>
      <c r="B413" s="607"/>
      <c r="C413" s="599">
        <f t="shared" si="75"/>
        <v>1</v>
      </c>
      <c r="D413" s="608"/>
      <c r="E413" s="599">
        <f t="shared" si="76"/>
        <v>0</v>
      </c>
      <c r="F413" s="608"/>
      <c r="G413" s="599">
        <f t="shared" si="77"/>
        <v>1</v>
      </c>
      <c r="H413" s="608"/>
      <c r="I413" s="599">
        <f t="shared" si="78"/>
        <v>1</v>
      </c>
      <c r="J413" s="608"/>
      <c r="K413" s="599">
        <f t="shared" si="79"/>
        <v>1</v>
      </c>
      <c r="L413" s="608"/>
      <c r="M413" s="599">
        <f t="shared" si="80"/>
        <v>1</v>
      </c>
      <c r="N413" s="608"/>
      <c r="O413" s="599">
        <f t="shared" si="81"/>
        <v>1</v>
      </c>
      <c r="P413" s="608"/>
      <c r="Q413" s="599">
        <f t="shared" si="82"/>
        <v>1</v>
      </c>
      <c r="R413" s="659">
        <f t="shared" si="83"/>
        <v>0</v>
      </c>
      <c r="S413" s="598">
        <f t="shared" si="74"/>
        <v>0</v>
      </c>
    </row>
    <row r="414" spans="1:19">
      <c r="A414" s="606"/>
      <c r="B414" s="607"/>
      <c r="C414" s="599">
        <f t="shared" si="75"/>
        <v>1</v>
      </c>
      <c r="D414" s="608"/>
      <c r="E414" s="599">
        <f t="shared" si="76"/>
        <v>0</v>
      </c>
      <c r="F414" s="608"/>
      <c r="G414" s="599">
        <f t="shared" si="77"/>
        <v>1</v>
      </c>
      <c r="H414" s="608"/>
      <c r="I414" s="599">
        <f t="shared" si="78"/>
        <v>1</v>
      </c>
      <c r="J414" s="608"/>
      <c r="K414" s="599">
        <f t="shared" si="79"/>
        <v>1</v>
      </c>
      <c r="L414" s="608"/>
      <c r="M414" s="599">
        <f t="shared" si="80"/>
        <v>1</v>
      </c>
      <c r="N414" s="608"/>
      <c r="O414" s="599">
        <f t="shared" si="81"/>
        <v>1</v>
      </c>
      <c r="P414" s="608"/>
      <c r="Q414" s="599">
        <f t="shared" si="82"/>
        <v>1</v>
      </c>
      <c r="R414" s="659">
        <f t="shared" si="83"/>
        <v>0</v>
      </c>
      <c r="S414" s="598">
        <f t="shared" si="74"/>
        <v>0</v>
      </c>
    </row>
    <row r="415" spans="1:19">
      <c r="A415" s="606"/>
      <c r="B415" s="607"/>
      <c r="C415" s="599">
        <f t="shared" si="75"/>
        <v>1</v>
      </c>
      <c r="D415" s="608"/>
      <c r="E415" s="599">
        <f t="shared" si="76"/>
        <v>0</v>
      </c>
      <c r="F415" s="608"/>
      <c r="G415" s="599">
        <f t="shared" si="77"/>
        <v>1</v>
      </c>
      <c r="H415" s="608"/>
      <c r="I415" s="599">
        <f t="shared" si="78"/>
        <v>1</v>
      </c>
      <c r="J415" s="608"/>
      <c r="K415" s="599">
        <f t="shared" si="79"/>
        <v>1</v>
      </c>
      <c r="L415" s="608"/>
      <c r="M415" s="599">
        <f t="shared" si="80"/>
        <v>1</v>
      </c>
      <c r="N415" s="608"/>
      <c r="O415" s="599">
        <f t="shared" si="81"/>
        <v>1</v>
      </c>
      <c r="P415" s="608"/>
      <c r="Q415" s="599">
        <f t="shared" si="82"/>
        <v>1</v>
      </c>
      <c r="R415" s="659">
        <f t="shared" si="83"/>
        <v>0</v>
      </c>
      <c r="S415" s="598">
        <f t="shared" si="74"/>
        <v>0</v>
      </c>
    </row>
    <row r="416" spans="1:19">
      <c r="A416" s="606"/>
      <c r="B416" s="607"/>
      <c r="C416" s="599">
        <f t="shared" si="75"/>
        <v>1</v>
      </c>
      <c r="D416" s="608"/>
      <c r="E416" s="599">
        <f t="shared" si="76"/>
        <v>0</v>
      </c>
      <c r="F416" s="608"/>
      <c r="G416" s="599">
        <f t="shared" si="77"/>
        <v>1</v>
      </c>
      <c r="H416" s="608"/>
      <c r="I416" s="599">
        <f t="shared" si="78"/>
        <v>1</v>
      </c>
      <c r="J416" s="608"/>
      <c r="K416" s="599">
        <f t="shared" si="79"/>
        <v>1</v>
      </c>
      <c r="L416" s="608"/>
      <c r="M416" s="599">
        <f t="shared" si="80"/>
        <v>1</v>
      </c>
      <c r="N416" s="608"/>
      <c r="O416" s="599">
        <f t="shared" si="81"/>
        <v>1</v>
      </c>
      <c r="P416" s="608"/>
      <c r="Q416" s="599">
        <f t="shared" si="82"/>
        <v>1</v>
      </c>
      <c r="R416" s="659">
        <f t="shared" si="83"/>
        <v>0</v>
      </c>
      <c r="S416" s="598">
        <f t="shared" si="74"/>
        <v>0</v>
      </c>
    </row>
    <row r="417" spans="1:19">
      <c r="A417" s="606"/>
      <c r="B417" s="607"/>
      <c r="C417" s="599">
        <f t="shared" si="75"/>
        <v>1</v>
      </c>
      <c r="D417" s="608"/>
      <c r="E417" s="599">
        <f t="shared" si="76"/>
        <v>0</v>
      </c>
      <c r="F417" s="608"/>
      <c r="G417" s="599">
        <f t="shared" si="77"/>
        <v>1</v>
      </c>
      <c r="H417" s="608"/>
      <c r="I417" s="599">
        <f t="shared" si="78"/>
        <v>1</v>
      </c>
      <c r="J417" s="608"/>
      <c r="K417" s="599">
        <f t="shared" si="79"/>
        <v>1</v>
      </c>
      <c r="L417" s="608"/>
      <c r="M417" s="599">
        <f t="shared" si="80"/>
        <v>1</v>
      </c>
      <c r="N417" s="608"/>
      <c r="O417" s="599">
        <f t="shared" si="81"/>
        <v>1</v>
      </c>
      <c r="P417" s="608"/>
      <c r="Q417" s="599">
        <f t="shared" si="82"/>
        <v>1</v>
      </c>
      <c r="R417" s="659">
        <f t="shared" si="83"/>
        <v>0</v>
      </c>
      <c r="S417" s="598">
        <f t="shared" si="74"/>
        <v>0</v>
      </c>
    </row>
    <row r="418" spans="1:19">
      <c r="A418" s="606"/>
      <c r="B418" s="607"/>
      <c r="C418" s="599">
        <f t="shared" si="75"/>
        <v>1</v>
      </c>
      <c r="D418" s="608"/>
      <c r="E418" s="599">
        <f t="shared" si="76"/>
        <v>0</v>
      </c>
      <c r="F418" s="608"/>
      <c r="G418" s="599">
        <f t="shared" si="77"/>
        <v>1</v>
      </c>
      <c r="H418" s="608"/>
      <c r="I418" s="599">
        <f t="shared" si="78"/>
        <v>1</v>
      </c>
      <c r="J418" s="608"/>
      <c r="K418" s="599">
        <f t="shared" si="79"/>
        <v>1</v>
      </c>
      <c r="L418" s="608"/>
      <c r="M418" s="599">
        <f t="shared" si="80"/>
        <v>1</v>
      </c>
      <c r="N418" s="608"/>
      <c r="O418" s="599">
        <f t="shared" si="81"/>
        <v>1</v>
      </c>
      <c r="P418" s="608"/>
      <c r="Q418" s="599">
        <f t="shared" si="82"/>
        <v>1</v>
      </c>
      <c r="R418" s="659">
        <f t="shared" si="83"/>
        <v>0</v>
      </c>
      <c r="S418" s="598">
        <f t="shared" si="74"/>
        <v>0</v>
      </c>
    </row>
    <row r="419" spans="1:19">
      <c r="A419" s="606"/>
      <c r="B419" s="607"/>
      <c r="C419" s="599">
        <f t="shared" si="75"/>
        <v>1</v>
      </c>
      <c r="D419" s="608"/>
      <c r="E419" s="599">
        <f t="shared" si="76"/>
        <v>0</v>
      </c>
      <c r="F419" s="608"/>
      <c r="G419" s="599">
        <f t="shared" si="77"/>
        <v>1</v>
      </c>
      <c r="H419" s="608"/>
      <c r="I419" s="599">
        <f t="shared" si="78"/>
        <v>1</v>
      </c>
      <c r="J419" s="608"/>
      <c r="K419" s="599">
        <f t="shared" si="79"/>
        <v>1</v>
      </c>
      <c r="L419" s="608"/>
      <c r="M419" s="599">
        <f t="shared" si="80"/>
        <v>1</v>
      </c>
      <c r="N419" s="608"/>
      <c r="O419" s="599">
        <f t="shared" si="81"/>
        <v>1</v>
      </c>
      <c r="P419" s="608"/>
      <c r="Q419" s="599">
        <f t="shared" si="82"/>
        <v>1</v>
      </c>
      <c r="R419" s="659">
        <f t="shared" si="83"/>
        <v>0</v>
      </c>
      <c r="S419" s="598">
        <f t="shared" si="74"/>
        <v>0</v>
      </c>
    </row>
    <row r="420" spans="1:19">
      <c r="A420" s="606"/>
      <c r="B420" s="607"/>
      <c r="C420" s="599">
        <f t="shared" si="75"/>
        <v>1</v>
      </c>
      <c r="D420" s="608"/>
      <c r="E420" s="599">
        <f t="shared" si="76"/>
        <v>0</v>
      </c>
      <c r="F420" s="608"/>
      <c r="G420" s="599">
        <f t="shared" si="77"/>
        <v>1</v>
      </c>
      <c r="H420" s="608"/>
      <c r="I420" s="599">
        <f t="shared" si="78"/>
        <v>1</v>
      </c>
      <c r="J420" s="608"/>
      <c r="K420" s="599">
        <f t="shared" si="79"/>
        <v>1</v>
      </c>
      <c r="L420" s="608"/>
      <c r="M420" s="599">
        <f t="shared" si="80"/>
        <v>1</v>
      </c>
      <c r="N420" s="608"/>
      <c r="O420" s="599">
        <f t="shared" si="81"/>
        <v>1</v>
      </c>
      <c r="P420" s="608"/>
      <c r="Q420" s="599">
        <f t="shared" si="82"/>
        <v>1</v>
      </c>
      <c r="R420" s="659">
        <f t="shared" si="83"/>
        <v>0</v>
      </c>
      <c r="S420" s="598">
        <f t="shared" si="74"/>
        <v>0</v>
      </c>
    </row>
    <row r="421" spans="1:19">
      <c r="A421" s="606"/>
      <c r="B421" s="607"/>
      <c r="C421" s="599">
        <f t="shared" si="75"/>
        <v>1</v>
      </c>
      <c r="D421" s="608"/>
      <c r="E421" s="599">
        <f t="shared" si="76"/>
        <v>0</v>
      </c>
      <c r="F421" s="608"/>
      <c r="G421" s="599">
        <f t="shared" si="77"/>
        <v>1</v>
      </c>
      <c r="H421" s="608"/>
      <c r="I421" s="599">
        <f t="shared" si="78"/>
        <v>1</v>
      </c>
      <c r="J421" s="608"/>
      <c r="K421" s="599">
        <f t="shared" si="79"/>
        <v>1</v>
      </c>
      <c r="L421" s="608"/>
      <c r="M421" s="599">
        <f t="shared" si="80"/>
        <v>1</v>
      </c>
      <c r="N421" s="608"/>
      <c r="O421" s="599">
        <f t="shared" si="81"/>
        <v>1</v>
      </c>
      <c r="P421" s="608"/>
      <c r="Q421" s="599">
        <f t="shared" si="82"/>
        <v>1</v>
      </c>
      <c r="R421" s="659">
        <f t="shared" si="83"/>
        <v>0</v>
      </c>
      <c r="S421" s="598">
        <f t="shared" si="74"/>
        <v>0</v>
      </c>
    </row>
    <row r="422" spans="1:19">
      <c r="A422" s="606"/>
      <c r="B422" s="607"/>
      <c r="C422" s="599">
        <f t="shared" si="75"/>
        <v>1</v>
      </c>
      <c r="D422" s="608"/>
      <c r="E422" s="599">
        <f t="shared" si="76"/>
        <v>0</v>
      </c>
      <c r="F422" s="608"/>
      <c r="G422" s="599">
        <f t="shared" si="77"/>
        <v>1</v>
      </c>
      <c r="H422" s="608"/>
      <c r="I422" s="599">
        <f t="shared" si="78"/>
        <v>1</v>
      </c>
      <c r="J422" s="608"/>
      <c r="K422" s="599">
        <f t="shared" si="79"/>
        <v>1</v>
      </c>
      <c r="L422" s="608"/>
      <c r="M422" s="599">
        <f t="shared" si="80"/>
        <v>1</v>
      </c>
      <c r="N422" s="608"/>
      <c r="O422" s="599">
        <f t="shared" si="81"/>
        <v>1</v>
      </c>
      <c r="P422" s="608"/>
      <c r="Q422" s="599">
        <f t="shared" si="82"/>
        <v>1</v>
      </c>
      <c r="R422" s="659">
        <f t="shared" si="83"/>
        <v>0</v>
      </c>
      <c r="S422" s="598">
        <f t="shared" si="74"/>
        <v>0</v>
      </c>
    </row>
    <row r="423" spans="1:19">
      <c r="A423" s="606"/>
      <c r="B423" s="607"/>
      <c r="C423" s="599">
        <f t="shared" si="75"/>
        <v>1</v>
      </c>
      <c r="D423" s="608"/>
      <c r="E423" s="599">
        <f t="shared" si="76"/>
        <v>0</v>
      </c>
      <c r="F423" s="608"/>
      <c r="G423" s="599">
        <f t="shared" si="77"/>
        <v>1</v>
      </c>
      <c r="H423" s="608"/>
      <c r="I423" s="599">
        <f t="shared" si="78"/>
        <v>1</v>
      </c>
      <c r="J423" s="608"/>
      <c r="K423" s="599">
        <f t="shared" si="79"/>
        <v>1</v>
      </c>
      <c r="L423" s="608"/>
      <c r="M423" s="599">
        <f t="shared" si="80"/>
        <v>1</v>
      </c>
      <c r="N423" s="608"/>
      <c r="O423" s="599">
        <f t="shared" si="81"/>
        <v>1</v>
      </c>
      <c r="P423" s="608"/>
      <c r="Q423" s="599">
        <f t="shared" si="82"/>
        <v>1</v>
      </c>
      <c r="R423" s="659">
        <f t="shared" si="83"/>
        <v>0</v>
      </c>
      <c r="S423" s="598">
        <f t="shared" ref="S423:S467" si="84">ROUND(R423*B423/10000,0)</f>
        <v>0</v>
      </c>
    </row>
    <row r="424" spans="1:19">
      <c r="A424" s="606"/>
      <c r="B424" s="607"/>
      <c r="C424" s="599">
        <f t="shared" si="75"/>
        <v>1</v>
      </c>
      <c r="D424" s="608"/>
      <c r="E424" s="599">
        <f t="shared" si="76"/>
        <v>0</v>
      </c>
      <c r="F424" s="608"/>
      <c r="G424" s="599">
        <f t="shared" si="77"/>
        <v>1</v>
      </c>
      <c r="H424" s="608"/>
      <c r="I424" s="599">
        <f t="shared" si="78"/>
        <v>1</v>
      </c>
      <c r="J424" s="608"/>
      <c r="K424" s="599">
        <f t="shared" si="79"/>
        <v>1</v>
      </c>
      <c r="L424" s="608"/>
      <c r="M424" s="599">
        <f t="shared" si="80"/>
        <v>1</v>
      </c>
      <c r="N424" s="608"/>
      <c r="O424" s="599">
        <f t="shared" si="81"/>
        <v>1</v>
      </c>
      <c r="P424" s="608"/>
      <c r="Q424" s="599">
        <f t="shared" si="82"/>
        <v>1</v>
      </c>
      <c r="R424" s="659">
        <f t="shared" si="83"/>
        <v>0</v>
      </c>
      <c r="S424" s="598">
        <f t="shared" si="84"/>
        <v>0</v>
      </c>
    </row>
    <row r="425" spans="1:19">
      <c r="A425" s="606"/>
      <c r="B425" s="607"/>
      <c r="C425" s="599">
        <f t="shared" si="75"/>
        <v>1</v>
      </c>
      <c r="D425" s="608"/>
      <c r="E425" s="599">
        <f t="shared" si="76"/>
        <v>0</v>
      </c>
      <c r="F425" s="608"/>
      <c r="G425" s="599">
        <f t="shared" si="77"/>
        <v>1</v>
      </c>
      <c r="H425" s="608"/>
      <c r="I425" s="599">
        <f t="shared" si="78"/>
        <v>1</v>
      </c>
      <c r="J425" s="608"/>
      <c r="K425" s="599">
        <f t="shared" si="79"/>
        <v>1</v>
      </c>
      <c r="L425" s="608"/>
      <c r="M425" s="599">
        <f t="shared" si="80"/>
        <v>1</v>
      </c>
      <c r="N425" s="608"/>
      <c r="O425" s="599">
        <f t="shared" si="81"/>
        <v>1</v>
      </c>
      <c r="P425" s="608"/>
      <c r="Q425" s="599">
        <f t="shared" si="82"/>
        <v>1</v>
      </c>
      <c r="R425" s="659">
        <f t="shared" si="83"/>
        <v>0</v>
      </c>
      <c r="S425" s="598">
        <f t="shared" si="84"/>
        <v>0</v>
      </c>
    </row>
    <row r="426" spans="1:19">
      <c r="A426" s="606"/>
      <c r="B426" s="607"/>
      <c r="C426" s="599">
        <f t="shared" si="75"/>
        <v>1</v>
      </c>
      <c r="D426" s="608"/>
      <c r="E426" s="599">
        <f t="shared" si="76"/>
        <v>0</v>
      </c>
      <c r="F426" s="608"/>
      <c r="G426" s="599">
        <f t="shared" si="77"/>
        <v>1</v>
      </c>
      <c r="H426" s="608"/>
      <c r="I426" s="599">
        <f t="shared" si="78"/>
        <v>1</v>
      </c>
      <c r="J426" s="608"/>
      <c r="K426" s="599">
        <f t="shared" si="79"/>
        <v>1</v>
      </c>
      <c r="L426" s="608"/>
      <c r="M426" s="599">
        <f t="shared" si="80"/>
        <v>1</v>
      </c>
      <c r="N426" s="608"/>
      <c r="O426" s="599">
        <f t="shared" si="81"/>
        <v>1</v>
      </c>
      <c r="P426" s="608"/>
      <c r="Q426" s="599">
        <f t="shared" si="82"/>
        <v>1</v>
      </c>
      <c r="R426" s="659">
        <f t="shared" si="83"/>
        <v>0</v>
      </c>
      <c r="S426" s="598">
        <f t="shared" si="84"/>
        <v>0</v>
      </c>
    </row>
    <row r="427" spans="1:19">
      <c r="A427" s="606"/>
      <c r="B427" s="607"/>
      <c r="C427" s="599">
        <f t="shared" si="75"/>
        <v>1</v>
      </c>
      <c r="D427" s="608"/>
      <c r="E427" s="599">
        <f t="shared" si="76"/>
        <v>0</v>
      </c>
      <c r="F427" s="608"/>
      <c r="G427" s="599">
        <f t="shared" si="77"/>
        <v>1</v>
      </c>
      <c r="H427" s="608"/>
      <c r="I427" s="599">
        <f t="shared" si="78"/>
        <v>1</v>
      </c>
      <c r="J427" s="608"/>
      <c r="K427" s="599">
        <f t="shared" si="79"/>
        <v>1</v>
      </c>
      <c r="L427" s="608"/>
      <c r="M427" s="599">
        <f t="shared" si="80"/>
        <v>1</v>
      </c>
      <c r="N427" s="608"/>
      <c r="O427" s="599">
        <f t="shared" si="81"/>
        <v>1</v>
      </c>
      <c r="P427" s="608"/>
      <c r="Q427" s="599">
        <f t="shared" si="82"/>
        <v>1</v>
      </c>
      <c r="R427" s="659">
        <f t="shared" si="83"/>
        <v>0</v>
      </c>
      <c r="S427" s="598">
        <f t="shared" si="84"/>
        <v>0</v>
      </c>
    </row>
    <row r="428" spans="1:19">
      <c r="A428" s="606"/>
      <c r="B428" s="607"/>
      <c r="C428" s="599">
        <f t="shared" si="75"/>
        <v>1</v>
      </c>
      <c r="D428" s="608"/>
      <c r="E428" s="599">
        <f t="shared" si="76"/>
        <v>0</v>
      </c>
      <c r="F428" s="608"/>
      <c r="G428" s="599">
        <f t="shared" si="77"/>
        <v>1</v>
      </c>
      <c r="H428" s="608"/>
      <c r="I428" s="599">
        <f t="shared" si="78"/>
        <v>1</v>
      </c>
      <c r="J428" s="608"/>
      <c r="K428" s="599">
        <f t="shared" si="79"/>
        <v>1</v>
      </c>
      <c r="L428" s="608"/>
      <c r="M428" s="599">
        <f t="shared" si="80"/>
        <v>1</v>
      </c>
      <c r="N428" s="608"/>
      <c r="O428" s="599">
        <f t="shared" si="81"/>
        <v>1</v>
      </c>
      <c r="P428" s="608"/>
      <c r="Q428" s="599">
        <f t="shared" si="82"/>
        <v>1</v>
      </c>
      <c r="R428" s="659">
        <f t="shared" si="83"/>
        <v>0</v>
      </c>
      <c r="S428" s="598">
        <f t="shared" si="84"/>
        <v>0</v>
      </c>
    </row>
    <row r="429" spans="1:19">
      <c r="A429" s="606"/>
      <c r="B429" s="607"/>
      <c r="C429" s="599">
        <f t="shared" si="75"/>
        <v>1</v>
      </c>
      <c r="D429" s="608"/>
      <c r="E429" s="599">
        <f t="shared" si="76"/>
        <v>0</v>
      </c>
      <c r="F429" s="608"/>
      <c r="G429" s="599">
        <f t="shared" si="77"/>
        <v>1</v>
      </c>
      <c r="H429" s="608"/>
      <c r="I429" s="599">
        <f t="shared" si="78"/>
        <v>1</v>
      </c>
      <c r="J429" s="608"/>
      <c r="K429" s="599">
        <f t="shared" si="79"/>
        <v>1</v>
      </c>
      <c r="L429" s="608"/>
      <c r="M429" s="599">
        <f t="shared" si="80"/>
        <v>1</v>
      </c>
      <c r="N429" s="608"/>
      <c r="O429" s="599">
        <f t="shared" si="81"/>
        <v>1</v>
      </c>
      <c r="P429" s="608"/>
      <c r="Q429" s="599">
        <f t="shared" si="82"/>
        <v>1</v>
      </c>
      <c r="R429" s="659">
        <f t="shared" si="83"/>
        <v>0</v>
      </c>
      <c r="S429" s="598">
        <f t="shared" si="84"/>
        <v>0</v>
      </c>
    </row>
    <row r="430" spans="1:19">
      <c r="A430" s="606"/>
      <c r="B430" s="607"/>
      <c r="C430" s="599">
        <f t="shared" si="75"/>
        <v>1</v>
      </c>
      <c r="D430" s="608"/>
      <c r="E430" s="599">
        <f t="shared" si="76"/>
        <v>0</v>
      </c>
      <c r="F430" s="608"/>
      <c r="G430" s="599">
        <f t="shared" si="77"/>
        <v>1</v>
      </c>
      <c r="H430" s="608"/>
      <c r="I430" s="599">
        <f t="shared" si="78"/>
        <v>1</v>
      </c>
      <c r="J430" s="608"/>
      <c r="K430" s="599">
        <f t="shared" si="79"/>
        <v>1</v>
      </c>
      <c r="L430" s="608"/>
      <c r="M430" s="599">
        <f t="shared" si="80"/>
        <v>1</v>
      </c>
      <c r="N430" s="608"/>
      <c r="O430" s="599">
        <f t="shared" si="81"/>
        <v>1</v>
      </c>
      <c r="P430" s="608"/>
      <c r="Q430" s="599">
        <f t="shared" si="82"/>
        <v>1</v>
      </c>
      <c r="R430" s="659">
        <f t="shared" si="83"/>
        <v>0</v>
      </c>
      <c r="S430" s="598">
        <f t="shared" si="84"/>
        <v>0</v>
      </c>
    </row>
    <row r="431" spans="1:19">
      <c r="A431" s="606"/>
      <c r="B431" s="607"/>
      <c r="C431" s="599">
        <f t="shared" si="75"/>
        <v>1</v>
      </c>
      <c r="D431" s="608"/>
      <c r="E431" s="599">
        <f t="shared" si="76"/>
        <v>0</v>
      </c>
      <c r="F431" s="608"/>
      <c r="G431" s="599">
        <f t="shared" si="77"/>
        <v>1</v>
      </c>
      <c r="H431" s="608"/>
      <c r="I431" s="599">
        <f t="shared" si="78"/>
        <v>1</v>
      </c>
      <c r="J431" s="608"/>
      <c r="K431" s="599">
        <f t="shared" si="79"/>
        <v>1</v>
      </c>
      <c r="L431" s="608"/>
      <c r="M431" s="599">
        <f t="shared" si="80"/>
        <v>1</v>
      </c>
      <c r="N431" s="608"/>
      <c r="O431" s="599">
        <f t="shared" si="81"/>
        <v>1</v>
      </c>
      <c r="P431" s="608"/>
      <c r="Q431" s="599">
        <f t="shared" si="82"/>
        <v>1</v>
      </c>
      <c r="R431" s="659">
        <f t="shared" si="83"/>
        <v>0</v>
      </c>
      <c r="S431" s="598">
        <f t="shared" si="84"/>
        <v>0</v>
      </c>
    </row>
    <row r="432" spans="1:19">
      <c r="A432" s="606"/>
      <c r="B432" s="607"/>
      <c r="C432" s="599">
        <f t="shared" si="75"/>
        <v>1</v>
      </c>
      <c r="D432" s="608"/>
      <c r="E432" s="599">
        <f t="shared" si="76"/>
        <v>0</v>
      </c>
      <c r="F432" s="608"/>
      <c r="G432" s="599">
        <f t="shared" si="77"/>
        <v>1</v>
      </c>
      <c r="H432" s="608"/>
      <c r="I432" s="599">
        <f t="shared" si="78"/>
        <v>1</v>
      </c>
      <c r="J432" s="608"/>
      <c r="K432" s="599">
        <f t="shared" si="79"/>
        <v>1</v>
      </c>
      <c r="L432" s="608"/>
      <c r="M432" s="599">
        <f t="shared" si="80"/>
        <v>1</v>
      </c>
      <c r="N432" s="608"/>
      <c r="O432" s="599">
        <f t="shared" si="81"/>
        <v>1</v>
      </c>
      <c r="P432" s="608"/>
      <c r="Q432" s="599">
        <f t="shared" si="82"/>
        <v>1</v>
      </c>
      <c r="R432" s="659">
        <f t="shared" si="83"/>
        <v>0</v>
      </c>
      <c r="S432" s="598">
        <f t="shared" si="84"/>
        <v>0</v>
      </c>
    </row>
    <row r="433" spans="1:19">
      <c r="A433" s="606"/>
      <c r="B433" s="607"/>
      <c r="C433" s="599">
        <f t="shared" si="75"/>
        <v>1</v>
      </c>
      <c r="D433" s="608"/>
      <c r="E433" s="599">
        <f t="shared" si="76"/>
        <v>0</v>
      </c>
      <c r="F433" s="608"/>
      <c r="G433" s="599">
        <f t="shared" si="77"/>
        <v>1</v>
      </c>
      <c r="H433" s="608"/>
      <c r="I433" s="599">
        <f t="shared" si="78"/>
        <v>1</v>
      </c>
      <c r="J433" s="608"/>
      <c r="K433" s="599">
        <f t="shared" si="79"/>
        <v>1</v>
      </c>
      <c r="L433" s="608"/>
      <c r="M433" s="599">
        <f t="shared" si="80"/>
        <v>1</v>
      </c>
      <c r="N433" s="608"/>
      <c r="O433" s="599">
        <f t="shared" si="81"/>
        <v>1</v>
      </c>
      <c r="P433" s="608"/>
      <c r="Q433" s="599">
        <f t="shared" si="82"/>
        <v>1</v>
      </c>
      <c r="R433" s="659">
        <f t="shared" si="83"/>
        <v>0</v>
      </c>
      <c r="S433" s="598">
        <f t="shared" si="84"/>
        <v>0</v>
      </c>
    </row>
    <row r="434" spans="1:19">
      <c r="A434" s="606"/>
      <c r="B434" s="607"/>
      <c r="C434" s="599">
        <f t="shared" si="75"/>
        <v>1</v>
      </c>
      <c r="D434" s="608"/>
      <c r="E434" s="599">
        <f t="shared" si="76"/>
        <v>0</v>
      </c>
      <c r="F434" s="608"/>
      <c r="G434" s="599">
        <f t="shared" si="77"/>
        <v>1</v>
      </c>
      <c r="H434" s="608"/>
      <c r="I434" s="599">
        <f t="shared" si="78"/>
        <v>1</v>
      </c>
      <c r="J434" s="608"/>
      <c r="K434" s="599">
        <f t="shared" si="79"/>
        <v>1</v>
      </c>
      <c r="L434" s="608"/>
      <c r="M434" s="599">
        <f t="shared" si="80"/>
        <v>1</v>
      </c>
      <c r="N434" s="608"/>
      <c r="O434" s="599">
        <f t="shared" si="81"/>
        <v>1</v>
      </c>
      <c r="P434" s="608"/>
      <c r="Q434" s="599">
        <f t="shared" si="82"/>
        <v>1</v>
      </c>
      <c r="R434" s="659">
        <f t="shared" si="83"/>
        <v>0</v>
      </c>
      <c r="S434" s="598">
        <f t="shared" si="84"/>
        <v>0</v>
      </c>
    </row>
    <row r="435" spans="1:19">
      <c r="A435" s="606"/>
      <c r="B435" s="607"/>
      <c r="C435" s="599">
        <f t="shared" si="75"/>
        <v>1</v>
      </c>
      <c r="D435" s="608"/>
      <c r="E435" s="599">
        <f t="shared" si="76"/>
        <v>0</v>
      </c>
      <c r="F435" s="608"/>
      <c r="G435" s="599">
        <f t="shared" si="77"/>
        <v>1</v>
      </c>
      <c r="H435" s="608"/>
      <c r="I435" s="599">
        <f t="shared" si="78"/>
        <v>1</v>
      </c>
      <c r="J435" s="608"/>
      <c r="K435" s="599">
        <f t="shared" si="79"/>
        <v>1</v>
      </c>
      <c r="L435" s="608"/>
      <c r="M435" s="599">
        <f t="shared" si="80"/>
        <v>1</v>
      </c>
      <c r="N435" s="608"/>
      <c r="O435" s="599">
        <f t="shared" si="81"/>
        <v>1</v>
      </c>
      <c r="P435" s="608"/>
      <c r="Q435" s="599">
        <f t="shared" si="82"/>
        <v>1</v>
      </c>
      <c r="R435" s="659">
        <f t="shared" si="83"/>
        <v>0</v>
      </c>
      <c r="S435" s="598">
        <f t="shared" si="84"/>
        <v>0</v>
      </c>
    </row>
    <row r="436" spans="1:19">
      <c r="A436" s="606"/>
      <c r="B436" s="607"/>
      <c r="C436" s="599">
        <f t="shared" si="75"/>
        <v>1</v>
      </c>
      <c r="D436" s="608"/>
      <c r="E436" s="599">
        <f t="shared" si="76"/>
        <v>0</v>
      </c>
      <c r="F436" s="608"/>
      <c r="G436" s="599">
        <f t="shared" si="77"/>
        <v>1</v>
      </c>
      <c r="H436" s="608"/>
      <c r="I436" s="599">
        <f t="shared" si="78"/>
        <v>1</v>
      </c>
      <c r="J436" s="608"/>
      <c r="K436" s="599">
        <f t="shared" si="79"/>
        <v>1</v>
      </c>
      <c r="L436" s="608"/>
      <c r="M436" s="599">
        <f t="shared" si="80"/>
        <v>1</v>
      </c>
      <c r="N436" s="608"/>
      <c r="O436" s="599">
        <f t="shared" si="81"/>
        <v>1</v>
      </c>
      <c r="P436" s="608"/>
      <c r="Q436" s="599">
        <f t="shared" si="82"/>
        <v>1</v>
      </c>
      <c r="R436" s="659">
        <f t="shared" si="83"/>
        <v>0</v>
      </c>
      <c r="S436" s="598">
        <f t="shared" si="84"/>
        <v>0</v>
      </c>
    </row>
    <row r="437" spans="1:19">
      <c r="A437" s="606"/>
      <c r="B437" s="607"/>
      <c r="C437" s="599">
        <f t="shared" si="75"/>
        <v>1</v>
      </c>
      <c r="D437" s="608"/>
      <c r="E437" s="599">
        <f t="shared" si="76"/>
        <v>0</v>
      </c>
      <c r="F437" s="608"/>
      <c r="G437" s="599">
        <f t="shared" si="77"/>
        <v>1</v>
      </c>
      <c r="H437" s="608"/>
      <c r="I437" s="599">
        <f t="shared" si="78"/>
        <v>1</v>
      </c>
      <c r="J437" s="608"/>
      <c r="K437" s="599">
        <f t="shared" si="79"/>
        <v>1</v>
      </c>
      <c r="L437" s="608"/>
      <c r="M437" s="599">
        <f t="shared" si="80"/>
        <v>1</v>
      </c>
      <c r="N437" s="608"/>
      <c r="O437" s="599">
        <f t="shared" si="81"/>
        <v>1</v>
      </c>
      <c r="P437" s="608"/>
      <c r="Q437" s="599">
        <f t="shared" si="82"/>
        <v>1</v>
      </c>
      <c r="R437" s="659">
        <f t="shared" si="83"/>
        <v>0</v>
      </c>
      <c r="S437" s="598">
        <f t="shared" si="84"/>
        <v>0</v>
      </c>
    </row>
    <row r="438" spans="1:19">
      <c r="A438" s="606"/>
      <c r="B438" s="607"/>
      <c r="C438" s="599">
        <f t="shared" si="75"/>
        <v>1</v>
      </c>
      <c r="D438" s="608"/>
      <c r="E438" s="599">
        <f t="shared" si="76"/>
        <v>0</v>
      </c>
      <c r="F438" s="608"/>
      <c r="G438" s="599">
        <f t="shared" si="77"/>
        <v>1</v>
      </c>
      <c r="H438" s="608"/>
      <c r="I438" s="599">
        <f t="shared" si="78"/>
        <v>1</v>
      </c>
      <c r="J438" s="608"/>
      <c r="K438" s="599">
        <f t="shared" si="79"/>
        <v>1</v>
      </c>
      <c r="L438" s="608"/>
      <c r="M438" s="599">
        <f t="shared" si="80"/>
        <v>1</v>
      </c>
      <c r="N438" s="608"/>
      <c r="O438" s="599">
        <f t="shared" si="81"/>
        <v>1</v>
      </c>
      <c r="P438" s="608"/>
      <c r="Q438" s="599">
        <f t="shared" si="82"/>
        <v>1</v>
      </c>
      <c r="R438" s="659">
        <f t="shared" si="83"/>
        <v>0</v>
      </c>
      <c r="S438" s="598">
        <f t="shared" si="84"/>
        <v>0</v>
      </c>
    </row>
    <row r="439" spans="1:19">
      <c r="A439" s="606"/>
      <c r="B439" s="607"/>
      <c r="C439" s="599">
        <f t="shared" si="75"/>
        <v>1</v>
      </c>
      <c r="D439" s="608"/>
      <c r="E439" s="599">
        <f t="shared" si="76"/>
        <v>0</v>
      </c>
      <c r="F439" s="608"/>
      <c r="G439" s="599">
        <f t="shared" si="77"/>
        <v>1</v>
      </c>
      <c r="H439" s="608"/>
      <c r="I439" s="599">
        <f t="shared" si="78"/>
        <v>1</v>
      </c>
      <c r="J439" s="608"/>
      <c r="K439" s="599">
        <f t="shared" si="79"/>
        <v>1</v>
      </c>
      <c r="L439" s="608"/>
      <c r="M439" s="599">
        <f t="shared" si="80"/>
        <v>1</v>
      </c>
      <c r="N439" s="608"/>
      <c r="O439" s="599">
        <f t="shared" si="81"/>
        <v>1</v>
      </c>
      <c r="P439" s="608"/>
      <c r="Q439" s="599">
        <f t="shared" si="82"/>
        <v>1</v>
      </c>
      <c r="R439" s="659">
        <f t="shared" si="83"/>
        <v>0</v>
      </c>
      <c r="S439" s="598">
        <f t="shared" si="84"/>
        <v>0</v>
      </c>
    </row>
    <row r="440" spans="1:19">
      <c r="A440" s="606"/>
      <c r="B440" s="607"/>
      <c r="C440" s="599">
        <f t="shared" si="75"/>
        <v>1</v>
      </c>
      <c r="D440" s="608"/>
      <c r="E440" s="599">
        <f t="shared" si="76"/>
        <v>0</v>
      </c>
      <c r="F440" s="608"/>
      <c r="G440" s="599">
        <f t="shared" si="77"/>
        <v>1</v>
      </c>
      <c r="H440" s="608"/>
      <c r="I440" s="599">
        <f t="shared" si="78"/>
        <v>1</v>
      </c>
      <c r="J440" s="608"/>
      <c r="K440" s="599">
        <f t="shared" si="79"/>
        <v>1</v>
      </c>
      <c r="L440" s="608"/>
      <c r="M440" s="599">
        <f t="shared" si="80"/>
        <v>1</v>
      </c>
      <c r="N440" s="608"/>
      <c r="O440" s="599">
        <f t="shared" si="81"/>
        <v>1</v>
      </c>
      <c r="P440" s="608"/>
      <c r="Q440" s="599">
        <f t="shared" si="82"/>
        <v>1</v>
      </c>
      <c r="R440" s="659">
        <f t="shared" si="83"/>
        <v>0</v>
      </c>
      <c r="S440" s="598">
        <f t="shared" si="84"/>
        <v>0</v>
      </c>
    </row>
    <row r="441" spans="1:19">
      <c r="A441" s="606"/>
      <c r="B441" s="607"/>
      <c r="C441" s="599">
        <f t="shared" si="75"/>
        <v>1</v>
      </c>
      <c r="D441" s="608"/>
      <c r="E441" s="599">
        <f t="shared" si="76"/>
        <v>0</v>
      </c>
      <c r="F441" s="608"/>
      <c r="G441" s="599">
        <f t="shared" si="77"/>
        <v>1</v>
      </c>
      <c r="H441" s="608"/>
      <c r="I441" s="599">
        <f t="shared" si="78"/>
        <v>1</v>
      </c>
      <c r="J441" s="608"/>
      <c r="K441" s="599">
        <f t="shared" si="79"/>
        <v>1</v>
      </c>
      <c r="L441" s="608"/>
      <c r="M441" s="599">
        <f t="shared" si="80"/>
        <v>1</v>
      </c>
      <c r="N441" s="608"/>
      <c r="O441" s="599">
        <f t="shared" si="81"/>
        <v>1</v>
      </c>
      <c r="P441" s="608"/>
      <c r="Q441" s="599">
        <f t="shared" si="82"/>
        <v>1</v>
      </c>
      <c r="R441" s="659">
        <f t="shared" si="83"/>
        <v>0</v>
      </c>
      <c r="S441" s="598">
        <f t="shared" si="84"/>
        <v>0</v>
      </c>
    </row>
    <row r="442" spans="1:19">
      <c r="A442" s="606"/>
      <c r="B442" s="607"/>
      <c r="C442" s="599">
        <f t="shared" si="75"/>
        <v>1</v>
      </c>
      <c r="D442" s="608"/>
      <c r="E442" s="599">
        <f t="shared" si="76"/>
        <v>0</v>
      </c>
      <c r="F442" s="608"/>
      <c r="G442" s="599">
        <f t="shared" si="77"/>
        <v>1</v>
      </c>
      <c r="H442" s="608"/>
      <c r="I442" s="599">
        <f t="shared" si="78"/>
        <v>1</v>
      </c>
      <c r="J442" s="608"/>
      <c r="K442" s="599">
        <f t="shared" si="79"/>
        <v>1</v>
      </c>
      <c r="L442" s="608"/>
      <c r="M442" s="599">
        <f t="shared" si="80"/>
        <v>1</v>
      </c>
      <c r="N442" s="608"/>
      <c r="O442" s="599">
        <f t="shared" si="81"/>
        <v>1</v>
      </c>
      <c r="P442" s="608"/>
      <c r="Q442" s="599">
        <f t="shared" si="82"/>
        <v>1</v>
      </c>
      <c r="R442" s="659">
        <f t="shared" si="83"/>
        <v>0</v>
      </c>
      <c r="S442" s="598">
        <f t="shared" si="84"/>
        <v>0</v>
      </c>
    </row>
    <row r="443" spans="1:19">
      <c r="A443" s="606"/>
      <c r="B443" s="607"/>
      <c r="C443" s="599">
        <f t="shared" si="75"/>
        <v>1</v>
      </c>
      <c r="D443" s="608"/>
      <c r="E443" s="599">
        <f t="shared" si="76"/>
        <v>0</v>
      </c>
      <c r="F443" s="608"/>
      <c r="G443" s="599">
        <f t="shared" si="77"/>
        <v>1</v>
      </c>
      <c r="H443" s="608"/>
      <c r="I443" s="599">
        <f t="shared" si="78"/>
        <v>1</v>
      </c>
      <c r="J443" s="608"/>
      <c r="K443" s="599">
        <f t="shared" si="79"/>
        <v>1</v>
      </c>
      <c r="L443" s="608"/>
      <c r="M443" s="599">
        <f t="shared" si="80"/>
        <v>1</v>
      </c>
      <c r="N443" s="608"/>
      <c r="O443" s="599">
        <f t="shared" si="81"/>
        <v>1</v>
      </c>
      <c r="P443" s="608"/>
      <c r="Q443" s="599">
        <f t="shared" si="82"/>
        <v>1</v>
      </c>
      <c r="R443" s="659">
        <f t="shared" si="83"/>
        <v>0</v>
      </c>
      <c r="S443" s="598">
        <f t="shared" si="84"/>
        <v>0</v>
      </c>
    </row>
    <row r="444" spans="1:19">
      <c r="A444" s="606"/>
      <c r="B444" s="607"/>
      <c r="C444" s="599">
        <f t="shared" si="75"/>
        <v>1</v>
      </c>
      <c r="D444" s="608"/>
      <c r="E444" s="599">
        <f t="shared" si="76"/>
        <v>0</v>
      </c>
      <c r="F444" s="608"/>
      <c r="G444" s="599">
        <f t="shared" si="77"/>
        <v>1</v>
      </c>
      <c r="H444" s="608"/>
      <c r="I444" s="599">
        <f t="shared" si="78"/>
        <v>1</v>
      </c>
      <c r="J444" s="608"/>
      <c r="K444" s="599">
        <f t="shared" si="79"/>
        <v>1</v>
      </c>
      <c r="L444" s="608"/>
      <c r="M444" s="599">
        <f t="shared" si="80"/>
        <v>1</v>
      </c>
      <c r="N444" s="608"/>
      <c r="O444" s="599">
        <f t="shared" si="81"/>
        <v>1</v>
      </c>
      <c r="P444" s="608"/>
      <c r="Q444" s="599">
        <f t="shared" si="82"/>
        <v>1</v>
      </c>
      <c r="R444" s="659">
        <f t="shared" si="83"/>
        <v>0</v>
      </c>
      <c r="S444" s="598">
        <f t="shared" si="84"/>
        <v>0</v>
      </c>
    </row>
    <row r="445" spans="1:19">
      <c r="A445" s="606"/>
      <c r="B445" s="607"/>
      <c r="C445" s="599">
        <f t="shared" si="75"/>
        <v>1</v>
      </c>
      <c r="D445" s="608"/>
      <c r="E445" s="599">
        <f t="shared" si="76"/>
        <v>0</v>
      </c>
      <c r="F445" s="608"/>
      <c r="G445" s="599">
        <f t="shared" si="77"/>
        <v>1</v>
      </c>
      <c r="H445" s="608"/>
      <c r="I445" s="599">
        <f t="shared" si="78"/>
        <v>1</v>
      </c>
      <c r="J445" s="608"/>
      <c r="K445" s="599">
        <f t="shared" si="79"/>
        <v>1</v>
      </c>
      <c r="L445" s="608"/>
      <c r="M445" s="599">
        <f t="shared" si="80"/>
        <v>1</v>
      </c>
      <c r="N445" s="608"/>
      <c r="O445" s="599">
        <f t="shared" si="81"/>
        <v>1</v>
      </c>
      <c r="P445" s="608"/>
      <c r="Q445" s="599">
        <f t="shared" si="82"/>
        <v>1</v>
      </c>
      <c r="R445" s="659">
        <f t="shared" si="83"/>
        <v>0</v>
      </c>
      <c r="S445" s="598">
        <f t="shared" si="84"/>
        <v>0</v>
      </c>
    </row>
    <row r="446" spans="1:19">
      <c r="A446" s="606"/>
      <c r="B446" s="607"/>
      <c r="C446" s="599">
        <f t="shared" si="75"/>
        <v>1</v>
      </c>
      <c r="D446" s="608"/>
      <c r="E446" s="599">
        <f t="shared" si="76"/>
        <v>0</v>
      </c>
      <c r="F446" s="608"/>
      <c r="G446" s="599">
        <f t="shared" si="77"/>
        <v>1</v>
      </c>
      <c r="H446" s="608"/>
      <c r="I446" s="599">
        <f t="shared" si="78"/>
        <v>1</v>
      </c>
      <c r="J446" s="608"/>
      <c r="K446" s="599">
        <f t="shared" si="79"/>
        <v>1</v>
      </c>
      <c r="L446" s="608"/>
      <c r="M446" s="599">
        <f t="shared" si="80"/>
        <v>1</v>
      </c>
      <c r="N446" s="608"/>
      <c r="O446" s="599">
        <f t="shared" si="81"/>
        <v>1</v>
      </c>
      <c r="P446" s="608"/>
      <c r="Q446" s="599">
        <f t="shared" si="82"/>
        <v>1</v>
      </c>
      <c r="R446" s="659">
        <f t="shared" si="83"/>
        <v>0</v>
      </c>
      <c r="S446" s="598">
        <f t="shared" si="84"/>
        <v>0</v>
      </c>
    </row>
    <row r="447" spans="1:19">
      <c r="A447" s="606"/>
      <c r="B447" s="607"/>
      <c r="C447" s="599">
        <f t="shared" si="75"/>
        <v>1</v>
      </c>
      <c r="D447" s="608"/>
      <c r="E447" s="599">
        <f t="shared" si="76"/>
        <v>0</v>
      </c>
      <c r="F447" s="608"/>
      <c r="G447" s="599">
        <f t="shared" si="77"/>
        <v>1</v>
      </c>
      <c r="H447" s="608"/>
      <c r="I447" s="599">
        <f t="shared" si="78"/>
        <v>1</v>
      </c>
      <c r="J447" s="608"/>
      <c r="K447" s="599">
        <f t="shared" si="79"/>
        <v>1</v>
      </c>
      <c r="L447" s="608"/>
      <c r="M447" s="599">
        <f t="shared" si="80"/>
        <v>1</v>
      </c>
      <c r="N447" s="608"/>
      <c r="O447" s="599">
        <f t="shared" si="81"/>
        <v>1</v>
      </c>
      <c r="P447" s="608"/>
      <c r="Q447" s="599">
        <f t="shared" si="82"/>
        <v>1</v>
      </c>
      <c r="R447" s="659">
        <f t="shared" si="83"/>
        <v>0</v>
      </c>
      <c r="S447" s="598">
        <f t="shared" si="84"/>
        <v>0</v>
      </c>
    </row>
    <row r="448" spans="1:19">
      <c r="A448" s="606"/>
      <c r="B448" s="607"/>
      <c r="C448" s="599">
        <f t="shared" si="75"/>
        <v>1</v>
      </c>
      <c r="D448" s="608"/>
      <c r="E448" s="599">
        <f t="shared" si="76"/>
        <v>0</v>
      </c>
      <c r="F448" s="608"/>
      <c r="G448" s="599">
        <f t="shared" si="77"/>
        <v>1</v>
      </c>
      <c r="H448" s="608"/>
      <c r="I448" s="599">
        <f t="shared" si="78"/>
        <v>1</v>
      </c>
      <c r="J448" s="608"/>
      <c r="K448" s="599">
        <f t="shared" si="79"/>
        <v>1</v>
      </c>
      <c r="L448" s="608"/>
      <c r="M448" s="599">
        <f t="shared" si="80"/>
        <v>1</v>
      </c>
      <c r="N448" s="608"/>
      <c r="O448" s="599">
        <f t="shared" si="81"/>
        <v>1</v>
      </c>
      <c r="P448" s="608"/>
      <c r="Q448" s="599">
        <f t="shared" si="82"/>
        <v>1</v>
      </c>
      <c r="R448" s="659">
        <f t="shared" si="83"/>
        <v>0</v>
      </c>
      <c r="S448" s="598">
        <f t="shared" si="84"/>
        <v>0</v>
      </c>
    </row>
    <row r="449" spans="1:19">
      <c r="A449" s="606"/>
      <c r="B449" s="607"/>
      <c r="C449" s="599">
        <f t="shared" si="75"/>
        <v>1</v>
      </c>
      <c r="D449" s="608"/>
      <c r="E449" s="599">
        <f t="shared" si="76"/>
        <v>0</v>
      </c>
      <c r="F449" s="608"/>
      <c r="G449" s="599">
        <f t="shared" si="77"/>
        <v>1</v>
      </c>
      <c r="H449" s="608"/>
      <c r="I449" s="599">
        <f t="shared" si="78"/>
        <v>1</v>
      </c>
      <c r="J449" s="608"/>
      <c r="K449" s="599">
        <f t="shared" si="79"/>
        <v>1</v>
      </c>
      <c r="L449" s="608"/>
      <c r="M449" s="599">
        <f t="shared" si="80"/>
        <v>1</v>
      </c>
      <c r="N449" s="608"/>
      <c r="O449" s="599">
        <f t="shared" si="81"/>
        <v>1</v>
      </c>
      <c r="P449" s="608"/>
      <c r="Q449" s="599">
        <f t="shared" si="82"/>
        <v>1</v>
      </c>
      <c r="R449" s="659">
        <f t="shared" si="83"/>
        <v>0</v>
      </c>
      <c r="S449" s="598">
        <f t="shared" si="84"/>
        <v>0</v>
      </c>
    </row>
    <row r="450" spans="1:19">
      <c r="A450" s="606"/>
      <c r="B450" s="607"/>
      <c r="C450" s="599">
        <f t="shared" si="75"/>
        <v>1</v>
      </c>
      <c r="D450" s="608"/>
      <c r="E450" s="599">
        <f t="shared" si="76"/>
        <v>0</v>
      </c>
      <c r="F450" s="608"/>
      <c r="G450" s="599">
        <f t="shared" si="77"/>
        <v>1</v>
      </c>
      <c r="H450" s="608"/>
      <c r="I450" s="599">
        <f t="shared" si="78"/>
        <v>1</v>
      </c>
      <c r="J450" s="608"/>
      <c r="K450" s="599">
        <f t="shared" si="79"/>
        <v>1</v>
      </c>
      <c r="L450" s="608"/>
      <c r="M450" s="599">
        <f t="shared" si="80"/>
        <v>1</v>
      </c>
      <c r="N450" s="608"/>
      <c r="O450" s="599">
        <f t="shared" si="81"/>
        <v>1</v>
      </c>
      <c r="P450" s="608"/>
      <c r="Q450" s="599">
        <f t="shared" si="82"/>
        <v>1</v>
      </c>
      <c r="R450" s="659">
        <f t="shared" si="83"/>
        <v>0</v>
      </c>
      <c r="S450" s="598">
        <f t="shared" si="84"/>
        <v>0</v>
      </c>
    </row>
    <row r="451" spans="1:19">
      <c r="A451" s="606"/>
      <c r="B451" s="607"/>
      <c r="C451" s="599">
        <f t="shared" si="75"/>
        <v>1</v>
      </c>
      <c r="D451" s="608"/>
      <c r="E451" s="599">
        <f t="shared" si="76"/>
        <v>0</v>
      </c>
      <c r="F451" s="608"/>
      <c r="G451" s="599">
        <f t="shared" si="77"/>
        <v>1</v>
      </c>
      <c r="H451" s="608"/>
      <c r="I451" s="599">
        <f t="shared" si="78"/>
        <v>1</v>
      </c>
      <c r="J451" s="608"/>
      <c r="K451" s="599">
        <f t="shared" si="79"/>
        <v>1</v>
      </c>
      <c r="L451" s="608"/>
      <c r="M451" s="599">
        <f t="shared" si="80"/>
        <v>1</v>
      </c>
      <c r="N451" s="608"/>
      <c r="O451" s="599">
        <f t="shared" si="81"/>
        <v>1</v>
      </c>
      <c r="P451" s="608"/>
      <c r="Q451" s="599">
        <f t="shared" si="82"/>
        <v>1</v>
      </c>
      <c r="R451" s="659">
        <f t="shared" si="83"/>
        <v>0</v>
      </c>
      <c r="S451" s="598">
        <f t="shared" si="84"/>
        <v>0</v>
      </c>
    </row>
    <row r="452" spans="1:19">
      <c r="A452" s="606"/>
      <c r="B452" s="607"/>
      <c r="C452" s="599">
        <f t="shared" si="75"/>
        <v>1</v>
      </c>
      <c r="D452" s="608"/>
      <c r="E452" s="599">
        <f t="shared" si="76"/>
        <v>0</v>
      </c>
      <c r="F452" s="608"/>
      <c r="G452" s="599">
        <f t="shared" si="77"/>
        <v>1</v>
      </c>
      <c r="H452" s="608"/>
      <c r="I452" s="599">
        <f t="shared" si="78"/>
        <v>1</v>
      </c>
      <c r="J452" s="608"/>
      <c r="K452" s="599">
        <f t="shared" si="79"/>
        <v>1</v>
      </c>
      <c r="L452" s="608"/>
      <c r="M452" s="599">
        <f t="shared" si="80"/>
        <v>1</v>
      </c>
      <c r="N452" s="608"/>
      <c r="O452" s="599">
        <f t="shared" si="81"/>
        <v>1</v>
      </c>
      <c r="P452" s="608"/>
      <c r="Q452" s="599">
        <f t="shared" si="82"/>
        <v>1</v>
      </c>
      <c r="R452" s="659">
        <f t="shared" si="83"/>
        <v>0</v>
      </c>
      <c r="S452" s="598">
        <f t="shared" si="84"/>
        <v>0</v>
      </c>
    </row>
    <row r="453" spans="1:19">
      <c r="A453" s="606"/>
      <c r="B453" s="607"/>
      <c r="C453" s="599">
        <f t="shared" si="75"/>
        <v>1</v>
      </c>
      <c r="D453" s="608"/>
      <c r="E453" s="599">
        <f t="shared" si="76"/>
        <v>0</v>
      </c>
      <c r="F453" s="608"/>
      <c r="G453" s="599">
        <f t="shared" si="77"/>
        <v>1</v>
      </c>
      <c r="H453" s="608"/>
      <c r="I453" s="599">
        <f t="shared" si="78"/>
        <v>1</v>
      </c>
      <c r="J453" s="608"/>
      <c r="K453" s="599">
        <f t="shared" si="79"/>
        <v>1</v>
      </c>
      <c r="L453" s="608"/>
      <c r="M453" s="599">
        <f t="shared" si="80"/>
        <v>1</v>
      </c>
      <c r="N453" s="608"/>
      <c r="O453" s="599">
        <f t="shared" si="81"/>
        <v>1</v>
      </c>
      <c r="P453" s="608"/>
      <c r="Q453" s="599">
        <f t="shared" si="82"/>
        <v>1</v>
      </c>
      <c r="R453" s="659">
        <f t="shared" si="83"/>
        <v>0</v>
      </c>
      <c r="S453" s="598">
        <f t="shared" si="84"/>
        <v>0</v>
      </c>
    </row>
    <row r="454" spans="1:19">
      <c r="A454" s="606"/>
      <c r="B454" s="607"/>
      <c r="C454" s="599">
        <f t="shared" si="75"/>
        <v>1</v>
      </c>
      <c r="D454" s="608"/>
      <c r="E454" s="599">
        <f t="shared" si="76"/>
        <v>0</v>
      </c>
      <c r="F454" s="608"/>
      <c r="G454" s="599">
        <f t="shared" si="77"/>
        <v>1</v>
      </c>
      <c r="H454" s="608"/>
      <c r="I454" s="599">
        <f t="shared" si="78"/>
        <v>1</v>
      </c>
      <c r="J454" s="608"/>
      <c r="K454" s="599">
        <f t="shared" si="79"/>
        <v>1</v>
      </c>
      <c r="L454" s="608"/>
      <c r="M454" s="599">
        <f t="shared" si="80"/>
        <v>1</v>
      </c>
      <c r="N454" s="608"/>
      <c r="O454" s="599">
        <f t="shared" si="81"/>
        <v>1</v>
      </c>
      <c r="P454" s="608"/>
      <c r="Q454" s="599">
        <f t="shared" si="82"/>
        <v>1</v>
      </c>
      <c r="R454" s="659">
        <f t="shared" si="83"/>
        <v>0</v>
      </c>
      <c r="S454" s="598">
        <f t="shared" si="84"/>
        <v>0</v>
      </c>
    </row>
    <row r="455" spans="1:19">
      <c r="A455" s="606"/>
      <c r="B455" s="607"/>
      <c r="C455" s="599">
        <f t="shared" si="75"/>
        <v>1</v>
      </c>
      <c r="D455" s="608"/>
      <c r="E455" s="599">
        <f t="shared" si="76"/>
        <v>0</v>
      </c>
      <c r="F455" s="608"/>
      <c r="G455" s="599">
        <f t="shared" si="77"/>
        <v>1</v>
      </c>
      <c r="H455" s="608"/>
      <c r="I455" s="599">
        <f t="shared" si="78"/>
        <v>1</v>
      </c>
      <c r="J455" s="608"/>
      <c r="K455" s="599">
        <f t="shared" si="79"/>
        <v>1</v>
      </c>
      <c r="L455" s="608"/>
      <c r="M455" s="599">
        <f t="shared" si="80"/>
        <v>1</v>
      </c>
      <c r="N455" s="608"/>
      <c r="O455" s="599">
        <f t="shared" si="81"/>
        <v>1</v>
      </c>
      <c r="P455" s="608"/>
      <c r="Q455" s="599">
        <f t="shared" si="82"/>
        <v>1</v>
      </c>
      <c r="R455" s="659">
        <f t="shared" si="83"/>
        <v>0</v>
      </c>
      <c r="S455" s="598">
        <f t="shared" si="84"/>
        <v>0</v>
      </c>
    </row>
    <row r="456" spans="1:19">
      <c r="A456" s="606"/>
      <c r="B456" s="607"/>
      <c r="C456" s="599">
        <f t="shared" si="75"/>
        <v>1</v>
      </c>
      <c r="D456" s="608"/>
      <c r="E456" s="599">
        <f t="shared" si="76"/>
        <v>0</v>
      </c>
      <c r="F456" s="608"/>
      <c r="G456" s="599">
        <f t="shared" si="77"/>
        <v>1</v>
      </c>
      <c r="H456" s="608"/>
      <c r="I456" s="599">
        <f t="shared" si="78"/>
        <v>1</v>
      </c>
      <c r="J456" s="608"/>
      <c r="K456" s="599">
        <f t="shared" si="79"/>
        <v>1</v>
      </c>
      <c r="L456" s="608"/>
      <c r="M456" s="599">
        <f t="shared" si="80"/>
        <v>1</v>
      </c>
      <c r="N456" s="608"/>
      <c r="O456" s="599">
        <f t="shared" si="81"/>
        <v>1</v>
      </c>
      <c r="P456" s="608"/>
      <c r="Q456" s="599">
        <f t="shared" si="82"/>
        <v>1</v>
      </c>
      <c r="R456" s="659">
        <f t="shared" si="83"/>
        <v>0</v>
      </c>
      <c r="S456" s="598">
        <f t="shared" si="84"/>
        <v>0</v>
      </c>
    </row>
    <row r="457" spans="1:19">
      <c r="A457" s="606"/>
      <c r="B457" s="607"/>
      <c r="C457" s="599">
        <f t="shared" si="75"/>
        <v>1</v>
      </c>
      <c r="D457" s="608"/>
      <c r="E457" s="599">
        <f t="shared" si="76"/>
        <v>0</v>
      </c>
      <c r="F457" s="608"/>
      <c r="G457" s="599">
        <f t="shared" si="77"/>
        <v>1</v>
      </c>
      <c r="H457" s="608"/>
      <c r="I457" s="599">
        <f t="shared" si="78"/>
        <v>1</v>
      </c>
      <c r="J457" s="608"/>
      <c r="K457" s="599">
        <f t="shared" si="79"/>
        <v>1</v>
      </c>
      <c r="L457" s="608"/>
      <c r="M457" s="599">
        <f t="shared" si="80"/>
        <v>1</v>
      </c>
      <c r="N457" s="608"/>
      <c r="O457" s="599">
        <f t="shared" si="81"/>
        <v>1</v>
      </c>
      <c r="P457" s="608"/>
      <c r="Q457" s="599">
        <f t="shared" si="82"/>
        <v>1</v>
      </c>
      <c r="R457" s="659">
        <f t="shared" si="83"/>
        <v>0</v>
      </c>
      <c r="S457" s="598">
        <f t="shared" si="84"/>
        <v>0</v>
      </c>
    </row>
    <row r="458" spans="1:19">
      <c r="A458" s="606"/>
      <c r="B458" s="607"/>
      <c r="C458" s="599">
        <f t="shared" si="75"/>
        <v>1</v>
      </c>
      <c r="D458" s="608"/>
      <c r="E458" s="599">
        <f t="shared" si="76"/>
        <v>0</v>
      </c>
      <c r="F458" s="608"/>
      <c r="G458" s="599">
        <f t="shared" si="77"/>
        <v>1</v>
      </c>
      <c r="H458" s="608"/>
      <c r="I458" s="599">
        <f t="shared" si="78"/>
        <v>1</v>
      </c>
      <c r="J458" s="608"/>
      <c r="K458" s="599">
        <f t="shared" si="79"/>
        <v>1</v>
      </c>
      <c r="L458" s="608"/>
      <c r="M458" s="599">
        <f t="shared" si="80"/>
        <v>1</v>
      </c>
      <c r="N458" s="608"/>
      <c r="O458" s="599">
        <f t="shared" si="81"/>
        <v>1</v>
      </c>
      <c r="P458" s="608"/>
      <c r="Q458" s="599">
        <f t="shared" si="82"/>
        <v>1</v>
      </c>
      <c r="R458" s="659">
        <f t="shared" si="83"/>
        <v>0</v>
      </c>
      <c r="S458" s="598">
        <f t="shared" si="84"/>
        <v>0</v>
      </c>
    </row>
    <row r="459" spans="1:19">
      <c r="A459" s="606"/>
      <c r="B459" s="607"/>
      <c r="C459" s="599">
        <f t="shared" si="75"/>
        <v>1</v>
      </c>
      <c r="D459" s="608"/>
      <c r="E459" s="599">
        <f t="shared" si="76"/>
        <v>0</v>
      </c>
      <c r="F459" s="608"/>
      <c r="G459" s="599">
        <f t="shared" si="77"/>
        <v>1</v>
      </c>
      <c r="H459" s="608"/>
      <c r="I459" s="599">
        <f t="shared" si="78"/>
        <v>1</v>
      </c>
      <c r="J459" s="608"/>
      <c r="K459" s="599">
        <f t="shared" si="79"/>
        <v>1</v>
      </c>
      <c r="L459" s="608"/>
      <c r="M459" s="599">
        <f t="shared" si="80"/>
        <v>1</v>
      </c>
      <c r="N459" s="608"/>
      <c r="O459" s="599">
        <f t="shared" si="81"/>
        <v>1</v>
      </c>
      <c r="P459" s="608"/>
      <c r="Q459" s="599">
        <f t="shared" si="82"/>
        <v>1</v>
      </c>
      <c r="R459" s="659">
        <f t="shared" si="83"/>
        <v>0</v>
      </c>
      <c r="S459" s="598">
        <f t="shared" si="84"/>
        <v>0</v>
      </c>
    </row>
    <row r="460" spans="1:19">
      <c r="A460" s="606"/>
      <c r="B460" s="607"/>
      <c r="C460" s="599">
        <f t="shared" si="75"/>
        <v>1</v>
      </c>
      <c r="D460" s="608"/>
      <c r="E460" s="599">
        <f t="shared" si="76"/>
        <v>0</v>
      </c>
      <c r="F460" s="608"/>
      <c r="G460" s="599">
        <f t="shared" si="77"/>
        <v>1</v>
      </c>
      <c r="H460" s="608"/>
      <c r="I460" s="599">
        <f t="shared" si="78"/>
        <v>1</v>
      </c>
      <c r="J460" s="608"/>
      <c r="K460" s="599">
        <f t="shared" si="79"/>
        <v>1</v>
      </c>
      <c r="L460" s="608"/>
      <c r="M460" s="599">
        <f t="shared" si="80"/>
        <v>1</v>
      </c>
      <c r="N460" s="608"/>
      <c r="O460" s="599">
        <f t="shared" si="81"/>
        <v>1</v>
      </c>
      <c r="P460" s="608"/>
      <c r="Q460" s="599">
        <f t="shared" si="82"/>
        <v>1</v>
      </c>
      <c r="R460" s="659">
        <f t="shared" si="83"/>
        <v>0</v>
      </c>
      <c r="S460" s="598">
        <f t="shared" si="84"/>
        <v>0</v>
      </c>
    </row>
    <row r="461" spans="1:19">
      <c r="A461" s="606"/>
      <c r="B461" s="607"/>
      <c r="C461" s="599">
        <f t="shared" si="75"/>
        <v>1</v>
      </c>
      <c r="D461" s="608"/>
      <c r="E461" s="599">
        <f t="shared" si="76"/>
        <v>0</v>
      </c>
      <c r="F461" s="608"/>
      <c r="G461" s="599">
        <f t="shared" si="77"/>
        <v>1</v>
      </c>
      <c r="H461" s="608"/>
      <c r="I461" s="599">
        <f t="shared" si="78"/>
        <v>1</v>
      </c>
      <c r="J461" s="608"/>
      <c r="K461" s="599">
        <f t="shared" si="79"/>
        <v>1</v>
      </c>
      <c r="L461" s="608"/>
      <c r="M461" s="599">
        <f t="shared" si="80"/>
        <v>1</v>
      </c>
      <c r="N461" s="608"/>
      <c r="O461" s="599">
        <f t="shared" si="81"/>
        <v>1</v>
      </c>
      <c r="P461" s="608"/>
      <c r="Q461" s="599">
        <f t="shared" si="82"/>
        <v>1</v>
      </c>
      <c r="R461" s="659">
        <f t="shared" si="83"/>
        <v>0</v>
      </c>
      <c r="S461" s="598">
        <f t="shared" si="84"/>
        <v>0</v>
      </c>
    </row>
    <row r="462" spans="1:19">
      <c r="A462" s="606"/>
      <c r="B462" s="607"/>
      <c r="C462" s="599">
        <f t="shared" si="75"/>
        <v>1</v>
      </c>
      <c r="D462" s="608"/>
      <c r="E462" s="599">
        <f t="shared" si="76"/>
        <v>0</v>
      </c>
      <c r="F462" s="608"/>
      <c r="G462" s="599">
        <f t="shared" si="77"/>
        <v>1</v>
      </c>
      <c r="H462" s="608"/>
      <c r="I462" s="599">
        <f t="shared" si="78"/>
        <v>1</v>
      </c>
      <c r="J462" s="608"/>
      <c r="K462" s="599">
        <f t="shared" si="79"/>
        <v>1</v>
      </c>
      <c r="L462" s="608"/>
      <c r="M462" s="599">
        <f t="shared" si="80"/>
        <v>1</v>
      </c>
      <c r="N462" s="608"/>
      <c r="O462" s="599">
        <f t="shared" si="81"/>
        <v>1</v>
      </c>
      <c r="P462" s="608"/>
      <c r="Q462" s="599">
        <f t="shared" si="82"/>
        <v>1</v>
      </c>
      <c r="R462" s="659">
        <f t="shared" si="83"/>
        <v>0</v>
      </c>
      <c r="S462" s="598">
        <f t="shared" si="84"/>
        <v>0</v>
      </c>
    </row>
    <row r="463" spans="1:19">
      <c r="A463" s="606"/>
      <c r="B463" s="607"/>
      <c r="C463" s="599">
        <f t="shared" si="75"/>
        <v>1</v>
      </c>
      <c r="D463" s="608"/>
      <c r="E463" s="599">
        <f t="shared" si="76"/>
        <v>0</v>
      </c>
      <c r="F463" s="608"/>
      <c r="G463" s="599">
        <f t="shared" si="77"/>
        <v>1</v>
      </c>
      <c r="H463" s="608"/>
      <c r="I463" s="599">
        <f t="shared" si="78"/>
        <v>1</v>
      </c>
      <c r="J463" s="608"/>
      <c r="K463" s="599">
        <f t="shared" si="79"/>
        <v>1</v>
      </c>
      <c r="L463" s="608"/>
      <c r="M463" s="599">
        <f t="shared" si="80"/>
        <v>1</v>
      </c>
      <c r="N463" s="608"/>
      <c r="O463" s="599">
        <f t="shared" si="81"/>
        <v>1</v>
      </c>
      <c r="P463" s="608"/>
      <c r="Q463" s="599">
        <f t="shared" si="82"/>
        <v>1</v>
      </c>
      <c r="R463" s="659">
        <f t="shared" si="83"/>
        <v>0</v>
      </c>
      <c r="S463" s="598">
        <f t="shared" si="84"/>
        <v>0</v>
      </c>
    </row>
    <row r="464" spans="1:19">
      <c r="A464" s="606"/>
      <c r="B464" s="607"/>
      <c r="C464" s="599">
        <f t="shared" si="75"/>
        <v>1</v>
      </c>
      <c r="D464" s="608"/>
      <c r="E464" s="599">
        <f t="shared" si="76"/>
        <v>0</v>
      </c>
      <c r="F464" s="608"/>
      <c r="G464" s="599">
        <f t="shared" si="77"/>
        <v>1</v>
      </c>
      <c r="H464" s="608"/>
      <c r="I464" s="599">
        <f t="shared" si="78"/>
        <v>1</v>
      </c>
      <c r="J464" s="608"/>
      <c r="K464" s="599">
        <f t="shared" si="79"/>
        <v>1</v>
      </c>
      <c r="L464" s="608"/>
      <c r="M464" s="599">
        <f t="shared" si="80"/>
        <v>1</v>
      </c>
      <c r="N464" s="608"/>
      <c r="O464" s="599">
        <f t="shared" si="81"/>
        <v>1</v>
      </c>
      <c r="P464" s="608"/>
      <c r="Q464" s="599">
        <f t="shared" si="82"/>
        <v>1</v>
      </c>
      <c r="R464" s="659">
        <f t="shared" si="83"/>
        <v>0</v>
      </c>
      <c r="S464" s="598">
        <f t="shared" si="84"/>
        <v>0</v>
      </c>
    </row>
    <row r="465" spans="1:19">
      <c r="A465" s="606"/>
      <c r="B465" s="607"/>
      <c r="C465" s="599">
        <f t="shared" si="75"/>
        <v>1</v>
      </c>
      <c r="D465" s="608"/>
      <c r="E465" s="599">
        <f t="shared" si="76"/>
        <v>0</v>
      </c>
      <c r="F465" s="608"/>
      <c r="G465" s="599">
        <f t="shared" si="77"/>
        <v>1</v>
      </c>
      <c r="H465" s="608"/>
      <c r="I465" s="599">
        <f t="shared" si="78"/>
        <v>1</v>
      </c>
      <c r="J465" s="608"/>
      <c r="K465" s="599">
        <f t="shared" si="79"/>
        <v>1</v>
      </c>
      <c r="L465" s="608"/>
      <c r="M465" s="599">
        <f t="shared" si="80"/>
        <v>1</v>
      </c>
      <c r="N465" s="608"/>
      <c r="O465" s="599">
        <f t="shared" si="81"/>
        <v>1</v>
      </c>
      <c r="P465" s="608"/>
      <c r="Q465" s="599">
        <f t="shared" si="82"/>
        <v>1</v>
      </c>
      <c r="R465" s="659">
        <f t="shared" si="83"/>
        <v>0</v>
      </c>
      <c r="S465" s="598">
        <f t="shared" si="84"/>
        <v>0</v>
      </c>
    </row>
    <row r="466" spans="1:19">
      <c r="A466" s="606"/>
      <c r="B466" s="607"/>
      <c r="C466" s="599">
        <f t="shared" si="75"/>
        <v>1</v>
      </c>
      <c r="D466" s="608"/>
      <c r="E466" s="599">
        <f t="shared" si="76"/>
        <v>0</v>
      </c>
      <c r="F466" s="608"/>
      <c r="G466" s="599">
        <f t="shared" si="77"/>
        <v>1</v>
      </c>
      <c r="H466" s="608"/>
      <c r="I466" s="599">
        <f t="shared" si="78"/>
        <v>1</v>
      </c>
      <c r="J466" s="608"/>
      <c r="K466" s="599">
        <f t="shared" si="79"/>
        <v>1</v>
      </c>
      <c r="L466" s="608"/>
      <c r="M466" s="599">
        <f t="shared" si="80"/>
        <v>1</v>
      </c>
      <c r="N466" s="608"/>
      <c r="O466" s="599">
        <f t="shared" si="81"/>
        <v>1</v>
      </c>
      <c r="P466" s="608"/>
      <c r="Q466" s="599">
        <f t="shared" si="82"/>
        <v>1</v>
      </c>
      <c r="R466" s="659">
        <f t="shared" si="83"/>
        <v>0</v>
      </c>
      <c r="S466" s="598">
        <f t="shared" si="84"/>
        <v>0</v>
      </c>
    </row>
    <row r="467" spans="1:19">
      <c r="A467" s="606"/>
      <c r="B467" s="607"/>
      <c r="C467" s="599">
        <f t="shared" si="75"/>
        <v>1</v>
      </c>
      <c r="D467" s="608"/>
      <c r="E467" s="599">
        <f t="shared" si="76"/>
        <v>0</v>
      </c>
      <c r="F467" s="608"/>
      <c r="G467" s="599">
        <f t="shared" si="77"/>
        <v>1</v>
      </c>
      <c r="H467" s="608"/>
      <c r="I467" s="599">
        <f t="shared" si="78"/>
        <v>1</v>
      </c>
      <c r="J467" s="608"/>
      <c r="K467" s="599">
        <f t="shared" si="79"/>
        <v>1</v>
      </c>
      <c r="L467" s="608"/>
      <c r="M467" s="599">
        <f t="shared" si="80"/>
        <v>1</v>
      </c>
      <c r="N467" s="608"/>
      <c r="O467" s="599">
        <f t="shared" si="81"/>
        <v>1</v>
      </c>
      <c r="P467" s="608"/>
      <c r="Q467" s="599">
        <f t="shared" si="82"/>
        <v>1</v>
      </c>
      <c r="R467" s="659">
        <f t="shared" si="83"/>
        <v>0</v>
      </c>
      <c r="S467" s="598">
        <f t="shared" si="84"/>
        <v>0</v>
      </c>
    </row>
    <row r="468" spans="1:19">
      <c r="A468" s="606"/>
      <c r="B468" s="607"/>
      <c r="C468" s="599">
        <f t="shared" si="75"/>
        <v>1</v>
      </c>
      <c r="D468" s="608"/>
      <c r="E468" s="599">
        <f t="shared" si="76"/>
        <v>0</v>
      </c>
      <c r="F468" s="608"/>
      <c r="G468" s="599">
        <f t="shared" si="77"/>
        <v>1</v>
      </c>
      <c r="H468" s="608"/>
      <c r="I468" s="599">
        <f t="shared" si="78"/>
        <v>1</v>
      </c>
      <c r="J468" s="608"/>
      <c r="K468" s="599">
        <f t="shared" si="79"/>
        <v>1</v>
      </c>
      <c r="L468" s="608"/>
      <c r="M468" s="599">
        <f t="shared" si="80"/>
        <v>1</v>
      </c>
      <c r="N468" s="608"/>
      <c r="O468" s="599">
        <f t="shared" si="81"/>
        <v>1</v>
      </c>
      <c r="P468" s="608"/>
      <c r="Q468" s="599">
        <f t="shared" si="82"/>
        <v>1</v>
      </c>
      <c r="R468" s="659">
        <f t="shared" si="83"/>
        <v>0</v>
      </c>
      <c r="S468" s="598">
        <f t="shared" ref="S468:S497" si="85">ROUND(R468*B468/10000,0)</f>
        <v>0</v>
      </c>
    </row>
    <row r="469" spans="1:19">
      <c r="A469" s="606"/>
      <c r="B469" s="607"/>
      <c r="C469" s="599">
        <f t="shared" si="75"/>
        <v>1</v>
      </c>
      <c r="D469" s="608"/>
      <c r="E469" s="599">
        <f t="shared" si="76"/>
        <v>0</v>
      </c>
      <c r="F469" s="608"/>
      <c r="G469" s="599">
        <f t="shared" si="77"/>
        <v>1</v>
      </c>
      <c r="H469" s="608"/>
      <c r="I469" s="599">
        <f t="shared" si="78"/>
        <v>1</v>
      </c>
      <c r="J469" s="608"/>
      <c r="K469" s="599">
        <f t="shared" si="79"/>
        <v>1</v>
      </c>
      <c r="L469" s="608"/>
      <c r="M469" s="599">
        <f t="shared" si="80"/>
        <v>1</v>
      </c>
      <c r="N469" s="608"/>
      <c r="O469" s="599">
        <f t="shared" si="81"/>
        <v>1</v>
      </c>
      <c r="P469" s="608"/>
      <c r="Q469" s="599">
        <f t="shared" si="82"/>
        <v>1</v>
      </c>
      <c r="R469" s="659">
        <f t="shared" si="83"/>
        <v>0</v>
      </c>
      <c r="S469" s="598">
        <f t="shared" si="85"/>
        <v>0</v>
      </c>
    </row>
    <row r="470" spans="1:19">
      <c r="A470" s="606"/>
      <c r="B470" s="607"/>
      <c r="C470" s="599">
        <f t="shared" si="75"/>
        <v>1</v>
      </c>
      <c r="D470" s="608"/>
      <c r="E470" s="599">
        <f t="shared" si="76"/>
        <v>0</v>
      </c>
      <c r="F470" s="608"/>
      <c r="G470" s="599">
        <f t="shared" si="77"/>
        <v>1</v>
      </c>
      <c r="H470" s="608"/>
      <c r="I470" s="599">
        <f t="shared" si="78"/>
        <v>1</v>
      </c>
      <c r="J470" s="608"/>
      <c r="K470" s="599">
        <f t="shared" si="79"/>
        <v>1</v>
      </c>
      <c r="L470" s="608"/>
      <c r="M470" s="599">
        <f t="shared" si="80"/>
        <v>1</v>
      </c>
      <c r="N470" s="608"/>
      <c r="O470" s="599">
        <f t="shared" si="81"/>
        <v>1</v>
      </c>
      <c r="P470" s="608"/>
      <c r="Q470" s="599">
        <f t="shared" si="82"/>
        <v>1</v>
      </c>
      <c r="R470" s="659">
        <f t="shared" si="83"/>
        <v>0</v>
      </c>
      <c r="S470" s="598">
        <f t="shared" si="85"/>
        <v>0</v>
      </c>
    </row>
    <row r="471" spans="1:19">
      <c r="A471" s="606"/>
      <c r="B471" s="607"/>
      <c r="C471" s="599">
        <f t="shared" si="75"/>
        <v>1</v>
      </c>
      <c r="D471" s="608"/>
      <c r="E471" s="599">
        <f t="shared" si="76"/>
        <v>0</v>
      </c>
      <c r="F471" s="608"/>
      <c r="G471" s="599">
        <f t="shared" si="77"/>
        <v>1</v>
      </c>
      <c r="H471" s="608"/>
      <c r="I471" s="599">
        <f t="shared" si="78"/>
        <v>1</v>
      </c>
      <c r="J471" s="608"/>
      <c r="K471" s="599">
        <f t="shared" si="79"/>
        <v>1</v>
      </c>
      <c r="L471" s="608"/>
      <c r="M471" s="599">
        <f t="shared" si="80"/>
        <v>1</v>
      </c>
      <c r="N471" s="608"/>
      <c r="O471" s="599">
        <f t="shared" si="81"/>
        <v>1</v>
      </c>
      <c r="P471" s="608"/>
      <c r="Q471" s="599">
        <f t="shared" si="82"/>
        <v>1</v>
      </c>
      <c r="R471" s="659">
        <f t="shared" si="83"/>
        <v>0</v>
      </c>
      <c r="S471" s="598">
        <f t="shared" si="85"/>
        <v>0</v>
      </c>
    </row>
    <row r="472" spans="1:19">
      <c r="A472" s="606"/>
      <c r="B472" s="607"/>
      <c r="C472" s="599">
        <f t="shared" si="75"/>
        <v>1</v>
      </c>
      <c r="D472" s="608"/>
      <c r="E472" s="599">
        <f t="shared" si="76"/>
        <v>0</v>
      </c>
      <c r="F472" s="608"/>
      <c r="G472" s="599">
        <f t="shared" si="77"/>
        <v>1</v>
      </c>
      <c r="H472" s="608"/>
      <c r="I472" s="599">
        <f t="shared" si="78"/>
        <v>1</v>
      </c>
      <c r="J472" s="608"/>
      <c r="K472" s="599">
        <f t="shared" si="79"/>
        <v>1</v>
      </c>
      <c r="L472" s="608"/>
      <c r="M472" s="599">
        <f t="shared" si="80"/>
        <v>1</v>
      </c>
      <c r="N472" s="608"/>
      <c r="O472" s="599">
        <f t="shared" si="81"/>
        <v>1</v>
      </c>
      <c r="P472" s="608"/>
      <c r="Q472" s="599">
        <f t="shared" si="82"/>
        <v>1</v>
      </c>
      <c r="R472" s="659">
        <f t="shared" si="83"/>
        <v>0</v>
      </c>
      <c r="S472" s="598">
        <f t="shared" si="85"/>
        <v>0</v>
      </c>
    </row>
    <row r="473" spans="1:19">
      <c r="A473" s="606"/>
      <c r="B473" s="607"/>
      <c r="C473" s="599">
        <f t="shared" si="75"/>
        <v>1</v>
      </c>
      <c r="D473" s="608"/>
      <c r="E473" s="599">
        <f t="shared" si="76"/>
        <v>0</v>
      </c>
      <c r="F473" s="608"/>
      <c r="G473" s="599">
        <f t="shared" si="77"/>
        <v>1</v>
      </c>
      <c r="H473" s="608"/>
      <c r="I473" s="599">
        <f t="shared" si="78"/>
        <v>1</v>
      </c>
      <c r="J473" s="608"/>
      <c r="K473" s="599">
        <f t="shared" si="79"/>
        <v>1</v>
      </c>
      <c r="L473" s="608"/>
      <c r="M473" s="599">
        <f t="shared" si="80"/>
        <v>1</v>
      </c>
      <c r="N473" s="608"/>
      <c r="O473" s="599">
        <f t="shared" si="81"/>
        <v>1</v>
      </c>
      <c r="P473" s="608"/>
      <c r="Q473" s="599">
        <f t="shared" si="82"/>
        <v>1</v>
      </c>
      <c r="R473" s="659">
        <f t="shared" si="83"/>
        <v>0</v>
      </c>
      <c r="S473" s="598">
        <f t="shared" si="85"/>
        <v>0</v>
      </c>
    </row>
    <row r="474" spans="1:19">
      <c r="A474" s="606"/>
      <c r="B474" s="607"/>
      <c r="C474" s="599">
        <f t="shared" ref="C474:C524" si="86">IF(B474="",1,(LOOKUP(B474,$3:$3,$4:$4)-LOOKUP($B$24,$3:$3,$4:$4)+100)/100)</f>
        <v>1</v>
      </c>
      <c r="D474" s="608"/>
      <c r="E474" s="599">
        <f t="shared" ref="E474:E524" si="87">(SUMIF($5:$5,D474,$6:$6)-SUMIF($5:$5,$D$24,$6:$6)+100)/100</f>
        <v>0</v>
      </c>
      <c r="F474" s="608"/>
      <c r="G474" s="599">
        <f t="shared" ref="G474:G524" si="88">(SUMIF($7:$7,F474,$8:$8)-SUMIF($7:$7,$F$24,$8:$8)+100)/100</f>
        <v>1</v>
      </c>
      <c r="H474" s="608"/>
      <c r="I474" s="599">
        <f t="shared" ref="I474:I524" si="89">(SUMIF($9:$9,H474,$10:$10)-SUMIF($9:$9,$H$24,$10:$10)+100)/100</f>
        <v>1</v>
      </c>
      <c r="J474" s="608"/>
      <c r="K474" s="599">
        <f t="shared" ref="K474:K524" si="90">(SUMIF($11:$11,J474,$12:$12)-SUMIF($11:$11,$J$24,$12:$12)+100)/100</f>
        <v>1</v>
      </c>
      <c r="L474" s="608"/>
      <c r="M474" s="599">
        <f t="shared" ref="M474:M524" si="91">(SUMIF($13:$13,L474,$14:$14)-SUMIF($13:$13,$L$24,$14:$14)+100)/100</f>
        <v>1</v>
      </c>
      <c r="N474" s="608"/>
      <c r="O474" s="599">
        <f t="shared" ref="O474:O524" si="92">(SUMIF($15:$15,N474,$16:$16)-SUMIF($15:$15,$N$24,$16:$16)+100)/100</f>
        <v>1</v>
      </c>
      <c r="P474" s="608"/>
      <c r="Q474" s="599">
        <f t="shared" ref="Q474:Q524" si="93">(SUMIF($17:$17,P474,$18:$18)-SUMIF($17:$17,$P$24,$18:$18)+100)/100</f>
        <v>1</v>
      </c>
      <c r="R474" s="659">
        <f t="shared" ref="R474:R524" si="94">IF(B474="",0,ROUND($R$24*C474*E474*G474*I474*K474*M474*O474*Q474,0))</f>
        <v>0</v>
      </c>
      <c r="S474" s="598">
        <f t="shared" si="85"/>
        <v>0</v>
      </c>
    </row>
    <row r="475" spans="1:19">
      <c r="A475" s="606"/>
      <c r="B475" s="607"/>
      <c r="C475" s="599">
        <f t="shared" si="86"/>
        <v>1</v>
      </c>
      <c r="D475" s="608"/>
      <c r="E475" s="599">
        <f t="shared" si="87"/>
        <v>0</v>
      </c>
      <c r="F475" s="608"/>
      <c r="G475" s="599">
        <f t="shared" si="88"/>
        <v>1</v>
      </c>
      <c r="H475" s="608"/>
      <c r="I475" s="599">
        <f t="shared" si="89"/>
        <v>1</v>
      </c>
      <c r="J475" s="608"/>
      <c r="K475" s="599">
        <f t="shared" si="90"/>
        <v>1</v>
      </c>
      <c r="L475" s="608"/>
      <c r="M475" s="599">
        <f t="shared" si="91"/>
        <v>1</v>
      </c>
      <c r="N475" s="608"/>
      <c r="O475" s="599">
        <f t="shared" si="92"/>
        <v>1</v>
      </c>
      <c r="P475" s="608"/>
      <c r="Q475" s="599">
        <f t="shared" si="93"/>
        <v>1</v>
      </c>
      <c r="R475" s="659">
        <f t="shared" si="94"/>
        <v>0</v>
      </c>
      <c r="S475" s="598">
        <f t="shared" si="85"/>
        <v>0</v>
      </c>
    </row>
    <row r="476" spans="1:19">
      <c r="A476" s="606"/>
      <c r="B476" s="607"/>
      <c r="C476" s="599">
        <f t="shared" si="86"/>
        <v>1</v>
      </c>
      <c r="D476" s="608"/>
      <c r="E476" s="599">
        <f t="shared" si="87"/>
        <v>0</v>
      </c>
      <c r="F476" s="608"/>
      <c r="G476" s="599">
        <f t="shared" si="88"/>
        <v>1</v>
      </c>
      <c r="H476" s="608"/>
      <c r="I476" s="599">
        <f t="shared" si="89"/>
        <v>1</v>
      </c>
      <c r="J476" s="608"/>
      <c r="K476" s="599">
        <f t="shared" si="90"/>
        <v>1</v>
      </c>
      <c r="L476" s="608"/>
      <c r="M476" s="599">
        <f t="shared" si="91"/>
        <v>1</v>
      </c>
      <c r="N476" s="608"/>
      <c r="O476" s="599">
        <f t="shared" si="92"/>
        <v>1</v>
      </c>
      <c r="P476" s="608"/>
      <c r="Q476" s="599">
        <f t="shared" si="93"/>
        <v>1</v>
      </c>
      <c r="R476" s="659">
        <f t="shared" si="94"/>
        <v>0</v>
      </c>
      <c r="S476" s="598">
        <f t="shared" si="85"/>
        <v>0</v>
      </c>
    </row>
    <row r="477" spans="1:19">
      <c r="A477" s="606"/>
      <c r="B477" s="607"/>
      <c r="C477" s="599">
        <f t="shared" si="86"/>
        <v>1</v>
      </c>
      <c r="D477" s="608"/>
      <c r="E477" s="599">
        <f t="shared" si="87"/>
        <v>0</v>
      </c>
      <c r="F477" s="608"/>
      <c r="G477" s="599">
        <f t="shared" si="88"/>
        <v>1</v>
      </c>
      <c r="H477" s="608"/>
      <c r="I477" s="599">
        <f t="shared" si="89"/>
        <v>1</v>
      </c>
      <c r="J477" s="608"/>
      <c r="K477" s="599">
        <f t="shared" si="90"/>
        <v>1</v>
      </c>
      <c r="L477" s="608"/>
      <c r="M477" s="599">
        <f t="shared" si="91"/>
        <v>1</v>
      </c>
      <c r="N477" s="608"/>
      <c r="O477" s="599">
        <f t="shared" si="92"/>
        <v>1</v>
      </c>
      <c r="P477" s="608"/>
      <c r="Q477" s="599">
        <f t="shared" si="93"/>
        <v>1</v>
      </c>
      <c r="R477" s="659">
        <f t="shared" si="94"/>
        <v>0</v>
      </c>
      <c r="S477" s="598">
        <f t="shared" si="85"/>
        <v>0</v>
      </c>
    </row>
    <row r="478" spans="1:19">
      <c r="A478" s="606"/>
      <c r="B478" s="607"/>
      <c r="C478" s="599">
        <f t="shared" si="86"/>
        <v>1</v>
      </c>
      <c r="D478" s="608"/>
      <c r="E478" s="599">
        <f t="shared" si="87"/>
        <v>0</v>
      </c>
      <c r="F478" s="608"/>
      <c r="G478" s="599">
        <f t="shared" si="88"/>
        <v>1</v>
      </c>
      <c r="H478" s="608"/>
      <c r="I478" s="599">
        <f t="shared" si="89"/>
        <v>1</v>
      </c>
      <c r="J478" s="608"/>
      <c r="K478" s="599">
        <f t="shared" si="90"/>
        <v>1</v>
      </c>
      <c r="L478" s="608"/>
      <c r="M478" s="599">
        <f t="shared" si="91"/>
        <v>1</v>
      </c>
      <c r="N478" s="608"/>
      <c r="O478" s="599">
        <f t="shared" si="92"/>
        <v>1</v>
      </c>
      <c r="P478" s="608"/>
      <c r="Q478" s="599">
        <f t="shared" si="93"/>
        <v>1</v>
      </c>
      <c r="R478" s="659">
        <f t="shared" si="94"/>
        <v>0</v>
      </c>
      <c r="S478" s="598">
        <f t="shared" si="85"/>
        <v>0</v>
      </c>
    </row>
    <row r="479" spans="1:19">
      <c r="A479" s="606"/>
      <c r="B479" s="607"/>
      <c r="C479" s="599">
        <f t="shared" si="86"/>
        <v>1</v>
      </c>
      <c r="D479" s="608"/>
      <c r="E479" s="599">
        <f t="shared" si="87"/>
        <v>0</v>
      </c>
      <c r="F479" s="608"/>
      <c r="G479" s="599">
        <f t="shared" si="88"/>
        <v>1</v>
      </c>
      <c r="H479" s="608"/>
      <c r="I479" s="599">
        <f t="shared" si="89"/>
        <v>1</v>
      </c>
      <c r="J479" s="608"/>
      <c r="K479" s="599">
        <f t="shared" si="90"/>
        <v>1</v>
      </c>
      <c r="L479" s="608"/>
      <c r="M479" s="599">
        <f t="shared" si="91"/>
        <v>1</v>
      </c>
      <c r="N479" s="608"/>
      <c r="O479" s="599">
        <f t="shared" si="92"/>
        <v>1</v>
      </c>
      <c r="P479" s="608"/>
      <c r="Q479" s="599">
        <f t="shared" si="93"/>
        <v>1</v>
      </c>
      <c r="R479" s="659">
        <f t="shared" si="94"/>
        <v>0</v>
      </c>
      <c r="S479" s="598">
        <f t="shared" si="85"/>
        <v>0</v>
      </c>
    </row>
    <row r="480" spans="1:19">
      <c r="A480" s="606"/>
      <c r="B480" s="607"/>
      <c r="C480" s="599">
        <f t="shared" si="86"/>
        <v>1</v>
      </c>
      <c r="D480" s="608"/>
      <c r="E480" s="599">
        <f t="shared" si="87"/>
        <v>0</v>
      </c>
      <c r="F480" s="608"/>
      <c r="G480" s="599">
        <f t="shared" si="88"/>
        <v>1</v>
      </c>
      <c r="H480" s="608"/>
      <c r="I480" s="599">
        <f t="shared" si="89"/>
        <v>1</v>
      </c>
      <c r="J480" s="608"/>
      <c r="K480" s="599">
        <f t="shared" si="90"/>
        <v>1</v>
      </c>
      <c r="L480" s="608"/>
      <c r="M480" s="599">
        <f t="shared" si="91"/>
        <v>1</v>
      </c>
      <c r="N480" s="608"/>
      <c r="O480" s="599">
        <f t="shared" si="92"/>
        <v>1</v>
      </c>
      <c r="P480" s="608"/>
      <c r="Q480" s="599">
        <f t="shared" si="93"/>
        <v>1</v>
      </c>
      <c r="R480" s="659">
        <f t="shared" si="94"/>
        <v>0</v>
      </c>
      <c r="S480" s="598">
        <f t="shared" si="85"/>
        <v>0</v>
      </c>
    </row>
    <row r="481" spans="1:19">
      <c r="A481" s="606"/>
      <c r="B481" s="607"/>
      <c r="C481" s="599">
        <f t="shared" si="86"/>
        <v>1</v>
      </c>
      <c r="D481" s="608"/>
      <c r="E481" s="599">
        <f t="shared" si="87"/>
        <v>0</v>
      </c>
      <c r="F481" s="608"/>
      <c r="G481" s="599">
        <f t="shared" si="88"/>
        <v>1</v>
      </c>
      <c r="H481" s="608"/>
      <c r="I481" s="599">
        <f t="shared" si="89"/>
        <v>1</v>
      </c>
      <c r="J481" s="608"/>
      <c r="K481" s="599">
        <f t="shared" si="90"/>
        <v>1</v>
      </c>
      <c r="L481" s="608"/>
      <c r="M481" s="599">
        <f t="shared" si="91"/>
        <v>1</v>
      </c>
      <c r="N481" s="608"/>
      <c r="O481" s="599">
        <f t="shared" si="92"/>
        <v>1</v>
      </c>
      <c r="P481" s="608"/>
      <c r="Q481" s="599">
        <f t="shared" si="93"/>
        <v>1</v>
      </c>
      <c r="R481" s="659">
        <f t="shared" si="94"/>
        <v>0</v>
      </c>
      <c r="S481" s="598">
        <f t="shared" si="85"/>
        <v>0</v>
      </c>
    </row>
    <row r="482" spans="1:19">
      <c r="A482" s="606"/>
      <c r="B482" s="607"/>
      <c r="C482" s="599">
        <f t="shared" si="86"/>
        <v>1</v>
      </c>
      <c r="D482" s="608"/>
      <c r="E482" s="599">
        <f t="shared" si="87"/>
        <v>0</v>
      </c>
      <c r="F482" s="608"/>
      <c r="G482" s="599">
        <f t="shared" si="88"/>
        <v>1</v>
      </c>
      <c r="H482" s="608"/>
      <c r="I482" s="599">
        <f t="shared" si="89"/>
        <v>1</v>
      </c>
      <c r="J482" s="608"/>
      <c r="K482" s="599">
        <f t="shared" si="90"/>
        <v>1</v>
      </c>
      <c r="L482" s="608"/>
      <c r="M482" s="599">
        <f t="shared" si="91"/>
        <v>1</v>
      </c>
      <c r="N482" s="608"/>
      <c r="O482" s="599">
        <f t="shared" si="92"/>
        <v>1</v>
      </c>
      <c r="P482" s="608"/>
      <c r="Q482" s="599">
        <f t="shared" si="93"/>
        <v>1</v>
      </c>
      <c r="R482" s="659">
        <f t="shared" si="94"/>
        <v>0</v>
      </c>
      <c r="S482" s="598">
        <f t="shared" si="85"/>
        <v>0</v>
      </c>
    </row>
    <row r="483" spans="1:19">
      <c r="A483" s="606"/>
      <c r="B483" s="607"/>
      <c r="C483" s="599">
        <f t="shared" si="86"/>
        <v>1</v>
      </c>
      <c r="D483" s="608"/>
      <c r="E483" s="599">
        <f t="shared" si="87"/>
        <v>0</v>
      </c>
      <c r="F483" s="608"/>
      <c r="G483" s="599">
        <f t="shared" si="88"/>
        <v>1</v>
      </c>
      <c r="H483" s="608"/>
      <c r="I483" s="599">
        <f t="shared" si="89"/>
        <v>1</v>
      </c>
      <c r="J483" s="608"/>
      <c r="K483" s="599">
        <f t="shared" si="90"/>
        <v>1</v>
      </c>
      <c r="L483" s="608"/>
      <c r="M483" s="599">
        <f t="shared" si="91"/>
        <v>1</v>
      </c>
      <c r="N483" s="608"/>
      <c r="O483" s="599">
        <f t="shared" si="92"/>
        <v>1</v>
      </c>
      <c r="P483" s="608"/>
      <c r="Q483" s="599">
        <f t="shared" si="93"/>
        <v>1</v>
      </c>
      <c r="R483" s="659">
        <f t="shared" si="94"/>
        <v>0</v>
      </c>
      <c r="S483" s="598">
        <f t="shared" si="85"/>
        <v>0</v>
      </c>
    </row>
    <row r="484" spans="1:19">
      <c r="A484" s="606"/>
      <c r="B484" s="607"/>
      <c r="C484" s="599">
        <f t="shared" si="86"/>
        <v>1</v>
      </c>
      <c r="D484" s="608"/>
      <c r="E484" s="599">
        <f t="shared" si="87"/>
        <v>0</v>
      </c>
      <c r="F484" s="608"/>
      <c r="G484" s="599">
        <f t="shared" si="88"/>
        <v>1</v>
      </c>
      <c r="H484" s="608"/>
      <c r="I484" s="599">
        <f t="shared" si="89"/>
        <v>1</v>
      </c>
      <c r="J484" s="608"/>
      <c r="K484" s="599">
        <f t="shared" si="90"/>
        <v>1</v>
      </c>
      <c r="L484" s="608"/>
      <c r="M484" s="599">
        <f t="shared" si="91"/>
        <v>1</v>
      </c>
      <c r="N484" s="608"/>
      <c r="O484" s="599">
        <f t="shared" si="92"/>
        <v>1</v>
      </c>
      <c r="P484" s="608"/>
      <c r="Q484" s="599">
        <f t="shared" si="93"/>
        <v>1</v>
      </c>
      <c r="R484" s="659">
        <f t="shared" si="94"/>
        <v>0</v>
      </c>
      <c r="S484" s="598">
        <f t="shared" si="85"/>
        <v>0</v>
      </c>
    </row>
    <row r="485" spans="1:19">
      <c r="A485" s="606"/>
      <c r="B485" s="607"/>
      <c r="C485" s="599">
        <f t="shared" si="86"/>
        <v>1</v>
      </c>
      <c r="D485" s="608"/>
      <c r="E485" s="599">
        <f t="shared" si="87"/>
        <v>0</v>
      </c>
      <c r="F485" s="608"/>
      <c r="G485" s="599">
        <f t="shared" si="88"/>
        <v>1</v>
      </c>
      <c r="H485" s="608"/>
      <c r="I485" s="599">
        <f t="shared" si="89"/>
        <v>1</v>
      </c>
      <c r="J485" s="608"/>
      <c r="K485" s="599">
        <f t="shared" si="90"/>
        <v>1</v>
      </c>
      <c r="L485" s="608"/>
      <c r="M485" s="599">
        <f t="shared" si="91"/>
        <v>1</v>
      </c>
      <c r="N485" s="608"/>
      <c r="O485" s="599">
        <f t="shared" si="92"/>
        <v>1</v>
      </c>
      <c r="P485" s="608"/>
      <c r="Q485" s="599">
        <f t="shared" si="93"/>
        <v>1</v>
      </c>
      <c r="R485" s="659">
        <f t="shared" si="94"/>
        <v>0</v>
      </c>
      <c r="S485" s="598">
        <f t="shared" si="85"/>
        <v>0</v>
      </c>
    </row>
    <row r="486" spans="1:19">
      <c r="A486" s="606"/>
      <c r="B486" s="607"/>
      <c r="C486" s="599">
        <f t="shared" si="86"/>
        <v>1</v>
      </c>
      <c r="D486" s="608"/>
      <c r="E486" s="599">
        <f t="shared" si="87"/>
        <v>0</v>
      </c>
      <c r="F486" s="608"/>
      <c r="G486" s="599">
        <f t="shared" si="88"/>
        <v>1</v>
      </c>
      <c r="H486" s="608"/>
      <c r="I486" s="599">
        <f t="shared" si="89"/>
        <v>1</v>
      </c>
      <c r="J486" s="608"/>
      <c r="K486" s="599">
        <f t="shared" si="90"/>
        <v>1</v>
      </c>
      <c r="L486" s="608"/>
      <c r="M486" s="599">
        <f t="shared" si="91"/>
        <v>1</v>
      </c>
      <c r="N486" s="608"/>
      <c r="O486" s="599">
        <f t="shared" si="92"/>
        <v>1</v>
      </c>
      <c r="P486" s="608"/>
      <c r="Q486" s="599">
        <f t="shared" si="93"/>
        <v>1</v>
      </c>
      <c r="R486" s="659">
        <f t="shared" si="94"/>
        <v>0</v>
      </c>
      <c r="S486" s="598">
        <f t="shared" si="85"/>
        <v>0</v>
      </c>
    </row>
    <row r="487" spans="1:19">
      <c r="A487" s="606"/>
      <c r="B487" s="607"/>
      <c r="C487" s="599">
        <f t="shared" si="86"/>
        <v>1</v>
      </c>
      <c r="D487" s="608"/>
      <c r="E487" s="599">
        <f t="shared" si="87"/>
        <v>0</v>
      </c>
      <c r="F487" s="608"/>
      <c r="G487" s="599">
        <f t="shared" si="88"/>
        <v>1</v>
      </c>
      <c r="H487" s="608"/>
      <c r="I487" s="599">
        <f t="shared" si="89"/>
        <v>1</v>
      </c>
      <c r="J487" s="608"/>
      <c r="K487" s="599">
        <f t="shared" si="90"/>
        <v>1</v>
      </c>
      <c r="L487" s="608"/>
      <c r="M487" s="599">
        <f t="shared" si="91"/>
        <v>1</v>
      </c>
      <c r="N487" s="608"/>
      <c r="O487" s="599">
        <f t="shared" si="92"/>
        <v>1</v>
      </c>
      <c r="P487" s="608"/>
      <c r="Q487" s="599">
        <f t="shared" si="93"/>
        <v>1</v>
      </c>
      <c r="R487" s="659">
        <f t="shared" si="94"/>
        <v>0</v>
      </c>
      <c r="S487" s="598">
        <f t="shared" si="85"/>
        <v>0</v>
      </c>
    </row>
    <row r="488" spans="1:19">
      <c r="A488" s="606"/>
      <c r="B488" s="607"/>
      <c r="C488" s="599">
        <f t="shared" si="86"/>
        <v>1</v>
      </c>
      <c r="D488" s="608"/>
      <c r="E488" s="599">
        <f t="shared" si="87"/>
        <v>0</v>
      </c>
      <c r="F488" s="608"/>
      <c r="G488" s="599">
        <f t="shared" si="88"/>
        <v>1</v>
      </c>
      <c r="H488" s="608"/>
      <c r="I488" s="599">
        <f t="shared" si="89"/>
        <v>1</v>
      </c>
      <c r="J488" s="608"/>
      <c r="K488" s="599">
        <f t="shared" si="90"/>
        <v>1</v>
      </c>
      <c r="L488" s="608"/>
      <c r="M488" s="599">
        <f t="shared" si="91"/>
        <v>1</v>
      </c>
      <c r="N488" s="608"/>
      <c r="O488" s="599">
        <f t="shared" si="92"/>
        <v>1</v>
      </c>
      <c r="P488" s="608"/>
      <c r="Q488" s="599">
        <f t="shared" si="93"/>
        <v>1</v>
      </c>
      <c r="R488" s="659">
        <f t="shared" si="94"/>
        <v>0</v>
      </c>
      <c r="S488" s="598">
        <f t="shared" si="85"/>
        <v>0</v>
      </c>
    </row>
    <row r="489" spans="1:19">
      <c r="A489" s="606"/>
      <c r="B489" s="607"/>
      <c r="C489" s="599">
        <f t="shared" si="86"/>
        <v>1</v>
      </c>
      <c r="D489" s="608"/>
      <c r="E489" s="599">
        <f t="shared" si="87"/>
        <v>0</v>
      </c>
      <c r="F489" s="608"/>
      <c r="G489" s="599">
        <f t="shared" si="88"/>
        <v>1</v>
      </c>
      <c r="H489" s="608"/>
      <c r="I489" s="599">
        <f t="shared" si="89"/>
        <v>1</v>
      </c>
      <c r="J489" s="608"/>
      <c r="K489" s="599">
        <f t="shared" si="90"/>
        <v>1</v>
      </c>
      <c r="L489" s="608"/>
      <c r="M489" s="599">
        <f t="shared" si="91"/>
        <v>1</v>
      </c>
      <c r="N489" s="608"/>
      <c r="O489" s="599">
        <f t="shared" si="92"/>
        <v>1</v>
      </c>
      <c r="P489" s="608"/>
      <c r="Q489" s="599">
        <f t="shared" si="93"/>
        <v>1</v>
      </c>
      <c r="R489" s="659">
        <f t="shared" si="94"/>
        <v>0</v>
      </c>
      <c r="S489" s="598">
        <f t="shared" si="85"/>
        <v>0</v>
      </c>
    </row>
    <row r="490" spans="1:19">
      <c r="A490" s="606"/>
      <c r="B490" s="607"/>
      <c r="C490" s="599">
        <f t="shared" si="86"/>
        <v>1</v>
      </c>
      <c r="D490" s="608"/>
      <c r="E490" s="599">
        <f t="shared" si="87"/>
        <v>0</v>
      </c>
      <c r="F490" s="608"/>
      <c r="G490" s="599">
        <f t="shared" si="88"/>
        <v>1</v>
      </c>
      <c r="H490" s="608"/>
      <c r="I490" s="599">
        <f t="shared" si="89"/>
        <v>1</v>
      </c>
      <c r="J490" s="608"/>
      <c r="K490" s="599">
        <f t="shared" si="90"/>
        <v>1</v>
      </c>
      <c r="L490" s="608"/>
      <c r="M490" s="599">
        <f t="shared" si="91"/>
        <v>1</v>
      </c>
      <c r="N490" s="608"/>
      <c r="O490" s="599">
        <f t="shared" si="92"/>
        <v>1</v>
      </c>
      <c r="P490" s="608"/>
      <c r="Q490" s="599">
        <f t="shared" si="93"/>
        <v>1</v>
      </c>
      <c r="R490" s="659">
        <f t="shared" si="94"/>
        <v>0</v>
      </c>
      <c r="S490" s="598">
        <f t="shared" si="85"/>
        <v>0</v>
      </c>
    </row>
    <row r="491" spans="1:19">
      <c r="A491" s="606"/>
      <c r="B491" s="607"/>
      <c r="C491" s="599">
        <f t="shared" si="86"/>
        <v>1</v>
      </c>
      <c r="D491" s="608"/>
      <c r="E491" s="599">
        <f t="shared" si="87"/>
        <v>0</v>
      </c>
      <c r="F491" s="608"/>
      <c r="G491" s="599">
        <f t="shared" si="88"/>
        <v>1</v>
      </c>
      <c r="H491" s="608"/>
      <c r="I491" s="599">
        <f t="shared" si="89"/>
        <v>1</v>
      </c>
      <c r="J491" s="608"/>
      <c r="K491" s="599">
        <f t="shared" si="90"/>
        <v>1</v>
      </c>
      <c r="L491" s="608"/>
      <c r="M491" s="599">
        <f t="shared" si="91"/>
        <v>1</v>
      </c>
      <c r="N491" s="608"/>
      <c r="O491" s="599">
        <f t="shared" si="92"/>
        <v>1</v>
      </c>
      <c r="P491" s="608"/>
      <c r="Q491" s="599">
        <f t="shared" si="93"/>
        <v>1</v>
      </c>
      <c r="R491" s="659">
        <f t="shared" si="94"/>
        <v>0</v>
      </c>
      <c r="S491" s="598">
        <f t="shared" si="85"/>
        <v>0</v>
      </c>
    </row>
    <row r="492" spans="1:19">
      <c r="A492" s="606"/>
      <c r="B492" s="607"/>
      <c r="C492" s="599">
        <f t="shared" si="86"/>
        <v>1</v>
      </c>
      <c r="D492" s="608"/>
      <c r="E492" s="599">
        <f t="shared" si="87"/>
        <v>0</v>
      </c>
      <c r="F492" s="608"/>
      <c r="G492" s="599">
        <f t="shared" si="88"/>
        <v>1</v>
      </c>
      <c r="H492" s="608"/>
      <c r="I492" s="599">
        <f t="shared" si="89"/>
        <v>1</v>
      </c>
      <c r="J492" s="608"/>
      <c r="K492" s="599">
        <f t="shared" si="90"/>
        <v>1</v>
      </c>
      <c r="L492" s="608"/>
      <c r="M492" s="599">
        <f t="shared" si="91"/>
        <v>1</v>
      </c>
      <c r="N492" s="608"/>
      <c r="O492" s="599">
        <f t="shared" si="92"/>
        <v>1</v>
      </c>
      <c r="P492" s="608"/>
      <c r="Q492" s="599">
        <f t="shared" si="93"/>
        <v>1</v>
      </c>
      <c r="R492" s="659">
        <f t="shared" si="94"/>
        <v>0</v>
      </c>
      <c r="S492" s="598">
        <f t="shared" si="85"/>
        <v>0</v>
      </c>
    </row>
    <row r="493" spans="1:19">
      <c r="A493" s="606"/>
      <c r="B493" s="607"/>
      <c r="C493" s="599">
        <f t="shared" si="86"/>
        <v>1</v>
      </c>
      <c r="D493" s="608"/>
      <c r="E493" s="599">
        <f t="shared" si="87"/>
        <v>0</v>
      </c>
      <c r="F493" s="608"/>
      <c r="G493" s="599">
        <f t="shared" si="88"/>
        <v>1</v>
      </c>
      <c r="H493" s="608"/>
      <c r="I493" s="599">
        <f t="shared" si="89"/>
        <v>1</v>
      </c>
      <c r="J493" s="608"/>
      <c r="K493" s="599">
        <f t="shared" si="90"/>
        <v>1</v>
      </c>
      <c r="L493" s="608"/>
      <c r="M493" s="599">
        <f t="shared" si="91"/>
        <v>1</v>
      </c>
      <c r="N493" s="608"/>
      <c r="O493" s="599">
        <f t="shared" si="92"/>
        <v>1</v>
      </c>
      <c r="P493" s="608"/>
      <c r="Q493" s="599">
        <f t="shared" si="93"/>
        <v>1</v>
      </c>
      <c r="R493" s="659">
        <f t="shared" si="94"/>
        <v>0</v>
      </c>
      <c r="S493" s="598">
        <f t="shared" si="85"/>
        <v>0</v>
      </c>
    </row>
    <row r="494" spans="1:19">
      <c r="A494" s="606"/>
      <c r="B494" s="607"/>
      <c r="C494" s="599">
        <f t="shared" si="86"/>
        <v>1</v>
      </c>
      <c r="D494" s="608"/>
      <c r="E494" s="599">
        <f t="shared" si="87"/>
        <v>0</v>
      </c>
      <c r="F494" s="608"/>
      <c r="G494" s="599">
        <f t="shared" si="88"/>
        <v>1</v>
      </c>
      <c r="H494" s="608"/>
      <c r="I494" s="599">
        <f t="shared" si="89"/>
        <v>1</v>
      </c>
      <c r="J494" s="608"/>
      <c r="K494" s="599">
        <f t="shared" si="90"/>
        <v>1</v>
      </c>
      <c r="L494" s="608"/>
      <c r="M494" s="599">
        <f t="shared" si="91"/>
        <v>1</v>
      </c>
      <c r="N494" s="608"/>
      <c r="O494" s="599">
        <f t="shared" si="92"/>
        <v>1</v>
      </c>
      <c r="P494" s="608"/>
      <c r="Q494" s="599">
        <f t="shared" si="93"/>
        <v>1</v>
      </c>
      <c r="R494" s="659">
        <f t="shared" si="94"/>
        <v>0</v>
      </c>
      <c r="S494" s="598">
        <f t="shared" si="85"/>
        <v>0</v>
      </c>
    </row>
    <row r="495" spans="1:19">
      <c r="A495" s="606"/>
      <c r="B495" s="607"/>
      <c r="C495" s="599">
        <f t="shared" si="86"/>
        <v>1</v>
      </c>
      <c r="D495" s="608"/>
      <c r="E495" s="599">
        <f t="shared" si="87"/>
        <v>0</v>
      </c>
      <c r="F495" s="608"/>
      <c r="G495" s="599">
        <f t="shared" si="88"/>
        <v>1</v>
      </c>
      <c r="H495" s="608"/>
      <c r="I495" s="599">
        <f t="shared" si="89"/>
        <v>1</v>
      </c>
      <c r="J495" s="608"/>
      <c r="K495" s="599">
        <f t="shared" si="90"/>
        <v>1</v>
      </c>
      <c r="L495" s="608"/>
      <c r="M495" s="599">
        <f t="shared" si="91"/>
        <v>1</v>
      </c>
      <c r="N495" s="608"/>
      <c r="O495" s="599">
        <f t="shared" si="92"/>
        <v>1</v>
      </c>
      <c r="P495" s="608"/>
      <c r="Q495" s="599">
        <f t="shared" si="93"/>
        <v>1</v>
      </c>
      <c r="R495" s="659">
        <f t="shared" si="94"/>
        <v>0</v>
      </c>
      <c r="S495" s="598">
        <f t="shared" si="85"/>
        <v>0</v>
      </c>
    </row>
    <row r="496" spans="1:19">
      <c r="A496" s="606"/>
      <c r="B496" s="607"/>
      <c r="C496" s="599">
        <f t="shared" si="86"/>
        <v>1</v>
      </c>
      <c r="D496" s="608"/>
      <c r="E496" s="599">
        <f t="shared" si="87"/>
        <v>0</v>
      </c>
      <c r="F496" s="608"/>
      <c r="G496" s="599">
        <f t="shared" si="88"/>
        <v>1</v>
      </c>
      <c r="H496" s="608"/>
      <c r="I496" s="599">
        <f t="shared" si="89"/>
        <v>1</v>
      </c>
      <c r="J496" s="608"/>
      <c r="K496" s="599">
        <f t="shared" si="90"/>
        <v>1</v>
      </c>
      <c r="L496" s="608"/>
      <c r="M496" s="599">
        <f t="shared" si="91"/>
        <v>1</v>
      </c>
      <c r="N496" s="608"/>
      <c r="O496" s="599">
        <f t="shared" si="92"/>
        <v>1</v>
      </c>
      <c r="P496" s="608"/>
      <c r="Q496" s="599">
        <f t="shared" si="93"/>
        <v>1</v>
      </c>
      <c r="R496" s="659">
        <f t="shared" si="94"/>
        <v>0</v>
      </c>
      <c r="S496" s="598">
        <f t="shared" si="85"/>
        <v>0</v>
      </c>
    </row>
    <row r="497" spans="1:19">
      <c r="A497" s="606"/>
      <c r="B497" s="607"/>
      <c r="C497" s="599">
        <f t="shared" si="86"/>
        <v>1</v>
      </c>
      <c r="D497" s="608"/>
      <c r="E497" s="599">
        <f t="shared" si="87"/>
        <v>0</v>
      </c>
      <c r="F497" s="608"/>
      <c r="G497" s="599">
        <f t="shared" si="88"/>
        <v>1</v>
      </c>
      <c r="H497" s="608"/>
      <c r="I497" s="599">
        <f t="shared" si="89"/>
        <v>1</v>
      </c>
      <c r="J497" s="608"/>
      <c r="K497" s="599">
        <f t="shared" si="90"/>
        <v>1</v>
      </c>
      <c r="L497" s="608"/>
      <c r="M497" s="599">
        <f t="shared" si="91"/>
        <v>1</v>
      </c>
      <c r="N497" s="608"/>
      <c r="O497" s="599">
        <f t="shared" si="92"/>
        <v>1</v>
      </c>
      <c r="P497" s="608"/>
      <c r="Q497" s="599">
        <f t="shared" si="93"/>
        <v>1</v>
      </c>
      <c r="R497" s="659">
        <f t="shared" si="94"/>
        <v>0</v>
      </c>
      <c r="S497" s="598">
        <f t="shared" si="85"/>
        <v>0</v>
      </c>
    </row>
    <row r="498" spans="1:19">
      <c r="A498" s="606"/>
      <c r="B498" s="607"/>
      <c r="C498" s="599">
        <f t="shared" si="86"/>
        <v>1</v>
      </c>
      <c r="D498" s="608"/>
      <c r="E498" s="599">
        <f t="shared" si="87"/>
        <v>0</v>
      </c>
      <c r="F498" s="608"/>
      <c r="G498" s="599">
        <f t="shared" si="88"/>
        <v>1</v>
      </c>
      <c r="H498" s="608"/>
      <c r="I498" s="599">
        <f t="shared" si="89"/>
        <v>1</v>
      </c>
      <c r="J498" s="608"/>
      <c r="K498" s="599">
        <f t="shared" si="90"/>
        <v>1</v>
      </c>
      <c r="L498" s="608"/>
      <c r="M498" s="599">
        <f t="shared" si="91"/>
        <v>1</v>
      </c>
      <c r="N498" s="608"/>
      <c r="O498" s="599">
        <f t="shared" si="92"/>
        <v>1</v>
      </c>
      <c r="P498" s="608"/>
      <c r="Q498" s="599">
        <f t="shared" si="93"/>
        <v>1</v>
      </c>
      <c r="R498" s="659">
        <f t="shared" si="94"/>
        <v>0</v>
      </c>
      <c r="S498" s="598">
        <f t="shared" ref="S498:S524" si="95">ROUND(R498*B498/10000,0)</f>
        <v>0</v>
      </c>
    </row>
    <row r="499" spans="1:19">
      <c r="A499" s="606"/>
      <c r="B499" s="607"/>
      <c r="C499" s="599">
        <f t="shared" si="86"/>
        <v>1</v>
      </c>
      <c r="D499" s="608"/>
      <c r="E499" s="599">
        <f t="shared" si="87"/>
        <v>0</v>
      </c>
      <c r="F499" s="608"/>
      <c r="G499" s="599">
        <f t="shared" si="88"/>
        <v>1</v>
      </c>
      <c r="H499" s="608"/>
      <c r="I499" s="599">
        <f t="shared" si="89"/>
        <v>1</v>
      </c>
      <c r="J499" s="608"/>
      <c r="K499" s="599">
        <f t="shared" si="90"/>
        <v>1</v>
      </c>
      <c r="L499" s="608"/>
      <c r="M499" s="599">
        <f t="shared" si="91"/>
        <v>1</v>
      </c>
      <c r="N499" s="608"/>
      <c r="O499" s="599">
        <f t="shared" si="92"/>
        <v>1</v>
      </c>
      <c r="P499" s="608"/>
      <c r="Q499" s="599">
        <f t="shared" si="93"/>
        <v>1</v>
      </c>
      <c r="R499" s="659">
        <f t="shared" si="94"/>
        <v>0</v>
      </c>
      <c r="S499" s="598">
        <f t="shared" si="95"/>
        <v>0</v>
      </c>
    </row>
    <row r="500" spans="1:19">
      <c r="A500" s="606"/>
      <c r="B500" s="607"/>
      <c r="C500" s="599">
        <f t="shared" si="86"/>
        <v>1</v>
      </c>
      <c r="D500" s="608"/>
      <c r="E500" s="599">
        <f t="shared" si="87"/>
        <v>0</v>
      </c>
      <c r="F500" s="608"/>
      <c r="G500" s="599">
        <f t="shared" si="88"/>
        <v>1</v>
      </c>
      <c r="H500" s="608"/>
      <c r="I500" s="599">
        <f t="shared" si="89"/>
        <v>1</v>
      </c>
      <c r="J500" s="608"/>
      <c r="K500" s="599">
        <f t="shared" si="90"/>
        <v>1</v>
      </c>
      <c r="L500" s="608"/>
      <c r="M500" s="599">
        <f t="shared" si="91"/>
        <v>1</v>
      </c>
      <c r="N500" s="608"/>
      <c r="O500" s="599">
        <f t="shared" si="92"/>
        <v>1</v>
      </c>
      <c r="P500" s="608"/>
      <c r="Q500" s="599">
        <f t="shared" si="93"/>
        <v>1</v>
      </c>
      <c r="R500" s="659">
        <f t="shared" si="94"/>
        <v>0</v>
      </c>
      <c r="S500" s="598">
        <f t="shared" si="95"/>
        <v>0</v>
      </c>
    </row>
    <row r="501" spans="1:19">
      <c r="A501" s="606"/>
      <c r="B501" s="607"/>
      <c r="C501" s="599">
        <f t="shared" si="86"/>
        <v>1</v>
      </c>
      <c r="D501" s="608"/>
      <c r="E501" s="599">
        <f t="shared" si="87"/>
        <v>0</v>
      </c>
      <c r="F501" s="608"/>
      <c r="G501" s="599">
        <f t="shared" si="88"/>
        <v>1</v>
      </c>
      <c r="H501" s="608"/>
      <c r="I501" s="599">
        <f t="shared" si="89"/>
        <v>1</v>
      </c>
      <c r="J501" s="608"/>
      <c r="K501" s="599">
        <f t="shared" si="90"/>
        <v>1</v>
      </c>
      <c r="L501" s="608"/>
      <c r="M501" s="599">
        <f t="shared" si="91"/>
        <v>1</v>
      </c>
      <c r="N501" s="608"/>
      <c r="O501" s="599">
        <f t="shared" si="92"/>
        <v>1</v>
      </c>
      <c r="P501" s="608"/>
      <c r="Q501" s="599">
        <f t="shared" si="93"/>
        <v>1</v>
      </c>
      <c r="R501" s="659">
        <f t="shared" si="94"/>
        <v>0</v>
      </c>
      <c r="S501" s="598">
        <f t="shared" si="95"/>
        <v>0</v>
      </c>
    </row>
    <row r="502" spans="1:19">
      <c r="A502" s="606"/>
      <c r="B502" s="607"/>
      <c r="C502" s="599">
        <f t="shared" si="86"/>
        <v>1</v>
      </c>
      <c r="D502" s="608"/>
      <c r="E502" s="599">
        <f t="shared" si="87"/>
        <v>0</v>
      </c>
      <c r="F502" s="608"/>
      <c r="G502" s="599">
        <f t="shared" si="88"/>
        <v>1</v>
      </c>
      <c r="H502" s="608"/>
      <c r="I502" s="599">
        <f t="shared" si="89"/>
        <v>1</v>
      </c>
      <c r="J502" s="608"/>
      <c r="K502" s="599">
        <f t="shared" si="90"/>
        <v>1</v>
      </c>
      <c r="L502" s="608"/>
      <c r="M502" s="599">
        <f t="shared" si="91"/>
        <v>1</v>
      </c>
      <c r="N502" s="608"/>
      <c r="O502" s="599">
        <f t="shared" si="92"/>
        <v>1</v>
      </c>
      <c r="P502" s="608"/>
      <c r="Q502" s="599">
        <f t="shared" si="93"/>
        <v>1</v>
      </c>
      <c r="R502" s="659">
        <f t="shared" si="94"/>
        <v>0</v>
      </c>
      <c r="S502" s="598">
        <f t="shared" si="95"/>
        <v>0</v>
      </c>
    </row>
    <row r="503" spans="1:19">
      <c r="A503" s="606"/>
      <c r="B503" s="607"/>
      <c r="C503" s="599">
        <f t="shared" si="86"/>
        <v>1</v>
      </c>
      <c r="D503" s="608"/>
      <c r="E503" s="599">
        <f t="shared" si="87"/>
        <v>0</v>
      </c>
      <c r="F503" s="608"/>
      <c r="G503" s="599">
        <f t="shared" si="88"/>
        <v>1</v>
      </c>
      <c r="H503" s="608"/>
      <c r="I503" s="599">
        <f t="shared" si="89"/>
        <v>1</v>
      </c>
      <c r="J503" s="608"/>
      <c r="K503" s="599">
        <f t="shared" si="90"/>
        <v>1</v>
      </c>
      <c r="L503" s="608"/>
      <c r="M503" s="599">
        <f t="shared" si="91"/>
        <v>1</v>
      </c>
      <c r="N503" s="608"/>
      <c r="O503" s="599">
        <f t="shared" si="92"/>
        <v>1</v>
      </c>
      <c r="P503" s="608"/>
      <c r="Q503" s="599">
        <f t="shared" si="93"/>
        <v>1</v>
      </c>
      <c r="R503" s="659">
        <f t="shared" si="94"/>
        <v>0</v>
      </c>
      <c r="S503" s="598">
        <f t="shared" si="95"/>
        <v>0</v>
      </c>
    </row>
    <row r="504" spans="1:19">
      <c r="A504" s="606"/>
      <c r="B504" s="607"/>
      <c r="C504" s="599">
        <f t="shared" si="86"/>
        <v>1</v>
      </c>
      <c r="D504" s="608"/>
      <c r="E504" s="599">
        <f t="shared" si="87"/>
        <v>0</v>
      </c>
      <c r="F504" s="608"/>
      <c r="G504" s="599">
        <f t="shared" si="88"/>
        <v>1</v>
      </c>
      <c r="H504" s="608"/>
      <c r="I504" s="599">
        <f t="shared" si="89"/>
        <v>1</v>
      </c>
      <c r="J504" s="608"/>
      <c r="K504" s="599">
        <f t="shared" si="90"/>
        <v>1</v>
      </c>
      <c r="L504" s="608"/>
      <c r="M504" s="599">
        <f t="shared" si="91"/>
        <v>1</v>
      </c>
      <c r="N504" s="608"/>
      <c r="O504" s="599">
        <f t="shared" si="92"/>
        <v>1</v>
      </c>
      <c r="P504" s="608"/>
      <c r="Q504" s="599">
        <f t="shared" si="93"/>
        <v>1</v>
      </c>
      <c r="R504" s="659">
        <f t="shared" si="94"/>
        <v>0</v>
      </c>
      <c r="S504" s="598">
        <f t="shared" si="95"/>
        <v>0</v>
      </c>
    </row>
    <row r="505" spans="1:19">
      <c r="A505" s="606"/>
      <c r="B505" s="607"/>
      <c r="C505" s="599">
        <f t="shared" si="86"/>
        <v>1</v>
      </c>
      <c r="D505" s="608"/>
      <c r="E505" s="599">
        <f t="shared" si="87"/>
        <v>0</v>
      </c>
      <c r="F505" s="608"/>
      <c r="G505" s="599">
        <f t="shared" si="88"/>
        <v>1</v>
      </c>
      <c r="H505" s="608"/>
      <c r="I505" s="599">
        <f t="shared" si="89"/>
        <v>1</v>
      </c>
      <c r="J505" s="608"/>
      <c r="K505" s="599">
        <f t="shared" si="90"/>
        <v>1</v>
      </c>
      <c r="L505" s="608"/>
      <c r="M505" s="599">
        <f t="shared" si="91"/>
        <v>1</v>
      </c>
      <c r="N505" s="608"/>
      <c r="O505" s="599">
        <f t="shared" si="92"/>
        <v>1</v>
      </c>
      <c r="P505" s="608"/>
      <c r="Q505" s="599">
        <f t="shared" si="93"/>
        <v>1</v>
      </c>
      <c r="R505" s="659">
        <f t="shared" si="94"/>
        <v>0</v>
      </c>
      <c r="S505" s="598">
        <f t="shared" si="95"/>
        <v>0</v>
      </c>
    </row>
    <row r="506" spans="1:19">
      <c r="A506" s="606"/>
      <c r="B506" s="607"/>
      <c r="C506" s="599">
        <f t="shared" si="86"/>
        <v>1</v>
      </c>
      <c r="D506" s="608"/>
      <c r="E506" s="599">
        <f t="shared" si="87"/>
        <v>0</v>
      </c>
      <c r="F506" s="608"/>
      <c r="G506" s="599">
        <f t="shared" si="88"/>
        <v>1</v>
      </c>
      <c r="H506" s="608"/>
      <c r="I506" s="599">
        <f t="shared" si="89"/>
        <v>1</v>
      </c>
      <c r="J506" s="608"/>
      <c r="K506" s="599">
        <f t="shared" si="90"/>
        <v>1</v>
      </c>
      <c r="L506" s="608"/>
      <c r="M506" s="599">
        <f t="shared" si="91"/>
        <v>1</v>
      </c>
      <c r="N506" s="608"/>
      <c r="O506" s="599">
        <f t="shared" si="92"/>
        <v>1</v>
      </c>
      <c r="P506" s="608"/>
      <c r="Q506" s="599">
        <f t="shared" si="93"/>
        <v>1</v>
      </c>
      <c r="R506" s="659">
        <f t="shared" si="94"/>
        <v>0</v>
      </c>
      <c r="S506" s="598">
        <f t="shared" si="95"/>
        <v>0</v>
      </c>
    </row>
    <row r="507" spans="1:19">
      <c r="A507" s="606"/>
      <c r="B507" s="607"/>
      <c r="C507" s="599">
        <f t="shared" si="86"/>
        <v>1</v>
      </c>
      <c r="D507" s="608"/>
      <c r="E507" s="599">
        <f t="shared" si="87"/>
        <v>0</v>
      </c>
      <c r="F507" s="608"/>
      <c r="G507" s="599">
        <f t="shared" si="88"/>
        <v>1</v>
      </c>
      <c r="H507" s="608"/>
      <c r="I507" s="599">
        <f t="shared" si="89"/>
        <v>1</v>
      </c>
      <c r="J507" s="608"/>
      <c r="K507" s="599">
        <f t="shared" si="90"/>
        <v>1</v>
      </c>
      <c r="L507" s="608"/>
      <c r="M507" s="599">
        <f t="shared" si="91"/>
        <v>1</v>
      </c>
      <c r="N507" s="608"/>
      <c r="O507" s="599">
        <f t="shared" si="92"/>
        <v>1</v>
      </c>
      <c r="P507" s="608"/>
      <c r="Q507" s="599">
        <f t="shared" si="93"/>
        <v>1</v>
      </c>
      <c r="R507" s="659">
        <f t="shared" si="94"/>
        <v>0</v>
      </c>
      <c r="S507" s="598">
        <f t="shared" si="95"/>
        <v>0</v>
      </c>
    </row>
    <row r="508" spans="1:19">
      <c r="A508" s="606"/>
      <c r="B508" s="607"/>
      <c r="C508" s="599">
        <f t="shared" si="86"/>
        <v>1</v>
      </c>
      <c r="D508" s="608"/>
      <c r="E508" s="599">
        <f t="shared" si="87"/>
        <v>0</v>
      </c>
      <c r="F508" s="608"/>
      <c r="G508" s="599">
        <f t="shared" si="88"/>
        <v>1</v>
      </c>
      <c r="H508" s="608"/>
      <c r="I508" s="599">
        <f t="shared" si="89"/>
        <v>1</v>
      </c>
      <c r="J508" s="608"/>
      <c r="K508" s="599">
        <f t="shared" si="90"/>
        <v>1</v>
      </c>
      <c r="L508" s="608"/>
      <c r="M508" s="599">
        <f t="shared" si="91"/>
        <v>1</v>
      </c>
      <c r="N508" s="608"/>
      <c r="O508" s="599">
        <f t="shared" si="92"/>
        <v>1</v>
      </c>
      <c r="P508" s="608"/>
      <c r="Q508" s="599">
        <f t="shared" si="93"/>
        <v>1</v>
      </c>
      <c r="R508" s="659">
        <f t="shared" si="94"/>
        <v>0</v>
      </c>
      <c r="S508" s="598">
        <f t="shared" si="95"/>
        <v>0</v>
      </c>
    </row>
    <row r="509" spans="1:19">
      <c r="A509" s="606"/>
      <c r="B509" s="607"/>
      <c r="C509" s="599">
        <f t="shared" si="86"/>
        <v>1</v>
      </c>
      <c r="D509" s="608"/>
      <c r="E509" s="599">
        <f t="shared" si="87"/>
        <v>0</v>
      </c>
      <c r="F509" s="608"/>
      <c r="G509" s="599">
        <f t="shared" si="88"/>
        <v>1</v>
      </c>
      <c r="H509" s="608"/>
      <c r="I509" s="599">
        <f t="shared" si="89"/>
        <v>1</v>
      </c>
      <c r="J509" s="608"/>
      <c r="K509" s="599">
        <f t="shared" si="90"/>
        <v>1</v>
      </c>
      <c r="L509" s="608"/>
      <c r="M509" s="599">
        <f t="shared" si="91"/>
        <v>1</v>
      </c>
      <c r="N509" s="608"/>
      <c r="O509" s="599">
        <f t="shared" si="92"/>
        <v>1</v>
      </c>
      <c r="P509" s="608"/>
      <c r="Q509" s="599">
        <f t="shared" si="93"/>
        <v>1</v>
      </c>
      <c r="R509" s="659">
        <f t="shared" si="94"/>
        <v>0</v>
      </c>
      <c r="S509" s="598">
        <f t="shared" si="95"/>
        <v>0</v>
      </c>
    </row>
    <row r="510" spans="1:19">
      <c r="A510" s="606"/>
      <c r="B510" s="607"/>
      <c r="C510" s="599">
        <f t="shared" si="86"/>
        <v>1</v>
      </c>
      <c r="D510" s="608"/>
      <c r="E510" s="599">
        <f t="shared" si="87"/>
        <v>0</v>
      </c>
      <c r="F510" s="608"/>
      <c r="G510" s="599">
        <f t="shared" si="88"/>
        <v>1</v>
      </c>
      <c r="H510" s="608"/>
      <c r="I510" s="599">
        <f t="shared" si="89"/>
        <v>1</v>
      </c>
      <c r="J510" s="608"/>
      <c r="K510" s="599">
        <f t="shared" si="90"/>
        <v>1</v>
      </c>
      <c r="L510" s="608"/>
      <c r="M510" s="599">
        <f t="shared" si="91"/>
        <v>1</v>
      </c>
      <c r="N510" s="608"/>
      <c r="O510" s="599">
        <f t="shared" si="92"/>
        <v>1</v>
      </c>
      <c r="P510" s="608"/>
      <c r="Q510" s="599">
        <f t="shared" si="93"/>
        <v>1</v>
      </c>
      <c r="R510" s="659">
        <f t="shared" si="94"/>
        <v>0</v>
      </c>
      <c r="S510" s="598">
        <f t="shared" si="95"/>
        <v>0</v>
      </c>
    </row>
    <row r="511" spans="1:19">
      <c r="A511" s="606"/>
      <c r="B511" s="607"/>
      <c r="C511" s="599">
        <f t="shared" si="86"/>
        <v>1</v>
      </c>
      <c r="D511" s="608"/>
      <c r="E511" s="599">
        <f t="shared" si="87"/>
        <v>0</v>
      </c>
      <c r="F511" s="608"/>
      <c r="G511" s="599">
        <f t="shared" si="88"/>
        <v>1</v>
      </c>
      <c r="H511" s="608"/>
      <c r="I511" s="599">
        <f t="shared" si="89"/>
        <v>1</v>
      </c>
      <c r="J511" s="608"/>
      <c r="K511" s="599">
        <f t="shared" si="90"/>
        <v>1</v>
      </c>
      <c r="L511" s="608"/>
      <c r="M511" s="599">
        <f t="shared" si="91"/>
        <v>1</v>
      </c>
      <c r="N511" s="608"/>
      <c r="O511" s="599">
        <f t="shared" si="92"/>
        <v>1</v>
      </c>
      <c r="P511" s="608"/>
      <c r="Q511" s="599">
        <f t="shared" si="93"/>
        <v>1</v>
      </c>
      <c r="R511" s="659">
        <f t="shared" si="94"/>
        <v>0</v>
      </c>
      <c r="S511" s="598">
        <f t="shared" si="95"/>
        <v>0</v>
      </c>
    </row>
    <row r="512" spans="1:19">
      <c r="A512" s="606"/>
      <c r="B512" s="607"/>
      <c r="C512" s="599">
        <f t="shared" si="86"/>
        <v>1</v>
      </c>
      <c r="D512" s="608"/>
      <c r="E512" s="599">
        <f t="shared" si="87"/>
        <v>0</v>
      </c>
      <c r="F512" s="608"/>
      <c r="G512" s="599">
        <f t="shared" si="88"/>
        <v>1</v>
      </c>
      <c r="H512" s="608"/>
      <c r="I512" s="599">
        <f t="shared" si="89"/>
        <v>1</v>
      </c>
      <c r="J512" s="608"/>
      <c r="K512" s="599">
        <f t="shared" si="90"/>
        <v>1</v>
      </c>
      <c r="L512" s="608"/>
      <c r="M512" s="599">
        <f t="shared" si="91"/>
        <v>1</v>
      </c>
      <c r="N512" s="608"/>
      <c r="O512" s="599">
        <f t="shared" si="92"/>
        <v>1</v>
      </c>
      <c r="P512" s="608"/>
      <c r="Q512" s="599">
        <f t="shared" si="93"/>
        <v>1</v>
      </c>
      <c r="R512" s="659">
        <f t="shared" si="94"/>
        <v>0</v>
      </c>
      <c r="S512" s="598">
        <f t="shared" si="95"/>
        <v>0</v>
      </c>
    </row>
    <row r="513" spans="1:19">
      <c r="A513" s="606"/>
      <c r="B513" s="607"/>
      <c r="C513" s="599">
        <f t="shared" si="86"/>
        <v>1</v>
      </c>
      <c r="D513" s="608"/>
      <c r="E513" s="599">
        <f t="shared" si="87"/>
        <v>0</v>
      </c>
      <c r="F513" s="608"/>
      <c r="G513" s="599">
        <f t="shared" si="88"/>
        <v>1</v>
      </c>
      <c r="H513" s="608"/>
      <c r="I513" s="599">
        <f t="shared" si="89"/>
        <v>1</v>
      </c>
      <c r="J513" s="608"/>
      <c r="K513" s="599">
        <f t="shared" si="90"/>
        <v>1</v>
      </c>
      <c r="L513" s="608"/>
      <c r="M513" s="599">
        <f t="shared" si="91"/>
        <v>1</v>
      </c>
      <c r="N513" s="608"/>
      <c r="O513" s="599">
        <f t="shared" si="92"/>
        <v>1</v>
      </c>
      <c r="P513" s="608"/>
      <c r="Q513" s="599">
        <f t="shared" si="93"/>
        <v>1</v>
      </c>
      <c r="R513" s="659">
        <f t="shared" si="94"/>
        <v>0</v>
      </c>
      <c r="S513" s="598">
        <f t="shared" si="95"/>
        <v>0</v>
      </c>
    </row>
    <row r="514" spans="1:19">
      <c r="A514" s="606"/>
      <c r="B514" s="607"/>
      <c r="C514" s="599">
        <f t="shared" si="86"/>
        <v>1</v>
      </c>
      <c r="D514" s="608"/>
      <c r="E514" s="599">
        <f t="shared" si="87"/>
        <v>0</v>
      </c>
      <c r="F514" s="608"/>
      <c r="G514" s="599">
        <f t="shared" si="88"/>
        <v>1</v>
      </c>
      <c r="H514" s="608"/>
      <c r="I514" s="599">
        <f t="shared" si="89"/>
        <v>1</v>
      </c>
      <c r="J514" s="608"/>
      <c r="K514" s="599">
        <f t="shared" si="90"/>
        <v>1</v>
      </c>
      <c r="L514" s="608"/>
      <c r="M514" s="599">
        <f t="shared" si="91"/>
        <v>1</v>
      </c>
      <c r="N514" s="608"/>
      <c r="O514" s="599">
        <f t="shared" si="92"/>
        <v>1</v>
      </c>
      <c r="P514" s="608"/>
      <c r="Q514" s="599">
        <f t="shared" si="93"/>
        <v>1</v>
      </c>
      <c r="R514" s="659">
        <f t="shared" si="94"/>
        <v>0</v>
      </c>
      <c r="S514" s="598">
        <f t="shared" si="95"/>
        <v>0</v>
      </c>
    </row>
    <row r="515" spans="1:19">
      <c r="A515" s="606"/>
      <c r="B515" s="607"/>
      <c r="C515" s="599">
        <f t="shared" si="86"/>
        <v>1</v>
      </c>
      <c r="D515" s="608"/>
      <c r="E515" s="599">
        <f t="shared" si="87"/>
        <v>0</v>
      </c>
      <c r="F515" s="608"/>
      <c r="G515" s="599">
        <f t="shared" si="88"/>
        <v>1</v>
      </c>
      <c r="H515" s="608"/>
      <c r="I515" s="599">
        <f t="shared" si="89"/>
        <v>1</v>
      </c>
      <c r="J515" s="608"/>
      <c r="K515" s="599">
        <f t="shared" si="90"/>
        <v>1</v>
      </c>
      <c r="L515" s="608"/>
      <c r="M515" s="599">
        <f t="shared" si="91"/>
        <v>1</v>
      </c>
      <c r="N515" s="608"/>
      <c r="O515" s="599">
        <f t="shared" si="92"/>
        <v>1</v>
      </c>
      <c r="P515" s="608"/>
      <c r="Q515" s="599">
        <f t="shared" si="93"/>
        <v>1</v>
      </c>
      <c r="R515" s="659">
        <f t="shared" si="94"/>
        <v>0</v>
      </c>
      <c r="S515" s="598">
        <f t="shared" si="95"/>
        <v>0</v>
      </c>
    </row>
    <row r="516" spans="1:19">
      <c r="A516" s="606"/>
      <c r="B516" s="607"/>
      <c r="C516" s="599">
        <f t="shared" si="86"/>
        <v>1</v>
      </c>
      <c r="D516" s="608"/>
      <c r="E516" s="599">
        <f t="shared" si="87"/>
        <v>0</v>
      </c>
      <c r="F516" s="608"/>
      <c r="G516" s="599">
        <f t="shared" si="88"/>
        <v>1</v>
      </c>
      <c r="H516" s="608"/>
      <c r="I516" s="599">
        <f t="shared" si="89"/>
        <v>1</v>
      </c>
      <c r="J516" s="608"/>
      <c r="K516" s="599">
        <f t="shared" si="90"/>
        <v>1</v>
      </c>
      <c r="L516" s="608"/>
      <c r="M516" s="599">
        <f t="shared" si="91"/>
        <v>1</v>
      </c>
      <c r="N516" s="608"/>
      <c r="O516" s="599">
        <f t="shared" si="92"/>
        <v>1</v>
      </c>
      <c r="P516" s="608"/>
      <c r="Q516" s="599">
        <f t="shared" si="93"/>
        <v>1</v>
      </c>
      <c r="R516" s="659">
        <f t="shared" si="94"/>
        <v>0</v>
      </c>
      <c r="S516" s="598">
        <f t="shared" si="95"/>
        <v>0</v>
      </c>
    </row>
    <row r="517" spans="1:19">
      <c r="A517" s="606"/>
      <c r="B517" s="607"/>
      <c r="C517" s="599">
        <f t="shared" si="86"/>
        <v>1</v>
      </c>
      <c r="D517" s="608"/>
      <c r="E517" s="599">
        <f t="shared" si="87"/>
        <v>0</v>
      </c>
      <c r="F517" s="608"/>
      <c r="G517" s="599">
        <f t="shared" si="88"/>
        <v>1</v>
      </c>
      <c r="H517" s="608"/>
      <c r="I517" s="599">
        <f t="shared" si="89"/>
        <v>1</v>
      </c>
      <c r="J517" s="608"/>
      <c r="K517" s="599">
        <f t="shared" si="90"/>
        <v>1</v>
      </c>
      <c r="L517" s="608"/>
      <c r="M517" s="599">
        <f t="shared" si="91"/>
        <v>1</v>
      </c>
      <c r="N517" s="608"/>
      <c r="O517" s="599">
        <f t="shared" si="92"/>
        <v>1</v>
      </c>
      <c r="P517" s="608"/>
      <c r="Q517" s="599">
        <f t="shared" si="93"/>
        <v>1</v>
      </c>
      <c r="R517" s="659">
        <f t="shared" si="94"/>
        <v>0</v>
      </c>
      <c r="S517" s="598">
        <f t="shared" si="95"/>
        <v>0</v>
      </c>
    </row>
    <row r="518" spans="1:19">
      <c r="A518" s="606"/>
      <c r="B518" s="607"/>
      <c r="C518" s="599">
        <f t="shared" si="86"/>
        <v>1</v>
      </c>
      <c r="D518" s="608"/>
      <c r="E518" s="599">
        <f t="shared" si="87"/>
        <v>0</v>
      </c>
      <c r="F518" s="608"/>
      <c r="G518" s="599">
        <f t="shared" si="88"/>
        <v>1</v>
      </c>
      <c r="H518" s="608"/>
      <c r="I518" s="599">
        <f t="shared" si="89"/>
        <v>1</v>
      </c>
      <c r="J518" s="608"/>
      <c r="K518" s="599">
        <f t="shared" si="90"/>
        <v>1</v>
      </c>
      <c r="L518" s="608"/>
      <c r="M518" s="599">
        <f t="shared" si="91"/>
        <v>1</v>
      </c>
      <c r="N518" s="608"/>
      <c r="O518" s="599">
        <f t="shared" si="92"/>
        <v>1</v>
      </c>
      <c r="P518" s="608"/>
      <c r="Q518" s="599">
        <f t="shared" si="93"/>
        <v>1</v>
      </c>
      <c r="R518" s="659">
        <f t="shared" si="94"/>
        <v>0</v>
      </c>
      <c r="S518" s="598">
        <f t="shared" si="95"/>
        <v>0</v>
      </c>
    </row>
    <row r="519" spans="1:19">
      <c r="A519" s="606"/>
      <c r="B519" s="607"/>
      <c r="C519" s="599">
        <f t="shared" si="86"/>
        <v>1</v>
      </c>
      <c r="D519" s="608"/>
      <c r="E519" s="599">
        <f t="shared" si="87"/>
        <v>0</v>
      </c>
      <c r="F519" s="608"/>
      <c r="G519" s="599">
        <f t="shared" si="88"/>
        <v>1</v>
      </c>
      <c r="H519" s="608"/>
      <c r="I519" s="599">
        <f t="shared" si="89"/>
        <v>1</v>
      </c>
      <c r="J519" s="608"/>
      <c r="K519" s="599">
        <f t="shared" si="90"/>
        <v>1</v>
      </c>
      <c r="L519" s="608"/>
      <c r="M519" s="599">
        <f t="shared" si="91"/>
        <v>1</v>
      </c>
      <c r="N519" s="608"/>
      <c r="O519" s="599">
        <f t="shared" si="92"/>
        <v>1</v>
      </c>
      <c r="P519" s="608"/>
      <c r="Q519" s="599">
        <f t="shared" si="93"/>
        <v>1</v>
      </c>
      <c r="R519" s="659">
        <f t="shared" si="94"/>
        <v>0</v>
      </c>
      <c r="S519" s="598">
        <f t="shared" si="95"/>
        <v>0</v>
      </c>
    </row>
    <row r="520" spans="1:19">
      <c r="A520" s="606"/>
      <c r="B520" s="607"/>
      <c r="C520" s="599">
        <f t="shared" si="86"/>
        <v>1</v>
      </c>
      <c r="D520" s="608"/>
      <c r="E520" s="599">
        <f t="shared" si="87"/>
        <v>0</v>
      </c>
      <c r="F520" s="608"/>
      <c r="G520" s="599">
        <f t="shared" si="88"/>
        <v>1</v>
      </c>
      <c r="H520" s="608"/>
      <c r="I520" s="599">
        <f t="shared" si="89"/>
        <v>1</v>
      </c>
      <c r="J520" s="608"/>
      <c r="K520" s="599">
        <f t="shared" si="90"/>
        <v>1</v>
      </c>
      <c r="L520" s="608"/>
      <c r="M520" s="599">
        <f t="shared" si="91"/>
        <v>1</v>
      </c>
      <c r="N520" s="608"/>
      <c r="O520" s="599">
        <f t="shared" si="92"/>
        <v>1</v>
      </c>
      <c r="P520" s="608"/>
      <c r="Q520" s="599">
        <f t="shared" si="93"/>
        <v>1</v>
      </c>
      <c r="R520" s="659">
        <f t="shared" si="94"/>
        <v>0</v>
      </c>
      <c r="S520" s="598">
        <f t="shared" si="95"/>
        <v>0</v>
      </c>
    </row>
    <row r="521" spans="1:19">
      <c r="A521" s="606"/>
      <c r="B521" s="607"/>
      <c r="C521" s="599">
        <f t="shared" si="86"/>
        <v>1</v>
      </c>
      <c r="D521" s="608"/>
      <c r="E521" s="599">
        <f t="shared" si="87"/>
        <v>0</v>
      </c>
      <c r="F521" s="608"/>
      <c r="G521" s="599">
        <f t="shared" si="88"/>
        <v>1</v>
      </c>
      <c r="H521" s="608"/>
      <c r="I521" s="599">
        <f t="shared" si="89"/>
        <v>1</v>
      </c>
      <c r="J521" s="608"/>
      <c r="K521" s="599">
        <f t="shared" si="90"/>
        <v>1</v>
      </c>
      <c r="L521" s="608"/>
      <c r="M521" s="599">
        <f t="shared" si="91"/>
        <v>1</v>
      </c>
      <c r="N521" s="608"/>
      <c r="O521" s="599">
        <f t="shared" si="92"/>
        <v>1</v>
      </c>
      <c r="P521" s="608"/>
      <c r="Q521" s="599">
        <f t="shared" si="93"/>
        <v>1</v>
      </c>
      <c r="R521" s="659">
        <f t="shared" si="94"/>
        <v>0</v>
      </c>
      <c r="S521" s="598">
        <f t="shared" si="95"/>
        <v>0</v>
      </c>
    </row>
    <row r="522" spans="1:19">
      <c r="A522" s="606"/>
      <c r="B522" s="607"/>
      <c r="C522" s="599">
        <f t="shared" si="86"/>
        <v>1</v>
      </c>
      <c r="D522" s="608"/>
      <c r="E522" s="599">
        <f t="shared" si="87"/>
        <v>0</v>
      </c>
      <c r="F522" s="608"/>
      <c r="G522" s="599">
        <f t="shared" si="88"/>
        <v>1</v>
      </c>
      <c r="H522" s="608"/>
      <c r="I522" s="599">
        <f t="shared" si="89"/>
        <v>1</v>
      </c>
      <c r="J522" s="608"/>
      <c r="K522" s="599">
        <f t="shared" si="90"/>
        <v>1</v>
      </c>
      <c r="L522" s="608"/>
      <c r="M522" s="599">
        <f t="shared" si="91"/>
        <v>1</v>
      </c>
      <c r="N522" s="608"/>
      <c r="O522" s="599">
        <f t="shared" si="92"/>
        <v>1</v>
      </c>
      <c r="P522" s="608"/>
      <c r="Q522" s="599">
        <f t="shared" si="93"/>
        <v>1</v>
      </c>
      <c r="R522" s="659">
        <f t="shared" si="94"/>
        <v>0</v>
      </c>
      <c r="S522" s="598">
        <f t="shared" si="95"/>
        <v>0</v>
      </c>
    </row>
    <row r="523" spans="1:19">
      <c r="A523" s="606"/>
      <c r="B523" s="607"/>
      <c r="C523" s="599">
        <f t="shared" si="86"/>
        <v>1</v>
      </c>
      <c r="D523" s="608"/>
      <c r="E523" s="599">
        <f t="shared" si="87"/>
        <v>0</v>
      </c>
      <c r="F523" s="608"/>
      <c r="G523" s="599">
        <f t="shared" si="88"/>
        <v>1</v>
      </c>
      <c r="H523" s="608"/>
      <c r="I523" s="599">
        <f t="shared" si="89"/>
        <v>1</v>
      </c>
      <c r="J523" s="608"/>
      <c r="K523" s="599">
        <f t="shared" si="90"/>
        <v>1</v>
      </c>
      <c r="L523" s="608"/>
      <c r="M523" s="599">
        <f t="shared" si="91"/>
        <v>1</v>
      </c>
      <c r="N523" s="608"/>
      <c r="O523" s="599">
        <f t="shared" si="92"/>
        <v>1</v>
      </c>
      <c r="P523" s="608"/>
      <c r="Q523" s="599">
        <f t="shared" si="93"/>
        <v>1</v>
      </c>
      <c r="R523" s="659">
        <f t="shared" si="94"/>
        <v>0</v>
      </c>
      <c r="S523" s="598">
        <f t="shared" si="95"/>
        <v>0</v>
      </c>
    </row>
    <row r="524" spans="1:19">
      <c r="A524" s="606"/>
      <c r="B524" s="607"/>
      <c r="C524" s="599">
        <f t="shared" si="86"/>
        <v>1</v>
      </c>
      <c r="D524" s="608"/>
      <c r="E524" s="599">
        <f t="shared" si="87"/>
        <v>0</v>
      </c>
      <c r="F524" s="608"/>
      <c r="G524" s="599">
        <f t="shared" si="88"/>
        <v>1</v>
      </c>
      <c r="H524" s="608"/>
      <c r="I524" s="599">
        <f t="shared" si="89"/>
        <v>1</v>
      </c>
      <c r="J524" s="608"/>
      <c r="K524" s="599">
        <f t="shared" si="90"/>
        <v>1</v>
      </c>
      <c r="L524" s="608"/>
      <c r="M524" s="599">
        <f t="shared" si="91"/>
        <v>1</v>
      </c>
      <c r="N524" s="608"/>
      <c r="O524" s="599">
        <f t="shared" si="92"/>
        <v>1</v>
      </c>
      <c r="P524" s="608"/>
      <c r="Q524" s="599">
        <f t="shared" si="93"/>
        <v>1</v>
      </c>
      <c r="R524" s="659">
        <f t="shared" si="94"/>
        <v>0</v>
      </c>
      <c r="S524" s="598">
        <f t="shared" si="95"/>
        <v>0</v>
      </c>
    </row>
  </sheetData>
  <sheetProtection formatCells="0" formatColumns="0" formatRows="0"/>
  <mergeCells count="2">
    <mergeCell ref="C1:S1"/>
    <mergeCell ref="C22:Q22"/>
  </mergeCells>
  <phoneticPr fontId="229" type="noConversion"/>
  <conditionalFormatting sqref="C24:C524 E24:E524 G24:G524 I24:I524 K24:K524 M24:M524 O24:O524 Q24:Q524">
    <cfRule type="cellIs" dxfId="175"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 D56 D57 D58 D59 D60 D25:D55 D61:D68 D69:D76 D77:D84 D85:D98 D99: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M25" sqref="M25"/>
    </sheetView>
  </sheetViews>
  <sheetFormatPr defaultColWidth="8.33203125" defaultRowHeight="13.2"/>
  <cols>
    <col min="1" max="1" width="10.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254" width="9" style="371" customWidth="1"/>
    <col min="255" max="16384" width="8.33203125" style="371"/>
  </cols>
  <sheetData>
    <row r="1" spans="1:9" s="365" customFormat="1" ht="21">
      <c r="A1" s="373" t="s">
        <v>2977</v>
      </c>
      <c r="B1" s="1338" t="s">
        <v>605</v>
      </c>
      <c r="C1" s="375"/>
      <c r="D1" s="375"/>
      <c r="E1" s="375"/>
      <c r="F1" s="375"/>
      <c r="G1" s="1340">
        <f>MATCH(B1,'数据-取费表'!A6:A16,0)+5</f>
        <v>6</v>
      </c>
    </row>
    <row r="2" spans="1:9" s="365" customFormat="1" ht="18" customHeight="1">
      <c r="A2" s="377" t="s">
        <v>2864</v>
      </c>
      <c r="B2" s="378">
        <f ca="1">IF(D2="——",C52,C52-E2)</f>
        <v>1136</v>
      </c>
      <c r="C2" s="376" t="s">
        <v>2865</v>
      </c>
      <c r="D2" s="1343" t="s">
        <v>124</v>
      </c>
      <c r="E2" s="1344" t="e">
        <f ca="1">SUMIF(INDIRECT("'"&amp;G2&amp;"'"&amp;"!A:A"),"承租人权益价值",INDIRECT("'"&amp;G2&amp;"'"&amp;"!c:c"))</f>
        <v>#REF!</v>
      </c>
      <c r="F2" s="1345" t="s">
        <v>2865</v>
      </c>
      <c r="G2" s="1346"/>
    </row>
    <row r="3" spans="1:9" s="365" customFormat="1" ht="18" customHeight="1">
      <c r="A3" s="380" t="s">
        <v>2866</v>
      </c>
      <c r="B3" s="381">
        <f ca="1">ROUND(B2*10000/(IF(B1="",'数据-汇总表'!E3,INDIRECT("'数据-取费表'!k"&amp;$G$1))),0)</f>
        <v>11008</v>
      </c>
      <c r="C3" s="376" t="s">
        <v>2978</v>
      </c>
      <c r="D3" s="376"/>
      <c r="E3" s="376"/>
      <c r="F3" s="376"/>
      <c r="G3" s="376"/>
    </row>
    <row r="4" spans="1:9" s="366" customFormat="1" ht="16.2">
      <c r="A4" s="382" t="s">
        <v>2979</v>
      </c>
      <c r="B4" s="383"/>
      <c r="C4" s="383"/>
      <c r="D4" s="383"/>
      <c r="E4" s="383"/>
      <c r="F4" s="383"/>
      <c r="G4" s="384"/>
    </row>
    <row r="5" spans="1:9" s="367" customFormat="1" ht="13.5" customHeight="1">
      <c r="A5" s="385" t="s">
        <v>2980</v>
      </c>
      <c r="B5" s="386" t="s">
        <v>2981</v>
      </c>
      <c r="C5" s="387">
        <f ca="1">C6+C7+C8</f>
        <v>385</v>
      </c>
      <c r="D5" s="387" t="s">
        <v>2982</v>
      </c>
      <c r="E5" s="388" t="s">
        <v>2983</v>
      </c>
      <c r="F5" s="388" t="s">
        <v>2765</v>
      </c>
      <c r="G5" s="389"/>
    </row>
    <row r="6" spans="1:9" s="367" customFormat="1" ht="13.5" customHeight="1">
      <c r="A6" s="390" t="s">
        <v>2984</v>
      </c>
      <c r="B6" s="391" t="s">
        <v>2985</v>
      </c>
      <c r="C6" s="392">
        <f>基准地价修正!E42</f>
        <v>353</v>
      </c>
      <c r="D6" s="393"/>
      <c r="E6" s="394"/>
      <c r="F6" s="394"/>
      <c r="G6" s="395"/>
    </row>
    <row r="7" spans="1:9" s="367" customFormat="1" ht="13.5" customHeight="1">
      <c r="A7" s="390" t="s">
        <v>2986</v>
      </c>
      <c r="B7" s="391" t="s">
        <v>2987</v>
      </c>
      <c r="C7" s="396">
        <f>ROUND(C6*F7,0)</f>
        <v>11</v>
      </c>
      <c r="D7" s="396"/>
      <c r="E7" s="394"/>
      <c r="F7" s="397">
        <f>IF(项目基本情况!B8="出让",0,'数据-取费表'!B48+'数据-取费表'!B49)</f>
        <v>3.0499999999999999E-2</v>
      </c>
      <c r="G7" s="395"/>
    </row>
    <row r="8" spans="1:9" s="368" customFormat="1">
      <c r="A8" s="390" t="s">
        <v>2988</v>
      </c>
      <c r="B8" s="391" t="s">
        <v>2989</v>
      </c>
      <c r="C8" s="396">
        <f ca="1">IF(G8="已包含在土地购买价格中","0",IF(B1="",'数据-取费表'!B29,IF(G9="全部缴纳",C9+C10,H9)))</f>
        <v>21</v>
      </c>
      <c r="D8" s="398"/>
      <c r="E8" s="396"/>
      <c r="F8" s="397"/>
      <c r="G8" s="1347" t="s">
        <v>2990</v>
      </c>
    </row>
    <row r="9" spans="1:9" s="367" customFormat="1" ht="13.5" customHeight="1">
      <c r="A9" s="400" t="s">
        <v>2991</v>
      </c>
      <c r="B9" s="401" t="s">
        <v>2992</v>
      </c>
      <c r="C9" s="402">
        <f ca="1">ROUND(D9*E9/10000,0)</f>
        <v>0</v>
      </c>
      <c r="D9" s="403">
        <f ca="1">IF(B1="",'数据-汇总表'!E5,IF(INDIRECT("'数据-取费表'!c"&amp;$G$1)="住宅",INDIRECT("'数据-取费表'!k"&amp;$G$1),0))</f>
        <v>0</v>
      </c>
      <c r="E9" s="402">
        <f>'数据-取费表'!B27</f>
        <v>160</v>
      </c>
      <c r="F9" s="397"/>
      <c r="G9" s="1966" t="s">
        <v>2993</v>
      </c>
      <c r="H9" s="1967"/>
      <c r="I9" s="1968" t="s">
        <v>2994</v>
      </c>
    </row>
    <row r="10" spans="1:9" s="367" customFormat="1" ht="13.5" customHeight="1">
      <c r="A10" s="400" t="s">
        <v>2995</v>
      </c>
      <c r="B10" s="401" t="s">
        <v>2996</v>
      </c>
      <c r="C10" s="402">
        <f ca="1">ROUND(D10*E10/10000,0)</f>
        <v>21</v>
      </c>
      <c r="D10" s="403">
        <f ca="1">IF(B1="",'数据-汇总表'!E6,IF(INDIRECT("'数据-取费表'!c"&amp;$G$1)="住宅",INDIRECT("'数据-取费表'!s"&amp;$G$1),INDIRECT("'数据-取费表'!k"&amp;$G$1)+INDIRECT("'数据-取费表'!s"&amp;$G$1)))</f>
        <v>1032</v>
      </c>
      <c r="E10" s="402">
        <f>'数据-取费表'!B28</f>
        <v>200</v>
      </c>
      <c r="F10" s="397"/>
      <c r="G10" s="404"/>
    </row>
    <row r="11" spans="1:9" s="367" customFormat="1" ht="13.5" hidden="1" customHeight="1">
      <c r="A11" s="405" t="s">
        <v>2997</v>
      </c>
      <c r="B11" s="391" t="s">
        <v>2998</v>
      </c>
      <c r="C11" s="387"/>
      <c r="D11" s="406"/>
      <c r="E11" s="394"/>
      <c r="F11" s="394"/>
      <c r="G11" s="395"/>
    </row>
    <row r="12" spans="1:9" s="367" customFormat="1" ht="13.5" hidden="1" customHeight="1">
      <c r="A12" s="405" t="s">
        <v>2999</v>
      </c>
      <c r="B12" s="391" t="s">
        <v>2801</v>
      </c>
      <c r="C12" s="387">
        <v>0</v>
      </c>
      <c r="D12" s="406"/>
      <c r="E12" s="407"/>
      <c r="F12" s="397">
        <v>3.0499999999999999E-2</v>
      </c>
      <c r="G12" s="395"/>
    </row>
    <row r="13" spans="1:9" s="367" customFormat="1" ht="13.5" hidden="1" customHeight="1">
      <c r="A13" s="405" t="s">
        <v>3000</v>
      </c>
      <c r="B13" s="391" t="s">
        <v>3001</v>
      </c>
      <c r="C13" s="387"/>
      <c r="D13" s="406"/>
      <c r="E13" s="394"/>
      <c r="F13" s="394"/>
      <c r="G13" s="395"/>
    </row>
    <row r="14" spans="1:9" s="367" customFormat="1" ht="13.5" hidden="1" customHeight="1">
      <c r="A14" s="405" t="s">
        <v>3002</v>
      </c>
      <c r="B14" s="391" t="s">
        <v>2989</v>
      </c>
      <c r="C14" s="387"/>
      <c r="D14" s="406"/>
      <c r="E14" s="394"/>
      <c r="F14" s="394"/>
      <c r="G14" s="395" t="s">
        <v>3003</v>
      </c>
    </row>
    <row r="15" spans="1:9" s="367" customFormat="1" ht="13.5" hidden="1" customHeight="1">
      <c r="A15" s="405" t="s">
        <v>3004</v>
      </c>
      <c r="B15" s="391" t="s">
        <v>3005</v>
      </c>
      <c r="C15" s="396"/>
      <c r="D15" s="406"/>
      <c r="E15" s="394"/>
      <c r="F15" s="394"/>
      <c r="G15" s="395" t="s">
        <v>3006</v>
      </c>
    </row>
    <row r="16" spans="1:9" s="367" customFormat="1" ht="13.5" hidden="1" customHeight="1">
      <c r="A16" s="405" t="s">
        <v>3007</v>
      </c>
      <c r="B16" s="391" t="s">
        <v>2989</v>
      </c>
      <c r="C16" s="396"/>
      <c r="D16" s="406"/>
      <c r="E16" s="394"/>
      <c r="F16" s="394"/>
      <c r="G16" s="395"/>
    </row>
    <row r="17" spans="1:7" s="367" customFormat="1" ht="13.5" hidden="1" customHeight="1">
      <c r="A17" s="405" t="s">
        <v>3008</v>
      </c>
      <c r="B17" s="391" t="s">
        <v>3009</v>
      </c>
      <c r="C17" s="408"/>
      <c r="D17" s="409"/>
      <c r="E17" s="408"/>
      <c r="F17" s="408"/>
      <c r="G17" s="395" t="s">
        <v>3006</v>
      </c>
    </row>
    <row r="18" spans="1:7" s="367" customFormat="1" ht="13.5" hidden="1" customHeight="1">
      <c r="A18" s="405" t="s">
        <v>3010</v>
      </c>
      <c r="B18" s="391" t="s">
        <v>3011</v>
      </c>
      <c r="C18" s="396">
        <v>0</v>
      </c>
      <c r="D18" s="406"/>
      <c r="E18" s="394"/>
      <c r="F18" s="397">
        <v>3.0499999999999999E-2</v>
      </c>
      <c r="G18" s="395" t="s">
        <v>3012</v>
      </c>
    </row>
    <row r="19" spans="1:7" s="368" customFormat="1" ht="13.5" customHeight="1">
      <c r="A19" s="385" t="s">
        <v>3013</v>
      </c>
      <c r="B19" s="386" t="s">
        <v>3014</v>
      </c>
      <c r="C19" s="387" t="str">
        <f>IF(G19="已包含在土地取得成本中","0",ROUND(D19*E19/10000,0))</f>
        <v>0</v>
      </c>
      <c r="D19" s="411">
        <f ca="1">D9+D10</f>
        <v>1032</v>
      </c>
      <c r="E19" s="387">
        <f>'数据-取费表'!B31</f>
        <v>200</v>
      </c>
      <c r="F19" s="412"/>
      <c r="G19" s="1347" t="s">
        <v>3015</v>
      </c>
    </row>
    <row r="20" spans="1:7" s="367" customFormat="1" ht="13.5" customHeight="1">
      <c r="A20" s="385" t="s">
        <v>3016</v>
      </c>
      <c r="B20" s="386" t="s">
        <v>3017</v>
      </c>
      <c r="C20" s="413">
        <f ca="1">ROUND((C5+C19)*F20,0)</f>
        <v>8</v>
      </c>
      <c r="D20" s="413"/>
      <c r="E20" s="413"/>
      <c r="F20" s="414">
        <f>'数据-取费表'!B37</f>
        <v>0.02</v>
      </c>
      <c r="G20" s="418" t="s">
        <v>3018</v>
      </c>
    </row>
    <row r="21" spans="1:7" s="367" customFormat="1" ht="13.5" customHeight="1">
      <c r="A21" s="385" t="s">
        <v>3019</v>
      </c>
      <c r="B21" s="386" t="s">
        <v>3020</v>
      </c>
      <c r="C21" s="416">
        <f>F21</f>
        <v>0.02</v>
      </c>
      <c r="D21" s="417" t="s">
        <v>3021</v>
      </c>
      <c r="E21" s="413"/>
      <c r="F21" s="414">
        <f>'数据-取费表'!B38</f>
        <v>0.02</v>
      </c>
      <c r="G21" s="418" t="s">
        <v>3022</v>
      </c>
    </row>
    <row r="22" spans="1:7" s="367" customFormat="1" ht="13.5" customHeight="1">
      <c r="A22" s="385" t="s">
        <v>3023</v>
      </c>
      <c r="B22" s="386" t="s">
        <v>3024</v>
      </c>
      <c r="C22" s="419">
        <f ca="1">ROUND(SUM(C23:C25),0)</f>
        <v>27</v>
      </c>
      <c r="D22" s="416">
        <f ca="1">C26</f>
        <v>6.9999999999999999E-4</v>
      </c>
      <c r="E22" s="417" t="s">
        <v>3021</v>
      </c>
      <c r="F22" s="420">
        <f ca="1">'数据-取费表'!B40</f>
        <v>3.4500000000000003E-2</v>
      </c>
      <c r="G22" s="418" t="str">
        <f>IF('数据-取费表'!B22&lt;=1,"单利计息","复利计息")</f>
        <v>复利计息</v>
      </c>
    </row>
    <row r="23" spans="1:7" s="367" customFormat="1" ht="13.5" customHeight="1">
      <c r="A23" s="421" t="s">
        <v>2984</v>
      </c>
      <c r="B23" s="391" t="s">
        <v>3025</v>
      </c>
      <c r="C23" s="422">
        <f ca="1">ROUND(IF('数据-取费表'!B22&lt;=1,C5*F22*'数据-取费表'!B23,C5*(POWER((1+F22),'数据-取费表'!B23)-1)),0)</f>
        <v>27</v>
      </c>
      <c r="D23" s="423"/>
      <c r="E23" s="423"/>
      <c r="F23" s="424"/>
      <c r="G23" s="425" t="s">
        <v>3026</v>
      </c>
    </row>
    <row r="24" spans="1:7" s="367" customFormat="1" ht="13.5" customHeight="1">
      <c r="A24" s="421" t="s">
        <v>2986</v>
      </c>
      <c r="B24" s="391" t="s">
        <v>3027</v>
      </c>
      <c r="C24" s="422">
        <f ca="1">ROUND(IF('数据-取费表'!B22&lt;=1,C19*F22*('数据-取费表'!B19/2+'数据-取费表'!B21),C19*(POWER((1+F22),('数据-取费表'!B19/2+'数据-取费表'!B21))-1)),0)</f>
        <v>0</v>
      </c>
      <c r="D24" s="423"/>
      <c r="E24" s="423"/>
      <c r="F24" s="424"/>
      <c r="G24" s="425" t="s">
        <v>3028</v>
      </c>
    </row>
    <row r="25" spans="1:7" s="367" customFormat="1" ht="24">
      <c r="A25" s="421" t="s">
        <v>2988</v>
      </c>
      <c r="B25" s="391" t="s">
        <v>3029</v>
      </c>
      <c r="C25" s="422">
        <f ca="1">ROUND(IF('数据-取费表'!B22&lt;=1,C20*F22*'数据-取费表'!B23/2,C20*(POWER((1+F22),'数据-取费表'!B23/2)-1)),0)</f>
        <v>0</v>
      </c>
      <c r="D25" s="423"/>
      <c r="E25" s="426"/>
      <c r="F25" s="424"/>
      <c r="G25" s="427" t="s">
        <v>3030</v>
      </c>
    </row>
    <row r="26" spans="1:7" s="367" customFormat="1">
      <c r="A26" s="421" t="s">
        <v>3031</v>
      </c>
      <c r="B26" s="391" t="s">
        <v>3032</v>
      </c>
      <c r="C26" s="423">
        <f ca="1">ROUND(IF('数据-取费表'!B22&lt;=1,F21*F22*'数据-取费表'!B23/2,F21*(POWER((1+F22),'数据-取费表'!B23/2)-1)),4)</f>
        <v>6.9999999999999999E-4</v>
      </c>
      <c r="D26" s="423"/>
      <c r="E26" s="426"/>
      <c r="F26" s="424"/>
      <c r="G26" s="428"/>
    </row>
    <row r="27" spans="1:7" s="367" customFormat="1" ht="26.4">
      <c r="A27" s="385" t="s">
        <v>3033</v>
      </c>
      <c r="B27" s="429" t="s">
        <v>3034</v>
      </c>
      <c r="C27" s="430">
        <f ca="1">C28</f>
        <v>12</v>
      </c>
      <c r="D27" s="416">
        <f ca="1">C29</f>
        <v>5.9999999999999995E-4</v>
      </c>
      <c r="E27" s="417" t="s">
        <v>3021</v>
      </c>
      <c r="F27" s="431">
        <f ca="1">IF(B1="",'数据-取费表'!Q16,INDIRECT("'数据-取费表'!q"&amp;$G$1))</f>
        <v>0.03</v>
      </c>
      <c r="G27" s="432" t="s">
        <v>3035</v>
      </c>
    </row>
    <row r="28" spans="1:7" s="367" customFormat="1" ht="13.5" customHeight="1">
      <c r="A28" s="421" t="s">
        <v>2984</v>
      </c>
      <c r="B28" s="433" t="s">
        <v>3036</v>
      </c>
      <c r="C28" s="434">
        <f ca="1">ROUND((C5+C19+C20)*F27*'数据-取费表'!B21/'数据-取费表'!B20,0)</f>
        <v>12</v>
      </c>
      <c r="D28" s="416"/>
      <c r="E28" s="417"/>
      <c r="F28" s="431"/>
      <c r="G28" s="432"/>
    </row>
    <row r="29" spans="1:7" s="367" customFormat="1" ht="13.5" customHeight="1">
      <c r="A29" s="421" t="s">
        <v>2986</v>
      </c>
      <c r="B29" s="433" t="s">
        <v>3037</v>
      </c>
      <c r="C29" s="423">
        <f ca="1">ROUND(C21*F27*'数据-取费表'!B21/'数据-取费表'!B20,4)</f>
        <v>5.9999999999999995E-4</v>
      </c>
      <c r="D29" s="416"/>
      <c r="E29" s="417"/>
      <c r="F29" s="431"/>
      <c r="G29" s="432"/>
    </row>
    <row r="30" spans="1:7" s="367" customFormat="1" ht="13.5" customHeight="1">
      <c r="A30" s="385" t="s">
        <v>3038</v>
      </c>
      <c r="B30" s="386" t="s">
        <v>3039</v>
      </c>
      <c r="C30" s="416">
        <f>ROUND(F30/(1+'数据-取费表'!C42),4)</f>
        <v>5.33E-2</v>
      </c>
      <c r="D30" s="417" t="s">
        <v>3021</v>
      </c>
      <c r="E30" s="426"/>
      <c r="F30" s="420">
        <f>'数据-取费表'!B41</f>
        <v>5.6000000000000001E-2</v>
      </c>
      <c r="G30" s="418" t="s">
        <v>3040</v>
      </c>
    </row>
    <row r="31" spans="1:7" ht="16.5" customHeight="1">
      <c r="A31" s="435">
        <v>1</v>
      </c>
      <c r="B31" s="386" t="s">
        <v>3041</v>
      </c>
      <c r="C31" s="387">
        <f ca="1">ROUND((C5+C19+C20+C22+C27)/(1-C21-D22-D27-C30),0)</f>
        <v>467</v>
      </c>
      <c r="D31" s="436"/>
      <c r="E31" s="387"/>
      <c r="F31" s="437"/>
      <c r="G31" s="418" t="s">
        <v>3042</v>
      </c>
    </row>
    <row r="32" spans="1:7" s="366" customFormat="1" ht="16.2">
      <c r="A32" s="438" t="s">
        <v>3043</v>
      </c>
      <c r="B32" s="439"/>
      <c r="C32" s="439"/>
      <c r="D32" s="439"/>
      <c r="E32" s="439"/>
      <c r="F32" s="439"/>
      <c r="G32" s="440"/>
    </row>
    <row r="33" spans="1:7" s="367" customFormat="1" ht="13.5" customHeight="1">
      <c r="A33" s="385" t="s">
        <v>2980</v>
      </c>
      <c r="B33" s="386" t="s">
        <v>3044</v>
      </c>
      <c r="C33" s="441">
        <f ca="1">SUM(C34:C38)</f>
        <v>571</v>
      </c>
      <c r="D33" s="413"/>
      <c r="E33" s="388"/>
      <c r="F33" s="426"/>
      <c r="G33" s="418"/>
    </row>
    <row r="34" spans="1:7" s="369" customFormat="1" ht="13.5" customHeight="1">
      <c r="A34" s="421" t="s">
        <v>2984</v>
      </c>
      <c r="B34" s="391" t="s">
        <v>3045</v>
      </c>
      <c r="C34" s="396">
        <f ca="1">IF(B1="",IF(F34=100%,'数据-取费表'!M16,'数据-取费表'!O16),IF(F34=100%,INDIRECT("'数据-取费表'!m"&amp;$G$1)+INDIRECT("'数据-取费表'!t"&amp;$G$1),INDIRECT("'数据-取费表'!o"&amp;$G$1)+INDIRECT("'数据-取费表'!aq"&amp;$G$1)))</f>
        <v>516</v>
      </c>
      <c r="D34" s="393"/>
      <c r="E34" s="396"/>
      <c r="F34" s="442">
        <f ca="1">IF('数据-取费表'!B24=0,1,IF(B1="",'数据-取费表'!N16,INDIRECT("'数据-取费表'!n"&amp;$G$1)))</f>
        <v>1</v>
      </c>
      <c r="G34" s="395" t="s">
        <v>3046</v>
      </c>
    </row>
    <row r="35" spans="1:7" ht="13.5" customHeight="1">
      <c r="A35" s="421" t="s">
        <v>2986</v>
      </c>
      <c r="B35" s="391" t="s">
        <v>3047</v>
      </c>
      <c r="C35" s="396">
        <f ca="1">ROUND(C34*F35,0)</f>
        <v>26</v>
      </c>
      <c r="D35" s="396"/>
      <c r="E35" s="396"/>
      <c r="F35" s="443">
        <f>'数据-取费表'!B33</f>
        <v>0.05</v>
      </c>
      <c r="G35" s="395" t="s">
        <v>3048</v>
      </c>
    </row>
    <row r="36" spans="1:7" ht="24">
      <c r="A36" s="421" t="s">
        <v>2988</v>
      </c>
      <c r="B36" s="391" t="s">
        <v>3049</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3050</v>
      </c>
    </row>
    <row r="37" spans="1:7" s="369" customFormat="1" ht="13.5" customHeight="1">
      <c r="A37" s="421" t="s">
        <v>3031</v>
      </c>
      <c r="B37" s="391" t="s">
        <v>3051</v>
      </c>
      <c r="C37" s="434">
        <f ca="1">ROUND(E37*D37*F34/10000,0)</f>
        <v>21</v>
      </c>
      <c r="D37" s="393">
        <f ca="1">D19</f>
        <v>1032</v>
      </c>
      <c r="E37" s="434">
        <f>'数据-取费表'!B35</f>
        <v>200</v>
      </c>
      <c r="F37" s="443"/>
      <c r="G37" s="445" t="s">
        <v>3052</v>
      </c>
    </row>
    <row r="38" spans="1:7" ht="13.5" customHeight="1">
      <c r="A38" s="421" t="s">
        <v>3053</v>
      </c>
      <c r="B38" s="391" t="s">
        <v>2801</v>
      </c>
      <c r="C38" s="396">
        <f ca="1">ROUND(C34*F38,0)</f>
        <v>8</v>
      </c>
      <c r="D38" s="396"/>
      <c r="E38" s="396"/>
      <c r="F38" s="443">
        <f>'数据-取费表'!B36</f>
        <v>1.4999999999999999E-2</v>
      </c>
      <c r="G38" s="395" t="s">
        <v>3048</v>
      </c>
    </row>
    <row r="39" spans="1:7" s="367" customFormat="1" ht="13.5" customHeight="1">
      <c r="A39" s="385" t="s">
        <v>3013</v>
      </c>
      <c r="B39" s="386" t="s">
        <v>3017</v>
      </c>
      <c r="C39" s="413">
        <f ca="1">ROUND(C33*F20,0)</f>
        <v>11</v>
      </c>
      <c r="D39" s="413"/>
      <c r="E39" s="413"/>
      <c r="F39" s="414">
        <f>F20</f>
        <v>0.02</v>
      </c>
      <c r="G39" s="418" t="s">
        <v>3054</v>
      </c>
    </row>
    <row r="40" spans="1:7" s="367" customFormat="1" ht="13.5" customHeight="1">
      <c r="A40" s="385" t="s">
        <v>3016</v>
      </c>
      <c r="B40" s="386" t="s">
        <v>3020</v>
      </c>
      <c r="C40" s="1350">
        <f>F21</f>
        <v>0.02</v>
      </c>
      <c r="D40" s="417" t="s">
        <v>3055</v>
      </c>
      <c r="E40" s="413"/>
      <c r="F40" s="414">
        <f>F21</f>
        <v>0.02</v>
      </c>
      <c r="G40" s="418" t="s">
        <v>3056</v>
      </c>
    </row>
    <row r="41" spans="1:7" s="367" customFormat="1" ht="13.5" customHeight="1">
      <c r="A41" s="385" t="s">
        <v>3019</v>
      </c>
      <c r="B41" s="386" t="s">
        <v>3024</v>
      </c>
      <c r="C41" s="413">
        <f ca="1">ROUND(SUM(C42:C43),0)</f>
        <v>20</v>
      </c>
      <c r="D41" s="416">
        <f ca="1">C44</f>
        <v>6.9999999999999999E-4</v>
      </c>
      <c r="E41" s="417" t="s">
        <v>3055</v>
      </c>
      <c r="F41" s="420">
        <f ca="1">F22</f>
        <v>3.4500000000000003E-2</v>
      </c>
      <c r="G41" s="418" t="str">
        <f>IF('数据-取费表'!B22&lt;=1,"单利计息","复利计息")</f>
        <v>复利计息</v>
      </c>
    </row>
    <row r="42" spans="1:7" ht="13.5" customHeight="1">
      <c r="A42" s="421" t="s">
        <v>2984</v>
      </c>
      <c r="B42" s="391" t="s">
        <v>3025</v>
      </c>
      <c r="C42" s="423">
        <f ca="1">ROUND(IF('数据-取费表'!B22&lt;=1,C33*F22*'数据-取费表'!B21/2,C33*(POWER((1+F22),'数据-取费表'!B21/2)-1)),0)</f>
        <v>20</v>
      </c>
      <c r="D42" s="423"/>
      <c r="E42" s="423"/>
      <c r="F42" s="424"/>
      <c r="G42" s="3696" t="s">
        <v>3057</v>
      </c>
    </row>
    <row r="43" spans="1:7" ht="13.5" customHeight="1">
      <c r="A43" s="421" t="s">
        <v>2986</v>
      </c>
      <c r="B43" s="391" t="s">
        <v>3027</v>
      </c>
      <c r="C43" s="423">
        <f ca="1">ROUND(IF('数据-取费表'!B22&lt;=1,C39*F22*'数据-取费表'!B21/2,C39*(POWER((1+F22),'数据-取费表'!B21/2)-1)),0)</f>
        <v>0</v>
      </c>
      <c r="D43" s="423"/>
      <c r="E43" s="423"/>
      <c r="F43" s="424"/>
      <c r="G43" s="3697"/>
    </row>
    <row r="44" spans="1:7" ht="13.5" customHeight="1">
      <c r="A44" s="421" t="s">
        <v>2988</v>
      </c>
      <c r="B44" s="391" t="s">
        <v>3029</v>
      </c>
      <c r="C44" s="423">
        <f ca="1">ROUND(IF('数据-取费表'!B22&lt;=1,C40*F22*'数据-取费表'!B21/2,C40*(POWER((1+F22),'数据-取费表'!B21/2)-1)),4)</f>
        <v>6.9999999999999999E-4</v>
      </c>
      <c r="D44" s="423"/>
      <c r="E44" s="423"/>
      <c r="F44" s="424"/>
      <c r="G44" s="3698"/>
    </row>
    <row r="45" spans="1:7" s="367" customFormat="1" ht="13.5" customHeight="1">
      <c r="A45" s="385" t="s">
        <v>3023</v>
      </c>
      <c r="B45" s="429" t="s">
        <v>3034</v>
      </c>
      <c r="C45" s="430">
        <f ca="1">C46</f>
        <v>17</v>
      </c>
      <c r="D45" s="416">
        <f ca="1">C47</f>
        <v>5.9999999999999995E-4</v>
      </c>
      <c r="E45" s="417" t="s">
        <v>3055</v>
      </c>
      <c r="F45" s="431">
        <f ca="1">F27</f>
        <v>0.03</v>
      </c>
      <c r="G45" s="432" t="s">
        <v>3058</v>
      </c>
    </row>
    <row r="46" spans="1:7" s="367" customFormat="1" ht="13.5" customHeight="1">
      <c r="A46" s="421" t="s">
        <v>2984</v>
      </c>
      <c r="B46" s="433" t="s">
        <v>3059</v>
      </c>
      <c r="C46" s="434">
        <f ca="1">ROUND((C33+C39)*F27,0)</f>
        <v>17</v>
      </c>
      <c r="D46" s="447"/>
      <c r="E46" s="417"/>
      <c r="F46" s="431"/>
      <c r="G46" s="432"/>
    </row>
    <row r="47" spans="1:7" s="367" customFormat="1" ht="13.5" customHeight="1">
      <c r="A47" s="421" t="s">
        <v>2986</v>
      </c>
      <c r="B47" s="433" t="s">
        <v>3060</v>
      </c>
      <c r="C47" s="423">
        <f ca="1">ROUND(C40*F27,4)</f>
        <v>5.9999999999999995E-4</v>
      </c>
      <c r="D47" s="447"/>
      <c r="E47" s="417"/>
      <c r="F47" s="431"/>
      <c r="G47" s="432"/>
    </row>
    <row r="48" spans="1:7" s="367" customFormat="1" ht="13.5" customHeight="1">
      <c r="A48" s="385" t="s">
        <v>3033</v>
      </c>
      <c r="B48" s="386" t="s">
        <v>3039</v>
      </c>
      <c r="C48" s="1350">
        <f>ROUND(F30/(1+'数据-取费表'!C42),4)</f>
        <v>5.33E-2</v>
      </c>
      <c r="D48" s="417" t="s">
        <v>3055</v>
      </c>
      <c r="E48" s="413"/>
      <c r="F48" s="420">
        <f>F30</f>
        <v>5.6000000000000001E-2</v>
      </c>
      <c r="G48" s="418" t="s">
        <v>3061</v>
      </c>
    </row>
    <row r="49" spans="1:7" ht="16.5" customHeight="1">
      <c r="A49" s="385" t="s">
        <v>3038</v>
      </c>
      <c r="B49" s="386" t="s">
        <v>3062</v>
      </c>
      <c r="C49" s="413">
        <f ca="1">ROUND((C33+C39+C41+C45)/(1-C40-D41-D45-C48),0)</f>
        <v>669</v>
      </c>
      <c r="D49" s="413"/>
      <c r="E49" s="413"/>
      <c r="F49" s="448"/>
      <c r="G49" s="418" t="s">
        <v>3063</v>
      </c>
    </row>
    <row r="50" spans="1:7" s="369" customFormat="1" ht="24">
      <c r="A50" s="385" t="s">
        <v>3064</v>
      </c>
      <c r="B50" s="386" t="s">
        <v>3065</v>
      </c>
      <c r="C50" s="413"/>
      <c r="D50" s="413"/>
      <c r="E50" s="413"/>
      <c r="F50" s="448">
        <f>IF('数据-取费表'!B24=0,'数据-取费表'!N16,1)</f>
        <v>1</v>
      </c>
      <c r="G50" s="432" t="s">
        <v>3066</v>
      </c>
    </row>
    <row r="51" spans="1:7" ht="16.5" customHeight="1">
      <c r="A51" s="385" t="s">
        <v>3067</v>
      </c>
      <c r="B51" s="386" t="s">
        <v>3068</v>
      </c>
      <c r="C51" s="413">
        <f ca="1">ROUND(C49*F50,0)</f>
        <v>669</v>
      </c>
      <c r="D51" s="413"/>
      <c r="E51" s="413"/>
      <c r="F51" s="448"/>
      <c r="G51" s="418" t="s">
        <v>3069</v>
      </c>
    </row>
    <row r="52" spans="1:7" s="366" customFormat="1" ht="16.2">
      <c r="A52" s="449" t="s">
        <v>3070</v>
      </c>
      <c r="B52" s="450"/>
      <c r="C52" s="451">
        <f ca="1">C31+C51</f>
        <v>1136</v>
      </c>
      <c r="D52" s="450"/>
      <c r="E52" s="450"/>
      <c r="F52" s="450"/>
      <c r="G52" s="452"/>
    </row>
    <row r="55" spans="1:7" ht="15">
      <c r="B55" s="453" t="s">
        <v>3071</v>
      </c>
      <c r="C55" s="454"/>
    </row>
    <row r="56" spans="1:7">
      <c r="B56" s="455" t="s">
        <v>3072</v>
      </c>
      <c r="C56" s="457">
        <f ca="1">1-C57</f>
        <v>0.41100000000000003</v>
      </c>
    </row>
    <row r="57" spans="1:7">
      <c r="B57" s="455" t="s">
        <v>3073</v>
      </c>
      <c r="C57" s="456">
        <f ca="1">ROUND(C51/C52,3)</f>
        <v>0.58899999999999997</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36" sqref="I36"/>
    </sheetView>
  </sheetViews>
  <sheetFormatPr defaultColWidth="9" defaultRowHeight="13.2"/>
  <cols>
    <col min="1" max="1" width="9" style="369" customWidth="1"/>
    <col min="2" max="2" width="20.6640625" style="537" customWidth="1"/>
    <col min="3" max="3" width="11.88671875" style="537" customWidth="1"/>
    <col min="4" max="4" width="40.44140625" style="369" customWidth="1"/>
    <col min="5" max="5" width="15.77734375" style="369" customWidth="1"/>
    <col min="6" max="6" width="10.6640625" style="369" customWidth="1"/>
    <col min="7" max="7" width="4.88671875" style="369" customWidth="1"/>
    <col min="8" max="8" width="8.44140625" style="369" customWidth="1"/>
    <col min="9" max="9" width="21.21875" style="369" customWidth="1"/>
    <col min="10" max="10" width="12.21875" style="369" customWidth="1"/>
    <col min="11" max="11" width="45.109375" style="668" customWidth="1"/>
    <col min="12" max="12" width="16.33203125" style="369" customWidth="1"/>
    <col min="13" max="13" width="13" style="369" customWidth="1"/>
    <col min="14" max="14" width="13.77734375" style="667" customWidth="1"/>
    <col min="15" max="15" width="5.109375" style="667" customWidth="1"/>
    <col min="16" max="16" width="25.77734375" style="667" customWidth="1"/>
    <col min="17" max="17" width="13.77734375" style="667" customWidth="1"/>
    <col min="18" max="18" width="20.44140625" style="667" customWidth="1"/>
    <col min="19" max="19" width="13.21875" style="667" customWidth="1"/>
    <col min="20" max="37" width="9" style="667"/>
    <col min="38" max="16384" width="9" style="369"/>
  </cols>
  <sheetData>
    <row r="1" spans="1:37" s="665" customFormat="1" ht="21.6">
      <c r="A1" s="669" t="s">
        <v>3074</v>
      </c>
      <c r="B1" s="670"/>
      <c r="C1" s="671" t="s">
        <v>551</v>
      </c>
      <c r="D1" s="672" t="s">
        <v>124</v>
      </c>
      <c r="E1" s="673" t="s">
        <v>3075</v>
      </c>
      <c r="F1" s="674">
        <f ca="1">J53</f>
        <v>46.38</v>
      </c>
      <c r="G1" s="675">
        <f>MATCH(C1,'数据-取费表'!A6:A16,0)+5</f>
        <v>7</v>
      </c>
      <c r="H1" s="676"/>
      <c r="I1" s="840"/>
      <c r="J1" s="840"/>
      <c r="K1" s="841"/>
      <c r="L1" s="840"/>
      <c r="M1" s="840"/>
      <c r="N1" s="842"/>
      <c r="O1" s="842"/>
      <c r="P1" s="842"/>
      <c r="Q1" s="842"/>
      <c r="R1" s="842"/>
      <c r="S1" s="842"/>
      <c r="T1" s="842"/>
      <c r="U1" s="842"/>
      <c r="V1" s="842"/>
      <c r="W1" s="842"/>
      <c r="X1" s="842"/>
      <c r="Y1" s="842"/>
      <c r="Z1" s="842"/>
      <c r="AA1" s="842"/>
      <c r="AB1" s="842"/>
      <c r="AC1" s="842"/>
      <c r="AD1" s="842"/>
      <c r="AE1" s="842"/>
      <c r="AF1" s="842"/>
      <c r="AG1" s="842"/>
      <c r="AH1" s="842"/>
      <c r="AI1" s="842"/>
      <c r="AJ1" s="842"/>
      <c r="AK1" s="842"/>
    </row>
    <row r="2" spans="1:37" ht="18" customHeight="1">
      <c r="A2" s="677" t="s">
        <v>3076</v>
      </c>
      <c r="B2" s="2597">
        <f ca="1">C40+J29+L46</f>
        <v>48</v>
      </c>
      <c r="C2" s="679" t="s">
        <v>3077</v>
      </c>
      <c r="D2" s="679"/>
      <c r="E2" s="681"/>
      <c r="F2" s="682"/>
      <c r="G2" s="683"/>
      <c r="H2" s="684"/>
      <c r="I2" s="684"/>
      <c r="J2" s="684"/>
      <c r="K2" s="843"/>
      <c r="L2" s="684"/>
      <c r="M2" s="684"/>
    </row>
    <row r="3" spans="1:37" ht="18" customHeight="1">
      <c r="A3" s="685" t="s">
        <v>3078</v>
      </c>
      <c r="B3" s="686">
        <f ca="1">IF(ISERROR(B2*10000/F43),0,ROUND(B2*10000/F43,0))</f>
        <v>75</v>
      </c>
      <c r="C3" s="679" t="s">
        <v>3079</v>
      </c>
      <c r="D3" s="679"/>
      <c r="E3" s="681"/>
      <c r="F3" s="682"/>
      <c r="G3" s="683"/>
      <c r="H3" s="687" t="s">
        <v>3080</v>
      </c>
      <c r="I3" s="844"/>
      <c r="J3" s="844"/>
      <c r="K3" s="845"/>
      <c r="L3" s="844"/>
      <c r="M3" s="844"/>
    </row>
    <row r="4" spans="1:37" ht="18" customHeight="1">
      <c r="A4" s="688" t="s">
        <v>3081</v>
      </c>
      <c r="B4" s="689" t="s">
        <v>3082</v>
      </c>
      <c r="C4" s="689" t="s">
        <v>3083</v>
      </c>
      <c r="D4" s="689" t="s">
        <v>3084</v>
      </c>
      <c r="E4" s="690" t="s">
        <v>3085</v>
      </c>
      <c r="F4" s="691"/>
      <c r="G4" s="667"/>
      <c r="H4" s="688" t="s">
        <v>3081</v>
      </c>
      <c r="I4" s="689" t="s">
        <v>3082</v>
      </c>
      <c r="J4" s="689" t="s">
        <v>3083</v>
      </c>
      <c r="K4" s="689" t="s">
        <v>3084</v>
      </c>
      <c r="L4" s="690" t="s">
        <v>3085</v>
      </c>
      <c r="M4" s="691"/>
    </row>
    <row r="5" spans="1:37" ht="18" customHeight="1">
      <c r="A5" s="692">
        <v>1</v>
      </c>
      <c r="B5" s="693" t="s">
        <v>3086</v>
      </c>
      <c r="C5" s="694">
        <f ca="1">C6+C10+C12</f>
        <v>211</v>
      </c>
      <c r="D5" s="695" t="s">
        <v>3087</v>
      </c>
      <c r="E5" s="696"/>
      <c r="F5" s="697"/>
      <c r="G5" s="667"/>
      <c r="H5" s="692">
        <v>1</v>
      </c>
      <c r="I5" s="693" t="s">
        <v>3086</v>
      </c>
      <c r="J5" s="694">
        <f ca="1">J6+J10+J12</f>
        <v>0</v>
      </c>
      <c r="K5" s="695" t="s">
        <v>3087</v>
      </c>
      <c r="L5" s="696"/>
      <c r="M5" s="697"/>
    </row>
    <row r="6" spans="1:37" ht="18" customHeight="1">
      <c r="A6" s="698" t="s">
        <v>2770</v>
      </c>
      <c r="B6" s="3701" t="s">
        <v>3088</v>
      </c>
      <c r="C6" s="699">
        <f ca="1">ROUND(F6*F8*F7*(1-F9)/10000,0)</f>
        <v>211</v>
      </c>
      <c r="D6" s="700" t="s">
        <v>3089</v>
      </c>
      <c r="E6" s="701" t="s">
        <v>3090</v>
      </c>
      <c r="F6" s="702">
        <f ca="1">INDIRECT("'数据-取费表'!u"&amp;$G$1)</f>
        <v>1</v>
      </c>
      <c r="G6" s="667"/>
      <c r="H6" s="698" t="s">
        <v>2770</v>
      </c>
      <c r="I6" s="3701" t="s">
        <v>3088</v>
      </c>
      <c r="J6" s="773">
        <f ca="1">ROUND(M6*M8*M7*(1-M9)/10000,0)</f>
        <v>0</v>
      </c>
      <c r="K6" s="700" t="s">
        <v>3091</v>
      </c>
      <c r="L6" s="701" t="s">
        <v>3090</v>
      </c>
      <c r="M6" s="702">
        <f ca="1">INDIRECT("'数据-取费表'!z"&amp;$G$1)</f>
        <v>0</v>
      </c>
    </row>
    <row r="7" spans="1:37" ht="18" customHeight="1">
      <c r="A7" s="703"/>
      <c r="B7" s="3702"/>
      <c r="C7" s="704"/>
      <c r="D7" s="705"/>
      <c r="E7" s="706" t="s">
        <v>3092</v>
      </c>
      <c r="F7" s="702">
        <f ca="1">IF(INDIRECT("'数据-取费表'!ah"&amp;$G$1)="",INDIRECT("'数据-取费表'!k"&amp;$G$1),INDIRECT("'数据-取费表'!ah"&amp;$G$1))</f>
        <v>6410.4</v>
      </c>
      <c r="G7" s="667"/>
      <c r="H7" s="707"/>
      <c r="I7" s="3702"/>
      <c r="J7" s="708"/>
      <c r="K7" s="705"/>
      <c r="L7" s="701" t="s">
        <v>3092</v>
      </c>
      <c r="M7" s="702">
        <f ca="1">F7</f>
        <v>6410.4</v>
      </c>
    </row>
    <row r="8" spans="1:37" ht="18" customHeight="1">
      <c r="A8" s="707"/>
      <c r="B8" s="3702"/>
      <c r="C8" s="708"/>
      <c r="D8" s="705"/>
      <c r="E8" s="701" t="s">
        <v>3093</v>
      </c>
      <c r="F8" s="702">
        <f ca="1">INDIRECT("'数据-取费表'!ai"&amp;$G$1)</f>
        <v>365</v>
      </c>
      <c r="G8" s="667"/>
      <c r="H8" s="707"/>
      <c r="I8" s="3702"/>
      <c r="J8" s="708"/>
      <c r="K8" s="705"/>
      <c r="L8" s="701" t="s">
        <v>3093</v>
      </c>
      <c r="M8" s="702">
        <f ca="1">INDIRECT("'数据-取费表'!ai"&amp;$G$1)</f>
        <v>365</v>
      </c>
    </row>
    <row r="9" spans="1:37" ht="18" customHeight="1">
      <c r="A9" s="707"/>
      <c r="B9" s="3703"/>
      <c r="C9" s="708"/>
      <c r="D9" s="705"/>
      <c r="E9" s="701" t="s">
        <v>3094</v>
      </c>
      <c r="F9" s="709">
        <f ca="1">INDIRECT("'数据-取费表'!w"&amp;$G$1)</f>
        <v>0.1</v>
      </c>
      <c r="G9" s="667"/>
      <c r="H9" s="707"/>
      <c r="I9" s="3703"/>
      <c r="J9" s="708"/>
      <c r="K9" s="705"/>
      <c r="L9" s="712" t="s">
        <v>3094</v>
      </c>
      <c r="M9" s="717">
        <f ca="1">INDIRECT("'数据-取费表'!ab"&amp;$G$1)</f>
        <v>0</v>
      </c>
    </row>
    <row r="10" spans="1:37" ht="18" customHeight="1">
      <c r="A10" s="698" t="s">
        <v>2774</v>
      </c>
      <c r="B10" s="710" t="s">
        <v>3095</v>
      </c>
      <c r="C10" s="598">
        <f ca="1">ROUND(IF(F10="押一",C6/12*F11,IF(F10="押二",C6/12*2*F11,IF(F10="押三",C6/12*3*F11,C11*F11))),0)</f>
        <v>0</v>
      </c>
      <c r="D10" s="711" t="s">
        <v>3096</v>
      </c>
      <c r="E10" s="712" t="s">
        <v>3097</v>
      </c>
      <c r="F10" s="713" t="s">
        <v>3098</v>
      </c>
      <c r="G10" s="667"/>
      <c r="H10" s="698" t="s">
        <v>2774</v>
      </c>
      <c r="I10" s="710" t="s">
        <v>3095</v>
      </c>
      <c r="J10" s="773">
        <f ca="1">ROUND(IF(M10="押一",J6/12*M11,IF(M10="押二",J6/12*2*M11,IF(M10="押三",J6/12*3*M11,J11*M11))),0)</f>
        <v>0</v>
      </c>
      <c r="K10" s="711" t="s">
        <v>3096</v>
      </c>
      <c r="L10" s="712" t="s">
        <v>3097</v>
      </c>
      <c r="M10" s="713"/>
    </row>
    <row r="11" spans="1:37" ht="18" customHeight="1">
      <c r="A11" s="714"/>
      <c r="B11" s="715" t="s">
        <v>3099</v>
      </c>
      <c r="C11" s="716"/>
      <c r="D11" s="2598"/>
      <c r="E11" s="712" t="s">
        <v>3100</v>
      </c>
      <c r="F11" s="717">
        <f ca="1">'数据-取费表'!B39</f>
        <v>1.4999999999999999E-2</v>
      </c>
      <c r="G11" s="667"/>
      <c r="H11" s="718"/>
      <c r="I11" s="715" t="s">
        <v>3099</v>
      </c>
      <c r="J11" s="716"/>
      <c r="K11" s="848"/>
      <c r="L11" s="712" t="s">
        <v>3100</v>
      </c>
      <c r="M11" s="849">
        <f ca="1">'数据-取费表'!B39</f>
        <v>1.4999999999999999E-2</v>
      </c>
    </row>
    <row r="12" spans="1:37" ht="18" customHeight="1">
      <c r="A12" s="719" t="s">
        <v>2819</v>
      </c>
      <c r="B12" s="720" t="s">
        <v>3101</v>
      </c>
      <c r="C12" s="721"/>
      <c r="D12" s="722"/>
      <c r="E12" s="723"/>
      <c r="F12" s="724"/>
      <c r="G12" s="667"/>
      <c r="H12" s="719" t="s">
        <v>2819</v>
      </c>
      <c r="I12" s="720" t="s">
        <v>3101</v>
      </c>
      <c r="J12" s="721"/>
      <c r="K12" s="850"/>
      <c r="L12" s="723"/>
      <c r="M12" s="851"/>
    </row>
    <row r="13" spans="1:37" ht="18" customHeight="1">
      <c r="A13" s="725">
        <v>2</v>
      </c>
      <c r="B13" s="726" t="s">
        <v>3102</v>
      </c>
      <c r="C13" s="727">
        <f ca="1">ROUND(C29*F13,0)</f>
        <v>4235</v>
      </c>
      <c r="D13" s="728" t="s">
        <v>3103</v>
      </c>
      <c r="E13" s="728" t="s">
        <v>3104</v>
      </c>
      <c r="F13" s="729">
        <f ca="1">INDIRECT("'数据-取费表'!y"&amp;$G$1)</f>
        <v>1</v>
      </c>
      <c r="G13" s="667"/>
      <c r="H13" s="725">
        <v>2</v>
      </c>
      <c r="I13" s="726" t="s">
        <v>3102</v>
      </c>
      <c r="J13" s="852">
        <f ca="1">ROUND(J14*J15,0)</f>
        <v>0</v>
      </c>
      <c r="K13" s="751" t="s">
        <v>3103</v>
      </c>
      <c r="L13" s="853"/>
      <c r="M13" s="854"/>
    </row>
    <row r="14" spans="1:37" ht="18" customHeight="1">
      <c r="A14" s="730" t="s">
        <v>2793</v>
      </c>
      <c r="B14" s="701" t="s">
        <v>3105</v>
      </c>
      <c r="C14" s="731">
        <f ca="1">INDIRECT("'数据-取费表'!m"&amp;$G$1)+INDIRECT("'数据-取费表'!t"&amp;$G$1)</f>
        <v>3205</v>
      </c>
      <c r="D14" s="732" t="s">
        <v>3106</v>
      </c>
      <c r="E14" s="733"/>
      <c r="F14" s="734"/>
      <c r="G14" s="667"/>
      <c r="H14" s="730" t="s">
        <v>2770</v>
      </c>
      <c r="I14" s="701" t="s">
        <v>3107</v>
      </c>
      <c r="J14" s="599">
        <f ca="1">C29</f>
        <v>4235</v>
      </c>
      <c r="K14" s="855"/>
      <c r="L14" s="856"/>
      <c r="M14" s="857"/>
    </row>
    <row r="15" spans="1:37" s="666" customFormat="1" ht="18" customHeight="1">
      <c r="A15" s="730" t="s">
        <v>2797</v>
      </c>
      <c r="B15" s="701" t="s">
        <v>3108</v>
      </c>
      <c r="C15" s="599">
        <f ca="1">ROUND(C14*F15,0)</f>
        <v>160</v>
      </c>
      <c r="D15" s="735" t="s">
        <v>3109</v>
      </c>
      <c r="E15" s="735" t="s">
        <v>3110</v>
      </c>
      <c r="F15" s="736">
        <f>'数据-取费表'!B33</f>
        <v>0.05</v>
      </c>
      <c r="G15" s="737"/>
      <c r="H15" s="738" t="s">
        <v>2774</v>
      </c>
      <c r="I15" s="723" t="s">
        <v>3104</v>
      </c>
      <c r="J15" s="851">
        <f ca="1">INDIRECT("'数据-取费表'!ad"&amp;$G$1)</f>
        <v>0</v>
      </c>
      <c r="K15" s="858"/>
      <c r="L15" s="859"/>
      <c r="M15" s="860"/>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row>
    <row r="16" spans="1:37" ht="18" customHeight="1">
      <c r="A16" s="730" t="s">
        <v>2800</v>
      </c>
      <c r="B16" s="701" t="s">
        <v>3111</v>
      </c>
      <c r="C16" s="599">
        <f ca="1">ROUND(INDIRECT("'数据-取费表'!m"&amp;$G$1)*F16,0)</f>
        <v>0</v>
      </c>
      <c r="D16" s="701" t="s">
        <v>3109</v>
      </c>
      <c r="E16" s="701" t="s">
        <v>3110</v>
      </c>
      <c r="F16" s="739">
        <f ca="1">IF(INDIRECT("'数据-取费表'!c"&amp;$G$1)="住宅",'数据-取费表'!B34,0)</f>
        <v>0</v>
      </c>
      <c r="G16" s="667"/>
      <c r="H16" s="725" t="s">
        <v>3112</v>
      </c>
      <c r="I16" s="726" t="s">
        <v>3113</v>
      </c>
      <c r="J16" s="727">
        <f ca="1">ROUND(J17+J22+J23+J24,0)</f>
        <v>13</v>
      </c>
      <c r="K16" s="751" t="s">
        <v>3114</v>
      </c>
      <c r="L16" s="752"/>
      <c r="M16" s="697"/>
    </row>
    <row r="17" spans="1:37" s="666" customFormat="1" ht="18" customHeight="1">
      <c r="A17" s="730" t="s">
        <v>3115</v>
      </c>
      <c r="B17" s="701" t="s">
        <v>3116</v>
      </c>
      <c r="C17" s="599">
        <f ca="1">ROUND(F17*(F43+INDIRECT("'数据-取费表'!S"&amp;$G$1))/10000,0)</f>
        <v>128</v>
      </c>
      <c r="D17" s="701" t="s">
        <v>3117</v>
      </c>
      <c r="E17" s="701" t="s">
        <v>3118</v>
      </c>
      <c r="F17" s="740">
        <f>'数据-取费表'!B35</f>
        <v>200</v>
      </c>
      <c r="G17" s="737"/>
      <c r="H17" s="730" t="s">
        <v>2770</v>
      </c>
      <c r="I17" s="701" t="s">
        <v>3119</v>
      </c>
      <c r="J17" s="754">
        <f ca="1">ROUND(IF(AND(项目基本情况!B11="自然人",项目基本情况!B10="北京市"),J6*M17/(1+'数据-取费表'!C42),J18+J19+J20),2)</f>
        <v>0</v>
      </c>
      <c r="K17" s="732" t="s">
        <v>3120</v>
      </c>
      <c r="L17" s="755" t="s">
        <v>3121</v>
      </c>
      <c r="M17" s="756" t="str">
        <f>IF(项目基本情况!B11="企业","",IF('数据-取费表'!B10="住宅",IF(M6*M7*M8/12/(1+'数据-取费表'!F30)&gt;100000,4%,2.5%),IF(M6*M7*M8/12/(1+'数据-取费表'!F30)&gt;100000,12%,7%)))</f>
        <v/>
      </c>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row>
    <row r="18" spans="1:37" s="666" customFormat="1" ht="18" customHeight="1">
      <c r="A18" s="730" t="s">
        <v>3122</v>
      </c>
      <c r="B18" s="701" t="s">
        <v>3123</v>
      </c>
      <c r="C18" s="599">
        <f ca="1">ROUND(C14*F18,0)</f>
        <v>48</v>
      </c>
      <c r="D18" s="701" t="s">
        <v>3109</v>
      </c>
      <c r="E18" s="701" t="s">
        <v>3110</v>
      </c>
      <c r="F18" s="739">
        <f>'数据-取费表'!B36</f>
        <v>1.4999999999999999E-2</v>
      </c>
      <c r="G18" s="737"/>
      <c r="H18" s="730" t="s">
        <v>2793</v>
      </c>
      <c r="I18" s="701" t="s">
        <v>3124</v>
      </c>
      <c r="J18" s="599">
        <f ca="1">ROUND(J6*M18/(1+'数据-取费表'!C42),2)</f>
        <v>0</v>
      </c>
      <c r="K18" s="755" t="s">
        <v>3125</v>
      </c>
      <c r="L18" s="701" t="s">
        <v>3110</v>
      </c>
      <c r="M18" s="739">
        <f>'数据-取费表'!B41</f>
        <v>5.6000000000000001E-2</v>
      </c>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row>
    <row r="19" spans="1:37" ht="18" customHeight="1">
      <c r="A19" s="730" t="s">
        <v>2770</v>
      </c>
      <c r="B19" s="701" t="s">
        <v>3126</v>
      </c>
      <c r="C19" s="599">
        <f ca="1">SUM(C14:C18)</f>
        <v>3541</v>
      </c>
      <c r="D19" s="741" t="s">
        <v>3127</v>
      </c>
      <c r="E19" s="601"/>
      <c r="F19" s="740"/>
      <c r="G19" s="667"/>
      <c r="H19" s="730" t="s">
        <v>2797</v>
      </c>
      <c r="I19" s="701" t="s">
        <v>3128</v>
      </c>
      <c r="J19" s="599">
        <f ca="1">IF(K19="按租金收入计税",ROUND(J6*M19/(1+'数据-取费表'!C42),2),ROUND(C29*M19*0.7,2))</f>
        <v>0</v>
      </c>
      <c r="K19" s="758" t="s">
        <v>3129</v>
      </c>
      <c r="L19" s="701" t="s">
        <v>3110</v>
      </c>
      <c r="M19" s="739">
        <f>IF(K19="按租金收入计税",'数据-取费表'!B51,'数据-取费表'!B50)</f>
        <v>0.12</v>
      </c>
    </row>
    <row r="20" spans="1:37" s="666" customFormat="1" ht="18" customHeight="1">
      <c r="A20" s="730" t="s">
        <v>2774</v>
      </c>
      <c r="B20" s="701" t="s">
        <v>3130</v>
      </c>
      <c r="C20" s="599">
        <f ca="1">ROUND(C19*F20,0)</f>
        <v>71</v>
      </c>
      <c r="D20" s="742" t="s">
        <v>3131</v>
      </c>
      <c r="E20" s="701" t="s">
        <v>3110</v>
      </c>
      <c r="F20" s="739">
        <f>'数据-取费表'!B37</f>
        <v>0.02</v>
      </c>
      <c r="G20" s="737"/>
      <c r="H20" s="730" t="s">
        <v>2800</v>
      </c>
      <c r="I20" s="700" t="s">
        <v>3132</v>
      </c>
      <c r="J20" s="760">
        <f ca="1">ROUND(M20*M21/10000,2)</f>
        <v>0</v>
      </c>
      <c r="K20" s="761" t="s">
        <v>3133</v>
      </c>
      <c r="L20" s="701" t="s">
        <v>3134</v>
      </c>
      <c r="M20" s="745">
        <f>'数据-取费表'!B52</f>
        <v>0</v>
      </c>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row>
    <row r="21" spans="1:37" s="666" customFormat="1" ht="18" customHeight="1">
      <c r="A21" s="730" t="s">
        <v>2819</v>
      </c>
      <c r="B21" s="701" t="s">
        <v>3135</v>
      </c>
      <c r="C21" s="599" t="s">
        <v>124</v>
      </c>
      <c r="D21" s="742" t="s">
        <v>3136</v>
      </c>
      <c r="E21" s="701" t="s">
        <v>3137</v>
      </c>
      <c r="F21" s="739">
        <f>'数据-取费表'!B38</f>
        <v>0.02</v>
      </c>
      <c r="G21" s="737"/>
      <c r="H21" s="743"/>
      <c r="I21" s="861"/>
      <c r="J21" s="764"/>
      <c r="K21" s="765"/>
      <c r="L21" s="701" t="s">
        <v>3138</v>
      </c>
      <c r="M21" s="702">
        <f ca="1">INDIRECT("'数据-取费表'!r"&amp;$G$1)</f>
        <v>0</v>
      </c>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row>
    <row r="22" spans="1:37" ht="18" customHeight="1">
      <c r="A22" s="730" t="s">
        <v>2822</v>
      </c>
      <c r="B22" s="701" t="s">
        <v>3139</v>
      </c>
      <c r="C22" s="599"/>
      <c r="D22" s="741" t="str">
        <f>IF(F23&lt;=1,"单利计息。","复利计息。")&amp;"建造成本、管理费用、销售费用产生的利息。"</f>
        <v>复利计息。建造成本、管理费用、销售费用产生的利息。</v>
      </c>
      <c r="E22" s="601"/>
      <c r="F22" s="740"/>
      <c r="G22" s="667"/>
      <c r="H22" s="730" t="s">
        <v>2774</v>
      </c>
      <c r="I22" s="701" t="s">
        <v>3140</v>
      </c>
      <c r="J22" s="599">
        <f ca="1">ROUND(J14*M22,2)</f>
        <v>12.71</v>
      </c>
      <c r="K22" s="755" t="s">
        <v>3141</v>
      </c>
      <c r="L22" s="701" t="s">
        <v>3110</v>
      </c>
      <c r="M22" s="767">
        <f ca="1">INDIRECT("'数据-取费表'!Ak"&amp;$G$1)</f>
        <v>3.0000000000000001E-3</v>
      </c>
    </row>
    <row r="23" spans="1:37" s="666" customFormat="1" ht="18" customHeight="1">
      <c r="A23" s="730" t="s">
        <v>2793</v>
      </c>
      <c r="B23" s="701" t="s">
        <v>3142</v>
      </c>
      <c r="C23" s="599">
        <f ca="1">IF('数据-取费表'!B22&lt;=1,ROUND(C19*F24*F23/2,0)+ROUND(C20*F24*F23/2,0),ROUND(C19*(POWER((1+F24),F23/2)-1),0)+ROUND(C20*(POWER((1+F24),F23/2)-1),0))</f>
        <v>124</v>
      </c>
      <c r="D23" s="744" t="str">
        <f>IF(F23&lt;=1,"(建造成本+管理费用)×利率×(建设周期÷2)","(建造成本+管理费用)×((1+利率)^(建设周期÷2)-1)")</f>
        <v>(建造成本+管理费用)×((1+利率)^(建设周期÷2)-1)</v>
      </c>
      <c r="E23" s="701" t="s">
        <v>3143</v>
      </c>
      <c r="F23" s="745">
        <f>'数据-取费表'!B20</f>
        <v>2</v>
      </c>
      <c r="G23" s="737"/>
      <c r="H23" s="730" t="s">
        <v>2819</v>
      </c>
      <c r="I23" s="701" t="s">
        <v>3144</v>
      </c>
      <c r="J23" s="599">
        <f ca="1">ROUND(J13*M23,2)</f>
        <v>0</v>
      </c>
      <c r="K23" s="755" t="s">
        <v>3145</v>
      </c>
      <c r="L23" s="701" t="s">
        <v>3110</v>
      </c>
      <c r="M23" s="768">
        <f ca="1">INDIRECT("'数据-取费表'!Al"&amp;$G$1)</f>
        <v>1E-3</v>
      </c>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row>
    <row r="24" spans="1:37" s="666" customFormat="1" ht="18" customHeight="1">
      <c r="A24" s="730" t="s">
        <v>2797</v>
      </c>
      <c r="B24" s="701" t="s">
        <v>3146</v>
      </c>
      <c r="C24" s="599">
        <f ca="1">ROUND(IF('数据-取费表'!B22&lt;=1,F21*F24*F23/2,F21*(POWER((1+F24),F23/2)-1)),4)</f>
        <v>6.9999999999999999E-4</v>
      </c>
      <c r="D24" s="744" t="str">
        <f>IF(F23&lt;=1,"销售费用×利率×(建设周期÷2)","销售费用×((1+利率)^(建设周期÷2)-1)")</f>
        <v>销售费用×((1+利率)^(建设周期÷2)-1)</v>
      </c>
      <c r="E24" s="701" t="s">
        <v>3147</v>
      </c>
      <c r="F24" s="746">
        <f ca="1">'数据-取费表'!B40</f>
        <v>3.4500000000000003E-2</v>
      </c>
      <c r="G24" s="737"/>
      <c r="H24" s="738" t="s">
        <v>2822</v>
      </c>
      <c r="I24" s="723" t="s">
        <v>3130</v>
      </c>
      <c r="J24" s="747">
        <f ca="1">ROUND(J5*M24,2)</f>
        <v>0</v>
      </c>
      <c r="K24" s="748" t="s">
        <v>3148</v>
      </c>
      <c r="L24" s="723" t="s">
        <v>3110</v>
      </c>
      <c r="M24" s="724">
        <f ca="1">INDIRECT("'数据-取费表'!Am"&amp;$G$1)</f>
        <v>0.01</v>
      </c>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row>
    <row r="25" spans="1:37" ht="24" customHeight="1">
      <c r="A25" s="730" t="s">
        <v>2826</v>
      </c>
      <c r="B25" s="701" t="s">
        <v>3149</v>
      </c>
      <c r="C25" s="599"/>
      <c r="D25" s="741" t="s">
        <v>3150</v>
      </c>
      <c r="E25" s="601"/>
      <c r="F25" s="740"/>
      <c r="G25" s="667"/>
      <c r="H25" s="725" t="s">
        <v>3151</v>
      </c>
      <c r="I25" s="769" t="s">
        <v>3152</v>
      </c>
      <c r="J25" s="727">
        <f ca="1">J5-J16</f>
        <v>-13</v>
      </c>
      <c r="K25" s="770" t="s">
        <v>3153</v>
      </c>
      <c r="L25" s="771"/>
      <c r="M25" s="772"/>
    </row>
    <row r="26" spans="1:37">
      <c r="A26" s="730" t="s">
        <v>2793</v>
      </c>
      <c r="B26" s="701" t="s">
        <v>3154</v>
      </c>
      <c r="C26" s="599">
        <f ca="1">ROUND((C19+C20)*F26,0)</f>
        <v>181</v>
      </c>
      <c r="D26" s="742" t="s">
        <v>3155</v>
      </c>
      <c r="E26" s="712" t="s">
        <v>3156</v>
      </c>
      <c r="F26" s="709">
        <f ca="1">INDIRECT("'数据-取费表'!q"&amp;$G$1)</f>
        <v>0.05</v>
      </c>
      <c r="G26" s="667"/>
      <c r="H26" s="692" t="s">
        <v>3157</v>
      </c>
      <c r="I26" s="693" t="s">
        <v>3158</v>
      </c>
      <c r="J26" s="773">
        <f ca="1">IF(J5&lt;&gt;0,ROUND(J25*(1-((1+M28)/(1+M26))^M27)/(M26-M28),0),0)</f>
        <v>0</v>
      </c>
      <c r="K26" s="761" t="s">
        <v>3159</v>
      </c>
      <c r="L26" s="701" t="s">
        <v>3160</v>
      </c>
      <c r="M26" s="709">
        <f ca="1">INDIRECT("'数据-取费表'!I"&amp;$G$1)</f>
        <v>0.05</v>
      </c>
    </row>
    <row r="27" spans="1:37" ht="18" customHeight="1">
      <c r="A27" s="730" t="s">
        <v>2797</v>
      </c>
      <c r="B27" s="701" t="s">
        <v>3161</v>
      </c>
      <c r="C27" s="599">
        <f ca="1">ROUND(F21*F26,4)</f>
        <v>1E-3</v>
      </c>
      <c r="D27" s="742" t="s">
        <v>3162</v>
      </c>
      <c r="E27" s="735"/>
      <c r="F27" s="736"/>
      <c r="G27" s="667"/>
      <c r="H27" s="707"/>
      <c r="I27" s="775"/>
      <c r="J27" s="708"/>
      <c r="K27" s="776" t="s">
        <v>3163</v>
      </c>
      <c r="L27" s="701" t="s">
        <v>3164</v>
      </c>
      <c r="M27" s="777">
        <f ca="1">INDIRECT("'数据-取费表'!ag"&amp;$G$1)</f>
        <v>0</v>
      </c>
    </row>
    <row r="28" spans="1:37" s="666" customFormat="1" ht="18" customHeight="1">
      <c r="A28" s="730" t="s">
        <v>2827</v>
      </c>
      <c r="B28" s="701" t="s">
        <v>3165</v>
      </c>
      <c r="C28" s="599">
        <f>ROUND(F28/(1+'数据-取费表'!C42),4)</f>
        <v>5.33E-2</v>
      </c>
      <c r="D28" s="742" t="s">
        <v>3166</v>
      </c>
      <c r="E28" s="701" t="s">
        <v>3110</v>
      </c>
      <c r="F28" s="739">
        <f>'数据-取费表'!B41</f>
        <v>5.6000000000000001E-2</v>
      </c>
      <c r="G28" s="737"/>
      <c r="H28" s="714"/>
      <c r="I28" s="779"/>
      <c r="J28" s="727"/>
      <c r="K28" s="765"/>
      <c r="L28" s="701" t="s">
        <v>3167</v>
      </c>
      <c r="M28" s="709">
        <f ca="1">INDIRECT("'数据-取费表'!aa"&amp;$G$1)</f>
        <v>0</v>
      </c>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row>
    <row r="29" spans="1:37" s="666" customFormat="1" ht="18" customHeight="1">
      <c r="A29" s="738" t="s">
        <v>3168</v>
      </c>
      <c r="B29" s="723" t="s">
        <v>3169</v>
      </c>
      <c r="C29" s="747">
        <f ca="1">ROUND((C19+C20+C23+C26)/(1-F21-C24-C27-C28),0)</f>
        <v>4235</v>
      </c>
      <c r="D29" s="748"/>
      <c r="E29" s="723"/>
      <c r="F29" s="749"/>
      <c r="G29" s="737"/>
      <c r="H29" s="750" t="s">
        <v>3170</v>
      </c>
      <c r="I29" s="780" t="s">
        <v>3171</v>
      </c>
      <c r="J29" s="781">
        <f ca="1">ROUND(J26/(1+F40)^F41,0)</f>
        <v>0</v>
      </c>
      <c r="K29" s="782" t="s">
        <v>3172</v>
      </c>
      <c r="L29" s="783"/>
      <c r="M29" s="784">
        <f ca="1">INDIRECT("'数据-取费表'!k"&amp;$G$1)</f>
        <v>6410.4</v>
      </c>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row>
    <row r="30" spans="1:37" ht="18" customHeight="1">
      <c r="A30" s="725" t="s">
        <v>3112</v>
      </c>
      <c r="B30" s="726" t="s">
        <v>3113</v>
      </c>
      <c r="C30" s="727">
        <f ca="1">ROUND(C31+C36+C37+C38,0)</f>
        <v>54</v>
      </c>
      <c r="D30" s="751" t="s">
        <v>3114</v>
      </c>
      <c r="E30" s="752"/>
      <c r="F30" s="697"/>
      <c r="G30" s="667"/>
      <c r="H30" s="753"/>
      <c r="I30" s="862"/>
      <c r="J30" s="863"/>
      <c r="K30" s="864"/>
      <c r="L30" s="865"/>
      <c r="M30" s="866"/>
    </row>
    <row r="31" spans="1:37" ht="18" customHeight="1">
      <c r="A31" s="730" t="s">
        <v>2770</v>
      </c>
      <c r="B31" s="701" t="s">
        <v>3119</v>
      </c>
      <c r="C31" s="754">
        <f ca="1">ROUND(IF(AND(项目基本情况!B11="自然人",项目基本情况!B10="北京市"),C6*F31/(1+'数据-取费表'!C42),C32+C33+C34),2)</f>
        <v>35.36</v>
      </c>
      <c r="D31" s="732" t="s">
        <v>3120</v>
      </c>
      <c r="E31" s="755" t="s">
        <v>3121</v>
      </c>
      <c r="F31" s="756" t="str">
        <f>IF(项目基本情况!B11="企业","——",IF(M47="住宅",IF(F6*F7*F8/12/(1+'数据-取费表'!F30)&gt;100000,4%,2.5%),IF(F6*F7*F8/12/(1+'数据-取费表'!F30)&gt;100000,12%,7%)))</f>
        <v>——</v>
      </c>
      <c r="G31" s="667"/>
      <c r="H31" s="757" t="s">
        <v>3173</v>
      </c>
      <c r="I31" s="862"/>
      <c r="J31" s="863"/>
      <c r="K31" s="864"/>
      <c r="L31" s="865"/>
      <c r="M31" s="866"/>
    </row>
    <row r="32" spans="1:37" ht="18" customHeight="1">
      <c r="A32" s="730" t="s">
        <v>2793</v>
      </c>
      <c r="B32" s="701" t="s">
        <v>3124</v>
      </c>
      <c r="C32" s="599">
        <f ca="1">IF(项目基本情况!B11="自然人","——",ROUND(C6*F32/(1+'数据-取费表'!C42),2))</f>
        <v>11.25</v>
      </c>
      <c r="D32" s="755" t="s">
        <v>3125</v>
      </c>
      <c r="E32" s="701" t="s">
        <v>3110</v>
      </c>
      <c r="F32" s="746">
        <f>'数据-取费表'!B41</f>
        <v>5.6000000000000001E-2</v>
      </c>
      <c r="G32" s="667"/>
      <c r="H32" s="753"/>
      <c r="I32" s="862"/>
      <c r="J32" s="863"/>
      <c r="K32" s="864"/>
      <c r="L32" s="865"/>
      <c r="M32" s="866"/>
    </row>
    <row r="33" spans="1:18" ht="18" customHeight="1">
      <c r="A33" s="730" t="s">
        <v>2797</v>
      </c>
      <c r="B33" s="701" t="s">
        <v>3128</v>
      </c>
      <c r="C33" s="599">
        <f ca="1">IF(项目基本情况!B11="自然人","——",IF(D33="按租金收入计税",ROUND(C6*F33/(1+'数据-取费表'!C42),2),IF(D33="按房产原值计税",ROUND(C29*F33*0.7,2),INDIRECT("'数据-取费表'!Aj"&amp;$G$1))))</f>
        <v>24.11</v>
      </c>
      <c r="D33" s="758" t="s">
        <v>3129</v>
      </c>
      <c r="E33" s="701" t="s">
        <v>3110</v>
      </c>
      <c r="F33" s="739">
        <f>IF(D33="按票据","——",IF(D33="按租金收入计税",'数据-取费表'!B51,'数据-取费表'!B50))</f>
        <v>0.12</v>
      </c>
      <c r="G33" s="667"/>
      <c r="H33" s="759"/>
      <c r="I33" s="862"/>
      <c r="J33" s="863"/>
      <c r="K33" s="867"/>
      <c r="L33" s="759"/>
      <c r="M33" s="759"/>
    </row>
    <row r="34" spans="1:18" ht="18" customHeight="1">
      <c r="A34" s="698" t="s">
        <v>2800</v>
      </c>
      <c r="B34" s="700" t="s">
        <v>3132</v>
      </c>
      <c r="C34" s="760">
        <f ca="1">IF(项目基本情况!B11="自然人","——",ROUND(F34*F35/10000,2))</f>
        <v>0</v>
      </c>
      <c r="D34" s="761" t="s">
        <v>3133</v>
      </c>
      <c r="E34" s="701" t="s">
        <v>3134</v>
      </c>
      <c r="F34" s="745">
        <f>'数据-取费表'!B52</f>
        <v>0</v>
      </c>
      <c r="G34" s="667"/>
      <c r="H34" s="753"/>
      <c r="I34" s="862"/>
      <c r="J34" s="863"/>
      <c r="K34" s="868"/>
      <c r="L34" s="869"/>
      <c r="M34" s="869"/>
    </row>
    <row r="35" spans="1:18" ht="18" customHeight="1">
      <c r="A35" s="762"/>
      <c r="B35" s="763"/>
      <c r="C35" s="764"/>
      <c r="D35" s="765"/>
      <c r="E35" s="701" t="s">
        <v>3138</v>
      </c>
      <c r="F35" s="702">
        <f ca="1">INDIRECT("'数据-取费表'!r"&amp;$G$1)</f>
        <v>0</v>
      </c>
      <c r="G35" s="667"/>
      <c r="H35" s="753"/>
      <c r="I35" s="862"/>
      <c r="J35" s="863"/>
      <c r="K35" s="867"/>
      <c r="L35" s="759"/>
      <c r="M35" s="759"/>
    </row>
    <row r="36" spans="1:18" ht="18" customHeight="1">
      <c r="A36" s="766" t="s">
        <v>2774</v>
      </c>
      <c r="B36" s="701" t="s">
        <v>3140</v>
      </c>
      <c r="C36" s="599">
        <f ca="1">ROUND(C29*F36,2)</f>
        <v>12.71</v>
      </c>
      <c r="D36" s="755" t="s">
        <v>3174</v>
      </c>
      <c r="E36" s="701" t="s">
        <v>3110</v>
      </c>
      <c r="F36" s="767">
        <f ca="1">INDIRECT("'数据-取费表'!Ak"&amp;$G$1)</f>
        <v>3.0000000000000001E-3</v>
      </c>
      <c r="G36" s="667"/>
      <c r="H36" s="759"/>
      <c r="I36" s="862"/>
      <c r="J36" s="863"/>
      <c r="K36" s="870"/>
      <c r="L36" s="759"/>
      <c r="M36" s="759"/>
    </row>
    <row r="37" spans="1:18" ht="18" customHeight="1">
      <c r="A37" s="730" t="s">
        <v>2819</v>
      </c>
      <c r="B37" s="701" t="s">
        <v>3144</v>
      </c>
      <c r="C37" s="599">
        <f ca="1">ROUND(C13*F37,2)</f>
        <v>4.24</v>
      </c>
      <c r="D37" s="755" t="s">
        <v>3145</v>
      </c>
      <c r="E37" s="701" t="s">
        <v>3110</v>
      </c>
      <c r="F37" s="768">
        <f ca="1">INDIRECT("'数据-取费表'!Al"&amp;$G$1)</f>
        <v>1E-3</v>
      </c>
      <c r="G37" s="667"/>
      <c r="H37" s="759"/>
      <c r="I37" s="862"/>
      <c r="J37" s="863"/>
      <c r="K37" s="870"/>
      <c r="L37" s="759"/>
      <c r="M37" s="759"/>
    </row>
    <row r="38" spans="1:18" ht="18" customHeight="1">
      <c r="A38" s="738" t="s">
        <v>2822</v>
      </c>
      <c r="B38" s="723" t="s">
        <v>3130</v>
      </c>
      <c r="C38" s="747">
        <f ca="1">ROUND(C5*F38,2)</f>
        <v>2.11</v>
      </c>
      <c r="D38" s="748" t="s">
        <v>3148</v>
      </c>
      <c r="E38" s="723" t="s">
        <v>3110</v>
      </c>
      <c r="F38" s="724">
        <f ca="1">INDIRECT("'数据-取费表'!Am"&amp;$G$1)</f>
        <v>0.01</v>
      </c>
      <c r="G38" s="667"/>
      <c r="H38" s="759"/>
      <c r="I38" s="862"/>
      <c r="J38" s="863"/>
      <c r="K38" s="871"/>
      <c r="L38" s="759"/>
      <c r="M38" s="759"/>
    </row>
    <row r="39" spans="1:18" ht="24.6" customHeight="1">
      <c r="A39" s="725" t="s">
        <v>3151</v>
      </c>
      <c r="B39" s="769" t="s">
        <v>3152</v>
      </c>
      <c r="C39" s="727">
        <f ca="1">C5-C30</f>
        <v>157</v>
      </c>
      <c r="D39" s="770" t="s">
        <v>3153</v>
      </c>
      <c r="E39" s="771"/>
      <c r="F39" s="772"/>
      <c r="G39" s="667"/>
      <c r="H39" s="759"/>
      <c r="I39" s="862"/>
      <c r="J39" s="863"/>
      <c r="K39" s="871"/>
      <c r="L39" s="759"/>
      <c r="M39" s="759"/>
    </row>
    <row r="40" spans="1:18" ht="18" customHeight="1">
      <c r="A40" s="692" t="s">
        <v>3157</v>
      </c>
      <c r="B40" s="693" t="s">
        <v>3175</v>
      </c>
      <c r="C40" s="773">
        <f ca="1">ROUND(C39*(1-((1+F42)/(1+F40))^F41)/(F40-F42),0)</f>
        <v>0</v>
      </c>
      <c r="D40" s="761" t="s">
        <v>3159</v>
      </c>
      <c r="E40" s="701" t="s">
        <v>3160</v>
      </c>
      <c r="F40" s="709">
        <f ca="1">INDIRECT("'数据-取费表'!I"&amp;$G$1)</f>
        <v>0.05</v>
      </c>
      <c r="G40" s="667"/>
      <c r="H40" s="774"/>
      <c r="I40" s="862"/>
      <c r="J40" s="863"/>
      <c r="K40" s="871"/>
      <c r="L40" s="774"/>
      <c r="M40" s="774"/>
    </row>
    <row r="41" spans="1:18" ht="18" customHeight="1">
      <c r="A41" s="707"/>
      <c r="B41" s="775"/>
      <c r="C41" s="708"/>
      <c r="D41" s="776" t="s">
        <v>3163</v>
      </c>
      <c r="E41" s="701" t="s">
        <v>3164</v>
      </c>
      <c r="F41" s="777">
        <f ca="1">IF(INDIRECT("'数据-取费表'!af"&amp;$G$1)=0,INDIRECT("'数据-取费表'!ae"&amp;$G$1),INDIRECT("'数据-取费表'!af"&amp;$G$1))</f>
        <v>0</v>
      </c>
      <c r="G41" s="667"/>
      <c r="H41" s="778"/>
      <c r="I41" s="862"/>
      <c r="J41" s="863"/>
      <c r="K41" s="870"/>
      <c r="L41" s="778"/>
      <c r="M41" s="778"/>
    </row>
    <row r="42" spans="1:18" ht="18" customHeight="1">
      <c r="A42" s="714"/>
      <c r="B42" s="779"/>
      <c r="C42" s="727"/>
      <c r="D42" s="765"/>
      <c r="E42" s="701" t="s">
        <v>3167</v>
      </c>
      <c r="F42" s="709">
        <f ca="1">INDIRECT("'数据-取费表'!v"&amp;$G$1)</f>
        <v>1.4999999999999999E-2</v>
      </c>
      <c r="G42" s="667"/>
      <c r="H42" s="778"/>
      <c r="I42" s="862"/>
      <c r="J42" s="863"/>
      <c r="K42" s="870"/>
      <c r="L42" s="778"/>
      <c r="M42" s="778"/>
    </row>
    <row r="43" spans="1:18" ht="18" customHeight="1">
      <c r="A43" s="750" t="s">
        <v>3170</v>
      </c>
      <c r="B43" s="780" t="s">
        <v>3176</v>
      </c>
      <c r="C43" s="781">
        <f ca="1">ROUND(C40*10000/F43,0)</f>
        <v>0</v>
      </c>
      <c r="D43" s="782" t="s">
        <v>3177</v>
      </c>
      <c r="E43" s="783" t="s">
        <v>3178</v>
      </c>
      <c r="F43" s="784">
        <f ca="1">INDIRECT("'数据-取费表'!k"&amp;$G$1)</f>
        <v>6410.4</v>
      </c>
      <c r="G43" s="667"/>
      <c r="H43" s="778"/>
      <c r="I43" s="778"/>
      <c r="J43" s="778"/>
      <c r="K43" s="870"/>
      <c r="L43" s="778"/>
      <c r="M43" s="778"/>
    </row>
    <row r="44" spans="1:18" s="667" customFormat="1" ht="18" customHeight="1">
      <c r="A44" s="785"/>
      <c r="B44" s="785"/>
      <c r="C44" s="786"/>
      <c r="D44" s="785"/>
      <c r="E44" s="785"/>
      <c r="F44" s="785"/>
      <c r="K44" s="872"/>
    </row>
    <row r="45" spans="1:18" s="667" customFormat="1" ht="18" customHeight="1">
      <c r="A45" s="785"/>
      <c r="B45" s="785"/>
      <c r="C45" s="786"/>
      <c r="D45" s="785"/>
      <c r="E45" s="785"/>
      <c r="F45" s="785"/>
      <c r="J45" s="633"/>
      <c r="O45" s="2603" t="s">
        <v>3179</v>
      </c>
      <c r="P45" s="774"/>
      <c r="Q45" s="774"/>
      <c r="R45" s="774"/>
    </row>
    <row r="46" spans="1:18" s="667" customFormat="1">
      <c r="A46" s="790" t="s">
        <v>3180</v>
      </c>
      <c r="C46" s="791">
        <f ca="1">C68-C40</f>
        <v>0</v>
      </c>
      <c r="D46" s="792" t="str">
        <f>C2</f>
        <v>万元</v>
      </c>
      <c r="E46" s="785"/>
      <c r="F46" s="785"/>
      <c r="I46" s="874" t="s">
        <v>3181</v>
      </c>
      <c r="J46" s="875"/>
      <c r="K46" s="876"/>
      <c r="L46" s="877">
        <f ca="1">IF(M47="住宅",0,IF(L48&gt;J51,L60,J60))</f>
        <v>48</v>
      </c>
      <c r="O46" s="878" t="s">
        <v>3182</v>
      </c>
      <c r="P46" s="879" t="s">
        <v>3183</v>
      </c>
      <c r="Q46" s="924" t="s">
        <v>3184</v>
      </c>
      <c r="R46" s="924" t="s">
        <v>3185</v>
      </c>
    </row>
    <row r="47" spans="1:18" s="667" customFormat="1">
      <c r="A47" s="793" t="s">
        <v>3081</v>
      </c>
      <c r="B47" s="794" t="s">
        <v>3082</v>
      </c>
      <c r="C47" s="2599" t="s">
        <v>3083</v>
      </c>
      <c r="D47" s="794" t="s">
        <v>3084</v>
      </c>
      <c r="E47" s="795" t="s">
        <v>3085</v>
      </c>
      <c r="F47" s="592"/>
      <c r="G47" s="796"/>
      <c r="I47" s="880" t="s">
        <v>3186</v>
      </c>
      <c r="J47" s="881" t="s">
        <v>3187</v>
      </c>
      <c r="K47" s="882" t="s">
        <v>3188</v>
      </c>
      <c r="L47" s="883">
        <f ca="1">INDIRECT("'数据-取费表'!d"&amp;$G$1)</f>
        <v>50</v>
      </c>
      <c r="M47" s="884" t="str">
        <f>IF(ISNUMBER(FIND("住宅",C1)),"住宅","非住宅")</f>
        <v>非住宅</v>
      </c>
      <c r="O47" s="885" t="s">
        <v>2991</v>
      </c>
      <c r="P47" s="886" t="s">
        <v>3189</v>
      </c>
      <c r="Q47" s="925">
        <f ca="1">C40+J29</f>
        <v>0</v>
      </c>
      <c r="R47" s="925" t="s">
        <v>3190</v>
      </c>
    </row>
    <row r="48" spans="1:18" s="667" customFormat="1" ht="39.6">
      <c r="A48" s="797" t="s">
        <v>3191</v>
      </c>
      <c r="B48" s="693" t="s">
        <v>3086</v>
      </c>
      <c r="C48" s="600">
        <f ca="1">C49+C53+C55</f>
        <v>0</v>
      </c>
      <c r="D48" s="798"/>
      <c r="E48" s="799"/>
      <c r="F48" s="800"/>
      <c r="G48" s="796"/>
      <c r="H48" s="801"/>
      <c r="I48" s="887" t="s">
        <v>3192</v>
      </c>
      <c r="J48" s="888" t="s">
        <v>3193</v>
      </c>
      <c r="K48" s="889" t="s">
        <v>3194</v>
      </c>
      <c r="L48" s="890">
        <f ca="1">INDIRECT("'数据-取费表'!f"&amp;$G$1)</f>
        <v>46.38</v>
      </c>
      <c r="O48" s="885" t="s">
        <v>2995</v>
      </c>
      <c r="P48" s="886" t="s">
        <v>3195</v>
      </c>
      <c r="Q48" s="925">
        <f ca="1">J60</f>
        <v>48</v>
      </c>
      <c r="R48" s="925" t="s">
        <v>3196</v>
      </c>
    </row>
    <row r="49" spans="1:18" s="667" customFormat="1">
      <c r="A49" s="802" t="s">
        <v>3197</v>
      </c>
      <c r="B49" s="803" t="s">
        <v>3198</v>
      </c>
      <c r="C49" s="804">
        <f ca="1">ROUND(F49*F51*F50*(1-F52)/10000,0)</f>
        <v>0</v>
      </c>
      <c r="D49" s="805" t="s">
        <v>3091</v>
      </c>
      <c r="E49" s="806" t="s">
        <v>3199</v>
      </c>
      <c r="F49" s="807"/>
      <c r="G49" s="808"/>
      <c r="H49" s="801"/>
      <c r="I49" s="887" t="s">
        <v>3200</v>
      </c>
      <c r="J49" s="891">
        <v>2023</v>
      </c>
      <c r="K49" s="889" t="s">
        <v>3201</v>
      </c>
      <c r="L49" s="892"/>
      <c r="O49" s="893" t="s">
        <v>3202</v>
      </c>
      <c r="P49" s="886" t="s">
        <v>3203</v>
      </c>
      <c r="Q49" s="925">
        <f ca="1">C29</f>
        <v>4235</v>
      </c>
      <c r="R49" s="925" t="s">
        <v>3190</v>
      </c>
    </row>
    <row r="50" spans="1:18" s="667" customFormat="1">
      <c r="A50" s="809"/>
      <c r="B50" s="810"/>
      <c r="C50" s="2600"/>
      <c r="D50" s="812"/>
      <c r="E50" s="813" t="s">
        <v>3092</v>
      </c>
      <c r="F50" s="814">
        <f ca="1">F7</f>
        <v>6410.4</v>
      </c>
      <c r="H50" s="801"/>
      <c r="I50" s="887" t="s">
        <v>3204</v>
      </c>
      <c r="J50" s="894">
        <f>SUMPRODUCT((I63:I65=J47)*(J62:L62=J48)*(J63:L65))</f>
        <v>60</v>
      </c>
      <c r="K50" s="889" t="s">
        <v>3205</v>
      </c>
      <c r="L50" s="892"/>
      <c r="M50" s="895"/>
      <c r="O50" s="893" t="s">
        <v>3206</v>
      </c>
      <c r="P50" s="886" t="s">
        <v>3207</v>
      </c>
      <c r="Q50" s="926">
        <f ca="1">J58</f>
        <v>0.4</v>
      </c>
      <c r="R50" s="925"/>
    </row>
    <row r="51" spans="1:18" s="667" customFormat="1">
      <c r="A51" s="815"/>
      <c r="B51" s="810"/>
      <c r="C51" s="811"/>
      <c r="D51" s="812"/>
      <c r="E51" s="816" t="s">
        <v>3093</v>
      </c>
      <c r="F51" s="702">
        <f ca="1">F8</f>
        <v>365</v>
      </c>
      <c r="I51" s="896" t="s">
        <v>3208</v>
      </c>
      <c r="J51" s="897">
        <f>IF(J49="",J50,J49+J50-YEAR('数据-取费表'!B2))</f>
        <v>59</v>
      </c>
      <c r="K51" s="898" t="s">
        <v>3209</v>
      </c>
      <c r="L51" s="899">
        <f ca="1">ROUND(-PV(INDIRECT("'数据-取费表'!h"&amp;$G$1),J51,(C39-C13*C76),0),0)</f>
        <v>-2868</v>
      </c>
      <c r="M51" s="900"/>
      <c r="O51" s="893" t="s">
        <v>3210</v>
      </c>
      <c r="P51" s="886" t="s">
        <v>3211</v>
      </c>
      <c r="Q51" s="926">
        <f>J52</f>
        <v>0.08</v>
      </c>
      <c r="R51" s="925"/>
    </row>
    <row r="52" spans="1:18" s="667" customFormat="1">
      <c r="A52" s="815"/>
      <c r="B52" s="810"/>
      <c r="C52" s="811"/>
      <c r="D52" s="812"/>
      <c r="E52" s="816" t="s">
        <v>3094</v>
      </c>
      <c r="F52" s="817"/>
      <c r="I52" s="901" t="s">
        <v>3212</v>
      </c>
      <c r="J52" s="902">
        <v>0.08</v>
      </c>
      <c r="K52" s="901" t="s">
        <v>3213</v>
      </c>
      <c r="L52" s="902"/>
      <c r="O52" s="893" t="s">
        <v>3214</v>
      </c>
      <c r="P52" s="886" t="s">
        <v>3215</v>
      </c>
      <c r="Q52" s="925">
        <f ca="1">J53</f>
        <v>46.38</v>
      </c>
      <c r="R52" s="925" t="s">
        <v>3216</v>
      </c>
    </row>
    <row r="53" spans="1:18" s="667" customFormat="1" ht="36">
      <c r="A53" s="2601" t="s">
        <v>3217</v>
      </c>
      <c r="B53" s="1823" t="s">
        <v>3095</v>
      </c>
      <c r="C53" s="598">
        <f ca="1">ROUND(IF(F53="押一",C49/12*F11,IF(F53="押二",C49/12*2*F11,IF(F53="押三",C49/12*3*F11,C54*F11))),0)</f>
        <v>0</v>
      </c>
      <c r="D53" s="711" t="s">
        <v>3096</v>
      </c>
      <c r="E53" s="712" t="s">
        <v>3097</v>
      </c>
      <c r="F53" s="713"/>
      <c r="I53" s="903" t="s">
        <v>3218</v>
      </c>
      <c r="J53" s="904">
        <f ca="1">IF(M47="住宅",IF(D1="——",MAX(J51,L48),MAX(J51,L48-'数据-取费表'!B24)),IF(D1="——",MIN(J51,L48),MIN(J51,L48-'数据-取费表'!B24)))</f>
        <v>46.38</v>
      </c>
      <c r="K53" s="3699" t="s">
        <v>3219</v>
      </c>
      <c r="L53" s="3700"/>
      <c r="O53" s="885" t="s">
        <v>3220</v>
      </c>
      <c r="P53" s="886" t="s">
        <v>3221</v>
      </c>
      <c r="Q53" s="925">
        <f ca="1">Q47+Q48</f>
        <v>48</v>
      </c>
      <c r="R53" s="925" t="s">
        <v>3222</v>
      </c>
    </row>
    <row r="54" spans="1:18" s="667" customFormat="1" ht="24">
      <c r="A54" s="2602"/>
      <c r="B54" s="715" t="s">
        <v>3099</v>
      </c>
      <c r="C54" s="716"/>
      <c r="D54" s="711"/>
      <c r="E54" s="820"/>
      <c r="F54" s="821"/>
      <c r="I54" s="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906"/>
      <c r="K54" s="906"/>
      <c r="L54" s="906"/>
      <c r="M54" s="808"/>
      <c r="O54" s="873" t="s">
        <v>3223</v>
      </c>
      <c r="P54" s="907"/>
      <c r="Q54" s="907"/>
      <c r="R54" s="907"/>
    </row>
    <row r="55" spans="1:18" s="667" customFormat="1">
      <c r="A55" s="719" t="s">
        <v>2819</v>
      </c>
      <c r="B55" s="720" t="s">
        <v>3101</v>
      </c>
      <c r="C55" s="721"/>
      <c r="D55" s="711"/>
      <c r="E55" s="820"/>
      <c r="F55" s="821"/>
      <c r="I55" s="908" t="s">
        <v>3224</v>
      </c>
      <c r="J55" s="909">
        <f ca="1">ROUND(IF(J47="钢混",J57/J50,1-(1-2%)*(J50-J57)/J50),3)</f>
        <v>0.21</v>
      </c>
      <c r="K55" s="910" t="s">
        <v>3225</v>
      </c>
      <c r="L55" s="911"/>
      <c r="O55" s="878" t="s">
        <v>3182</v>
      </c>
      <c r="P55" s="879" t="s">
        <v>3183</v>
      </c>
      <c r="Q55" s="924" t="s">
        <v>3184</v>
      </c>
      <c r="R55" s="924" t="s">
        <v>3185</v>
      </c>
    </row>
    <row r="56" spans="1:18" s="667" customFormat="1" ht="36">
      <c r="A56" s="822">
        <v>2</v>
      </c>
      <c r="B56" s="823" t="s">
        <v>3102</v>
      </c>
      <c r="C56" s="413">
        <f ca="1">C13</f>
        <v>4235</v>
      </c>
      <c r="D56" s="824"/>
      <c r="E56" s="825"/>
      <c r="F56" s="821"/>
      <c r="I56" s="912" t="s">
        <v>3226</v>
      </c>
      <c r="J56" s="913" t="s">
        <v>3227</v>
      </c>
      <c r="K56" s="887" t="s">
        <v>3228</v>
      </c>
      <c r="L56" s="890" t="str">
        <f ca="1">IF(L48&lt;J51,"——",L48-J53)</f>
        <v>——</v>
      </c>
      <c r="O56" s="885" t="s">
        <v>2991</v>
      </c>
      <c r="P56" s="886" t="s">
        <v>3189</v>
      </c>
      <c r="Q56" s="925">
        <f ca="1">C40+J29</f>
        <v>0</v>
      </c>
      <c r="R56" s="925" t="s">
        <v>3190</v>
      </c>
    </row>
    <row r="57" spans="1:18" s="667" customFormat="1" ht="24">
      <c r="A57" s="826"/>
      <c r="B57" s="827" t="s">
        <v>3169</v>
      </c>
      <c r="C57" s="423">
        <f ca="1">C29</f>
        <v>4235</v>
      </c>
      <c r="D57" s="828"/>
      <c r="E57" s="829"/>
      <c r="F57" s="830"/>
      <c r="I57" s="914" t="s">
        <v>3229</v>
      </c>
      <c r="J57" s="915">
        <f ca="1">IF(OR(M47="住宅",J51&lt;L48,J56="是"),"——",J51-L48)</f>
        <v>12.619999999999997</v>
      </c>
      <c r="K57" s="887" t="s">
        <v>3230</v>
      </c>
      <c r="L57" s="890" t="str">
        <f ca="1">IF(L48&lt;J51,"——",IF(L55="比较法",L49,IF(L55="基准地价",L50,L51)))</f>
        <v>——</v>
      </c>
      <c r="O57" s="885" t="s">
        <v>2995</v>
      </c>
      <c r="P57" s="886" t="s">
        <v>3231</v>
      </c>
      <c r="Q57" s="925">
        <f ca="1">L60</f>
        <v>0</v>
      </c>
      <c r="R57" s="925" t="s">
        <v>3232</v>
      </c>
    </row>
    <row r="58" spans="1:18" s="667" customFormat="1" ht="24">
      <c r="A58" s="831" t="s">
        <v>3112</v>
      </c>
      <c r="B58" s="823" t="s">
        <v>3113</v>
      </c>
      <c r="C58" s="598">
        <f ca="1">ROUND(C59+C64+C65+C66,0)</f>
        <v>17</v>
      </c>
      <c r="D58" s="832" t="s">
        <v>3114</v>
      </c>
      <c r="E58" s="833"/>
      <c r="F58" s="800"/>
      <c r="I58" s="914" t="s">
        <v>3233</v>
      </c>
      <c r="J58" s="916">
        <f ca="1">IF(J55&lt;0.4,0.4,J55)</f>
        <v>0.4</v>
      </c>
      <c r="K58" s="898" t="s">
        <v>3234</v>
      </c>
      <c r="L58" s="890" t="e">
        <f ca="1">ROUND(POWER(1+L52,L47-L48)*(POWER(1+L52,L48)-1)/(POWER(1+L52,L47)-1),4)</f>
        <v>#DIV/0!</v>
      </c>
      <c r="O58" s="893" t="s">
        <v>3202</v>
      </c>
      <c r="P58" s="886" t="s">
        <v>3235</v>
      </c>
      <c r="Q58" s="925">
        <f>IF(L55="比较法",L49,IF(L55="基准地价",L50,0))</f>
        <v>0</v>
      </c>
      <c r="R58" s="925" t="s">
        <v>3190</v>
      </c>
    </row>
    <row r="59" spans="1:18" s="667" customFormat="1" ht="24">
      <c r="A59" s="730" t="s">
        <v>2770</v>
      </c>
      <c r="B59" s="827" t="s">
        <v>3119</v>
      </c>
      <c r="C59" s="754">
        <f ca="1">ROUND(IF(AND(项目基本情况!B11="自然人",项目基本情况!B10="北京市"),C49*F59/(1+'数据-取费表'!C42),C60+C61+C62),0)</f>
        <v>0</v>
      </c>
      <c r="D59" s="834" t="s">
        <v>3120</v>
      </c>
      <c r="E59" s="835" t="s">
        <v>3121</v>
      </c>
      <c r="F59" s="756" t="str">
        <f>IF(项目基本情况!B11="企业","——",IF('数据-取费表'!B10="住宅",IF(F49*F50*F51/12/(1+'数据-取费表'!F30)&gt;100000,4%,2.5%),IF(F49*F50*F51/12/(1+'数据-取费表'!F30)&gt;100000,12%,7%)))</f>
        <v>——</v>
      </c>
      <c r="I59" s="914" t="s">
        <v>3236</v>
      </c>
      <c r="J59" s="915">
        <f ca="1">IF(OR(M47="住宅",J51&lt;L48,J56="是"),"——",ROUND(C29*J58,0))</f>
        <v>1694</v>
      </c>
      <c r="K59" s="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90" t="e">
        <f ca="1">ROUND(IF(D1="在建（套用方法）",M59,IF(D1="土地（套用方法）",N59,POWER(1+L52,L47-J51)*(POWER(1+L52,J51)-1)/(POWER(1+L52,L47)-1))),4)</f>
        <v>#DIV/0!</v>
      </c>
      <c r="M59" s="884" t="e">
        <f ca="1">ROUND(POWER(1+L52,L47-(J51+'数据-取费表'!B24))*(POWER(1+L52,(J51+'数据-取费表'!B24))-1)/(POWER(1+L52,L47)-1),4)</f>
        <v>#DIV/0!</v>
      </c>
      <c r="N59" s="884" t="e">
        <f ca="1">ROUND(POWER(1+L52,L47-(J51+'数据-取费表'!B20))*(POWER(1+L52,(J51+'数据-取费表'!B20))-1)/(POWER(1+L52,L47)-1),4)</f>
        <v>#DIV/0!</v>
      </c>
      <c r="O59" s="893" t="s">
        <v>3206</v>
      </c>
      <c r="P59" s="886" t="s">
        <v>3237</v>
      </c>
      <c r="Q59" s="926">
        <f>L52</f>
        <v>0</v>
      </c>
      <c r="R59" s="925"/>
    </row>
    <row r="60" spans="1:18" s="667" customFormat="1" ht="15.6">
      <c r="A60" s="730" t="s">
        <v>2793</v>
      </c>
      <c r="B60" s="827" t="s">
        <v>3124</v>
      </c>
      <c r="C60" s="599">
        <f ca="1">IF(项目基本情况!B11="自然人","——",ROUND(C48*F60/(1+'数据-取费表'!C42),2))</f>
        <v>0</v>
      </c>
      <c r="D60" s="835" t="s">
        <v>3125</v>
      </c>
      <c r="E60" s="827" t="s">
        <v>3110</v>
      </c>
      <c r="F60" s="746">
        <f t="shared" ref="F60:F66" si="0">F32</f>
        <v>5.6000000000000001E-2</v>
      </c>
      <c r="I60" s="917" t="s">
        <v>3238</v>
      </c>
      <c r="J60" s="918">
        <f ca="1">IF(OR(M47="住宅",J51&lt;L48,J56="是"),"0",ROUND(J59/(1+J52)^J53,0))</f>
        <v>48</v>
      </c>
      <c r="K60" s="919" t="s">
        <v>3239</v>
      </c>
      <c r="L60" s="918">
        <f ca="1">IF(OR(M47="住宅",L48&lt;J51),0,ROUND(L57*(L58/L59-1),0))</f>
        <v>0</v>
      </c>
      <c r="O60" s="893" t="s">
        <v>3210</v>
      </c>
      <c r="P60" s="886" t="s">
        <v>3240</v>
      </c>
      <c r="Q60" s="925" t="e">
        <f ca="1">L58</f>
        <v>#DIV/0!</v>
      </c>
      <c r="R60" s="925" t="s">
        <v>3241</v>
      </c>
    </row>
    <row r="61" spans="1:18" s="667" customFormat="1">
      <c r="A61" s="730" t="s">
        <v>2797</v>
      </c>
      <c r="B61" s="827" t="s">
        <v>3128</v>
      </c>
      <c r="C61" s="599">
        <f ca="1">IF(项目基本情况!B11="自然人","——",IF(D61="按租金收入计税",ROUND(C49*F61/(1+'数据-取费表'!C42),2),IF(D61="按房产原值计税",ROUND(C57*F61*0.7,2),INDIRECT("'数据-取费表'!Aj"&amp;$G$1))))</f>
        <v>0</v>
      </c>
      <c r="D61" s="758" t="s">
        <v>3129</v>
      </c>
      <c r="E61" s="827" t="s">
        <v>3110</v>
      </c>
      <c r="F61" s="739">
        <f t="shared" si="0"/>
        <v>0.12</v>
      </c>
      <c r="I61" s="774"/>
      <c r="J61" s="774"/>
      <c r="K61" s="774"/>
      <c r="L61" s="774"/>
      <c r="O61" s="893" t="s">
        <v>3214</v>
      </c>
      <c r="P61" s="886" t="str">
        <f>K59</f>
        <v>建筑物剩余耐用年限下的土地年期修正系数Kn</v>
      </c>
      <c r="Q61" s="925" t="e">
        <f ca="1">L59</f>
        <v>#DIV/0!</v>
      </c>
      <c r="R61" s="925" t="s">
        <v>3242</v>
      </c>
    </row>
    <row r="62" spans="1:18" s="667" customFormat="1">
      <c r="A62" s="730" t="s">
        <v>2800</v>
      </c>
      <c r="B62" s="836" t="s">
        <v>3132</v>
      </c>
      <c r="C62" s="760">
        <f ca="1">IF(项目基本情况!B11="自然人","——",ROUND(F62*F63/10000,2))</f>
        <v>0</v>
      </c>
      <c r="D62" s="837" t="s">
        <v>3133</v>
      </c>
      <c r="E62" s="827" t="s">
        <v>3134</v>
      </c>
      <c r="F62" s="745">
        <f t="shared" si="0"/>
        <v>0</v>
      </c>
      <c r="I62" s="920" t="s">
        <v>3243</v>
      </c>
      <c r="J62" s="921" t="s">
        <v>3244</v>
      </c>
      <c r="K62" s="921" t="s">
        <v>3245</v>
      </c>
      <c r="L62" s="921" t="s">
        <v>3246</v>
      </c>
      <c r="M62" s="922" t="s">
        <v>3247</v>
      </c>
      <c r="O62" s="885" t="s">
        <v>3220</v>
      </c>
      <c r="P62" s="886" t="s">
        <v>3221</v>
      </c>
      <c r="Q62" s="925">
        <f ca="1">Q56+Q57</f>
        <v>0</v>
      </c>
      <c r="R62" s="925" t="s">
        <v>3222</v>
      </c>
    </row>
    <row r="63" spans="1:18" s="667" customFormat="1">
      <c r="A63" s="743"/>
      <c r="B63" s="838"/>
      <c r="C63" s="764"/>
      <c r="D63" s="839"/>
      <c r="E63" s="827" t="s">
        <v>3138</v>
      </c>
      <c r="F63" s="702">
        <f t="shared" ca="1" si="0"/>
        <v>0</v>
      </c>
      <c r="I63" s="920" t="s">
        <v>3248</v>
      </c>
      <c r="J63" s="921">
        <v>70</v>
      </c>
      <c r="K63" s="921">
        <v>50</v>
      </c>
      <c r="L63" s="921">
        <v>80</v>
      </c>
      <c r="M63" s="923">
        <v>0.02</v>
      </c>
      <c r="O63" s="873" t="s">
        <v>3249</v>
      </c>
      <c r="P63" s="907"/>
      <c r="Q63" s="907"/>
      <c r="R63" s="907"/>
    </row>
    <row r="64" spans="1:18" s="667" customFormat="1">
      <c r="A64" s="730" t="s">
        <v>2774</v>
      </c>
      <c r="B64" s="827" t="s">
        <v>3140</v>
      </c>
      <c r="C64" s="599">
        <f ca="1">ROUND(C57*F64,2)</f>
        <v>12.71</v>
      </c>
      <c r="D64" s="835" t="s">
        <v>3174</v>
      </c>
      <c r="E64" s="827" t="s">
        <v>3110</v>
      </c>
      <c r="F64" s="767">
        <f t="shared" ca="1" si="0"/>
        <v>3.0000000000000001E-3</v>
      </c>
      <c r="I64" s="920" t="s">
        <v>3250</v>
      </c>
      <c r="J64" s="921">
        <v>50</v>
      </c>
      <c r="K64" s="921">
        <v>35</v>
      </c>
      <c r="L64" s="921">
        <v>60</v>
      </c>
      <c r="M64" s="922">
        <v>0</v>
      </c>
      <c r="O64" s="878" t="s">
        <v>3182</v>
      </c>
      <c r="P64" s="879" t="s">
        <v>3183</v>
      </c>
      <c r="Q64" s="924" t="s">
        <v>3184</v>
      </c>
      <c r="R64" s="924" t="s">
        <v>3185</v>
      </c>
    </row>
    <row r="65" spans="1:18" s="667" customFormat="1">
      <c r="A65" s="730" t="s">
        <v>2819</v>
      </c>
      <c r="B65" s="827" t="s">
        <v>3144</v>
      </c>
      <c r="C65" s="599">
        <f ca="1">ROUND(C56*F65,2)</f>
        <v>4.24</v>
      </c>
      <c r="D65" s="835" t="s">
        <v>3145</v>
      </c>
      <c r="E65" s="827" t="s">
        <v>3110</v>
      </c>
      <c r="F65" s="768">
        <f t="shared" ca="1" si="0"/>
        <v>1E-3</v>
      </c>
      <c r="I65" s="920" t="s">
        <v>3251</v>
      </c>
      <c r="J65" s="921">
        <v>40</v>
      </c>
      <c r="K65" s="921">
        <v>30</v>
      </c>
      <c r="L65" s="921">
        <v>50</v>
      </c>
      <c r="M65" s="923">
        <v>0.02</v>
      </c>
      <c r="O65" s="885" t="s">
        <v>2991</v>
      </c>
      <c r="P65" s="886" t="s">
        <v>3189</v>
      </c>
      <c r="Q65" s="925">
        <f ca="1">C40+J29</f>
        <v>0</v>
      </c>
      <c r="R65" s="925" t="s">
        <v>3190</v>
      </c>
    </row>
    <row r="66" spans="1:18" s="667" customFormat="1" ht="15.6">
      <c r="A66" s="730" t="s">
        <v>2822</v>
      </c>
      <c r="B66" s="827" t="s">
        <v>3130</v>
      </c>
      <c r="C66" s="599">
        <f ca="1">ROUND(C48*F66,2)</f>
        <v>0</v>
      </c>
      <c r="D66" s="835" t="s">
        <v>3148</v>
      </c>
      <c r="E66" s="827" t="s">
        <v>3110</v>
      </c>
      <c r="F66" s="709">
        <f t="shared" ca="1" si="0"/>
        <v>0.01</v>
      </c>
      <c r="O66" s="885" t="s">
        <v>2995</v>
      </c>
      <c r="P66" s="886" t="s">
        <v>3231</v>
      </c>
      <c r="Q66" s="925">
        <f ca="1">L60</f>
        <v>0</v>
      </c>
      <c r="R66" s="925" t="s">
        <v>3232</v>
      </c>
    </row>
    <row r="67" spans="1:18" s="667" customFormat="1" ht="24">
      <c r="A67" s="822" t="s">
        <v>3151</v>
      </c>
      <c r="B67" s="927" t="s">
        <v>3152</v>
      </c>
      <c r="C67" s="598">
        <f ca="1">C48-C58</f>
        <v>-17</v>
      </c>
      <c r="D67" s="834" t="s">
        <v>3153</v>
      </c>
      <c r="E67" s="928"/>
      <c r="F67" s="929"/>
      <c r="O67" s="893" t="s">
        <v>3202</v>
      </c>
      <c r="P67" s="886" t="s">
        <v>3235</v>
      </c>
      <c r="Q67" s="950">
        <f ca="1">L51</f>
        <v>-2868</v>
      </c>
      <c r="R67" s="925" t="s">
        <v>3252</v>
      </c>
    </row>
    <row r="68" spans="1:18" s="667" customFormat="1" ht="15.6">
      <c r="A68" s="930" t="s">
        <v>3157</v>
      </c>
      <c r="B68" s="931" t="s">
        <v>3175</v>
      </c>
      <c r="C68" s="773">
        <f ca="1">ROUND(C67*(1-((1+F70)/(1+F68))^F69)/(F68-F70),0)</f>
        <v>0</v>
      </c>
      <c r="D68" s="837" t="s">
        <v>3159</v>
      </c>
      <c r="E68" s="827" t="s">
        <v>3160</v>
      </c>
      <c r="F68" s="709">
        <f ca="1">F40</f>
        <v>0.05</v>
      </c>
      <c r="O68" s="893" t="s">
        <v>3206</v>
      </c>
      <c r="P68" s="949" t="s">
        <v>3253</v>
      </c>
      <c r="Q68" s="925">
        <f ca="1">ROUND(Q69-Q70*Q71,0)</f>
        <v>-139</v>
      </c>
      <c r="R68" s="925" t="s">
        <v>3254</v>
      </c>
    </row>
    <row r="69" spans="1:18" s="667" customFormat="1">
      <c r="A69" s="932"/>
      <c r="B69" s="933"/>
      <c r="C69" s="708"/>
      <c r="D69" s="934" t="s">
        <v>3163</v>
      </c>
      <c r="E69" s="827" t="s">
        <v>3164</v>
      </c>
      <c r="F69" s="777">
        <f ca="1">F41</f>
        <v>0</v>
      </c>
      <c r="O69" s="893" t="s">
        <v>3255</v>
      </c>
      <c r="P69" s="949" t="s">
        <v>3256</v>
      </c>
      <c r="Q69" s="925">
        <f ca="1">C39</f>
        <v>157</v>
      </c>
      <c r="R69" s="925" t="s">
        <v>3190</v>
      </c>
    </row>
    <row r="70" spans="1:18" s="667" customFormat="1">
      <c r="A70" s="935"/>
      <c r="B70" s="936"/>
      <c r="C70" s="727"/>
      <c r="D70" s="839"/>
      <c r="E70" s="827" t="s">
        <v>3167</v>
      </c>
      <c r="F70" s="817"/>
      <c r="O70" s="893" t="s">
        <v>3257</v>
      </c>
      <c r="P70" s="949" t="s">
        <v>3258</v>
      </c>
      <c r="Q70" s="925">
        <f ca="1">C13</f>
        <v>4235</v>
      </c>
      <c r="R70" s="925" t="s">
        <v>3190</v>
      </c>
    </row>
    <row r="71" spans="1:18" s="667" customFormat="1">
      <c r="A71" s="937" t="s">
        <v>3170</v>
      </c>
      <c r="B71" s="938" t="s">
        <v>3176</v>
      </c>
      <c r="C71" s="781">
        <f ca="1">ROUND(C68*10000/F71,0)</f>
        <v>0</v>
      </c>
      <c r="D71" s="939" t="s">
        <v>3177</v>
      </c>
      <c r="E71" s="940" t="s">
        <v>3178</v>
      </c>
      <c r="F71" s="784">
        <f ca="1">F43</f>
        <v>6410.4</v>
      </c>
      <c r="O71" s="893" t="s">
        <v>3259</v>
      </c>
      <c r="P71" s="949" t="s">
        <v>3260</v>
      </c>
      <c r="Q71" s="926">
        <f ca="1">C76</f>
        <v>7.0000000000000007E-2</v>
      </c>
      <c r="R71" s="925"/>
    </row>
    <row r="72" spans="1:18" s="667" customFormat="1">
      <c r="B72" s="633"/>
      <c r="C72" s="633"/>
      <c r="O72" s="893" t="s">
        <v>3210</v>
      </c>
      <c r="P72" s="886" t="s">
        <v>3237</v>
      </c>
      <c r="Q72" s="926">
        <f>L52</f>
        <v>0</v>
      </c>
      <c r="R72" s="925"/>
    </row>
    <row r="73" spans="1:18" ht="15.6">
      <c r="A73" s="667"/>
      <c r="B73" s="633"/>
      <c r="C73" s="633"/>
      <c r="D73" s="667"/>
      <c r="E73" s="667"/>
      <c r="F73" s="667"/>
      <c r="O73" s="893" t="s">
        <v>3214</v>
      </c>
      <c r="P73" s="886" t="s">
        <v>3240</v>
      </c>
      <c r="Q73" s="925" t="e">
        <f ca="1">L58</f>
        <v>#DIV/0!</v>
      </c>
      <c r="R73" s="925" t="s">
        <v>3241</v>
      </c>
    </row>
    <row r="74" spans="1:18">
      <c r="A74" s="667"/>
      <c r="B74" s="455" t="s">
        <v>3261</v>
      </c>
      <c r="C74" s="941"/>
      <c r="D74" s="667"/>
      <c r="E74" s="667"/>
      <c r="F74" s="667"/>
      <c r="O74" s="893" t="s">
        <v>3262</v>
      </c>
      <c r="P74" s="886" t="str">
        <f>K59</f>
        <v>建筑物剩余耐用年限下的土地年期修正系数Kn</v>
      </c>
      <c r="Q74" s="925" t="e">
        <f ca="1">L59</f>
        <v>#DIV/0!</v>
      </c>
      <c r="R74" s="925" t="s">
        <v>3242</v>
      </c>
    </row>
    <row r="75" spans="1:18">
      <c r="A75" s="667"/>
      <c r="B75" s="942" t="s">
        <v>3263</v>
      </c>
      <c r="C75" s="943">
        <f ca="1">ROUND(C13*C76,0)</f>
        <v>296</v>
      </c>
      <c r="D75" s="667"/>
      <c r="E75" s="667"/>
      <c r="F75" s="667"/>
      <c r="K75" s="872"/>
      <c r="L75" s="667"/>
      <c r="O75" s="885" t="s">
        <v>3220</v>
      </c>
      <c r="P75" s="886" t="s">
        <v>3221</v>
      </c>
      <c r="Q75" s="925">
        <f ca="1">Q65+Q66</f>
        <v>0</v>
      </c>
      <c r="R75" s="925" t="s">
        <v>3222</v>
      </c>
    </row>
    <row r="76" spans="1:18">
      <c r="B76" s="944" t="s">
        <v>3264</v>
      </c>
      <c r="C76" s="945">
        <f ca="1">INDIRECT("'数据-取费表'!j"&amp;$G$1)</f>
        <v>7.0000000000000007E-2</v>
      </c>
      <c r="I76" s="667"/>
      <c r="J76" s="667"/>
      <c r="K76" s="872"/>
      <c r="L76" s="667"/>
    </row>
    <row r="77" spans="1:18">
      <c r="B77" s="946" t="s">
        <v>3265</v>
      </c>
      <c r="C77" s="947"/>
      <c r="I77" s="667"/>
      <c r="J77" s="667"/>
      <c r="K77" s="872"/>
      <c r="L77" s="667"/>
    </row>
    <row r="78" spans="1:18">
      <c r="B78" s="453" t="s">
        <v>3266</v>
      </c>
      <c r="C78" s="948"/>
    </row>
    <row r="79" spans="1:18">
      <c r="B79" s="942" t="s">
        <v>3267</v>
      </c>
      <c r="C79" s="456">
        <f ca="1">1-C80</f>
        <v>-0.88500000000000001</v>
      </c>
    </row>
    <row r="80" spans="1:18">
      <c r="B80" s="942" t="s">
        <v>3268</v>
      </c>
      <c r="C80" s="456">
        <f ca="1">ROUND(C75/C39,3)</f>
        <v>1.885</v>
      </c>
    </row>
    <row r="81" spans="2:3">
      <c r="B81" s="453" t="s">
        <v>3269</v>
      </c>
      <c r="C81" s="423"/>
    </row>
    <row r="82" spans="2:3">
      <c r="B82" s="455" t="s">
        <v>3072</v>
      </c>
      <c r="C82" s="457" t="e">
        <f ca="1">1-C83</f>
        <v>#DIV/0!</v>
      </c>
    </row>
    <row r="83" spans="2:3">
      <c r="B83" s="455" t="s">
        <v>3073</v>
      </c>
      <c r="C83" s="456"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conditionalFormatting sqref="I55 I60">
    <cfRule type="expression" dxfId="171" priority="57">
      <formula>$J$51&gt;$L$48</formula>
    </cfRule>
  </conditionalFormatting>
  <conditionalFormatting sqref="K55 K60">
    <cfRule type="expression" dxfId="170"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D17" sqref="D17"/>
    </sheetView>
  </sheetViews>
  <sheetFormatPr defaultColWidth="12.6640625" defaultRowHeight="21.75" customHeight="1"/>
  <cols>
    <col min="1" max="2" width="12.6640625" style="1678"/>
    <col min="3" max="4" width="12.6640625" style="1678" customWidth="1"/>
    <col min="5" max="9" width="12.6640625" style="1678"/>
    <col min="10" max="11" width="12.6640625" style="545" customWidth="1"/>
    <col min="12" max="12" width="12.6640625" style="545"/>
    <col min="13" max="13" width="14.109375" style="545" customWidth="1"/>
    <col min="14" max="26" width="12.6640625" style="545"/>
    <col min="27" max="35" width="12.6640625" style="1677"/>
    <col min="36" max="16384" width="12.6640625" style="1678"/>
  </cols>
  <sheetData>
    <row r="1" spans="1:12" ht="21.75" customHeight="1">
      <c r="A1" s="1679" t="s">
        <v>2644</v>
      </c>
      <c r="B1" s="1680"/>
      <c r="C1" s="1681" t="s">
        <v>551</v>
      </c>
      <c r="D1" s="1680"/>
      <c r="E1" s="1680"/>
      <c r="F1" s="1682" t="s">
        <v>2645</v>
      </c>
      <c r="G1" s="1683"/>
      <c r="H1" s="1684" t="str">
        <f>IF(G1="现房","——","估价对象范围")</f>
        <v>估价对象范围</v>
      </c>
      <c r="I1" s="1821"/>
    </row>
    <row r="2" spans="1:12" ht="21.75" customHeight="1">
      <c r="A2" s="3632" t="str">
        <f>项目基本情况!S2</f>
        <v>北京市房地产</v>
      </c>
      <c r="B2" s="3633"/>
      <c r="C2" s="3633"/>
      <c r="D2" s="3633"/>
      <c r="E2" s="3633"/>
      <c r="F2" s="3633"/>
      <c r="G2" s="3633"/>
      <c r="H2" s="3633"/>
      <c r="I2" s="3634"/>
    </row>
    <row r="3" spans="1:12" ht="13.2">
      <c r="A3" s="3635" t="s">
        <v>2646</v>
      </c>
      <c r="B3" s="3636"/>
      <c r="C3" s="3636"/>
      <c r="D3" s="3636"/>
      <c r="E3" s="3636"/>
      <c r="F3" s="3636"/>
      <c r="G3" s="3636"/>
      <c r="H3" s="3636"/>
      <c r="I3" s="3636"/>
    </row>
    <row r="4" spans="1:12" ht="14.4">
      <c r="A4" s="1685" t="s">
        <v>2647</v>
      </c>
      <c r="B4" s="1686" t="s">
        <v>2648</v>
      </c>
      <c r="C4" s="1687" t="s">
        <v>3270</v>
      </c>
      <c r="D4" s="1687" t="s">
        <v>315</v>
      </c>
      <c r="E4" s="3637" t="s">
        <v>2650</v>
      </c>
      <c r="F4" s="3638"/>
      <c r="G4" s="3638"/>
      <c r="H4" s="3638"/>
      <c r="I4" s="3639"/>
      <c r="K4" s="546" t="str">
        <f>IF(ISNUMBER(FIND("比较法",结果表仓储!C4)),"比较法",IF(ISNUMBER(FIND("成本法",结果表仓储!C4)),"成本法",IF(ISNUMBER(FIND("假设开发法",结果表仓储!C4)),"假设开发法",IF(ISNUMBER(FIND("收益法",结果表仓储!C4)),"收益法","基准地价系数修正法"))))</f>
        <v>比较法</v>
      </c>
      <c r="L4" s="546" t="str">
        <f>IF(ISNUMBER(FIND("比较法",结果表仓储!D4)),"比较法",IF(ISNUMBER(FIND("成本法",结果表仓储!D4)),"成本法",IF(ISNUMBER(FIND("假设开发法",结果表仓储!D4)),"假设开发法",IF(ISNUMBER(FIND("收益法",结果表仓储!D4)),"收益法","基准地价系数修正法"))))</f>
        <v>成本法</v>
      </c>
    </row>
    <row r="5" spans="1:12" ht="13.2">
      <c r="A5" s="3565" t="s">
        <v>2651</v>
      </c>
      <c r="B5" s="3573">
        <v>25</v>
      </c>
      <c r="C5" s="3576"/>
      <c r="D5" s="3579"/>
      <c r="E5" s="741" t="s">
        <v>2652</v>
      </c>
      <c r="F5" s="1692"/>
      <c r="G5" s="1692"/>
      <c r="H5" s="1692"/>
      <c r="I5" s="1823"/>
    </row>
    <row r="6" spans="1:12" ht="13.2">
      <c r="A6" s="3565"/>
      <c r="B6" s="3573"/>
      <c r="C6" s="3577"/>
      <c r="D6" s="3579"/>
      <c r="E6" s="741" t="s">
        <v>2653</v>
      </c>
      <c r="F6" s="1692"/>
      <c r="G6" s="1692"/>
      <c r="H6" s="1692"/>
      <c r="I6" s="1823"/>
    </row>
    <row r="7" spans="1:12" ht="13.2">
      <c r="A7" s="3565"/>
      <c r="B7" s="3573"/>
      <c r="C7" s="3578"/>
      <c r="D7" s="3579"/>
      <c r="E7" s="741" t="s">
        <v>2654</v>
      </c>
      <c r="F7" s="1692"/>
      <c r="G7" s="1692"/>
      <c r="H7" s="1692"/>
      <c r="I7" s="1823"/>
    </row>
    <row r="8" spans="1:12" ht="13.2">
      <c r="A8" s="3565" t="s">
        <v>2655</v>
      </c>
      <c r="B8" s="3573">
        <v>15</v>
      </c>
      <c r="C8" s="3576"/>
      <c r="D8" s="3579"/>
      <c r="E8" s="741" t="s">
        <v>2656</v>
      </c>
      <c r="F8" s="1692"/>
      <c r="G8" s="1692"/>
      <c r="H8" s="1692"/>
      <c r="I8" s="1823"/>
    </row>
    <row r="9" spans="1:12" ht="13.2">
      <c r="A9" s="3565"/>
      <c r="B9" s="3573"/>
      <c r="C9" s="3578"/>
      <c r="D9" s="3579"/>
      <c r="E9" s="741" t="s">
        <v>2657</v>
      </c>
      <c r="F9" s="1692"/>
      <c r="G9" s="1692"/>
      <c r="H9" s="1692"/>
      <c r="I9" s="1823"/>
    </row>
    <row r="10" spans="1:12" ht="13.2">
      <c r="A10" s="3565" t="s">
        <v>2658</v>
      </c>
      <c r="B10" s="3573">
        <v>15</v>
      </c>
      <c r="C10" s="3576"/>
      <c r="D10" s="3579"/>
      <c r="E10" s="741" t="s">
        <v>2659</v>
      </c>
      <c r="F10" s="1692"/>
      <c r="G10" s="1692"/>
      <c r="H10" s="1692"/>
      <c r="I10" s="1823"/>
    </row>
    <row r="11" spans="1:12" ht="13.2">
      <c r="A11" s="3565"/>
      <c r="B11" s="3573"/>
      <c r="C11" s="3578"/>
      <c r="D11" s="3579"/>
      <c r="E11" s="741" t="s">
        <v>2660</v>
      </c>
      <c r="F11" s="1692"/>
      <c r="G11" s="1692"/>
      <c r="H11" s="1692"/>
      <c r="I11" s="1823"/>
    </row>
    <row r="12" spans="1:12" ht="13.2">
      <c r="A12" s="3565" t="s">
        <v>2661</v>
      </c>
      <c r="B12" s="3573">
        <v>15</v>
      </c>
      <c r="C12" s="3576"/>
      <c r="D12" s="3579"/>
      <c r="E12" s="741" t="s">
        <v>2662</v>
      </c>
      <c r="F12" s="1692"/>
      <c r="G12" s="1692"/>
      <c r="H12" s="1692"/>
      <c r="I12" s="1823"/>
    </row>
    <row r="13" spans="1:12" ht="13.2">
      <c r="A13" s="3565"/>
      <c r="B13" s="3573"/>
      <c r="C13" s="3578"/>
      <c r="D13" s="3579"/>
      <c r="E13" s="741" t="s">
        <v>2663</v>
      </c>
      <c r="F13" s="1692"/>
      <c r="G13" s="1692"/>
      <c r="H13" s="1692"/>
      <c r="I13" s="1823"/>
    </row>
    <row r="14" spans="1:12" ht="13.2">
      <c r="A14" s="3565" t="s">
        <v>2664</v>
      </c>
      <c r="B14" s="3573">
        <v>30</v>
      </c>
      <c r="C14" s="3576">
        <v>7</v>
      </c>
      <c r="D14" s="3579">
        <v>3</v>
      </c>
      <c r="E14" s="741" t="s">
        <v>2665</v>
      </c>
      <c r="F14" s="1692"/>
      <c r="G14" s="1692"/>
      <c r="H14" s="1692"/>
      <c r="I14" s="1823"/>
    </row>
    <row r="15" spans="1:12" ht="13.2">
      <c r="A15" s="3565"/>
      <c r="B15" s="3573"/>
      <c r="C15" s="3577"/>
      <c r="D15" s="3579"/>
      <c r="E15" s="741" t="s">
        <v>2666</v>
      </c>
      <c r="F15" s="1692"/>
      <c r="G15" s="1692"/>
      <c r="H15" s="1692"/>
      <c r="I15" s="1823"/>
    </row>
    <row r="16" spans="1:12" ht="13.2">
      <c r="A16" s="3565"/>
      <c r="B16" s="3573"/>
      <c r="C16" s="3578"/>
      <c r="D16" s="3579"/>
      <c r="E16" s="741" t="s">
        <v>2667</v>
      </c>
      <c r="F16" s="1692"/>
      <c r="G16" s="1692"/>
      <c r="H16" s="1692"/>
      <c r="I16" s="1823"/>
    </row>
    <row r="17" spans="1:36" ht="14.4">
      <c r="A17" s="1693" t="s">
        <v>2668</v>
      </c>
      <c r="B17" s="1694"/>
      <c r="C17" s="1695">
        <f>SUM(C5:C16)</f>
        <v>7</v>
      </c>
      <c r="D17" s="1695">
        <f>SUM(D5:D16)</f>
        <v>3</v>
      </c>
      <c r="E17" s="588"/>
      <c r="F17" s="588"/>
      <c r="G17" s="588"/>
      <c r="H17" s="588"/>
      <c r="I17" s="588"/>
      <c r="K17" s="701"/>
      <c r="L17" s="701" t="s">
        <v>2669</v>
      </c>
      <c r="M17" s="701" t="s">
        <v>2670</v>
      </c>
    </row>
    <row r="18" spans="1:36" ht="31.95" customHeight="1">
      <c r="A18" s="1696" t="s">
        <v>2671</v>
      </c>
      <c r="B18" s="1697"/>
      <c r="C18" s="1698">
        <f>ROUND(C17/SUM(C17:D17),2)</f>
        <v>0.7</v>
      </c>
      <c r="D18" s="1698">
        <f>1-C18</f>
        <v>0.30000000000000004</v>
      </c>
      <c r="E18" s="3640" t="s">
        <v>2672</v>
      </c>
      <c r="F18" s="3641"/>
      <c r="G18" s="3641"/>
      <c r="H18" s="3641"/>
      <c r="I18" s="3641"/>
      <c r="K18" s="701" t="s">
        <v>458</v>
      </c>
      <c r="L18" s="701">
        <f>IF(C1="",'数据-汇总表'!E3,SUMIF(项目类型,C1,'数据-汇总表'!E17:E26)+SUMIF(项目类型,C1,'数据-汇总表'!I17:I26))</f>
        <v>6410.4</v>
      </c>
      <c r="M18" s="701">
        <f>IF(C1="",'数据-汇总表'!E3,SUMIF(项目类型,C1,'数据-汇总表'!E17:E26))</f>
        <v>6410.4</v>
      </c>
    </row>
    <row r="19" spans="1:36" ht="14.4">
      <c r="A19" s="1699" t="s">
        <v>2673</v>
      </c>
      <c r="B19" s="1700" t="s">
        <v>2674</v>
      </c>
      <c r="C19" s="1701">
        <f ca="1">SUMIF(INDIRECT("'"&amp;C4&amp;"'"&amp;"!A:A"),结果表仓储!B19,INDIRECT("'"&amp;C4&amp;"'"&amp;"!B:B"))</f>
        <v>18879</v>
      </c>
      <c r="D19" s="1702">
        <f ca="1">SUMIF(INDIRECT("'"&amp;D4&amp;"'"&amp;"!A:A"),结果表仓储!B19,INDIRECT("'"&amp;D4&amp;"'"&amp;"!B:B"))</f>
        <v>9050</v>
      </c>
      <c r="E19" s="1699" t="s">
        <v>2675</v>
      </c>
      <c r="F19" s="1700" t="s">
        <v>2674</v>
      </c>
      <c r="G19" s="1703">
        <f ca="1">ROUND(C19*$C$18+D19*$D$18,0)</f>
        <v>15930</v>
      </c>
      <c r="H19" s="1704" t="s">
        <v>2676</v>
      </c>
      <c r="I19" s="588"/>
      <c r="K19" s="701" t="s">
        <v>462</v>
      </c>
      <c r="L19" s="701">
        <f>IF(C1="",'数据-汇总表'!D3,SUMIF(项目类型,C1,'数据-汇总表'!D17:D26)+SUMIF(项目类型,C1,'数据-汇总表'!H17:H27))</f>
        <v>0</v>
      </c>
      <c r="M19" s="701">
        <f>IF(C1="",'数据-汇总表'!D3,SUMIF(项目类型,C1,'数据-汇总表'!D17:D26))</f>
        <v>0</v>
      </c>
    </row>
    <row r="20" spans="1:36" ht="14.4">
      <c r="A20" s="1705"/>
      <c r="B20" s="1706" t="s">
        <v>2677</v>
      </c>
      <c r="C20" s="1707">
        <f ca="1">SUMIF(INDIRECT("'"&amp;C4&amp;"'"&amp;"!A:A"),结果表仓储!B20,INDIRECT("'"&amp;C4&amp;"'"&amp;"!B:B"))</f>
        <v>29451</v>
      </c>
      <c r="D20" s="1708">
        <f ca="1">SUMIF(INDIRECT("'"&amp;D4&amp;"'"&amp;"!A:A"),结果表仓储!B20,INDIRECT("'"&amp;D4&amp;"'"&amp;"!B:B"))</f>
        <v>14118</v>
      </c>
      <c r="E20" s="1705"/>
      <c r="F20" s="1706" t="s">
        <v>2677</v>
      </c>
      <c r="G20" s="1709">
        <f ca="1">ROUND(C20*$C$18+D20*$D$18,0)</f>
        <v>24851</v>
      </c>
      <c r="H20" s="857" t="s">
        <v>2678</v>
      </c>
      <c r="I20" s="588"/>
    </row>
    <row r="21" spans="1:36" ht="15" customHeight="1">
      <c r="A21" s="1710"/>
      <c r="B21" s="1711" t="s">
        <v>2679</v>
      </c>
      <c r="C21" s="1712" t="e">
        <f ca="1">ROUND(C19*10000/L19,0)</f>
        <v>#DIV/0!</v>
      </c>
      <c r="D21" s="1713" t="e">
        <f ca="1">ROUND(D19*10000/L19,0)</f>
        <v>#DIV/0!</v>
      </c>
      <c r="E21" s="1710"/>
      <c r="F21" s="1711" t="s">
        <v>2679</v>
      </c>
      <c r="G21" s="1714" t="e">
        <f ca="1">ROUND(G19*10000/L19,0)</f>
        <v>#DIV/0!</v>
      </c>
      <c r="H21" s="1715" t="s">
        <v>2678</v>
      </c>
      <c r="I21" s="588"/>
    </row>
    <row r="22" spans="1:36" ht="14.4">
      <c r="A22" s="1716" t="s">
        <v>2680</v>
      </c>
      <c r="B22" s="1717"/>
      <c r="C22" s="1718"/>
      <c r="D22" s="1719">
        <f ca="1">IF(C19&lt;D19,D19/C19-1,C19/D19-1)</f>
        <v>1.0860773480662984</v>
      </c>
      <c r="E22" s="588"/>
      <c r="F22" s="588"/>
      <c r="G22" s="588"/>
      <c r="H22" s="588"/>
      <c r="I22" s="588"/>
    </row>
    <row r="23" spans="1:36" ht="13.2">
      <c r="A23" s="1680"/>
      <c r="B23" s="1680"/>
      <c r="C23" s="1680"/>
      <c r="D23" s="1680"/>
      <c r="E23" s="588"/>
      <c r="F23" s="588"/>
      <c r="G23" s="588"/>
      <c r="H23" s="588"/>
      <c r="I23" s="588"/>
    </row>
    <row r="24" spans="1:36" ht="14.4">
      <c r="A24" s="3566" t="s">
        <v>2681</v>
      </c>
      <c r="B24" s="1700" t="s">
        <v>2674</v>
      </c>
      <c r="C24" s="1703">
        <f>IF(B30=0,0,D30)</f>
        <v>0</v>
      </c>
      <c r="D24" s="1720"/>
      <c r="E24" s="588"/>
      <c r="F24" s="588"/>
      <c r="G24" s="588"/>
      <c r="H24" s="588"/>
      <c r="I24" s="588"/>
    </row>
    <row r="25" spans="1:36" ht="14.4">
      <c r="A25" s="3567"/>
      <c r="B25" s="1706" t="s">
        <v>2677</v>
      </c>
      <c r="C25" s="1721">
        <f>IF(B30=0,0,C30)</f>
        <v>0</v>
      </c>
      <c r="D25" s="1722"/>
      <c r="E25" s="588"/>
      <c r="F25" s="588"/>
      <c r="G25" s="588"/>
      <c r="H25" s="588"/>
      <c r="I25" s="588"/>
    </row>
    <row r="26" spans="1:36" ht="13.5" customHeight="1">
      <c r="A26" s="1723" t="s">
        <v>2682</v>
      </c>
      <c r="B26" s="1724" t="s">
        <v>2683</v>
      </c>
      <c r="C26" s="1724" t="s">
        <v>2684</v>
      </c>
      <c r="D26" s="1725" t="s">
        <v>2685</v>
      </c>
      <c r="E26" s="588"/>
      <c r="F26" s="588"/>
      <c r="G26" s="588"/>
      <c r="H26" s="588"/>
      <c r="I26" s="588"/>
    </row>
    <row r="27" spans="1:36" ht="13.8">
      <c r="A27" s="1723"/>
      <c r="B27" s="1724">
        <v>0</v>
      </c>
      <c r="C27" s="1724">
        <v>0</v>
      </c>
      <c r="D27" s="1725">
        <f>ROUND(C27*B27/10000,0)</f>
        <v>0</v>
      </c>
      <c r="E27" s="588"/>
      <c r="F27" s="588"/>
      <c r="G27" s="588"/>
      <c r="H27" s="588"/>
      <c r="I27" s="588"/>
    </row>
    <row r="28" spans="1:36" ht="13.8">
      <c r="A28" s="1723"/>
      <c r="B28" s="1724"/>
      <c r="C28" s="1724"/>
      <c r="D28" s="1725"/>
      <c r="E28" s="588"/>
      <c r="F28" s="588"/>
      <c r="G28" s="588"/>
      <c r="H28" s="588"/>
      <c r="I28" s="588"/>
    </row>
    <row r="29" spans="1:36" ht="13.8">
      <c r="A29" s="1723"/>
      <c r="B29" s="1724"/>
      <c r="C29" s="1724"/>
      <c r="D29" s="1725"/>
      <c r="E29" s="588"/>
      <c r="F29" s="588"/>
      <c r="G29" s="588"/>
      <c r="H29" s="588"/>
      <c r="I29" s="588"/>
    </row>
    <row r="30" spans="1:36" ht="14.4">
      <c r="A30" s="1724" t="s">
        <v>2686</v>
      </c>
      <c r="B30" s="1724"/>
      <c r="C30" s="1724"/>
      <c r="D30" s="1724"/>
      <c r="E30" s="1726" t="s">
        <v>2687</v>
      </c>
      <c r="F30" s="588"/>
      <c r="G30" s="588"/>
      <c r="H30" s="588"/>
      <c r="I30" s="588"/>
    </row>
    <row r="31" spans="1:36" s="1674" customFormat="1" ht="26.4" customHeight="1">
      <c r="A31" s="1727"/>
      <c r="B31" s="1728"/>
      <c r="C31" s="1728"/>
      <c r="D31" s="1728"/>
      <c r="E31" s="1728"/>
      <c r="F31" s="1728"/>
      <c r="G31" s="1728"/>
      <c r="H31" s="1728"/>
      <c r="I31" s="1824" t="s">
        <v>2688</v>
      </c>
      <c r="J31" s="1825"/>
      <c r="K31" s="1826"/>
      <c r="L31" s="1826"/>
      <c r="M31" s="1826"/>
      <c r="N31" s="1826"/>
      <c r="O31" s="1826"/>
      <c r="P31" s="1826"/>
      <c r="Q31" s="1826"/>
      <c r="R31" s="1826"/>
      <c r="S31" s="1826"/>
      <c r="T31" s="1826"/>
      <c r="U31" s="1826"/>
      <c r="V31" s="1826"/>
      <c r="W31" s="1826"/>
      <c r="X31" s="1826"/>
      <c r="Y31" s="1826"/>
      <c r="Z31" s="1826"/>
      <c r="AA31" s="1826"/>
      <c r="AB31" s="1857"/>
      <c r="AC31" s="1857"/>
      <c r="AD31" s="1857"/>
      <c r="AE31" s="1857"/>
      <c r="AF31" s="1857"/>
      <c r="AG31" s="1857"/>
      <c r="AH31" s="1857"/>
      <c r="AI31" s="1857"/>
      <c r="AJ31" s="1857"/>
    </row>
    <row r="32" spans="1:36" ht="14.4">
      <c r="A32" s="1729" t="s">
        <v>2689</v>
      </c>
      <c r="B32" s="1730"/>
      <c r="C32" s="1731">
        <f ca="1">IF(D32="总价",G19-C24,G20-C25)</f>
        <v>15930</v>
      </c>
      <c r="D32" s="1732" t="s">
        <v>2690</v>
      </c>
      <c r="E32" s="588"/>
      <c r="F32" s="588"/>
      <c r="G32" s="588"/>
      <c r="H32" s="588"/>
      <c r="I32" s="588"/>
    </row>
    <row r="33" spans="1:15" ht="14.4">
      <c r="A33" s="1733" t="s">
        <v>2691</v>
      </c>
      <c r="B33" s="1734"/>
      <c r="C33" s="1735" t="s">
        <v>2692</v>
      </c>
      <c r="D33" s="1736" t="s">
        <v>2649</v>
      </c>
      <c r="E33" s="1737" t="s">
        <v>2693</v>
      </c>
      <c r="F33" s="1738" t="str">
        <f>IF(D32="楼面单价","取值（单价）","取值（总价）")</f>
        <v>取值（总价）</v>
      </c>
      <c r="G33" s="588"/>
      <c r="H33" s="588"/>
      <c r="I33" s="588"/>
    </row>
    <row r="34" spans="1:15" ht="14.4">
      <c r="A34" s="1739"/>
      <c r="B34" s="1740" t="s">
        <v>2694</v>
      </c>
      <c r="C34" s="1741">
        <f ca="1">IF(C33="自定义",F34,C32-C35)</f>
        <v>6547</v>
      </c>
      <c r="D34" s="1742">
        <f ca="1">IF(C33="自定义",ROUND(C34/C32,3),IF(C33="收益比率",SUMIF(INDIRECT("'"&amp;D33&amp;"'"&amp;"!b:b"),"土地收益比率",INDIRECT("'"&amp;D33&amp;"'"&amp;"!c:c")),SUMIF(INDIRECT("'"&amp;D33&amp;"'"&amp;"!b:b"),"土地成本比率",INDIRECT("'"&amp;D33&amp;"'"&amp;"!c:c"))))</f>
        <v>0.41100000000000003</v>
      </c>
      <c r="E34" s="1743" t="s">
        <v>2695</v>
      </c>
      <c r="F34" s="1744"/>
      <c r="G34" s="588"/>
      <c r="H34" s="588"/>
      <c r="I34" s="588"/>
    </row>
    <row r="35" spans="1:15" ht="14.4">
      <c r="A35" s="1745"/>
      <c r="B35" s="1746" t="s">
        <v>2696</v>
      </c>
      <c r="C35" s="1747">
        <f ca="1">IF(C33="自定义",F35,ROUND(C32*D35,0))</f>
        <v>9383</v>
      </c>
      <c r="D35" s="1748">
        <f ca="1">IF(C33="自定义",ROUND(C35/C32,3),IF(C33="收益比率",SUMIF(INDIRECT("'"&amp;D33&amp;"'"&amp;"!b:b"),"建筑物收益比率",INDIRECT("'"&amp;D33&amp;"'"&amp;"!c:c")),SUMIF(INDIRECT("'"&amp;D33&amp;"'"&amp;"!b:b"),"建筑物成本比率",INDIRECT("'"&amp;D33&amp;"'"&amp;"!c:c"))))</f>
        <v>0.58899999999999997</v>
      </c>
      <c r="E35" s="1749" t="s">
        <v>2697</v>
      </c>
      <c r="F35" s="1750"/>
      <c r="G35" s="588"/>
      <c r="H35" s="588"/>
      <c r="I35" s="588"/>
    </row>
    <row r="36" spans="1:15" ht="14.4">
      <c r="A36" s="3568" t="s">
        <v>2698</v>
      </c>
      <c r="B36" s="1751" t="s">
        <v>2699</v>
      </c>
      <c r="C36" s="1752"/>
      <c r="D36" s="1753"/>
      <c r="E36" s="1754"/>
      <c r="F36" s="1755"/>
      <c r="G36" s="588"/>
      <c r="H36" s="588"/>
      <c r="I36" s="588"/>
    </row>
    <row r="37" spans="1:15" ht="14.4">
      <c r="A37" s="3569"/>
      <c r="B37" s="1756" t="s">
        <v>2700</v>
      </c>
      <c r="C37" s="1757"/>
      <c r="D37" s="1758"/>
      <c r="E37" s="1758"/>
      <c r="F37" s="1755"/>
      <c r="G37" s="588"/>
      <c r="H37" s="588"/>
      <c r="I37" s="588"/>
    </row>
    <row r="38" spans="1:15" ht="14.4">
      <c r="A38" s="3570"/>
      <c r="B38" s="1759" t="s">
        <v>2701</v>
      </c>
      <c r="C38" s="1760"/>
      <c r="D38" s="1761" t="s">
        <v>2702</v>
      </c>
      <c r="E38" s="1758"/>
      <c r="F38" s="1755"/>
      <c r="G38" s="588"/>
      <c r="H38" s="588"/>
      <c r="I38" s="588"/>
    </row>
    <row r="39" spans="1:15" ht="14.4">
      <c r="A39" s="1705" t="s">
        <v>2703</v>
      </c>
      <c r="B39" s="1762" t="s">
        <v>2683</v>
      </c>
      <c r="C39" s="1763" t="s">
        <v>2684</v>
      </c>
      <c r="D39" s="1763" t="s">
        <v>2704</v>
      </c>
      <c r="E39" s="1764" t="s">
        <v>2685</v>
      </c>
      <c r="F39" s="1755"/>
      <c r="G39" s="588"/>
      <c r="H39" s="588"/>
      <c r="I39" s="588"/>
    </row>
    <row r="40" spans="1:15" ht="13.8">
      <c r="A40" s="1765" t="s">
        <v>2705</v>
      </c>
      <c r="B40" s="1766"/>
      <c r="C40" s="606"/>
      <c r="D40" s="606"/>
      <c r="E40" s="1767"/>
      <c r="F40" s="1755"/>
      <c r="G40" s="588"/>
      <c r="H40" s="588"/>
      <c r="I40" s="588"/>
    </row>
    <row r="41" spans="1:15" ht="13.8">
      <c r="A41" s="1765" t="s">
        <v>2706</v>
      </c>
      <c r="B41" s="1766"/>
      <c r="C41" s="606"/>
      <c r="D41" s="606"/>
      <c r="E41" s="1767"/>
      <c r="F41" s="1755"/>
      <c r="G41" s="588"/>
      <c r="H41" s="588"/>
      <c r="I41" s="588"/>
    </row>
    <row r="42" spans="1:15" ht="13.8">
      <c r="A42" s="1768"/>
      <c r="B42" s="1769"/>
      <c r="C42" s="1770"/>
      <c r="D42" s="1770"/>
      <c r="E42" s="1750"/>
      <c r="F42" s="1755"/>
      <c r="G42" s="588"/>
      <c r="H42" s="588"/>
      <c r="I42" s="588"/>
    </row>
    <row r="43" spans="1:15" ht="13.2">
      <c r="A43" s="1771"/>
      <c r="B43" s="1771"/>
      <c r="C43" s="1771"/>
      <c r="D43" s="1771"/>
      <c r="E43" s="1771"/>
      <c r="F43" s="1772"/>
      <c r="G43" s="1772"/>
      <c r="H43" s="1772"/>
      <c r="I43" s="1827"/>
    </row>
    <row r="44" spans="1:15" ht="17.399999999999999">
      <c r="A44" s="1773" t="s">
        <v>2707</v>
      </c>
      <c r="B44" s="1774"/>
      <c r="C44" s="1774"/>
      <c r="D44" s="1775"/>
      <c r="E44" s="1775"/>
      <c r="F44" s="1776"/>
      <c r="G44" s="1776"/>
      <c r="H44" s="1776"/>
      <c r="I44" s="1776"/>
      <c r="J44" s="1828" t="s">
        <v>2708</v>
      </c>
      <c r="K44" s="1829"/>
      <c r="L44" s="1829"/>
      <c r="M44" s="1829"/>
      <c r="N44" s="1829"/>
      <c r="O44" s="1829"/>
    </row>
    <row r="45" spans="1:15" ht="14.25" customHeight="1">
      <c r="A45" s="3642" t="s">
        <v>2709</v>
      </c>
      <c r="B45" s="3643"/>
      <c r="C45" s="3644"/>
      <c r="D45" s="700">
        <f ca="1">ROUND(H101*F45,0)</f>
        <v>15930</v>
      </c>
      <c r="E45" s="1777" t="s">
        <v>2710</v>
      </c>
      <c r="F45" s="1778">
        <v>1</v>
      </c>
      <c r="G45" s="1779" t="s">
        <v>2711</v>
      </c>
      <c r="H45" s="588"/>
      <c r="I45" s="588"/>
      <c r="J45" s="3631" t="s">
        <v>2712</v>
      </c>
      <c r="K45" s="3631"/>
      <c r="L45" s="3631"/>
      <c r="M45" s="3631"/>
      <c r="N45" s="3631"/>
      <c r="O45" s="3631"/>
    </row>
    <row r="46" spans="1:15" ht="14.25" customHeight="1">
      <c r="A46" s="3645" t="s">
        <v>2713</v>
      </c>
      <c r="B46" s="3646"/>
      <c r="C46" s="3646"/>
      <c r="D46" s="3646"/>
      <c r="E46" s="3646"/>
      <c r="F46" s="3646"/>
      <c r="G46" s="3647"/>
      <c r="H46" s="1780"/>
      <c r="I46" s="589"/>
      <c r="J46" s="1030">
        <v>1</v>
      </c>
      <c r="K46" s="3624" t="s">
        <v>2714</v>
      </c>
      <c r="L46" s="3624"/>
      <c r="M46" s="3648"/>
      <c r="N46" s="3648"/>
      <c r="O46" s="3648"/>
    </row>
    <row r="47" spans="1:15" ht="12" customHeight="1">
      <c r="A47" s="1781" t="s">
        <v>2715</v>
      </c>
      <c r="B47" s="1782"/>
      <c r="C47" s="1783"/>
      <c r="D47" s="751" t="s">
        <v>2716</v>
      </c>
      <c r="E47" s="701" t="s">
        <v>2717</v>
      </c>
      <c r="F47" s="1784" t="s">
        <v>2718</v>
      </c>
      <c r="G47" s="1785" t="s">
        <v>2719</v>
      </c>
      <c r="H47" s="1786"/>
      <c r="I47" s="589"/>
      <c r="J47" s="1030">
        <v>2</v>
      </c>
      <c r="K47" s="3624" t="s">
        <v>2720</v>
      </c>
      <c r="L47" s="3624"/>
      <c r="M47" s="3628">
        <f>'数据-取费表'!B2</f>
        <v>45311</v>
      </c>
      <c r="N47" s="3628"/>
      <c r="O47" s="3628"/>
    </row>
    <row r="48" spans="1:15" ht="26.4">
      <c r="A48" s="3629" t="s">
        <v>2721</v>
      </c>
      <c r="B48" s="3614"/>
      <c r="C48" s="3614"/>
      <c r="D48" s="855" t="b">
        <f>IF(H48="情况1",0,IF(H48="情况2",D52,IF(H48="情况3",D53,IF(H48="情况4",D54))))</f>
        <v>0</v>
      </c>
      <c r="E48" s="755" t="str">
        <f>IF(H48="情况4","(销售额-原购置价)×税（费）率","销售额×税（费）率")</f>
        <v>销售额×税（费）率</v>
      </c>
      <c r="F48" s="1788">
        <f>IF(H48="情况1","免征",'数据-取费表'!B41)</f>
        <v>5.6000000000000001E-2</v>
      </c>
      <c r="G48" s="1789" t="s">
        <v>2722</v>
      </c>
      <c r="H48" s="1790"/>
      <c r="I48" s="1780"/>
      <c r="J48" s="1030">
        <v>3</v>
      </c>
      <c r="K48" s="3624" t="s">
        <v>2723</v>
      </c>
      <c r="L48" s="3624"/>
      <c r="M48" s="3630">
        <f ca="1">H101</f>
        <v>15930</v>
      </c>
      <c r="N48" s="3630"/>
      <c r="O48" s="3630"/>
    </row>
    <row r="49" spans="1:35" ht="25.5" customHeight="1">
      <c r="A49" s="1787" t="s">
        <v>2724</v>
      </c>
      <c r="B49" s="3609" t="s">
        <v>2725</v>
      </c>
      <c r="C49" s="3609"/>
      <c r="D49" s="1791">
        <v>0</v>
      </c>
      <c r="E49" s="761" t="s">
        <v>2726</v>
      </c>
      <c r="F49" s="1792" t="s">
        <v>124</v>
      </c>
      <c r="G49" s="3625"/>
      <c r="H49" s="1793" t="s">
        <v>2727</v>
      </c>
      <c r="I49" s="1831"/>
      <c r="J49" s="1030">
        <v>4</v>
      </c>
      <c r="K49" s="3624" t="str">
        <f>IF(项目基本情况!E8="房地产抵押价值","房地产抵押价值","抵押担保权已注销时的房地产抵押价值")</f>
        <v>房地产抵押价值</v>
      </c>
      <c r="L49" s="3624"/>
      <c r="M49" s="3630">
        <f ca="1">IF(项目基本情况!E8="房地产抵押价值",H107,H109)</f>
        <v>15930</v>
      </c>
      <c r="N49" s="3630"/>
      <c r="O49" s="3630"/>
    </row>
    <row r="50" spans="1:35" ht="25.5" customHeight="1">
      <c r="A50" s="1794"/>
      <c r="B50" s="3609" t="s">
        <v>2728</v>
      </c>
      <c r="C50" s="3609"/>
      <c r="D50" s="1795"/>
      <c r="E50" s="776"/>
      <c r="F50" s="1792"/>
      <c r="G50" s="3626"/>
      <c r="H50" s="1796" t="s">
        <v>2729</v>
      </c>
      <c r="I50" s="1831"/>
      <c r="J50" s="3631" t="s">
        <v>2730</v>
      </c>
      <c r="K50" s="3631"/>
      <c r="L50" s="3631"/>
      <c r="M50" s="3631"/>
      <c r="N50" s="3631"/>
      <c r="O50" s="3631"/>
    </row>
    <row r="51" spans="1:35" ht="20.399999999999999" customHeight="1">
      <c r="A51" s="1797"/>
      <c r="B51" s="3609" t="s">
        <v>2731</v>
      </c>
      <c r="C51" s="3609"/>
      <c r="D51" s="751"/>
      <c r="E51" s="765"/>
      <c r="F51" s="1792"/>
      <c r="G51" s="3627"/>
      <c r="H51" s="1796" t="s">
        <v>2732</v>
      </c>
      <c r="I51" s="1831"/>
      <c r="J51" s="1830" t="s">
        <v>2733</v>
      </c>
      <c r="K51" s="3624" t="s">
        <v>2734</v>
      </c>
      <c r="L51" s="3624"/>
      <c r="M51" s="1830" t="s">
        <v>2735</v>
      </c>
      <c r="N51" s="1830" t="s">
        <v>2736</v>
      </c>
      <c r="O51" s="1830" t="s">
        <v>2737</v>
      </c>
    </row>
    <row r="52" spans="1:35" ht="24" customHeight="1">
      <c r="A52" s="1798" t="s">
        <v>2738</v>
      </c>
      <c r="B52" s="3609" t="s">
        <v>2739</v>
      </c>
      <c r="C52" s="3609"/>
      <c r="D52" s="751">
        <f ca="1">ROUND(D45*'数据-取费表'!B41/(1+'数据-取费表'!C42),0)</f>
        <v>850</v>
      </c>
      <c r="E52" s="755" t="s">
        <v>2740</v>
      </c>
      <c r="F52" s="1799">
        <f>'数据-取费表'!B41</f>
        <v>5.6000000000000001E-2</v>
      </c>
      <c r="G52" s="1800"/>
      <c r="H52" s="870"/>
      <c r="I52" s="1832"/>
      <c r="J52" s="1030">
        <v>1</v>
      </c>
      <c r="K52" s="3556" t="s">
        <v>2741</v>
      </c>
      <c r="L52" s="3556"/>
      <c r="M52" s="1833" t="b">
        <f t="shared" ref="M52:O52" si="0">D48</f>
        <v>0</v>
      </c>
      <c r="N52" s="1030" t="str">
        <f t="shared" si="0"/>
        <v>销售额×税（费）率</v>
      </c>
      <c r="O52" s="1834">
        <f t="shared" si="0"/>
        <v>5.6000000000000001E-2</v>
      </c>
    </row>
    <row r="53" spans="1:35" ht="12" customHeight="1">
      <c r="A53" s="1798" t="s">
        <v>2742</v>
      </c>
      <c r="B53" s="3608" t="s">
        <v>2743</v>
      </c>
      <c r="C53" s="3618"/>
      <c r="D53" s="751">
        <f ca="1">ROUND(D45*'数据-取费表'!B41/(1+'数据-取费表'!C42),0)</f>
        <v>850</v>
      </c>
      <c r="E53" s="755" t="s">
        <v>2740</v>
      </c>
      <c r="F53" s="1799">
        <f>'数据-取费表'!B41</f>
        <v>5.6000000000000001E-2</v>
      </c>
      <c r="G53" s="1800"/>
      <c r="H53" s="870"/>
      <c r="I53" s="1832"/>
      <c r="J53" s="1030">
        <v>2</v>
      </c>
      <c r="K53" s="3556" t="s">
        <v>2744</v>
      </c>
      <c r="L53" s="3556"/>
      <c r="M53" s="1833">
        <f t="shared" ref="M53:O53" ca="1" si="1">D55</f>
        <v>8</v>
      </c>
      <c r="N53" s="1030" t="str">
        <f t="shared" si="1"/>
        <v>销售额×税（费）率</v>
      </c>
      <c r="O53" s="1834" t="str">
        <f t="shared" si="1"/>
        <v>免征</v>
      </c>
    </row>
    <row r="54" spans="1:35" ht="12" customHeight="1">
      <c r="A54" s="1798" t="s">
        <v>2745</v>
      </c>
      <c r="B54" s="3608" t="s">
        <v>2746</v>
      </c>
      <c r="C54" s="3618"/>
      <c r="D54" s="751">
        <f ca="1">C68</f>
        <v>850</v>
      </c>
      <c r="E54" s="765" t="s">
        <v>2747</v>
      </c>
      <c r="F54" s="1799">
        <f>'数据-取费表'!B41</f>
        <v>5.6000000000000001E-2</v>
      </c>
      <c r="G54" s="1800"/>
      <c r="H54" s="1801"/>
      <c r="I54" s="1832"/>
      <c r="J54" s="1030">
        <v>3</v>
      </c>
      <c r="K54" s="3556" t="s">
        <v>2748</v>
      </c>
      <c r="L54" s="3556"/>
      <c r="M54" s="1833">
        <f t="shared" ref="M54:O54" ca="1" si="2">D56</f>
        <v>9016</v>
      </c>
      <c r="N54" s="1030" t="str">
        <f t="shared" si="2"/>
        <v>增值额×税（费）率</v>
      </c>
      <c r="O54" s="1835" t="str">
        <f t="shared" si="2"/>
        <v>免征</v>
      </c>
    </row>
    <row r="55" spans="1:35" ht="24" customHeight="1">
      <c r="A55" s="3613" t="s">
        <v>2749</v>
      </c>
      <c r="B55" s="3614"/>
      <c r="C55" s="3614"/>
      <c r="D55" s="855">
        <f ca="1">IF(H55="个人住宅",0,ROUND(D45*I55,0))</f>
        <v>8</v>
      </c>
      <c r="E55" s="755" t="s">
        <v>2750</v>
      </c>
      <c r="F55" s="1799" t="str">
        <f>IF(H55="正常",I55,"免征")</f>
        <v>免征</v>
      </c>
      <c r="G55" s="1800"/>
      <c r="H55" s="1790"/>
      <c r="I55" s="1836">
        <f>'数据-取费表'!B49</f>
        <v>5.0000000000000001E-4</v>
      </c>
      <c r="J55" s="1030">
        <f>IF(H59="非个人房产","",4)</f>
        <v>4</v>
      </c>
      <c r="K55" s="3556" t="str">
        <f>IF(H59="非个人房产","——","个人所得税")</f>
        <v>个人所得税</v>
      </c>
      <c r="L55" s="3556"/>
      <c r="M55" s="1837">
        <f t="shared" ref="M55:O55" ca="1" si="3">D59</f>
        <v>152</v>
      </c>
      <c r="N55" s="1011" t="str">
        <f t="shared" si="3"/>
        <v>差额计税</v>
      </c>
      <c r="O55" s="1838">
        <f t="shared" si="3"/>
        <v>0.01</v>
      </c>
    </row>
    <row r="56" spans="1:35" ht="25.2">
      <c r="A56" s="3613" t="s">
        <v>2751</v>
      </c>
      <c r="B56" s="3614"/>
      <c r="C56" s="3614"/>
      <c r="D56" s="855">
        <f ca="1">IF(H56="个人住宅",D57,D58)</f>
        <v>9016</v>
      </c>
      <c r="E56" s="755" t="s">
        <v>2752</v>
      </c>
      <c r="F56" s="1799" t="str">
        <f>IF(H56="正常",F58,"免征")</f>
        <v>免征</v>
      </c>
      <c r="G56" s="1802" t="s">
        <v>2753</v>
      </c>
      <c r="H56" s="1803"/>
      <c r="I56" s="1812"/>
      <c r="J56" s="1030" t="str">
        <f>IF(项目基本情况!K6="上海银行",IF(J55="",4,J55+1),"")</f>
        <v/>
      </c>
      <c r="K56" s="3615" t="str">
        <f>IF(项目基本情况!K6="上海银行","其他处置费用","")</f>
        <v/>
      </c>
      <c r="L56" s="3616"/>
      <c r="M56" s="1833" t="str">
        <f>IF(项目基本情况!K6="上海银行",M69,"")</f>
        <v/>
      </c>
      <c r="N56" s="3615" t="str">
        <f>IF(项目基本情况!K6="上海银行","包含处置中涉及的律师、诉讼、拍卖、评估等费用","")</f>
        <v/>
      </c>
      <c r="O56" s="3617"/>
    </row>
    <row r="57" spans="1:35" ht="13.2">
      <c r="A57" s="1798" t="s">
        <v>2724</v>
      </c>
      <c r="B57" s="3608" t="s">
        <v>2754</v>
      </c>
      <c r="C57" s="3618"/>
      <c r="D57" s="1791">
        <v>0</v>
      </c>
      <c r="E57" s="761" t="s">
        <v>2726</v>
      </c>
      <c r="F57" s="701"/>
      <c r="G57" s="1800"/>
      <c r="H57" s="1804"/>
      <c r="I57" s="1812"/>
      <c r="J57" s="3556">
        <f>IF(AND(J55="",J56=""),4,IF(项目基本情况!K6="上海银行",结果表仓储!J56+1,结果表仓储!J55+1))</f>
        <v>5</v>
      </c>
      <c r="K57" s="3556" t="s">
        <v>2755</v>
      </c>
      <c r="L57" s="1840" t="s">
        <v>2756</v>
      </c>
      <c r="M57" s="1841"/>
      <c r="N57" s="1842">
        <f ca="1">SUMIF(M52:M56,"&lt;9e307")</f>
        <v>9176</v>
      </c>
      <c r="O57" s="1843"/>
      <c r="P57" s="1844">
        <f ca="1">N57/M49</f>
        <v>0.57602008788449466</v>
      </c>
    </row>
    <row r="58" spans="1:35" ht="25.2">
      <c r="A58" s="1798" t="s">
        <v>2738</v>
      </c>
      <c r="B58" s="3608" t="s">
        <v>2757</v>
      </c>
      <c r="C58" s="3609"/>
      <c r="D58" s="855">
        <f ca="1">IF(H58="转让取得",C81,C97)</f>
        <v>9016</v>
      </c>
      <c r="E58" s="755" t="s">
        <v>2752</v>
      </c>
      <c r="F58" s="701" t="s">
        <v>124</v>
      </c>
      <c r="G58" s="1800"/>
      <c r="H58" s="1803"/>
      <c r="I58" s="1812"/>
      <c r="J58" s="3556"/>
      <c r="K58" s="3556"/>
      <c r="L58" s="1840" t="s">
        <v>2758</v>
      </c>
      <c r="M58" s="1845"/>
      <c r="N58" s="1846" t="str">
        <f ca="1">NUMBERSTRING(INT(N57*10000),2)&amp;"元整"</f>
        <v>玖仟壹佰柒拾陆万元整</v>
      </c>
      <c r="O58" s="1847"/>
    </row>
    <row r="59" spans="1:35" ht="24">
      <c r="A59" s="3619" t="s">
        <v>2759</v>
      </c>
      <c r="B59" s="3620"/>
      <c r="C59" s="3620"/>
      <c r="D59" s="1805">
        <f ca="1">IF(H59="非个人房产","——",IF(H59="个人住宅（满五唯一有凭证）",0,IF(H59="个人其他（无凭证）",ROUND(D45*F59,0),ROUND(C67*F59,0))))</f>
        <v>152</v>
      </c>
      <c r="E59" s="1806" t="str">
        <f>IF(H59="非个人房产","——",IF(H59="个人其他（无凭证）","销售额×税（费）率",IF(H59="个人住宅（满五唯一有凭证）","免征","差额计税")))</f>
        <v>差额计税</v>
      </c>
      <c r="F59" s="1807">
        <f>IF(OR(H59="非个人房产",H59="个人住宅（满五唯一有凭证）"),"——",IF(H59="个人其他（有凭证）",20%,1%))</f>
        <v>0.01</v>
      </c>
      <c r="G59" s="1808" t="s">
        <v>2753</v>
      </c>
      <c r="H59" s="1809"/>
      <c r="I59" s="1848" t="s">
        <v>2760</v>
      </c>
      <c r="J59" s="3622">
        <f>J57+1</f>
        <v>6</v>
      </c>
      <c r="K59" s="3556" t="s">
        <v>2761</v>
      </c>
      <c r="L59" s="1030" t="s">
        <v>2756</v>
      </c>
      <c r="M59" s="1849"/>
      <c r="N59" s="1850">
        <f ca="1">M49-N57</f>
        <v>6754</v>
      </c>
      <c r="O59" s="1851"/>
    </row>
    <row r="60" spans="1:35" ht="12" customHeight="1">
      <c r="A60" s="1810"/>
      <c r="B60" s="1680"/>
      <c r="C60" s="1680"/>
      <c r="D60" s="1680"/>
      <c r="E60" s="1811"/>
      <c r="F60" s="1812"/>
      <c r="G60" s="1812"/>
      <c r="H60" s="1813"/>
      <c r="I60" s="588"/>
      <c r="J60" s="3623"/>
      <c r="K60" s="3556"/>
      <c r="L60" s="1840" t="s">
        <v>2758</v>
      </c>
      <c r="M60" s="1845"/>
      <c r="N60" s="1846" t="str">
        <f ca="1">NUMBERSTRING(INT(N59*10000),2)&amp;"元整"</f>
        <v>陆仟柒佰伍拾肆万元整</v>
      </c>
      <c r="O60" s="1847"/>
    </row>
    <row r="61" spans="1:35" ht="13.2">
      <c r="A61" s="3621" t="s">
        <v>2762</v>
      </c>
      <c r="B61" s="3621"/>
      <c r="C61" s="3621"/>
      <c r="D61" s="3621"/>
      <c r="E61" s="3621"/>
      <c r="F61" s="1812"/>
      <c r="G61" s="1812"/>
      <c r="H61" s="1813"/>
      <c r="I61" s="588"/>
      <c r="J61" s="1030">
        <f>J59+1</f>
        <v>7</v>
      </c>
      <c r="K61" s="3556" t="s">
        <v>2763</v>
      </c>
      <c r="L61" s="3556"/>
      <c r="M61" s="1852"/>
      <c r="N61" s="1853">
        <f ca="1">ROUND(N59*10000/'数据-汇总表'!E3,0)</f>
        <v>7992</v>
      </c>
      <c r="O61" s="1854"/>
    </row>
    <row r="62" spans="1:35" ht="13.2">
      <c r="A62" s="3606" t="s">
        <v>2764</v>
      </c>
      <c r="B62" s="3607"/>
      <c r="C62" s="981"/>
      <c r="D62" s="981" t="s">
        <v>2765</v>
      </c>
      <c r="E62" s="1814" t="s">
        <v>2719</v>
      </c>
      <c r="F62" s="1812"/>
      <c r="G62" s="1812"/>
      <c r="H62" s="1813"/>
      <c r="I62" s="588"/>
    </row>
    <row r="63" spans="1:35" ht="13.2">
      <c r="A63" s="1815" t="s">
        <v>2766</v>
      </c>
      <c r="B63" s="1040" t="s">
        <v>2767</v>
      </c>
      <c r="C63" s="1816">
        <f ca="1">ROUND((C64+C65)/(1+'数据-取费表'!C42),0)</f>
        <v>15171</v>
      </c>
      <c r="D63" s="1040"/>
      <c r="E63" s="1817"/>
      <c r="F63" s="1812"/>
      <c r="G63" s="1812"/>
      <c r="H63" s="1813"/>
      <c r="I63" s="588"/>
      <c r="J63" s="3555" t="s">
        <v>2768</v>
      </c>
      <c r="K63" s="1855" t="s">
        <v>2769</v>
      </c>
      <c r="L63" s="1855">
        <f ca="1">IF(M49&gt;10000,M49*0.5%,IF(AND(M49&gt;1000,M49&lt;=10000),M49*1%,IF(AND(M49&gt;100,M49&lt;=1000),M49*3%,IF(AND(M49&gt;10,M49&lt;=100),M49*5%,M49*8%))))</f>
        <v>79.650000000000006</v>
      </c>
      <c r="M63" s="701">
        <f t="shared" ref="M63:M65" ca="1" si="4">ROUND(L63,1)</f>
        <v>79.7</v>
      </c>
      <c r="N63" s="1856"/>
      <c r="Z63" s="1677"/>
      <c r="AI63" s="1678"/>
    </row>
    <row r="64" spans="1:35" ht="14.25" customHeight="1">
      <c r="A64" s="1818" t="s">
        <v>2770</v>
      </c>
      <c r="B64" s="967" t="s">
        <v>2771</v>
      </c>
      <c r="C64" s="1819">
        <f ca="1">D45</f>
        <v>15930</v>
      </c>
      <c r="D64" s="967" t="s">
        <v>124</v>
      </c>
      <c r="E64" s="1820"/>
      <c r="F64" s="1812"/>
      <c r="G64" s="1812"/>
      <c r="H64" s="1813"/>
      <c r="I64" s="588"/>
      <c r="J64" s="3555"/>
      <c r="K64" s="1855" t="s">
        <v>2772</v>
      </c>
      <c r="L64" s="1855">
        <f ca="1">IF(M49&gt;2000,M49*0.5%,IF(AND(M49&gt;1000,M49&lt;=2000),M49*0.6%,IF(AND(M49&gt;500,M49&lt;=1000),M49*0.7%,IF(AND(M49&gt;200,M49&lt;=500),M49*0.8%,IF(AND(M49&gt;100,M49&lt;=200),M49*0.9%,IF(AND(M49&gt;50,M49&lt;=100),M49*1%,IF(AND(M49&gt;20,M49&lt;=50),M49*1.5%,IF(AND(M49&gt;10,M49&lt;=20),M49*2%,IF(AND(M49&gt;1,M49&lt;=10),M49*2.5%)))))))))</f>
        <v>79.650000000000006</v>
      </c>
      <c r="M64" s="701">
        <f t="shared" ca="1" si="4"/>
        <v>79.7</v>
      </c>
      <c r="N64" s="870" t="s">
        <v>2773</v>
      </c>
      <c r="Z64" s="1677"/>
      <c r="AI64" s="1678"/>
    </row>
    <row r="65" spans="1:35" ht="14.25" customHeight="1">
      <c r="A65" s="1818" t="s">
        <v>2774</v>
      </c>
      <c r="B65" s="967" t="s">
        <v>2775</v>
      </c>
      <c r="C65" s="1858"/>
      <c r="D65" s="967"/>
      <c r="E65" s="1820"/>
      <c r="F65" s="1812"/>
      <c r="G65" s="1812"/>
      <c r="H65" s="1813"/>
      <c r="I65" s="588"/>
      <c r="J65" s="3555"/>
      <c r="K65" s="1855" t="s">
        <v>2776</v>
      </c>
      <c r="L65" s="1855">
        <f ca="1">IF(M49&gt;1000,M49*0.1%,IF(AND(M49&gt;500,M49&lt;=1000),M49*0.5%,IF(AND(M49&gt;50,M49&lt;=500),M49*1%,IF(AND(M49&gt;1,M49&lt;=50),M49*1.5%))))</f>
        <v>15.93</v>
      </c>
      <c r="M65" s="701">
        <f t="shared" ca="1" si="4"/>
        <v>15.9</v>
      </c>
      <c r="N65" s="870" t="s">
        <v>2773</v>
      </c>
      <c r="Z65" s="1677"/>
      <c r="AI65" s="1678"/>
    </row>
    <row r="66" spans="1:35" ht="14.25" customHeight="1">
      <c r="A66" s="1815" t="s">
        <v>2777</v>
      </c>
      <c r="B66" s="1859" t="s">
        <v>2778</v>
      </c>
      <c r="C66" s="1860"/>
      <c r="D66" s="1859" t="s">
        <v>124</v>
      </c>
      <c r="E66" s="1861" t="s">
        <v>2779</v>
      </c>
      <c r="F66" s="1812"/>
      <c r="G66" s="1812"/>
      <c r="H66" s="1813"/>
      <c r="I66" s="588"/>
      <c r="J66" s="3555"/>
      <c r="K66" s="1855" t="s">
        <v>2780</v>
      </c>
      <c r="L66" s="1855">
        <f ca="1">M49*0.5%</f>
        <v>79.650000000000006</v>
      </c>
      <c r="M66" s="701">
        <f ca="1">IF(L66&gt;0.5,0.5,ROUND(L66,0))</f>
        <v>0.5</v>
      </c>
      <c r="N66" s="870" t="s">
        <v>2781</v>
      </c>
      <c r="Z66" s="1677"/>
      <c r="AI66" s="1678"/>
    </row>
    <row r="67" spans="1:35" ht="14.25" customHeight="1">
      <c r="A67" s="1815" t="s">
        <v>2782</v>
      </c>
      <c r="B67" s="1859" t="s">
        <v>2783</v>
      </c>
      <c r="C67" s="1862">
        <f ca="1">C63-C66</f>
        <v>15171</v>
      </c>
      <c r="D67" s="967" t="s">
        <v>124</v>
      </c>
      <c r="E67" s="1820"/>
      <c r="F67" s="1812"/>
      <c r="G67" s="1812"/>
      <c r="H67" s="1813"/>
      <c r="I67" s="588"/>
      <c r="J67" s="3555"/>
      <c r="K67" s="1855" t="s">
        <v>2784</v>
      </c>
      <c r="L67" s="1855">
        <f ca="1">IF(M49&gt;=10000,(8.25+(M49-10000)*0.01%),IF(AND(M49&gt;=8000,M49&lt;10000),(7.85+(M49-8000)*0.02%),IF(AND(M49&gt;=5000,M49&lt;8000),(6.65+(M49-5000)*0.04%),IF(AND(M49&gt;=2000,M49&lt;5000),(4.25+(PM49-2000)*0.08%),IF(AND(M49&gt;=1000,M49&lt;2000),(2.75+(M49-1000)*0.15%),IF(AND(M49&gt;=100,M49&lt;1000),(0.5+(M49-100)*0.25%),IF(AND(M49&gt;0,M49&lt;100),M49*0.5%)))))))</f>
        <v>8.843</v>
      </c>
      <c r="M67" s="701">
        <f ca="1">ROUND(L67*0.9,1)</f>
        <v>8</v>
      </c>
      <c r="N67" s="1856"/>
      <c r="Z67" s="1677"/>
      <c r="AI67" s="1678"/>
    </row>
    <row r="68" spans="1:35" ht="14.25" customHeight="1">
      <c r="A68" s="1863" t="s">
        <v>2785</v>
      </c>
      <c r="B68" s="1864" t="s">
        <v>2786</v>
      </c>
      <c r="C68" s="1865">
        <f ca="1">IF(C67&lt;=0,0,ROUND(C67*D68,0))</f>
        <v>850</v>
      </c>
      <c r="D68" s="1231">
        <f>'数据-取费表'!B41</f>
        <v>5.6000000000000001E-2</v>
      </c>
      <c r="E68" s="1866"/>
      <c r="F68" s="1812"/>
      <c r="G68" s="1812"/>
      <c r="H68" s="1813"/>
      <c r="I68" s="588"/>
      <c r="J68" s="3555"/>
      <c r="K68" s="1855" t="s">
        <v>2787</v>
      </c>
      <c r="L68" s="1855">
        <f ca="1">IF(M49&gt;10000,M49*0.5%,IF(AND(M49&gt;5000,M49&lt;=10000),M49*1%,IF(AND(M49&gt;1000,M49&lt;=5000),M49*2%,IF(AND(M49&gt;200,M49&lt;=1000),M49*3%,M49*5%))))</f>
        <v>79.650000000000006</v>
      </c>
      <c r="M68" s="701">
        <f ca="1">ROUND(L68,1)</f>
        <v>79.7</v>
      </c>
      <c r="N68" s="1856"/>
      <c r="Z68" s="1677"/>
      <c r="AI68" s="1678"/>
    </row>
    <row r="69" spans="1:35" s="1675" customFormat="1" ht="16.5" customHeight="1">
      <c r="A69" s="1867"/>
      <c r="B69" s="1868"/>
      <c r="C69" s="1869"/>
      <c r="D69" s="1150"/>
      <c r="E69" s="1870"/>
      <c r="F69" s="1811"/>
      <c r="G69" s="1811"/>
      <c r="H69" s="1771"/>
      <c r="I69" s="1680"/>
      <c r="J69" s="3555"/>
      <c r="K69" s="1855" t="s">
        <v>2788</v>
      </c>
      <c r="L69" s="1855"/>
      <c r="M69" s="701">
        <f ca="1">ROUND(SUM(M63:M68),0)</f>
        <v>264</v>
      </c>
      <c r="N69" s="1933">
        <f ca="1">M69/M49</f>
        <v>1.6572504708097929E-2</v>
      </c>
      <c r="O69" s="545"/>
      <c r="P69" s="545"/>
      <c r="Q69" s="545"/>
      <c r="R69" s="545"/>
      <c r="S69" s="545"/>
      <c r="T69" s="545"/>
      <c r="U69" s="545"/>
      <c r="V69" s="545"/>
      <c r="W69" s="545"/>
      <c r="X69" s="545"/>
      <c r="Y69" s="545"/>
      <c r="Z69" s="1677"/>
      <c r="AA69" s="1677"/>
      <c r="AB69" s="1677"/>
      <c r="AC69" s="1677"/>
      <c r="AD69" s="1677"/>
      <c r="AE69" s="1677"/>
      <c r="AF69" s="1677"/>
      <c r="AG69" s="1677"/>
      <c r="AH69" s="1677"/>
    </row>
    <row r="70" spans="1:35" s="1676" customFormat="1" ht="13.8">
      <c r="A70" s="3604" t="s">
        <v>2789</v>
      </c>
      <c r="B70" s="3605"/>
      <c r="C70" s="3605"/>
      <c r="D70" s="3605"/>
      <c r="E70" s="3605"/>
      <c r="F70" s="3605"/>
      <c r="G70" s="3605"/>
      <c r="H70" s="3605"/>
      <c r="I70" s="1934"/>
      <c r="J70" s="1935"/>
      <c r="K70" s="1935"/>
      <c r="L70" s="1935"/>
      <c r="M70" s="1935"/>
      <c r="N70" s="1936"/>
      <c r="O70" s="1936"/>
      <c r="P70" s="1936"/>
      <c r="Q70" s="1936"/>
      <c r="R70" s="1936"/>
      <c r="S70" s="1936"/>
      <c r="T70" s="1936"/>
      <c r="U70" s="1936"/>
      <c r="V70" s="1936"/>
      <c r="W70" s="1936"/>
      <c r="X70" s="1936"/>
      <c r="Y70" s="1936"/>
      <c r="Z70" s="1936"/>
      <c r="AA70" s="1942"/>
      <c r="AB70" s="1942"/>
      <c r="AC70" s="1942"/>
      <c r="AD70" s="1942"/>
      <c r="AE70" s="1942"/>
      <c r="AF70" s="1942"/>
      <c r="AG70" s="1942"/>
      <c r="AH70" s="1942"/>
      <c r="AI70" s="1942"/>
    </row>
    <row r="71" spans="1:35" s="1676" customFormat="1" ht="13.8">
      <c r="A71" s="3606" t="s">
        <v>2764</v>
      </c>
      <c r="B71" s="3607"/>
      <c r="C71" s="981"/>
      <c r="D71" s="981" t="s">
        <v>2765</v>
      </c>
      <c r="E71" s="1871" t="s">
        <v>2719</v>
      </c>
      <c r="F71" s="1872"/>
      <c r="G71" s="1872"/>
      <c r="H71" s="1873"/>
      <c r="I71" s="1937"/>
      <c r="J71" s="1935"/>
      <c r="K71" s="1935"/>
      <c r="L71" s="1935"/>
      <c r="M71" s="1935"/>
      <c r="N71" s="1936"/>
      <c r="O71" s="1936"/>
      <c r="P71" s="1936"/>
      <c r="Q71" s="1936"/>
      <c r="R71" s="1936"/>
      <c r="S71" s="1936"/>
      <c r="T71" s="1936"/>
      <c r="U71" s="1936"/>
      <c r="V71" s="1936"/>
      <c r="W71" s="1936"/>
      <c r="X71" s="1936"/>
      <c r="Y71" s="1936"/>
      <c r="Z71" s="1936"/>
      <c r="AA71" s="1942"/>
      <c r="AB71" s="1942"/>
      <c r="AC71" s="1942"/>
      <c r="AD71" s="1942"/>
      <c r="AE71" s="1942"/>
      <c r="AF71" s="1942"/>
      <c r="AG71" s="1942"/>
      <c r="AH71" s="1942"/>
      <c r="AI71" s="1942"/>
    </row>
    <row r="72" spans="1:35" s="1676" customFormat="1" ht="13.8">
      <c r="A72" s="1815" t="s">
        <v>2766</v>
      </c>
      <c r="B72" s="1859" t="s">
        <v>2790</v>
      </c>
      <c r="C72" s="1862">
        <f ca="1">ROUND(D45/(1+'数据-取费表'!C42),0)</f>
        <v>15171</v>
      </c>
      <c r="D72" s="967" t="s">
        <v>124</v>
      </c>
      <c r="E72" s="732"/>
      <c r="F72" s="733"/>
      <c r="G72" s="733"/>
      <c r="H72" s="1874"/>
      <c r="I72" s="1937"/>
      <c r="J72" s="1935"/>
      <c r="K72" s="1935"/>
      <c r="L72" s="1935"/>
      <c r="M72" s="1935"/>
      <c r="N72" s="1936"/>
      <c r="O72" s="1936"/>
      <c r="P72" s="1936"/>
      <c r="Q72" s="1936"/>
      <c r="R72" s="1936"/>
      <c r="S72" s="1936"/>
      <c r="T72" s="1936"/>
      <c r="U72" s="1936"/>
      <c r="V72" s="1936"/>
      <c r="W72" s="1936"/>
      <c r="X72" s="1936"/>
      <c r="Y72" s="1936"/>
      <c r="Z72" s="1936"/>
      <c r="AA72" s="1942"/>
      <c r="AB72" s="1942"/>
      <c r="AC72" s="1942"/>
      <c r="AD72" s="1942"/>
      <c r="AE72" s="1942"/>
      <c r="AF72" s="1942"/>
      <c r="AG72" s="1942"/>
      <c r="AH72" s="1942"/>
      <c r="AI72" s="1942"/>
    </row>
    <row r="73" spans="1:35" s="1676" customFormat="1" ht="13.8">
      <c r="A73" s="1815" t="s">
        <v>2777</v>
      </c>
      <c r="B73" s="1784" t="s">
        <v>2791</v>
      </c>
      <c r="C73" s="1862">
        <f ca="1">C74+C78</f>
        <v>91</v>
      </c>
      <c r="D73" s="967" t="s">
        <v>124</v>
      </c>
      <c r="E73" s="732"/>
      <c r="F73" s="733"/>
      <c r="G73" s="733"/>
      <c r="H73" s="1874"/>
      <c r="I73" s="1937"/>
      <c r="J73" s="1936"/>
      <c r="K73" s="1936"/>
      <c r="L73" s="1936"/>
      <c r="M73" s="1936"/>
      <c r="N73" s="1936"/>
      <c r="O73" s="1936"/>
      <c r="P73" s="1936"/>
      <c r="Q73" s="1936"/>
      <c r="R73" s="1936"/>
      <c r="S73" s="1936"/>
      <c r="T73" s="1936"/>
      <c r="U73" s="1936"/>
      <c r="V73" s="1936"/>
      <c r="W73" s="1936"/>
      <c r="X73" s="1936"/>
      <c r="Y73" s="1936"/>
      <c r="Z73" s="1936"/>
      <c r="AA73" s="1942"/>
      <c r="AB73" s="1942"/>
      <c r="AC73" s="1942"/>
      <c r="AD73" s="1942"/>
      <c r="AE73" s="1942"/>
      <c r="AF73" s="1942"/>
      <c r="AG73" s="1942"/>
      <c r="AH73" s="1942"/>
      <c r="AI73" s="1942"/>
    </row>
    <row r="74" spans="1:35" s="1676" customFormat="1" ht="24">
      <c r="A74" s="1818" t="s">
        <v>2770</v>
      </c>
      <c r="B74" s="967" t="s">
        <v>2792</v>
      </c>
      <c r="C74" s="967">
        <f>ROUND(IF(G77="2016年5月1日后购买",C75/(1+'数据-取费表'!C42)+C76+C77,C75+C76+C77),0)</f>
        <v>0</v>
      </c>
      <c r="D74" s="967" t="s">
        <v>124</v>
      </c>
      <c r="E74" s="732"/>
      <c r="F74" s="733"/>
      <c r="G74" s="733"/>
      <c r="H74" s="1874"/>
      <c r="I74" s="1937"/>
      <c r="J74" s="1936"/>
      <c r="K74" s="1936"/>
      <c r="L74" s="1936"/>
      <c r="M74" s="1936"/>
      <c r="N74" s="1936"/>
      <c r="O74" s="1936"/>
      <c r="P74" s="1936"/>
      <c r="Q74" s="1936"/>
      <c r="R74" s="1936"/>
      <c r="S74" s="1936"/>
      <c r="T74" s="1936"/>
      <c r="U74" s="1936"/>
      <c r="V74" s="1936"/>
      <c r="W74" s="1936"/>
      <c r="X74" s="1936"/>
      <c r="Y74" s="1936"/>
      <c r="Z74" s="1936"/>
      <c r="AA74" s="1942"/>
      <c r="AB74" s="1942"/>
      <c r="AC74" s="1942"/>
      <c r="AD74" s="1942"/>
      <c r="AE74" s="1942"/>
      <c r="AF74" s="1942"/>
      <c r="AG74" s="1942"/>
      <c r="AH74" s="1942"/>
      <c r="AI74" s="1942"/>
    </row>
    <row r="75" spans="1:35" s="1676" customFormat="1" ht="28.8">
      <c r="A75" s="1818" t="s">
        <v>2793</v>
      </c>
      <c r="B75" s="967" t="s">
        <v>2794</v>
      </c>
      <c r="C75" s="1875"/>
      <c r="D75" s="967" t="s">
        <v>124</v>
      </c>
      <c r="E75" s="1876" t="s">
        <v>2795</v>
      </c>
      <c r="F75" s="1877"/>
      <c r="G75" s="1876" t="s">
        <v>2796</v>
      </c>
      <c r="H75" s="1878"/>
      <c r="I75" s="1250"/>
      <c r="J75" s="1936"/>
      <c r="K75" s="1936"/>
      <c r="L75" s="1936"/>
      <c r="M75" s="1936"/>
      <c r="N75" s="1936"/>
      <c r="O75" s="1936"/>
      <c r="P75" s="1936"/>
      <c r="Q75" s="1936"/>
      <c r="R75" s="1936"/>
      <c r="S75" s="1936"/>
      <c r="T75" s="1936"/>
      <c r="U75" s="1936"/>
      <c r="V75" s="1936"/>
      <c r="W75" s="1936"/>
      <c r="X75" s="1936"/>
      <c r="Y75" s="1936"/>
      <c r="Z75" s="1936"/>
      <c r="AA75" s="1942"/>
      <c r="AB75" s="1942"/>
      <c r="AC75" s="1942"/>
      <c r="AD75" s="1942"/>
      <c r="AE75" s="1942"/>
      <c r="AF75" s="1942"/>
      <c r="AG75" s="1942"/>
      <c r="AH75" s="1942"/>
      <c r="AI75" s="1942"/>
    </row>
    <row r="76" spans="1:35" s="1676" customFormat="1" ht="24.75" customHeight="1">
      <c r="A76" s="1818" t="s">
        <v>2797</v>
      </c>
      <c r="B76" s="1879" t="s">
        <v>2798</v>
      </c>
      <c r="C76" s="967">
        <f>IF(F75="购房发票",ROUND(C75*H75*D76,0),0)</f>
        <v>0</v>
      </c>
      <c r="D76" s="1880">
        <v>0.05</v>
      </c>
      <c r="E76" s="3608" t="s">
        <v>2799</v>
      </c>
      <c r="F76" s="3609"/>
      <c r="G76" s="3609"/>
      <c r="H76" s="3610"/>
      <c r="I76" s="1937"/>
      <c r="J76" s="1936"/>
      <c r="K76" s="1936"/>
      <c r="L76" s="1936"/>
      <c r="M76" s="1936"/>
      <c r="N76" s="1936"/>
      <c r="O76" s="1936"/>
      <c r="P76" s="1936"/>
      <c r="Q76" s="1936"/>
      <c r="R76" s="1936"/>
      <c r="S76" s="1936"/>
      <c r="T76" s="1936"/>
      <c r="U76" s="1936"/>
      <c r="V76" s="1936"/>
      <c r="W76" s="1936"/>
      <c r="X76" s="1936"/>
      <c r="Y76" s="1936"/>
      <c r="Z76" s="1936"/>
      <c r="AA76" s="1942"/>
      <c r="AB76" s="1942"/>
      <c r="AC76" s="1942"/>
      <c r="AD76" s="1942"/>
      <c r="AE76" s="1942"/>
      <c r="AF76" s="1942"/>
      <c r="AG76" s="1942"/>
      <c r="AH76" s="1942"/>
      <c r="AI76" s="1942"/>
    </row>
    <row r="77" spans="1:35" s="1676" customFormat="1" ht="24.75" customHeight="1">
      <c r="A77" s="1818" t="s">
        <v>2800</v>
      </c>
      <c r="B77" s="967" t="s">
        <v>2801</v>
      </c>
      <c r="C77" s="967">
        <f>ROUND(IF(G77="个人住宅",0,IF(G77="2016年5月1日前购买",C75*D77,C75*D77/(1+'数据-取费表'!C42))),0)</f>
        <v>0</v>
      </c>
      <c r="D77" s="1882">
        <f>'数据-取费表'!B48+'数据-取费表'!B49</f>
        <v>3.0499999999999999E-2</v>
      </c>
      <c r="E77" s="855" t="s">
        <v>2802</v>
      </c>
      <c r="F77" s="1883"/>
      <c r="G77" s="1884"/>
      <c r="H77" s="1881" t="str">
        <f>IF(G77="个人买卖住房","免征印花税"," ")</f>
        <v/>
      </c>
      <c r="I77" s="1937"/>
      <c r="J77" s="1936"/>
      <c r="K77" s="1936"/>
      <c r="L77" s="1936"/>
      <c r="M77" s="1936"/>
      <c r="N77" s="1936"/>
      <c r="O77" s="1936"/>
      <c r="P77" s="1936"/>
      <c r="Q77" s="1936"/>
      <c r="R77" s="1936"/>
      <c r="S77" s="1936"/>
      <c r="T77" s="1936"/>
      <c r="U77" s="1936"/>
      <c r="V77" s="1936"/>
      <c r="W77" s="1936"/>
      <c r="X77" s="1936"/>
      <c r="Y77" s="1936"/>
      <c r="Z77" s="1936"/>
      <c r="AA77" s="1942"/>
      <c r="AB77" s="1942"/>
      <c r="AC77" s="1942"/>
      <c r="AD77" s="1942"/>
      <c r="AE77" s="1942"/>
      <c r="AF77" s="1942"/>
      <c r="AG77" s="1942"/>
      <c r="AH77" s="1942"/>
      <c r="AI77" s="1942"/>
    </row>
    <row r="78" spans="1:35" s="1676" customFormat="1" ht="24.75" customHeight="1">
      <c r="A78" s="1818" t="s">
        <v>2774</v>
      </c>
      <c r="B78" s="967" t="s">
        <v>2803</v>
      </c>
      <c r="C78" s="1885">
        <f ca="1">ROUND(D45*D78/(1+'数据-取费表'!C42),0)</f>
        <v>91</v>
      </c>
      <c r="D78" s="1886">
        <f>'数据-取费表'!B43</f>
        <v>6.0000000000000001E-3</v>
      </c>
      <c r="E78" s="3586" t="s">
        <v>2804</v>
      </c>
      <c r="F78" s="3587"/>
      <c r="G78" s="3587"/>
      <c r="H78" s="3588"/>
      <c r="I78" s="1938"/>
      <c r="J78" s="1936"/>
      <c r="K78" s="1936"/>
      <c r="L78" s="1936"/>
      <c r="M78" s="1936"/>
      <c r="N78" s="1936"/>
      <c r="O78" s="1936"/>
      <c r="P78" s="1936"/>
      <c r="Q78" s="1936"/>
      <c r="R78" s="1936"/>
      <c r="S78" s="1936"/>
      <c r="T78" s="1936"/>
      <c r="U78" s="1936"/>
      <c r="V78" s="1936"/>
      <c r="W78" s="1936"/>
      <c r="X78" s="1936"/>
      <c r="Y78" s="1936"/>
      <c r="Z78" s="1936"/>
      <c r="AA78" s="1942"/>
      <c r="AB78" s="1942"/>
      <c r="AC78" s="1942"/>
      <c r="AD78" s="1942"/>
      <c r="AE78" s="1942"/>
      <c r="AF78" s="1942"/>
      <c r="AG78" s="1942"/>
      <c r="AH78" s="1942"/>
      <c r="AI78" s="1942"/>
    </row>
    <row r="79" spans="1:35" s="1676" customFormat="1" ht="13.8">
      <c r="A79" s="1815" t="s">
        <v>2782</v>
      </c>
      <c r="B79" s="1859" t="s">
        <v>2805</v>
      </c>
      <c r="C79" s="1862">
        <f ca="1">C72-C73</f>
        <v>15080</v>
      </c>
      <c r="D79" s="967" t="s">
        <v>124</v>
      </c>
      <c r="E79" s="732"/>
      <c r="F79" s="733"/>
      <c r="G79" s="733"/>
      <c r="H79" s="1874"/>
      <c r="I79" s="1937"/>
      <c r="J79" s="1936"/>
      <c r="K79" s="1936"/>
      <c r="L79" s="1936"/>
      <c r="M79" s="1936"/>
      <c r="N79" s="1936"/>
      <c r="O79" s="1936"/>
      <c r="P79" s="1936"/>
      <c r="Q79" s="1936"/>
      <c r="R79" s="1936"/>
      <c r="S79" s="1936"/>
      <c r="T79" s="1936"/>
      <c r="U79" s="1936"/>
      <c r="V79" s="1936"/>
      <c r="W79" s="1936"/>
      <c r="X79" s="1936"/>
      <c r="Y79" s="1936"/>
      <c r="Z79" s="1936"/>
      <c r="AA79" s="1942"/>
      <c r="AB79" s="1942"/>
      <c r="AC79" s="1942"/>
      <c r="AD79" s="1942"/>
      <c r="AE79" s="1942"/>
      <c r="AF79" s="1942"/>
      <c r="AG79" s="1942"/>
      <c r="AH79" s="1942"/>
      <c r="AI79" s="1942"/>
    </row>
    <row r="80" spans="1:35" s="1676" customFormat="1" ht="24">
      <c r="A80" s="1815" t="s">
        <v>2785</v>
      </c>
      <c r="B80" s="1859" t="s">
        <v>2806</v>
      </c>
      <c r="C80" s="1890">
        <f ca="1">IF(C79&lt;=0,0,C79/C73)</f>
        <v>165.71428571428572</v>
      </c>
      <c r="D80" s="967" t="s">
        <v>124</v>
      </c>
      <c r="E80" s="855" t="str">
        <f ca="1">IF(C80&gt;=200%,"增值额超过扣除项目金额200%",IF(C80&gt;=100%,"增值额超过扣除项目金额100%，未超过200%",IF(C80&gt;=50%,"增值额超过扣除项目金额50%，未超过100%",IF(C80&lt;50%,"增值额未超过扣除项目金额50%"))))</f>
        <v>增值额超过扣除项目金额200%</v>
      </c>
      <c r="F80" s="733"/>
      <c r="G80" s="733"/>
      <c r="H80" s="1874"/>
      <c r="I80" s="1937"/>
      <c r="J80" s="1936"/>
      <c r="K80" s="1936"/>
      <c r="L80" s="1936"/>
      <c r="M80" s="1936"/>
      <c r="N80" s="1936"/>
      <c r="O80" s="1936"/>
      <c r="P80" s="1936"/>
      <c r="Q80" s="1936"/>
      <c r="R80" s="1936"/>
      <c r="S80" s="1936"/>
      <c r="T80" s="1936"/>
      <c r="U80" s="1936"/>
      <c r="V80" s="1936"/>
      <c r="W80" s="1936"/>
      <c r="X80" s="1936"/>
      <c r="Y80" s="1936"/>
      <c r="Z80" s="1936"/>
      <c r="AA80" s="1942"/>
      <c r="AB80" s="1942"/>
      <c r="AC80" s="1942"/>
      <c r="AD80" s="1942"/>
      <c r="AE80" s="1942"/>
      <c r="AF80" s="1942"/>
      <c r="AG80" s="1942"/>
      <c r="AH80" s="1942"/>
      <c r="AI80" s="1942"/>
    </row>
    <row r="81" spans="1:35" s="1676" customFormat="1" ht="24">
      <c r="A81" s="1863" t="s">
        <v>2807</v>
      </c>
      <c r="B81" s="1864" t="s">
        <v>2808</v>
      </c>
      <c r="C81" s="1891">
        <f ca="1">ROUND(IF(C79&lt;=0,0,IF(C80&gt;=200%,C79*60%-C73*35%,IF(C80&gt;=100%,C79*50%-C73*15%,IF(C80&gt;=50%,C79*40%-C73*5%,IF(C80&lt;50%,C79*30%,0))))),0)</f>
        <v>9016</v>
      </c>
      <c r="D81" s="1892" t="s">
        <v>124</v>
      </c>
      <c r="E81" s="18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4"/>
      <c r="G81" s="1894"/>
      <c r="H81" s="1895"/>
      <c r="I81" s="1937"/>
      <c r="J81" s="1936"/>
      <c r="K81" s="1936"/>
      <c r="L81" s="1936"/>
      <c r="M81" s="1936"/>
      <c r="N81" s="1936"/>
      <c r="O81" s="1936"/>
      <c r="P81" s="1936"/>
      <c r="Q81" s="1936"/>
      <c r="R81" s="1936"/>
      <c r="S81" s="1936"/>
      <c r="T81" s="1936"/>
      <c r="U81" s="1936"/>
      <c r="V81" s="1936"/>
      <c r="W81" s="1936"/>
      <c r="X81" s="1936"/>
      <c r="Y81" s="1936"/>
      <c r="Z81" s="1936"/>
      <c r="AA81" s="1942"/>
      <c r="AB81" s="1942"/>
      <c r="AC81" s="1942"/>
      <c r="AD81" s="1942"/>
      <c r="AE81" s="1942"/>
      <c r="AF81" s="1942"/>
      <c r="AG81" s="1942"/>
      <c r="AH81" s="1942"/>
      <c r="AI81" s="1942"/>
    </row>
    <row r="82" spans="1:35" s="1676" customFormat="1" ht="7.5" customHeight="1">
      <c r="A82" s="1896"/>
      <c r="B82" s="1897"/>
      <c r="C82" s="1134"/>
      <c r="D82" s="1134"/>
      <c r="E82" s="1897"/>
      <c r="F82" s="1897"/>
      <c r="G82" s="1897"/>
      <c r="H82" s="1898"/>
      <c r="I82" s="1938"/>
      <c r="J82" s="1936"/>
      <c r="K82" s="1936"/>
      <c r="L82" s="1936"/>
      <c r="M82" s="1936"/>
      <c r="N82" s="1936"/>
      <c r="O82" s="1936"/>
      <c r="P82" s="1936"/>
      <c r="Q82" s="1936"/>
      <c r="R82" s="1936"/>
      <c r="S82" s="1936"/>
      <c r="T82" s="1936"/>
      <c r="U82" s="1936"/>
      <c r="V82" s="1936"/>
      <c r="W82" s="1936"/>
      <c r="X82" s="1936"/>
      <c r="Y82" s="1936"/>
      <c r="Z82" s="1936"/>
      <c r="AA82" s="1942"/>
      <c r="AB82" s="1942"/>
      <c r="AC82" s="1942"/>
      <c r="AD82" s="1942"/>
      <c r="AE82" s="1942"/>
      <c r="AF82" s="1942"/>
      <c r="AG82" s="1942"/>
      <c r="AH82" s="1942"/>
      <c r="AI82" s="1942"/>
    </row>
    <row r="83" spans="1:35" s="1676" customFormat="1" ht="13.8">
      <c r="A83" s="3604" t="s">
        <v>2809</v>
      </c>
      <c r="B83" s="3605"/>
      <c r="C83" s="3605"/>
      <c r="D83" s="3605"/>
      <c r="E83" s="3605"/>
      <c r="F83" s="3605"/>
      <c r="G83" s="3605"/>
      <c r="H83" s="3605"/>
      <c r="I83" s="1250"/>
      <c r="J83" s="1936"/>
      <c r="K83" s="1936"/>
      <c r="L83" s="1936"/>
      <c r="M83" s="1936"/>
      <c r="N83" s="1936"/>
      <c r="O83" s="1936"/>
      <c r="P83" s="1936"/>
      <c r="Q83" s="1936"/>
      <c r="R83" s="1936"/>
      <c r="S83" s="1936"/>
      <c r="T83" s="1936"/>
      <c r="U83" s="1936"/>
      <c r="V83" s="1936"/>
      <c r="W83" s="1936"/>
      <c r="X83" s="1936"/>
      <c r="Y83" s="1936"/>
      <c r="Z83" s="1936"/>
      <c r="AA83" s="1942"/>
      <c r="AB83" s="1942"/>
      <c r="AC83" s="1942"/>
      <c r="AD83" s="1942"/>
      <c r="AE83" s="1942"/>
      <c r="AF83" s="1942"/>
      <c r="AG83" s="1942"/>
      <c r="AH83" s="1942"/>
      <c r="AI83" s="1942"/>
    </row>
    <row r="84" spans="1:35" s="1676" customFormat="1" ht="13.8">
      <c r="A84" s="3606" t="s">
        <v>2764</v>
      </c>
      <c r="B84" s="3607"/>
      <c r="C84" s="981"/>
      <c r="D84" s="981" t="s">
        <v>2765</v>
      </c>
      <c r="E84" s="1871" t="s">
        <v>2719</v>
      </c>
      <c r="F84" s="1872"/>
      <c r="G84" s="1872"/>
      <c r="H84" s="1899"/>
      <c r="I84" s="1250"/>
      <c r="J84" s="1936"/>
      <c r="K84" s="1936"/>
      <c r="L84" s="1936"/>
      <c r="M84" s="1936"/>
      <c r="N84" s="1936"/>
      <c r="O84" s="1936"/>
      <c r="P84" s="1936"/>
      <c r="Q84" s="1936"/>
      <c r="R84" s="1936"/>
      <c r="S84" s="1936"/>
      <c r="T84" s="1936"/>
      <c r="U84" s="1936"/>
      <c r="V84" s="1936"/>
      <c r="W84" s="1936"/>
      <c r="X84" s="1936"/>
      <c r="Y84" s="1936"/>
      <c r="Z84" s="1936"/>
      <c r="AA84" s="1942"/>
      <c r="AB84" s="1942"/>
      <c r="AC84" s="1942"/>
      <c r="AD84" s="1942"/>
      <c r="AE84" s="1942"/>
      <c r="AF84" s="1942"/>
      <c r="AG84" s="1942"/>
      <c r="AH84" s="1942"/>
      <c r="AI84" s="1942"/>
    </row>
    <row r="85" spans="1:35" s="1676" customFormat="1" ht="13.8">
      <c r="A85" s="1815" t="s">
        <v>2766</v>
      </c>
      <c r="B85" s="1859" t="s">
        <v>2790</v>
      </c>
      <c r="C85" s="1862">
        <f ca="1">ROUND(D45/(1+'数据-取费表'!C42),0)</f>
        <v>15171</v>
      </c>
      <c r="D85" s="967" t="s">
        <v>124</v>
      </c>
      <c r="E85" s="732"/>
      <c r="F85" s="733"/>
      <c r="G85" s="733"/>
      <c r="H85" s="1900"/>
      <c r="I85" s="1250"/>
      <c r="J85" s="1936"/>
      <c r="K85" s="1936"/>
      <c r="L85" s="1936"/>
      <c r="M85" s="1936"/>
      <c r="N85" s="1936"/>
      <c r="O85" s="1936"/>
      <c r="P85" s="1936"/>
      <c r="Q85" s="1936"/>
      <c r="R85" s="1936"/>
      <c r="S85" s="1936"/>
      <c r="T85" s="1936"/>
      <c r="U85" s="1936"/>
      <c r="V85" s="1936"/>
      <c r="W85" s="1936"/>
      <c r="X85" s="1936"/>
      <c r="Y85" s="1936"/>
      <c r="Z85" s="1936"/>
      <c r="AA85" s="1942"/>
      <c r="AB85" s="1942"/>
      <c r="AC85" s="1942"/>
      <c r="AD85" s="1942"/>
      <c r="AE85" s="1942"/>
      <c r="AF85" s="1942"/>
      <c r="AG85" s="1942"/>
      <c r="AH85" s="1942"/>
      <c r="AI85" s="1942"/>
    </row>
    <row r="86" spans="1:35" s="1676" customFormat="1" ht="13.8">
      <c r="A86" s="1815" t="s">
        <v>2777</v>
      </c>
      <c r="B86" s="1784" t="s">
        <v>2791</v>
      </c>
      <c r="C86" s="1862">
        <f ca="1">IF(H88="仅含出让金",C87+C90+C91+C92+C93+C94,C87+C91+C92+C93+C94)</f>
        <v>91</v>
      </c>
      <c r="D86" s="1901"/>
      <c r="E86" s="732"/>
      <c r="F86" s="733"/>
      <c r="G86" s="733"/>
      <c r="H86" s="1900"/>
      <c r="I86" s="1250"/>
      <c r="J86" s="1936"/>
      <c r="K86" s="1936"/>
      <c r="L86" s="1936"/>
      <c r="M86" s="1936"/>
      <c r="N86" s="1936"/>
      <c r="O86" s="1936"/>
      <c r="P86" s="1936"/>
      <c r="Q86" s="1936"/>
      <c r="R86" s="1936"/>
      <c r="S86" s="1936"/>
      <c r="T86" s="1936"/>
      <c r="U86" s="1936"/>
      <c r="V86" s="1936"/>
      <c r="W86" s="1936"/>
      <c r="X86" s="1936"/>
      <c r="Y86" s="1936"/>
      <c r="Z86" s="1936"/>
      <c r="AA86" s="1942"/>
      <c r="AB86" s="1942"/>
      <c r="AC86" s="1942"/>
      <c r="AD86" s="1942"/>
      <c r="AE86" s="1942"/>
      <c r="AF86" s="1942"/>
      <c r="AG86" s="1942"/>
      <c r="AH86" s="1942"/>
      <c r="AI86" s="1942"/>
    </row>
    <row r="87" spans="1:35" s="1676" customFormat="1" ht="13.8">
      <c r="A87" s="1818" t="s">
        <v>2770</v>
      </c>
      <c r="B87" s="967" t="s">
        <v>2810</v>
      </c>
      <c r="C87" s="1885">
        <f>C88+C89</f>
        <v>0</v>
      </c>
      <c r="D87" s="1886"/>
      <c r="E87" s="1887"/>
      <c r="F87" s="1888"/>
      <c r="G87" s="1888"/>
      <c r="H87" s="1889"/>
      <c r="I87" s="1250"/>
      <c r="J87" s="1936"/>
      <c r="K87" s="1936"/>
      <c r="L87" s="1936"/>
      <c r="M87" s="1936"/>
      <c r="N87" s="1936"/>
      <c r="O87" s="1936"/>
      <c r="P87" s="1936"/>
      <c r="Q87" s="1936"/>
      <c r="R87" s="1936"/>
      <c r="S87" s="1936"/>
      <c r="T87" s="1936"/>
      <c r="U87" s="1936"/>
      <c r="V87" s="1936"/>
      <c r="W87" s="1936"/>
      <c r="X87" s="1936"/>
      <c r="Y87" s="1936"/>
      <c r="Z87" s="1936"/>
      <c r="AA87" s="1942"/>
      <c r="AB87" s="1942"/>
      <c r="AC87" s="1942"/>
      <c r="AD87" s="1942"/>
      <c r="AE87" s="1942"/>
      <c r="AF87" s="1942"/>
      <c r="AG87" s="1942"/>
      <c r="AH87" s="1942"/>
      <c r="AI87" s="1942"/>
    </row>
    <row r="88" spans="1:35" s="1676" customFormat="1" ht="14.4">
      <c r="A88" s="1818" t="s">
        <v>2793</v>
      </c>
      <c r="B88" s="967" t="s">
        <v>2811</v>
      </c>
      <c r="C88" s="1902"/>
      <c r="D88" s="1886"/>
      <c r="E88" s="1903" t="s">
        <v>2812</v>
      </c>
      <c r="F88" s="1888"/>
      <c r="G88" s="1904" t="s">
        <v>2813</v>
      </c>
      <c r="H88" s="1905"/>
      <c r="I88" s="1250"/>
      <c r="J88" s="1939" t="s">
        <v>2814</v>
      </c>
      <c r="K88" s="1936"/>
      <c r="L88" s="1936"/>
      <c r="M88" s="1936"/>
      <c r="N88" s="1936"/>
      <c r="O88" s="1936"/>
      <c r="P88" s="1936"/>
      <c r="Q88" s="1936"/>
      <c r="R88" s="1936"/>
      <c r="S88" s="1936"/>
      <c r="T88" s="1936"/>
      <c r="U88" s="1936"/>
      <c r="V88" s="1936"/>
      <c r="W88" s="1936"/>
      <c r="X88" s="1936"/>
      <c r="Y88" s="1936"/>
      <c r="Z88" s="1936"/>
      <c r="AA88" s="1942"/>
      <c r="AB88" s="1942"/>
      <c r="AC88" s="1942"/>
      <c r="AD88" s="1942"/>
      <c r="AE88" s="1942"/>
      <c r="AF88" s="1942"/>
      <c r="AG88" s="1942"/>
      <c r="AH88" s="1942"/>
      <c r="AI88" s="1942"/>
    </row>
    <row r="89" spans="1:35" s="1676" customFormat="1" ht="13.8">
      <c r="A89" s="1818" t="s">
        <v>2797</v>
      </c>
      <c r="B89" s="967" t="s">
        <v>2801</v>
      </c>
      <c r="C89" s="1885">
        <f>ROUND(C88*D89,0)</f>
        <v>0</v>
      </c>
      <c r="D89" s="1886">
        <f>'数据-取费表'!B48+'数据-取费表'!B49</f>
        <v>3.0499999999999999E-2</v>
      </c>
      <c r="E89" s="1903" t="s">
        <v>2815</v>
      </c>
      <c r="F89" s="1888"/>
      <c r="G89" s="1888"/>
      <c r="H89" s="1889"/>
      <c r="I89" s="1250"/>
      <c r="J89" s="1936"/>
      <c r="K89" s="1936"/>
      <c r="L89" s="1936"/>
      <c r="M89" s="1936"/>
      <c r="N89" s="1936"/>
      <c r="O89" s="1936"/>
      <c r="P89" s="1936"/>
      <c r="Q89" s="1936"/>
      <c r="R89" s="1936"/>
      <c r="S89" s="1936"/>
      <c r="T89" s="1936"/>
      <c r="U89" s="1936"/>
      <c r="V89" s="1936"/>
      <c r="W89" s="1936"/>
      <c r="X89" s="1936"/>
      <c r="Y89" s="1936"/>
      <c r="Z89" s="1936"/>
      <c r="AA89" s="1942"/>
      <c r="AB89" s="1942"/>
      <c r="AC89" s="1942"/>
      <c r="AD89" s="1942"/>
      <c r="AE89" s="1942"/>
      <c r="AF89" s="1942"/>
      <c r="AG89" s="1942"/>
      <c r="AH89" s="1942"/>
      <c r="AI89" s="1942"/>
    </row>
    <row r="90" spans="1:35" s="1676" customFormat="1" ht="14.4">
      <c r="A90" s="1818" t="s">
        <v>2774</v>
      </c>
      <c r="B90" s="967" t="s">
        <v>2816</v>
      </c>
      <c r="C90" s="1902"/>
      <c r="D90" s="1886"/>
      <c r="E90" s="1903" t="str">
        <f>IF(H88="-","土地取得成本中已包含该笔费用"," ")</f>
        <v/>
      </c>
      <c r="F90" s="1888"/>
      <c r="G90" s="3611" t="s">
        <v>2817</v>
      </c>
      <c r="H90" s="3612"/>
      <c r="I90" s="1250"/>
      <c r="J90" s="1939" t="s">
        <v>2818</v>
      </c>
      <c r="K90" s="1936"/>
      <c r="L90" s="1936"/>
      <c r="M90" s="1936"/>
      <c r="N90" s="1936"/>
      <c r="O90" s="1936"/>
      <c r="P90" s="1936"/>
      <c r="Q90" s="1936"/>
      <c r="R90" s="1936"/>
      <c r="S90" s="1936"/>
      <c r="T90" s="1936"/>
      <c r="U90" s="1936"/>
      <c r="V90" s="1936"/>
      <c r="W90" s="1936"/>
      <c r="X90" s="1936"/>
      <c r="Y90" s="1936"/>
      <c r="Z90" s="1936"/>
      <c r="AA90" s="1942"/>
      <c r="AB90" s="1942"/>
      <c r="AC90" s="1942"/>
      <c r="AD90" s="1942"/>
      <c r="AE90" s="1942"/>
      <c r="AF90" s="1942"/>
      <c r="AG90" s="1942"/>
      <c r="AH90" s="1942"/>
      <c r="AI90" s="1942"/>
    </row>
    <row r="91" spans="1:35" s="1676" customFormat="1" ht="27.75" customHeight="1">
      <c r="A91" s="1818" t="s">
        <v>2819</v>
      </c>
      <c r="B91" s="967" t="s">
        <v>2820</v>
      </c>
      <c r="C91" s="1885">
        <f>IF(H91="——",成本法!C33,I91)</f>
        <v>0</v>
      </c>
      <c r="D91" s="1886"/>
      <c r="E91" s="3586" t="s">
        <v>2821</v>
      </c>
      <c r="F91" s="3587"/>
      <c r="G91" s="3587"/>
      <c r="H91" s="1906"/>
      <c r="I91" s="1940"/>
      <c r="J91" s="1936"/>
      <c r="K91" s="1936"/>
      <c r="L91" s="1936"/>
      <c r="M91" s="1936"/>
      <c r="N91" s="1936"/>
      <c r="O91" s="1936"/>
      <c r="P91" s="1936"/>
      <c r="Q91" s="1936"/>
      <c r="R91" s="1936"/>
      <c r="S91" s="1936"/>
      <c r="T91" s="1936"/>
      <c r="U91" s="1936"/>
      <c r="V91" s="1936"/>
      <c r="W91" s="1936"/>
      <c r="X91" s="1936"/>
      <c r="Y91" s="1936"/>
      <c r="Z91" s="1936"/>
      <c r="AA91" s="1942"/>
      <c r="AB91" s="1942"/>
      <c r="AC91" s="1942"/>
      <c r="AD91" s="1942"/>
      <c r="AE91" s="1942"/>
      <c r="AF91" s="1942"/>
      <c r="AG91" s="1942"/>
      <c r="AH91" s="1942"/>
      <c r="AI91" s="1942"/>
    </row>
    <row r="92" spans="1:35" s="1676" customFormat="1" ht="25.5" customHeight="1">
      <c r="A92" s="1818" t="s">
        <v>2822</v>
      </c>
      <c r="B92" s="967" t="s">
        <v>2823</v>
      </c>
      <c r="C92" s="1885">
        <f>ROUND((C87+C90+C91)*D92,0)</f>
        <v>0</v>
      </c>
      <c r="D92" s="1907"/>
      <c r="E92" s="3586" t="s">
        <v>2824</v>
      </c>
      <c r="F92" s="3587"/>
      <c r="G92" s="3587"/>
      <c r="H92" s="3588"/>
      <c r="I92" s="1250"/>
      <c r="J92" s="1941" t="s">
        <v>2825</v>
      </c>
      <c r="K92" s="1936"/>
      <c r="L92" s="1936"/>
      <c r="M92" s="1936"/>
      <c r="N92" s="1936"/>
      <c r="O92" s="1936"/>
      <c r="P92" s="1936"/>
      <c r="Q92" s="1936"/>
      <c r="R92" s="1936"/>
      <c r="S92" s="1936"/>
      <c r="T92" s="1936"/>
      <c r="U92" s="1936"/>
      <c r="V92" s="1936"/>
      <c r="W92" s="1936"/>
      <c r="X92" s="1936"/>
      <c r="Y92" s="1936"/>
      <c r="Z92" s="1936"/>
      <c r="AA92" s="1942"/>
      <c r="AB92" s="1942"/>
      <c r="AC92" s="1942"/>
      <c r="AD92" s="1942"/>
      <c r="AE92" s="1942"/>
      <c r="AF92" s="1942"/>
      <c r="AG92" s="1942"/>
      <c r="AH92" s="1942"/>
      <c r="AI92" s="1942"/>
    </row>
    <row r="93" spans="1:35" s="1676" customFormat="1" ht="25.5" customHeight="1">
      <c r="A93" s="1818" t="s">
        <v>2826</v>
      </c>
      <c r="B93" s="967" t="s">
        <v>2803</v>
      </c>
      <c r="C93" s="1885">
        <f ca="1">ROUND(D45*D93/(1+'数据-取费表'!C42),0)</f>
        <v>91</v>
      </c>
      <c r="D93" s="1886">
        <f>'数据-取费表'!B43</f>
        <v>6.0000000000000001E-3</v>
      </c>
      <c r="E93" s="3586" t="s">
        <v>2804</v>
      </c>
      <c r="F93" s="3587"/>
      <c r="G93" s="3587"/>
      <c r="H93" s="3588"/>
      <c r="I93" s="1250"/>
      <c r="J93" s="1936"/>
      <c r="K93" s="1936"/>
      <c r="L93" s="1936"/>
      <c r="M93" s="1936"/>
      <c r="N93" s="1936"/>
      <c r="O93" s="1936"/>
      <c r="P93" s="1936"/>
      <c r="Q93" s="1936"/>
      <c r="R93" s="1936"/>
      <c r="S93" s="1936"/>
      <c r="T93" s="1936"/>
      <c r="U93" s="1936"/>
      <c r="V93" s="1936"/>
      <c r="W93" s="1936"/>
      <c r="X93" s="1936"/>
      <c r="Y93" s="1936"/>
      <c r="Z93" s="1936"/>
      <c r="AA93" s="1942"/>
      <c r="AB93" s="1942"/>
      <c r="AC93" s="1942"/>
      <c r="AD93" s="1942"/>
      <c r="AE93" s="1942"/>
      <c r="AF93" s="1942"/>
      <c r="AG93" s="1942"/>
      <c r="AH93" s="1942"/>
      <c r="AI93" s="1942"/>
    </row>
    <row r="94" spans="1:35" s="1676" customFormat="1" ht="36.75" customHeight="1">
      <c r="A94" s="1818" t="s">
        <v>2827</v>
      </c>
      <c r="B94" s="967" t="s">
        <v>2828</v>
      </c>
      <c r="C94" s="1902">
        <f>ROUND((C87+C90+C91)*D94,0)</f>
        <v>0</v>
      </c>
      <c r="D94" s="1886">
        <v>0.2</v>
      </c>
      <c r="E94" s="3589" t="s">
        <v>2829</v>
      </c>
      <c r="F94" s="3590"/>
      <c r="G94" s="3590"/>
      <c r="H94" s="3591"/>
      <c r="I94" s="1250"/>
      <c r="J94" s="1936"/>
      <c r="K94" s="1936"/>
      <c r="L94" s="1936"/>
      <c r="M94" s="1936"/>
      <c r="N94" s="1936"/>
      <c r="O94" s="1936"/>
      <c r="P94" s="1936"/>
      <c r="Q94" s="1936"/>
      <c r="R94" s="1936"/>
      <c r="S94" s="1936"/>
      <c r="T94" s="1936"/>
      <c r="U94" s="1936"/>
      <c r="V94" s="1936"/>
      <c r="W94" s="1936"/>
      <c r="X94" s="1936"/>
      <c r="Y94" s="1936"/>
      <c r="Z94" s="1936"/>
      <c r="AA94" s="1942"/>
      <c r="AB94" s="1942"/>
      <c r="AC94" s="1942"/>
      <c r="AD94" s="1942"/>
      <c r="AE94" s="1942"/>
      <c r="AF94" s="1942"/>
      <c r="AG94" s="1942"/>
      <c r="AH94" s="1942"/>
      <c r="AI94" s="1942"/>
    </row>
    <row r="95" spans="1:35" s="1676" customFormat="1" ht="13.8">
      <c r="A95" s="1815" t="s">
        <v>2782</v>
      </c>
      <c r="B95" s="1859" t="s">
        <v>2805</v>
      </c>
      <c r="C95" s="1862">
        <f ca="1">ROUND(C85-C86,0)</f>
        <v>15080</v>
      </c>
      <c r="D95" s="967" t="s">
        <v>124</v>
      </c>
      <c r="E95" s="732"/>
      <c r="F95" s="733"/>
      <c r="G95" s="733"/>
      <c r="H95" s="1900"/>
      <c r="I95" s="1250"/>
      <c r="J95" s="1936"/>
      <c r="K95" s="1936"/>
      <c r="L95" s="1936"/>
      <c r="M95" s="1936"/>
      <c r="N95" s="1936"/>
      <c r="O95" s="1936"/>
      <c r="P95" s="1936"/>
      <c r="Q95" s="1936"/>
      <c r="R95" s="1936"/>
      <c r="S95" s="1936"/>
      <c r="T95" s="1936"/>
      <c r="U95" s="1936"/>
      <c r="V95" s="1936"/>
      <c r="W95" s="1936"/>
      <c r="X95" s="1936"/>
      <c r="Y95" s="1936"/>
      <c r="Z95" s="1936"/>
      <c r="AA95" s="1942"/>
      <c r="AB95" s="1942"/>
      <c r="AC95" s="1942"/>
      <c r="AD95" s="1942"/>
      <c r="AE95" s="1942"/>
      <c r="AF95" s="1942"/>
      <c r="AG95" s="1942"/>
      <c r="AH95" s="1942"/>
      <c r="AI95" s="1942"/>
    </row>
    <row r="96" spans="1:35" s="1676" customFormat="1" ht="24">
      <c r="A96" s="1815" t="s">
        <v>2785</v>
      </c>
      <c r="B96" s="1859" t="s">
        <v>2806</v>
      </c>
      <c r="C96" s="1890">
        <f ca="1">IF(C95&lt;=0,0,C95/C86)</f>
        <v>165.71428571428572</v>
      </c>
      <c r="D96" s="967" t="s">
        <v>124</v>
      </c>
      <c r="E96" s="855" t="str">
        <f ca="1">IF(C96&gt;=200%,"增值额超过扣除项目金额200%",IF(C96&gt;=100%,"增值额超过扣除项目金额100%，未超过200%",IF(C96&gt;=50%,"增值额超过扣除项目金额50%，未超过100%",IF(C96&lt;50%,"增值额未超过扣除项目金额50%"))))</f>
        <v>增值额超过扣除项目金额200%</v>
      </c>
      <c r="F96" s="733"/>
      <c r="G96" s="733"/>
      <c r="H96" s="1900"/>
      <c r="I96" s="1250"/>
      <c r="J96" s="1936"/>
      <c r="K96" s="1936"/>
      <c r="L96" s="1936"/>
      <c r="M96" s="1936"/>
      <c r="N96" s="1936"/>
      <c r="O96" s="1936"/>
      <c r="P96" s="1936"/>
      <c r="Q96" s="1936"/>
      <c r="R96" s="1936"/>
      <c r="S96" s="1936"/>
      <c r="T96" s="1936"/>
      <c r="U96" s="1936"/>
      <c r="V96" s="1936"/>
      <c r="W96" s="1936"/>
      <c r="X96" s="1936"/>
      <c r="Y96" s="1936"/>
      <c r="Z96" s="1936"/>
      <c r="AA96" s="1942"/>
      <c r="AB96" s="1942"/>
      <c r="AC96" s="1942"/>
      <c r="AD96" s="1942"/>
      <c r="AE96" s="1942"/>
      <c r="AF96" s="1942"/>
      <c r="AG96" s="1942"/>
      <c r="AH96" s="1942"/>
      <c r="AI96" s="1942"/>
    </row>
    <row r="97" spans="1:35" s="1676" customFormat="1" ht="24">
      <c r="A97" s="1863" t="s">
        <v>2807</v>
      </c>
      <c r="B97" s="1864" t="s">
        <v>2808</v>
      </c>
      <c r="C97" s="1891">
        <f ca="1">ROUND(IF(C95&lt;=0,0,IF(C96&gt;=200%,C95*60%-C86*35%,IF(C96&gt;=100%,C95*50%-C86*15%,IF(C96&gt;=50%,C95*40%-C86*5%,IF(C96&lt;50%,C95*30%,0))))),0)</f>
        <v>9016</v>
      </c>
      <c r="D97" s="1892" t="s">
        <v>124</v>
      </c>
      <c r="E97" s="18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4"/>
      <c r="G97" s="1894"/>
      <c r="H97" s="1908"/>
      <c r="I97" s="1250"/>
      <c r="J97" s="1936"/>
      <c r="K97" s="1936"/>
      <c r="L97" s="1936"/>
      <c r="M97" s="1936"/>
      <c r="N97" s="1936"/>
      <c r="O97" s="1936"/>
      <c r="P97" s="1936"/>
      <c r="Q97" s="1936"/>
      <c r="R97" s="1936"/>
      <c r="S97" s="1936"/>
      <c r="T97" s="1936"/>
      <c r="U97" s="1936"/>
      <c r="V97" s="1936"/>
      <c r="W97" s="1936"/>
      <c r="X97" s="1936"/>
      <c r="Y97" s="1936"/>
      <c r="Z97" s="1936"/>
      <c r="AA97" s="1942"/>
      <c r="AB97" s="1942"/>
      <c r="AC97" s="1942"/>
      <c r="AD97" s="1942"/>
      <c r="AE97" s="1942"/>
      <c r="AF97" s="1942"/>
      <c r="AG97" s="1942"/>
      <c r="AH97" s="1942"/>
      <c r="AI97" s="1942"/>
    </row>
    <row r="98" spans="1:35" ht="21.75" customHeight="1">
      <c r="A98" s="1810"/>
      <c r="B98" s="1680"/>
      <c r="C98" s="1680"/>
      <c r="D98" s="1680"/>
      <c r="E98" s="1811"/>
      <c r="F98" s="1811"/>
      <c r="G98" s="1811"/>
      <c r="H98" s="1771"/>
      <c r="I98" s="588"/>
    </row>
    <row r="99" spans="1:35" ht="21.75" customHeight="1">
      <c r="A99" s="1773" t="s">
        <v>2830</v>
      </c>
      <c r="B99" s="1680"/>
      <c r="C99" s="1680"/>
      <c r="D99" s="1680"/>
      <c r="E99" s="1811"/>
      <c r="F99" s="1811"/>
      <c r="G99" s="1811"/>
      <c r="H99" s="1771"/>
      <c r="I99" s="588"/>
    </row>
    <row r="100" spans="1:35" ht="18.75" customHeight="1">
      <c r="A100" s="3549" t="s">
        <v>2831</v>
      </c>
      <c r="B100" s="3550"/>
      <c r="C100" s="3550"/>
      <c r="D100" s="3592"/>
      <c r="E100" s="3550" t="s">
        <v>2832</v>
      </c>
      <c r="F100" s="3550"/>
      <c r="G100" s="3550"/>
      <c r="H100" s="3592"/>
      <c r="I100" s="588"/>
    </row>
    <row r="101" spans="1:35" ht="18.75" customHeight="1">
      <c r="A101" s="3593" t="s">
        <v>2833</v>
      </c>
      <c r="B101" s="3594"/>
      <c r="C101" s="1910" t="str">
        <f>C4</f>
        <v>比较法-仓储</v>
      </c>
      <c r="D101" s="1911" t="str">
        <f>D4</f>
        <v>成本法 (2)</v>
      </c>
      <c r="E101" s="3563" t="s">
        <v>2834</v>
      </c>
      <c r="F101" s="3558"/>
      <c r="G101" s="1913" t="s">
        <v>2835</v>
      </c>
      <c r="H101" s="1914">
        <f ca="1">H118</f>
        <v>15930</v>
      </c>
      <c r="I101" s="588"/>
    </row>
    <row r="102" spans="1:35" ht="18.75" customHeight="1">
      <c r="A102" s="3571" t="s">
        <v>2836</v>
      </c>
      <c r="B102" s="1915" t="s">
        <v>2835</v>
      </c>
      <c r="C102" s="1910">
        <f ca="1">IF(D32="楼面单价",ROUND(C19,0),C19)</f>
        <v>18879</v>
      </c>
      <c r="D102" s="1911">
        <f ca="1">IF(D32="楼面单价",ROUND(D19,0),D19)</f>
        <v>9050</v>
      </c>
      <c r="E102" s="3563"/>
      <c r="F102" s="3558"/>
      <c r="G102" s="1913" t="s">
        <v>99</v>
      </c>
      <c r="H102" s="1800">
        <f ca="1">I118</f>
        <v>24850</v>
      </c>
      <c r="I102" s="588"/>
    </row>
    <row r="103" spans="1:35" ht="42.75" customHeight="1">
      <c r="A103" s="3571"/>
      <c r="B103" s="1915" t="s">
        <v>99</v>
      </c>
      <c r="C103" s="1916">
        <f ca="1">C20</f>
        <v>29451</v>
      </c>
      <c r="D103" s="1917">
        <f ca="1">D20</f>
        <v>14118</v>
      </c>
      <c r="E103" s="3595" t="s">
        <v>2837</v>
      </c>
      <c r="F103" s="3596"/>
      <c r="G103" s="1918" t="s">
        <v>102</v>
      </c>
      <c r="H103" s="1914">
        <f>IF(D36="正常操作",H104+H105+H106,H105+H106)</f>
        <v>0</v>
      </c>
      <c r="I103" s="588"/>
    </row>
    <row r="104" spans="1:35" ht="18.75" customHeight="1">
      <c r="A104" s="3571" t="s">
        <v>2838</v>
      </c>
      <c r="B104" s="1919" t="s">
        <v>2835</v>
      </c>
      <c r="C104" s="1920">
        <f ca="1">H118</f>
        <v>15930</v>
      </c>
      <c r="D104" s="1921"/>
      <c r="E104" s="1756" t="s">
        <v>2839</v>
      </c>
      <c r="F104" s="1922"/>
      <c r="G104" s="1918" t="s">
        <v>102</v>
      </c>
      <c r="H104" s="1923">
        <f>IF(D36="同一抵押权人同一抵押物续贷",C36&amp;"（续贷，未扣减，详见特别提示）",C36)</f>
        <v>0</v>
      </c>
      <c r="I104" s="588"/>
    </row>
    <row r="105" spans="1:35" ht="18.75" customHeight="1">
      <c r="A105" s="3572"/>
      <c r="B105" s="1924" t="s">
        <v>99</v>
      </c>
      <c r="C105" s="1925">
        <f ca="1">I118</f>
        <v>24850</v>
      </c>
      <c r="D105" s="1926"/>
      <c r="E105" s="1756" t="s">
        <v>2840</v>
      </c>
      <c r="F105" s="1922"/>
      <c r="G105" s="1918" t="s">
        <v>102</v>
      </c>
      <c r="H105" s="1927">
        <f>C37</f>
        <v>0</v>
      </c>
      <c r="I105" s="588"/>
    </row>
    <row r="106" spans="1:35" ht="18.75" customHeight="1">
      <c r="A106" s="1680" t="s">
        <v>2841</v>
      </c>
      <c r="B106" s="1680"/>
      <c r="C106" s="1680"/>
      <c r="D106" s="1680"/>
      <c r="E106" s="1928" t="s">
        <v>2842</v>
      </c>
      <c r="F106" s="1922"/>
      <c r="G106" s="1918" t="s">
        <v>102</v>
      </c>
      <c r="H106" s="1927">
        <f>C38</f>
        <v>0</v>
      </c>
      <c r="I106" s="588"/>
    </row>
    <row r="107" spans="1:35" ht="18.75" customHeight="1">
      <c r="A107" s="588"/>
      <c r="B107" s="588"/>
      <c r="C107" s="588"/>
      <c r="D107" s="588"/>
      <c r="E107" s="3557" t="str">
        <f>IF(项目基本情况!E8="已注销","——","3.房地产抵押价值")</f>
        <v>3.房地产抵押价值</v>
      </c>
      <c r="F107" s="3558"/>
      <c r="G107" s="1913" t="s">
        <v>2835</v>
      </c>
      <c r="H107" s="1914">
        <f ca="1">IF(E107="——","——",H101-H103)</f>
        <v>15930</v>
      </c>
      <c r="I107" s="588"/>
    </row>
    <row r="108" spans="1:35" ht="18.75" customHeight="1">
      <c r="A108" s="588"/>
      <c r="B108" s="588"/>
      <c r="C108" s="588"/>
      <c r="D108" s="588"/>
      <c r="E108" s="3557"/>
      <c r="F108" s="3558"/>
      <c r="G108" s="1913" t="s">
        <v>99</v>
      </c>
      <c r="H108" s="1800">
        <f ca="1">IF(H107=H101,H102,ROUND(H107*10000/'数据-汇总表'!E3,0))</f>
        <v>24850</v>
      </c>
      <c r="I108" s="588"/>
    </row>
    <row r="109" spans="1:35" ht="18.75" customHeight="1">
      <c r="A109" s="588"/>
      <c r="B109" s="588"/>
      <c r="C109" s="588"/>
      <c r="D109" s="588"/>
      <c r="E109" s="3557" t="str">
        <f>IF(项目基本情况!E8="已注销及未注销","4.抵押担保权已注销时的房地产抵押价值",IF(项目基本情况!E8="已注销","3.抵押担保权已注销时的房地产抵押价值","——"))</f>
        <v>——</v>
      </c>
      <c r="F109" s="3558"/>
      <c r="G109" s="1913" t="s">
        <v>2835</v>
      </c>
      <c r="H109" s="1929" t="str">
        <f>IF(E109="——","——",H101-H105-H106)</f>
        <v>——</v>
      </c>
      <c r="I109" s="588"/>
    </row>
    <row r="110" spans="1:35" ht="18.75" customHeight="1">
      <c r="A110" s="588"/>
      <c r="B110" s="588"/>
      <c r="C110" s="588"/>
      <c r="D110" s="588"/>
      <c r="E110" s="3557"/>
      <c r="F110" s="3558"/>
      <c r="G110" s="1913" t="s">
        <v>99</v>
      </c>
      <c r="H110" s="1800" t="str">
        <f>IF(H109="——","——",ROUND(H109*10000/'数据-汇总表'!E3,0))</f>
        <v>——</v>
      </c>
      <c r="I110" s="588"/>
    </row>
    <row r="111" spans="1:35" ht="18.75" customHeight="1">
      <c r="A111" s="588"/>
      <c r="B111" s="588"/>
      <c r="C111" s="588"/>
      <c r="D111" s="588"/>
      <c r="E111" s="3559" t="str">
        <f>IF(项目基本情况!E9="抵押净值",IF(OR(项目基本情况!E8="已注销",项目基本情况!E8="房地产抵押价值"),"4.抵押净值","5.抵押净值"),"——")</f>
        <v>——</v>
      </c>
      <c r="F111" s="3560"/>
      <c r="G111" s="1913" t="s">
        <v>2835</v>
      </c>
      <c r="H111" s="1914" t="str">
        <f>IF(E111="——","——",N59)</f>
        <v>——</v>
      </c>
      <c r="I111" s="588"/>
    </row>
    <row r="112" spans="1:35" ht="18.75" customHeight="1">
      <c r="A112" s="588"/>
      <c r="B112" s="588"/>
      <c r="C112" s="588"/>
      <c r="D112" s="588"/>
      <c r="E112" s="3561"/>
      <c r="F112" s="3562"/>
      <c r="G112" s="1930" t="s">
        <v>99</v>
      </c>
      <c r="H112" s="1931" t="str">
        <f>IF(E111="——","——",N61)</f>
        <v>——</v>
      </c>
      <c r="I112" s="588"/>
    </row>
    <row r="113" spans="1:27" ht="18.75" customHeight="1">
      <c r="A113" s="588"/>
      <c r="B113" s="588"/>
      <c r="C113" s="588"/>
      <c r="D113" s="588"/>
      <c r="E113" s="3597" t="s">
        <v>2841</v>
      </c>
      <c r="F113" s="3597"/>
      <c r="G113" s="3597"/>
      <c r="H113" s="3597"/>
      <c r="I113" s="588"/>
    </row>
    <row r="114" spans="1:27" ht="3.75" customHeight="1">
      <c r="A114" s="1680"/>
      <c r="B114" s="1680"/>
      <c r="C114" s="1680"/>
      <c r="D114" s="1680"/>
      <c r="E114" s="1810"/>
      <c r="F114" s="1810"/>
      <c r="G114" s="1810"/>
      <c r="H114" s="1810"/>
      <c r="I114" s="1680"/>
    </row>
    <row r="115" spans="1:27" ht="18.75" customHeight="1">
      <c r="A115" s="3598" t="s">
        <v>2843</v>
      </c>
      <c r="B115" s="3599"/>
      <c r="C115" s="3599"/>
      <c r="D115" s="3599"/>
      <c r="E115" s="3599"/>
      <c r="F115" s="3599"/>
      <c r="G115" s="3599"/>
      <c r="H115" s="3599"/>
      <c r="I115" s="3600"/>
    </row>
    <row r="116" spans="1:27" ht="27" customHeight="1">
      <c r="A116" s="3565" t="s">
        <v>2844</v>
      </c>
      <c r="B116" s="3574" t="s">
        <v>2845</v>
      </c>
      <c r="C116" s="3574" t="s">
        <v>2846</v>
      </c>
      <c r="D116" s="3601" t="s">
        <v>2847</v>
      </c>
      <c r="E116" s="3602"/>
      <c r="F116" s="3603" t="s">
        <v>2848</v>
      </c>
      <c r="G116" s="3603"/>
      <c r="H116" s="3565" t="s">
        <v>2849</v>
      </c>
      <c r="I116" s="3565"/>
    </row>
    <row r="117" spans="1:27" ht="18.75" customHeight="1">
      <c r="A117" s="3565"/>
      <c r="B117" s="3575"/>
      <c r="C117" s="3575"/>
      <c r="D117" s="1690" t="s">
        <v>2850</v>
      </c>
      <c r="E117" s="1690" t="s">
        <v>2677</v>
      </c>
      <c r="F117" s="1690" t="s">
        <v>2850</v>
      </c>
      <c r="G117" s="1690" t="s">
        <v>2677</v>
      </c>
      <c r="H117" s="1690" t="s">
        <v>2850</v>
      </c>
      <c r="I117" s="1690" t="s">
        <v>2677</v>
      </c>
    </row>
    <row r="118" spans="1:27" ht="24.75" customHeight="1">
      <c r="A118" s="1932" t="str">
        <f>项目基本情况!S2</f>
        <v>北京市房地产</v>
      </c>
      <c r="B118" s="1690">
        <f>M18</f>
        <v>6410.4</v>
      </c>
      <c r="C118" s="1690">
        <f>M19</f>
        <v>0</v>
      </c>
      <c r="D118" s="1690">
        <f ca="1">ROUND(IF(D32="总价",C34,E118*B118/10000),0)</f>
        <v>6547</v>
      </c>
      <c r="E118" s="1690">
        <f ca="1">ROUND(IF(C33="自定义",IF(D32="楼面单价",C34,D118*10000/B118),I118-G118),0)</f>
        <v>10213</v>
      </c>
      <c r="F118" s="1690">
        <f ca="1">ROUND(IF(D32="总价",C35,G118*B118/10000),0)</f>
        <v>9383</v>
      </c>
      <c r="G118" s="1690">
        <f ca="1">ROUND(IF(D32="楼面单价",C35,F118*10000/B118),0)</f>
        <v>14637</v>
      </c>
      <c r="H118" s="1690">
        <f ca="1">ROUND(IF(D32="总价",C32,I118*B118/10000),0)</f>
        <v>15930</v>
      </c>
      <c r="I118" s="1690">
        <f ca="1">ROUND(IF(D32="楼面单价",C32,H118*10000/B118),0)</f>
        <v>24850</v>
      </c>
    </row>
    <row r="119" spans="1:27" ht="18.75" customHeight="1">
      <c r="A119" s="3565" t="s">
        <v>2851</v>
      </c>
      <c r="B119" s="3565"/>
      <c r="C119" s="3565"/>
      <c r="D119" s="3580" t="str">
        <f t="shared" ref="D119:H119" ca="1" si="5">NUMBERSTRING(INT(D118*10000),2)&amp;"元整"</f>
        <v>陆仟伍佰肆拾柒万元整</v>
      </c>
      <c r="E119" s="3582"/>
      <c r="F119" s="3580" t="str">
        <f t="shared" ca="1" si="5"/>
        <v>玖仟叁佰捌拾叁万元整</v>
      </c>
      <c r="G119" s="3582"/>
      <c r="H119" s="3580" t="str">
        <f t="shared" ca="1" si="5"/>
        <v>壹亿伍仟玖佰叁拾万元整</v>
      </c>
      <c r="I119" s="3582"/>
    </row>
    <row r="120" spans="1:27" ht="18.75" customHeight="1">
      <c r="A120" s="3583" t="str">
        <f>IF(项目基本情况!B9="房地产市场价值","",MID(E103,3,LEN(E103)-2))</f>
        <v>估价师知悉的法定优先受偿款</v>
      </c>
      <c r="B120" s="3584"/>
      <c r="C120" s="3585"/>
      <c r="D120" s="3583">
        <f>H103</f>
        <v>0</v>
      </c>
      <c r="E120" s="3584"/>
      <c r="F120" s="3584"/>
      <c r="G120" s="3584"/>
      <c r="H120" s="3584"/>
      <c r="I120" s="3585"/>
      <c r="J120" s="1677"/>
      <c r="K120" s="1677" t="str">
        <f>IF(D120=0,"故，本次评估不存在"&amp;A120,"故，本次评估"&amp;A120&amp;"为人民币"&amp;D120&amp;"万元整。")</f>
        <v>故，本次评估不存在估价师知悉的法定优先受偿款</v>
      </c>
      <c r="L120" s="1677"/>
      <c r="M120" s="1677"/>
      <c r="N120" s="1677"/>
      <c r="O120" s="1677"/>
      <c r="P120" s="1677"/>
      <c r="Q120" s="1677"/>
      <c r="R120" s="1677"/>
      <c r="S120" s="1677"/>
    </row>
    <row r="121" spans="1:27" ht="18.75" customHeight="1">
      <c r="A121" s="3580" t="s">
        <v>2851</v>
      </c>
      <c r="B121" s="3581"/>
      <c r="C121" s="3582"/>
      <c r="D121" s="3580" t="str">
        <f>IF(D120=0,"零元整",NUMBERSTRING(INT(D120*10000),2)&amp;"元整")</f>
        <v>零元整</v>
      </c>
      <c r="E121" s="3581"/>
      <c r="F121" s="3581"/>
      <c r="G121" s="3581"/>
      <c r="H121" s="3581"/>
      <c r="I121" s="3582"/>
      <c r="AA121" s="545"/>
    </row>
    <row r="122" spans="1:27" ht="18.75" customHeight="1">
      <c r="A122" s="3560" t="str">
        <f>IF(项目基本情况!B9="房地产市场价值","",MID(E107,3,LEN(E107)-2))</f>
        <v>房地产抵押价值</v>
      </c>
      <c r="B122" s="3560"/>
      <c r="C122" s="3560"/>
      <c r="D122" s="3583">
        <f t="shared" ref="D122:D126" ca="1" si="6">H107</f>
        <v>15930</v>
      </c>
      <c r="E122" s="3584"/>
      <c r="F122" s="3584"/>
      <c r="G122" s="3584"/>
      <c r="H122" s="3584"/>
      <c r="I122" s="3585"/>
      <c r="AA122" s="545"/>
    </row>
    <row r="123" spans="1:27" ht="18.75" customHeight="1">
      <c r="A123" s="3565" t="s">
        <v>2851</v>
      </c>
      <c r="B123" s="3565"/>
      <c r="C123" s="3565"/>
      <c r="D123" s="3580" t="str">
        <f t="shared" ref="D123:D127" ca="1" si="7">NUMBERSTRING(INT(D122*10000),2)&amp;"元整"</f>
        <v>壹亿伍仟玖佰叁拾万元整</v>
      </c>
      <c r="E123" s="3581"/>
      <c r="F123" s="3581"/>
      <c r="G123" s="3581"/>
      <c r="H123" s="3581"/>
      <c r="I123" s="3582"/>
      <c r="AA123" s="545"/>
    </row>
    <row r="124" spans="1:27" ht="18.75" customHeight="1">
      <c r="A124" s="3560" t="str">
        <f>IF(项目基本情况!B9="房地产市场价值","",MID(E109,3,LEN(E109)-2))</f>
        <v/>
      </c>
      <c r="B124" s="3560"/>
      <c r="C124" s="3560"/>
      <c r="D124" s="3583" t="str">
        <f t="shared" si="6"/>
        <v>——</v>
      </c>
      <c r="E124" s="3584"/>
      <c r="F124" s="3584"/>
      <c r="G124" s="3584"/>
      <c r="H124" s="3584"/>
      <c r="I124" s="3585"/>
      <c r="AA124" s="545"/>
    </row>
    <row r="125" spans="1:27" ht="18.75" customHeight="1">
      <c r="A125" s="3565" t="s">
        <v>2851</v>
      </c>
      <c r="B125" s="3565"/>
      <c r="C125" s="3565"/>
      <c r="D125" s="3580" t="e">
        <f t="shared" si="7"/>
        <v>#VALUE!</v>
      </c>
      <c r="E125" s="3581"/>
      <c r="F125" s="3581"/>
      <c r="G125" s="3581"/>
      <c r="H125" s="3581"/>
      <c r="I125" s="3582"/>
      <c r="AA125" s="545"/>
    </row>
    <row r="126" spans="1:27" ht="18.75" customHeight="1">
      <c r="A126" s="3560" t="str">
        <f>IF(项目基本情况!B9="房地产市场价值","",MID(E111,3,LEN(E111)-2))</f>
        <v/>
      </c>
      <c r="B126" s="3560"/>
      <c r="C126" s="3560"/>
      <c r="D126" s="3583" t="str">
        <f t="shared" si="6"/>
        <v>——</v>
      </c>
      <c r="E126" s="3584"/>
      <c r="F126" s="3584"/>
      <c r="G126" s="3584"/>
      <c r="H126" s="3584"/>
      <c r="I126" s="3585"/>
      <c r="AA126" s="545"/>
    </row>
    <row r="127" spans="1:27" ht="18.75" customHeight="1">
      <c r="A127" s="3565" t="s">
        <v>2851</v>
      </c>
      <c r="B127" s="3565"/>
      <c r="C127" s="3565"/>
      <c r="D127" s="3580" t="e">
        <f t="shared" si="7"/>
        <v>#VALUE!</v>
      </c>
      <c r="E127" s="3581"/>
      <c r="F127" s="3581"/>
      <c r="G127" s="3581"/>
      <c r="H127" s="3581"/>
      <c r="I127" s="3582"/>
      <c r="AA127" s="545"/>
    </row>
    <row r="128" spans="1:27" ht="21.75" customHeight="1">
      <c r="A128" s="3564" t="s">
        <v>113</v>
      </c>
      <c r="B128" s="3564"/>
      <c r="C128" s="3564"/>
      <c r="D128" s="3564"/>
      <c r="E128" s="3564"/>
      <c r="F128" s="3564"/>
      <c r="G128" s="3564"/>
      <c r="H128" s="3564"/>
      <c r="I128" s="3564"/>
      <c r="AA128" s="545"/>
    </row>
    <row r="129" spans="1:35" ht="21.75" customHeight="1">
      <c r="A129" s="1943" t="s">
        <v>2852</v>
      </c>
      <c r="B129" s="1944"/>
      <c r="C129" s="1945" t="s">
        <v>2853</v>
      </c>
      <c r="D129" s="1946"/>
      <c r="E129" s="1946"/>
      <c r="F129" s="1946"/>
      <c r="G129" s="1946"/>
      <c r="H129" s="1947"/>
      <c r="I129" s="1962"/>
      <c r="AA129" s="545"/>
    </row>
    <row r="130" spans="1:35" ht="21.75" customHeight="1">
      <c r="A130" s="1948">
        <v>1</v>
      </c>
      <c r="B130" s="1949"/>
      <c r="C130" s="1949"/>
      <c r="D130" s="1950"/>
      <c r="E130" s="1950"/>
      <c r="F130" s="1950"/>
      <c r="G130" s="1950"/>
      <c r="H130" s="1951"/>
      <c r="I130" s="1963"/>
      <c r="AA130" s="545"/>
    </row>
    <row r="131" spans="1:35" ht="21.75" customHeight="1">
      <c r="A131" s="1948">
        <v>2</v>
      </c>
      <c r="B131" s="1949"/>
      <c r="C131" s="1949"/>
      <c r="D131" s="1950"/>
      <c r="E131" s="1950"/>
      <c r="F131" s="1950"/>
      <c r="G131" s="1950"/>
      <c r="H131" s="1951"/>
      <c r="I131" s="1963"/>
      <c r="AA131" s="545"/>
    </row>
    <row r="132" spans="1:35" ht="21.75" customHeight="1">
      <c r="A132" s="1948">
        <v>3</v>
      </c>
      <c r="B132" s="1949"/>
      <c r="C132" s="1949"/>
      <c r="D132" s="1950"/>
      <c r="E132" s="1950"/>
      <c r="F132" s="1950"/>
      <c r="G132" s="1950"/>
      <c r="H132" s="1951"/>
      <c r="I132" s="1963"/>
      <c r="AA132" s="545"/>
    </row>
    <row r="133" spans="1:35" ht="21.75" customHeight="1">
      <c r="A133" s="1952"/>
      <c r="B133" s="1953"/>
      <c r="C133" s="1953"/>
      <c r="D133" s="1954"/>
      <c r="E133" s="1954"/>
      <c r="F133" s="1954"/>
      <c r="G133" s="1954"/>
      <c r="H133" s="1955"/>
      <c r="I133" s="1964"/>
    </row>
    <row r="134" spans="1:35" ht="21.75" customHeight="1">
      <c r="A134" s="1949"/>
      <c r="B134" s="1949"/>
      <c r="C134" s="1949"/>
      <c r="D134" s="1950"/>
      <c r="E134" s="1950"/>
      <c r="F134" s="1950"/>
      <c r="G134" s="1950"/>
      <c r="H134" s="1951"/>
      <c r="I134" s="545"/>
    </row>
    <row r="135" spans="1:35" ht="21.75" customHeight="1">
      <c r="A135" s="545"/>
      <c r="B135" s="545"/>
      <c r="C135" s="545"/>
      <c r="D135" s="545"/>
      <c r="E135" s="545"/>
      <c r="F135" s="1956" t="s">
        <v>2854</v>
      </c>
      <c r="G135" s="1957"/>
      <c r="H135" s="1957"/>
      <c r="I135" s="1965" t="s">
        <v>2855</v>
      </c>
    </row>
    <row r="136" spans="1:35" ht="21.75" customHeight="1">
      <c r="A136" s="545"/>
      <c r="B136" s="1958" t="s">
        <v>2856</v>
      </c>
      <c r="C136" s="545"/>
      <c r="D136" s="545"/>
      <c r="E136" s="545"/>
      <c r="F136" s="545"/>
      <c r="G136" s="545"/>
      <c r="H136" s="545"/>
      <c r="I136" s="545"/>
    </row>
    <row r="137" spans="1:35" ht="21.75" customHeight="1">
      <c r="A137" s="545"/>
      <c r="B137" s="545"/>
      <c r="C137" s="545"/>
      <c r="D137" s="545"/>
      <c r="E137" s="545"/>
      <c r="F137" s="545"/>
      <c r="G137" s="545"/>
      <c r="H137" s="545"/>
      <c r="I137" s="545"/>
    </row>
    <row r="138" spans="1:35" ht="21.75" customHeight="1">
      <c r="A138" s="545"/>
      <c r="B138" s="1957"/>
      <c r="C138" s="1957"/>
      <c r="D138" s="1957"/>
      <c r="E138" s="1957"/>
      <c r="F138" s="1957"/>
      <c r="G138" s="1957"/>
      <c r="H138" s="1957"/>
      <c r="I138" s="1965" t="s">
        <v>2857</v>
      </c>
    </row>
    <row r="139" spans="1:35" ht="21.75" customHeight="1">
      <c r="A139" s="545"/>
      <c r="B139" s="1958" t="s">
        <v>2858</v>
      </c>
      <c r="C139" s="545"/>
      <c r="D139" s="545"/>
      <c r="E139" s="545"/>
      <c r="F139" s="545"/>
      <c r="G139" s="545"/>
      <c r="H139" s="545"/>
      <c r="I139" s="545"/>
    </row>
    <row r="140" spans="1:35" ht="21.75" customHeight="1">
      <c r="A140" s="545"/>
      <c r="B140" s="1958"/>
      <c r="C140" s="545"/>
      <c r="D140" s="545"/>
      <c r="E140" s="545"/>
      <c r="F140" s="545"/>
      <c r="G140" s="545"/>
      <c r="H140" s="545"/>
      <c r="I140" s="545"/>
    </row>
    <row r="141" spans="1:35" ht="21.75" customHeight="1">
      <c r="A141" s="545"/>
      <c r="B141" s="1957"/>
      <c r="C141" s="1957"/>
      <c r="D141" s="1957"/>
      <c r="E141" s="1957"/>
      <c r="F141" s="1957"/>
      <c r="G141" s="1957"/>
      <c r="H141" s="1957"/>
      <c r="I141" s="1965" t="s">
        <v>2857</v>
      </c>
    </row>
    <row r="142" spans="1:35" ht="21.75" customHeight="1">
      <c r="A142" s="545"/>
      <c r="B142" s="1958"/>
      <c r="C142" s="1959"/>
      <c r="D142" s="1960"/>
      <c r="E142" s="1960"/>
      <c r="F142" s="1961"/>
      <c r="G142" s="545"/>
      <c r="H142" s="545"/>
      <c r="I142" s="545"/>
    </row>
    <row r="143" spans="1:35" s="542" customFormat="1" ht="21.75" customHeight="1">
      <c r="A143" s="545"/>
      <c r="B143" s="1958"/>
      <c r="C143" s="1959"/>
      <c r="D143" s="1960"/>
      <c r="E143" s="1960"/>
      <c r="F143" s="1961"/>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545"/>
      <c r="AH143" s="545"/>
      <c r="AI143" s="545"/>
    </row>
    <row r="144" spans="1:35" s="542" customFormat="1" ht="21.75" customHeight="1">
      <c r="A144" s="545"/>
      <c r="B144" s="545"/>
      <c r="C144" s="545"/>
      <c r="D144" s="545"/>
      <c r="E144" s="545"/>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row>
    <row r="145" spans="1:35" s="542" customFormat="1" ht="21.75" customHeight="1">
      <c r="A145" s="545"/>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row>
    <row r="146" spans="1:35" s="545" customFormat="1" ht="21.75" customHeight="1"/>
    <row r="147" spans="1:35" s="545" customFormat="1" ht="21.75" customHeight="1"/>
    <row r="148" spans="1:35" s="545" customFormat="1" ht="21.75" customHeight="1"/>
    <row r="149" spans="1:35" s="545" customFormat="1" ht="21.75" customHeight="1"/>
    <row r="150" spans="1:35" s="545" customFormat="1" ht="21.75" customHeight="1"/>
    <row r="151" spans="1:35" s="545" customFormat="1" ht="21.75" customHeight="1"/>
    <row r="152" spans="1:35" s="545" customFormat="1" ht="21.75" customHeight="1"/>
    <row r="153" spans="1:35" s="545" customFormat="1" ht="21.75" customHeight="1"/>
    <row r="154" spans="1:35" s="545" customFormat="1" ht="21.75" customHeight="1"/>
    <row r="155" spans="1:35" s="545" customFormat="1" ht="21.75" customHeight="1"/>
    <row r="156" spans="1:35" s="545" customFormat="1" ht="21.75" customHeight="1"/>
    <row r="157" spans="1:35" s="545" customFormat="1" ht="21.75" customHeight="1"/>
    <row r="158" spans="1:35" s="545" customFormat="1" ht="21.75" customHeight="1"/>
    <row r="159" spans="1:35" s="545" customFormat="1" ht="21.75" customHeight="1"/>
    <row r="160" spans="1:35" s="545" customFormat="1" ht="21.75" customHeight="1"/>
    <row r="161" s="545" customFormat="1" ht="21.75" customHeight="1"/>
    <row r="162" s="545" customFormat="1" ht="21.75" customHeight="1"/>
    <row r="163" s="545" customFormat="1" ht="21.75" customHeight="1"/>
    <row r="164" s="545" customFormat="1" ht="21.75" customHeight="1"/>
    <row r="165" s="545" customFormat="1" ht="21.75" customHeight="1"/>
    <row r="166" s="545" customFormat="1" ht="21.75" customHeight="1"/>
    <row r="167" s="545" customFormat="1" ht="21.75" customHeight="1"/>
    <row r="168" s="545" customFormat="1" ht="21.75" customHeight="1"/>
    <row r="169" s="545" customFormat="1" ht="21.75" customHeight="1"/>
    <row r="170" s="545" customFormat="1" ht="21.75" customHeight="1"/>
    <row r="171" s="545" customFormat="1" ht="21.75" customHeight="1"/>
    <row r="172" s="545" customFormat="1" ht="21.75" customHeight="1"/>
    <row r="173" s="545" customFormat="1" ht="21.75" customHeight="1"/>
    <row r="174" s="545" customFormat="1" ht="21.75" customHeight="1"/>
    <row r="175" s="545" customFormat="1" ht="21.75" customHeight="1"/>
    <row r="176" s="545" customFormat="1" ht="21.75" customHeight="1"/>
    <row r="177" s="545" customFormat="1" ht="21.75" customHeight="1"/>
    <row r="178" s="545" customFormat="1" ht="21.75" customHeight="1"/>
    <row r="179" s="545" customFormat="1" ht="21.75" customHeight="1"/>
    <row r="180" s="545" customFormat="1" ht="21.75" customHeight="1"/>
    <row r="181" s="545" customFormat="1" ht="21.75" customHeight="1"/>
    <row r="182" s="545" customFormat="1" ht="21.75" customHeight="1"/>
    <row r="183" s="545" customFormat="1" ht="21.75" customHeight="1"/>
    <row r="184" s="545" customFormat="1" ht="21.75" customHeight="1"/>
    <row r="185" s="545" customFormat="1" ht="21.75" customHeight="1"/>
    <row r="186" s="545" customFormat="1" ht="21.75" customHeight="1"/>
    <row r="187" s="545" customFormat="1" ht="21.75" customHeight="1"/>
    <row r="188" s="545" customFormat="1" ht="21.75" customHeight="1"/>
    <row r="189" s="545" customFormat="1" ht="21.75" customHeight="1"/>
    <row r="190" s="545" customFormat="1" ht="21.75" customHeight="1"/>
    <row r="191" s="545" customFormat="1" ht="21.75" customHeight="1"/>
    <row r="192" s="545" customFormat="1" ht="21.75" customHeight="1"/>
    <row r="193" s="545" customFormat="1" ht="21.75" customHeight="1"/>
    <row r="194" s="545" customFormat="1" ht="21.75" customHeight="1"/>
    <row r="195" s="545" customFormat="1" ht="21.75" customHeight="1"/>
    <row r="196" s="545" customFormat="1" ht="21.75" customHeight="1"/>
    <row r="197" s="545" customFormat="1" ht="21.75" customHeight="1"/>
    <row r="198" s="545" customFormat="1" ht="21.75" customHeight="1"/>
    <row r="199" s="545" customFormat="1" ht="21.75" customHeight="1"/>
    <row r="200" s="545" customFormat="1" ht="21.75" customHeight="1"/>
    <row r="201" s="545" customFormat="1" ht="21.75" customHeight="1"/>
    <row r="202" s="545" customFormat="1" ht="21.75" customHeight="1"/>
    <row r="203" s="545" customFormat="1" ht="21.75" customHeight="1"/>
    <row r="204" s="545" customFormat="1" ht="21.75" customHeight="1"/>
    <row r="205" s="545" customFormat="1" ht="21.75" customHeight="1"/>
    <row r="206" s="545" customFormat="1" ht="21.75" customHeight="1"/>
    <row r="207" s="545" customFormat="1" ht="21.75" customHeight="1"/>
    <row r="208" s="545" customFormat="1" ht="21.75" customHeight="1"/>
    <row r="209" s="545" customFormat="1" ht="21.75" customHeight="1"/>
    <row r="210" s="545" customFormat="1" ht="21.75" customHeight="1"/>
    <row r="211" s="545" customFormat="1" ht="21.75" customHeight="1"/>
    <row r="212" s="545" customFormat="1" ht="21.75" customHeight="1"/>
    <row r="213" s="545" customFormat="1" ht="21.75" customHeight="1"/>
    <row r="214" s="545" customFormat="1" ht="21.75" customHeight="1"/>
    <row r="215" s="545" customFormat="1" ht="21.75" customHeight="1"/>
    <row r="216" s="545" customFormat="1" ht="21.75" customHeight="1"/>
    <row r="217" s="545" customFormat="1" ht="21.75" customHeight="1"/>
    <row r="218" s="545" customFormat="1" ht="21.75" customHeight="1"/>
    <row r="219" s="545" customFormat="1" ht="21.75" customHeight="1"/>
    <row r="220" s="545" customFormat="1" ht="21.75" customHeight="1"/>
    <row r="221" s="545" customFormat="1" ht="21.75" customHeight="1"/>
    <row r="222" s="545" customFormat="1" ht="21.75" customHeight="1"/>
    <row r="223" s="545" customFormat="1" ht="21.75" customHeight="1"/>
    <row r="224" s="545" customFormat="1" ht="21.75" customHeight="1"/>
    <row r="225" s="545" customFormat="1" ht="21.75" customHeight="1"/>
    <row r="226" s="545" customFormat="1" ht="21.75" customHeight="1"/>
    <row r="227" s="545" customFormat="1" ht="21.75" customHeight="1"/>
    <row r="228" s="545" customFormat="1" ht="21.75" customHeight="1"/>
    <row r="229" s="545" customFormat="1" ht="21.75" customHeight="1"/>
    <row r="230" s="545" customFormat="1" ht="21.75" customHeight="1"/>
    <row r="231" s="545" customFormat="1" ht="21.75" customHeight="1"/>
    <row r="232" s="545" customFormat="1" ht="21.75" customHeight="1"/>
    <row r="233" s="545" customFormat="1" ht="21.75" customHeight="1"/>
    <row r="234" s="545" customFormat="1" ht="21.75" customHeight="1"/>
    <row r="235" s="545" customFormat="1" ht="21.75" customHeight="1"/>
    <row r="236" s="545" customFormat="1" ht="21.75" customHeight="1"/>
    <row r="237" s="545" customFormat="1" ht="21.75" customHeight="1"/>
    <row r="238" s="545" customFormat="1" ht="21.75" customHeight="1"/>
    <row r="239" s="545" customFormat="1" ht="21.75" customHeight="1"/>
    <row r="240" s="545" customFormat="1" ht="21.75" customHeight="1"/>
    <row r="241" s="545" customFormat="1" ht="21.75" customHeight="1"/>
    <row r="242" s="545" customFormat="1" ht="21.75" customHeight="1"/>
    <row r="243" s="545" customFormat="1" ht="21.75" customHeight="1"/>
    <row r="244" s="545" customFormat="1" ht="21.75" customHeight="1"/>
    <row r="245" s="545" customFormat="1" ht="21.75" customHeight="1"/>
    <row r="246" s="545" customFormat="1" ht="21.75" customHeight="1"/>
    <row r="247" s="545" customFormat="1" ht="21.75" customHeight="1"/>
    <row r="248" s="545" customFormat="1" ht="21.75" customHeight="1"/>
    <row r="249" s="545" customFormat="1" ht="21.75" customHeight="1"/>
    <row r="250" s="545" customFormat="1" ht="21.75" customHeight="1"/>
    <row r="251" s="545" customFormat="1" ht="21.75" customHeight="1"/>
    <row r="252" s="545" customFormat="1" ht="21.75" customHeight="1"/>
    <row r="253" s="545" customFormat="1" ht="21.75" customHeight="1"/>
    <row r="254" s="545" customFormat="1" ht="21.75" customHeight="1"/>
    <row r="255" s="545" customFormat="1" ht="21.75" customHeight="1"/>
    <row r="256" s="545" customFormat="1" ht="21.75" customHeight="1"/>
    <row r="257" s="545" customFormat="1" ht="21.75" customHeight="1"/>
    <row r="258" s="545" customFormat="1" ht="21.75" customHeight="1"/>
    <row r="259" s="545" customFormat="1" ht="21.75" customHeight="1"/>
    <row r="260" s="545" customFormat="1" ht="21.75" customHeight="1"/>
    <row r="261" s="545" customFormat="1" ht="21.75" customHeight="1"/>
    <row r="262" s="545" customFormat="1" ht="21.75" customHeight="1"/>
    <row r="263" s="545" customFormat="1" ht="21.75" customHeight="1"/>
    <row r="264" s="545" customFormat="1" ht="21.75" customHeight="1"/>
    <row r="265" s="545" customFormat="1" ht="21.75" customHeight="1"/>
    <row r="266" s="545" customFormat="1" ht="21.75" customHeight="1"/>
    <row r="267" s="545" customFormat="1" ht="21.75" customHeight="1"/>
    <row r="268" s="545" customFormat="1" ht="21.75" customHeight="1"/>
    <row r="269" s="545" customFormat="1" ht="21.75" customHeight="1"/>
    <row r="270" s="545" customFormat="1" ht="21.75" customHeight="1"/>
    <row r="271" s="545" customFormat="1" ht="21.75" customHeight="1"/>
    <row r="272" s="545" customFormat="1" ht="21.75" customHeight="1"/>
    <row r="273" s="545" customFormat="1" ht="21.75" customHeight="1"/>
    <row r="274" s="545" customFormat="1" ht="21.75" customHeight="1"/>
    <row r="275" s="545" customFormat="1" ht="21.75" customHeight="1"/>
    <row r="276" s="545" customFormat="1" ht="21.75" customHeight="1"/>
    <row r="277" s="545" customFormat="1" ht="21.75" customHeight="1"/>
    <row r="278" s="545" customFormat="1" ht="21.75" customHeight="1"/>
    <row r="279" s="545" customFormat="1" ht="21.75" customHeight="1"/>
    <row r="280" s="545" customFormat="1" ht="21.75" customHeight="1"/>
    <row r="281" s="545" customFormat="1" ht="21.75" customHeight="1"/>
    <row r="282" s="545" customFormat="1" ht="21.75" customHeight="1"/>
    <row r="283" s="545" customFormat="1" ht="21.75" customHeight="1"/>
    <row r="284" s="545" customFormat="1" ht="21.75" customHeight="1"/>
    <row r="285" s="545" customFormat="1" ht="21.75" customHeight="1"/>
    <row r="286" s="545" customFormat="1" ht="21.75" customHeight="1"/>
    <row r="287" s="545" customFormat="1" ht="21.75" customHeight="1"/>
    <row r="288" s="545" customFormat="1" ht="21.75" customHeight="1"/>
    <row r="289" s="545" customFormat="1" ht="21.75" customHeight="1"/>
    <row r="290" s="545" customFormat="1" ht="21.75" customHeight="1"/>
    <row r="291" s="545" customFormat="1" ht="21.75" customHeight="1"/>
    <row r="292" s="545" customFormat="1" ht="21.75" customHeight="1"/>
    <row r="293" s="545" customFormat="1" ht="21.75" customHeight="1"/>
    <row r="294" s="545" customFormat="1" ht="21.75" customHeight="1"/>
    <row r="295" s="545" customFormat="1" ht="21.75" customHeight="1"/>
    <row r="296" s="545" customFormat="1" ht="21.75" customHeight="1"/>
    <row r="297" s="545" customFormat="1" ht="21.75" customHeight="1"/>
    <row r="298" s="545" customFormat="1" ht="21.75" customHeight="1"/>
    <row r="299" s="545" customFormat="1" ht="21.75" customHeight="1"/>
    <row r="300" s="545" customFormat="1" ht="21.75" customHeight="1"/>
    <row r="301" s="545" customFormat="1" ht="21.75" customHeight="1"/>
    <row r="302" s="545" customFormat="1" ht="21.75" customHeight="1"/>
    <row r="303" s="545" customFormat="1" ht="21.75" customHeight="1"/>
    <row r="304" s="545" customFormat="1" ht="21.75" customHeight="1"/>
    <row r="305" s="545" customFormat="1" ht="21.75" customHeight="1"/>
    <row r="306" s="545" customFormat="1" ht="21.75" customHeight="1"/>
    <row r="307" s="545" customFormat="1" ht="21.75" customHeight="1"/>
    <row r="308" s="545" customFormat="1" ht="21.75" customHeight="1"/>
    <row r="309" s="545" customFormat="1" ht="21.75" customHeight="1"/>
    <row r="310" s="545" customFormat="1" ht="21.75" customHeight="1"/>
    <row r="311" s="545" customFormat="1" ht="21.75" customHeight="1"/>
    <row r="312" s="545" customFormat="1" ht="21.75" customHeight="1"/>
    <row r="313" s="545" customFormat="1" ht="21.75" customHeight="1"/>
    <row r="314" s="545" customFormat="1" ht="21.75" customHeight="1"/>
    <row r="315" s="545" customFormat="1" ht="21.75" customHeight="1"/>
    <row r="316" s="545" customFormat="1" ht="21.75" customHeight="1"/>
    <row r="317" s="545" customFormat="1" ht="21.75" customHeight="1"/>
    <row r="318" s="545" customFormat="1" ht="21.75" customHeight="1"/>
    <row r="319" s="545" customFormat="1" ht="21.75" customHeight="1"/>
    <row r="320" s="545" customFormat="1" ht="21.75" customHeight="1"/>
    <row r="321" s="545" customFormat="1" ht="21.75" customHeight="1"/>
    <row r="322" s="545" customFormat="1" ht="21.75" customHeight="1"/>
    <row r="323" s="545" customFormat="1" ht="21.75" customHeight="1"/>
    <row r="324" s="545" customFormat="1" ht="21.75" customHeight="1"/>
    <row r="325" s="545" customFormat="1" ht="21.75" customHeight="1"/>
    <row r="326" s="545" customFormat="1" ht="21.75" customHeight="1"/>
    <row r="327" s="545" customFormat="1" ht="21.75" customHeight="1"/>
    <row r="328" s="545" customFormat="1" ht="21.75" customHeight="1"/>
    <row r="329" s="545" customFormat="1" ht="21.75" customHeight="1"/>
    <row r="330" s="545" customFormat="1" ht="21.75" customHeight="1"/>
    <row r="331" s="545" customFormat="1" ht="21.75" customHeight="1"/>
    <row r="332" s="545" customFormat="1" ht="21.75" customHeight="1"/>
    <row r="333" s="545" customFormat="1" ht="21.75" customHeight="1"/>
    <row r="334" s="545" customFormat="1" ht="21.75" customHeight="1"/>
    <row r="335" s="545" customFormat="1" ht="21.75" customHeight="1"/>
    <row r="336" s="545" customFormat="1" ht="21.75" customHeight="1"/>
    <row r="337" s="545" customFormat="1" ht="21.75" customHeight="1"/>
    <row r="338" s="545" customFormat="1" ht="21.75" customHeight="1"/>
    <row r="339" s="545" customFormat="1" ht="21.75" customHeight="1"/>
    <row r="340" s="545" customFormat="1" ht="21.75" customHeight="1"/>
    <row r="341" s="545" customFormat="1" ht="21.75" customHeight="1"/>
    <row r="342" s="545" customFormat="1" ht="21.75" customHeight="1"/>
    <row r="343" s="545" customFormat="1" ht="21.75" customHeight="1"/>
    <row r="344" s="545" customFormat="1" ht="21.75" customHeight="1"/>
    <row r="345" s="545" customFormat="1" ht="21.75" customHeight="1"/>
    <row r="346" s="545" customFormat="1" ht="21.75" customHeight="1"/>
    <row r="347" s="545" customFormat="1" ht="21.75" customHeight="1"/>
    <row r="348" s="545" customFormat="1" ht="21.75" customHeight="1"/>
    <row r="349" s="545" customFormat="1" ht="21.75" customHeight="1"/>
    <row r="350" s="545" customFormat="1" ht="21.75" customHeight="1"/>
    <row r="351" s="545" customFormat="1" ht="21.75" customHeight="1"/>
    <row r="352" s="545" customFormat="1" ht="21.75" customHeight="1"/>
    <row r="353" s="545" customFormat="1" ht="21.75" customHeight="1"/>
    <row r="354" s="545" customFormat="1" ht="21.75" customHeight="1"/>
    <row r="355" s="545" customFormat="1" ht="21.75" customHeight="1"/>
    <row r="356" s="545" customFormat="1" ht="21.75" customHeight="1"/>
    <row r="357" s="545" customFormat="1" ht="21.75" customHeight="1"/>
    <row r="358" s="545" customFormat="1" ht="21.75" customHeight="1"/>
    <row r="359" s="545" customFormat="1" ht="21.75" customHeight="1"/>
    <row r="360" s="545" customFormat="1" ht="21.75" customHeight="1"/>
    <row r="361" s="545" customFormat="1" ht="21.75" customHeight="1"/>
    <row r="362" s="545" customFormat="1" ht="21.75" customHeight="1"/>
    <row r="363" s="545" customFormat="1" ht="21.75" customHeight="1"/>
    <row r="364" s="545" customFormat="1" ht="21.75" customHeight="1"/>
    <row r="365" s="545" customFormat="1" ht="21.75" customHeight="1"/>
    <row r="366" s="545" customFormat="1" ht="21.75" customHeight="1"/>
    <row r="367" s="545" customFormat="1" ht="21.75" customHeight="1"/>
    <row r="368" s="545" customFormat="1" ht="21.75" customHeight="1"/>
    <row r="369" s="545" customFormat="1" ht="21.75" customHeight="1"/>
    <row r="370" s="545" customFormat="1" ht="21.75" customHeight="1"/>
    <row r="371" s="545" customFormat="1" ht="21.75" customHeight="1"/>
    <row r="372" s="545" customFormat="1" ht="21.75" customHeight="1"/>
    <row r="373" s="545" customFormat="1" ht="21.75" customHeight="1"/>
    <row r="374" s="545" customFormat="1" ht="21.75" customHeight="1"/>
    <row r="375" s="545" customFormat="1" ht="21.75" customHeight="1"/>
    <row r="376" s="545" customFormat="1" ht="21.75" customHeight="1"/>
    <row r="377" s="545" customFormat="1" ht="21.75" customHeight="1"/>
    <row r="378" s="545" customFormat="1" ht="21.75" customHeight="1"/>
    <row r="379" s="545" customFormat="1" ht="21.75" customHeight="1"/>
    <row r="380" s="545" customFormat="1" ht="21.75" customHeight="1"/>
    <row r="381" s="545" customFormat="1" ht="21.75" customHeight="1"/>
    <row r="382" s="545" customFormat="1" ht="21.75" customHeight="1"/>
    <row r="383" s="545" customFormat="1" ht="21.75" customHeight="1"/>
    <row r="384" s="545" customFormat="1" ht="21.75" customHeight="1"/>
    <row r="385" s="545" customFormat="1" ht="21.75" customHeight="1"/>
    <row r="386" s="545" customFormat="1" ht="21.75" customHeight="1"/>
    <row r="387" s="545" customFormat="1" ht="21.75" customHeight="1"/>
    <row r="388" s="545" customFormat="1" ht="21.75" customHeight="1"/>
    <row r="389" s="545" customFormat="1" ht="21.75" customHeight="1"/>
    <row r="390" s="545" customFormat="1" ht="21.75" customHeight="1"/>
    <row r="391" s="545" customFormat="1" ht="21.75" customHeight="1"/>
    <row r="392" s="545" customFormat="1" ht="21.75" customHeight="1"/>
    <row r="393" s="545" customFormat="1" ht="21.75" customHeight="1"/>
    <row r="394" s="545" customFormat="1" ht="21.75" customHeight="1"/>
    <row r="395" s="545" customFormat="1" ht="21.75" customHeight="1"/>
    <row r="396" s="545" customFormat="1" ht="21.75" customHeight="1"/>
    <row r="397" s="545" customFormat="1" ht="21.75" customHeight="1"/>
    <row r="398" s="545" customFormat="1" ht="21.75" customHeight="1"/>
    <row r="399" s="545" customFormat="1" ht="21.75" customHeight="1"/>
    <row r="400" s="545" customFormat="1" ht="21.75" customHeight="1"/>
    <row r="401" spans="10:26" s="545" customFormat="1" ht="21.75" customHeight="1"/>
    <row r="402" spans="10:26" s="545" customFormat="1" ht="21.75" customHeight="1"/>
    <row r="403" spans="10:26" s="545" customFormat="1" ht="21.75" customHeight="1"/>
    <row r="404" spans="10:26" s="545" customFormat="1" ht="21.75" customHeight="1"/>
    <row r="405" spans="10:26" s="545" customFormat="1" ht="21.75" customHeight="1"/>
    <row r="406" spans="10:26" s="545" customFormat="1" ht="21.75" customHeight="1"/>
    <row r="407" spans="10:26" s="545" customFormat="1" ht="21.75" customHeight="1"/>
    <row r="408" spans="10:26" s="545" customFormat="1" ht="21.75" customHeight="1"/>
    <row r="409" spans="10:26" s="1677" customFormat="1" ht="21.75" customHeight="1">
      <c r="J409" s="545"/>
      <c r="K409" s="545"/>
      <c r="L409" s="545"/>
      <c r="M409" s="545"/>
      <c r="N409" s="545"/>
      <c r="O409" s="545"/>
      <c r="P409" s="545"/>
      <c r="Q409" s="545"/>
      <c r="R409" s="545"/>
      <c r="S409" s="545"/>
      <c r="T409" s="545"/>
      <c r="U409" s="545"/>
      <c r="V409" s="545"/>
      <c r="W409" s="545"/>
      <c r="X409" s="545"/>
      <c r="Y409" s="545"/>
      <c r="Z409" s="545"/>
    </row>
    <row r="410" spans="10:26" s="1677" customFormat="1" ht="21.75" customHeight="1">
      <c r="J410" s="545"/>
      <c r="K410" s="545"/>
      <c r="L410" s="545"/>
      <c r="M410" s="545"/>
      <c r="N410" s="545"/>
      <c r="O410" s="545"/>
      <c r="P410" s="545"/>
      <c r="Q410" s="545"/>
      <c r="R410" s="545"/>
      <c r="S410" s="545"/>
      <c r="T410" s="545"/>
      <c r="U410" s="545"/>
      <c r="V410" s="545"/>
      <c r="W410" s="545"/>
      <c r="X410" s="545"/>
      <c r="Y410" s="545"/>
      <c r="Z410" s="545"/>
    </row>
    <row r="411" spans="10:26" s="1677" customFormat="1" ht="21.75" customHeight="1">
      <c r="J411" s="545"/>
      <c r="K411" s="545"/>
      <c r="L411" s="545"/>
      <c r="M411" s="545"/>
      <c r="N411" s="545"/>
      <c r="O411" s="545"/>
      <c r="P411" s="545"/>
      <c r="Q411" s="545"/>
      <c r="R411" s="545"/>
      <c r="S411" s="545"/>
      <c r="T411" s="545"/>
      <c r="U411" s="545"/>
      <c r="V411" s="545"/>
      <c r="W411" s="545"/>
      <c r="X411" s="545"/>
      <c r="Y411" s="545"/>
      <c r="Z411" s="545"/>
    </row>
    <row r="412" spans="10:26" s="1677" customFormat="1" ht="21.75" customHeight="1">
      <c r="J412" s="545"/>
      <c r="K412" s="545"/>
      <c r="L412" s="545"/>
      <c r="M412" s="545"/>
      <c r="N412" s="545"/>
      <c r="O412" s="545"/>
      <c r="P412" s="545"/>
      <c r="Q412" s="545"/>
      <c r="R412" s="545"/>
      <c r="S412" s="545"/>
      <c r="T412" s="545"/>
      <c r="U412" s="545"/>
      <c r="V412" s="545"/>
      <c r="W412" s="545"/>
      <c r="X412" s="545"/>
      <c r="Y412" s="545"/>
      <c r="Z412" s="545"/>
    </row>
    <row r="413" spans="10:26" s="1677" customFormat="1" ht="21.75" customHeight="1">
      <c r="J413" s="545"/>
      <c r="K413" s="545"/>
      <c r="L413" s="545"/>
      <c r="M413" s="545"/>
      <c r="N413" s="545"/>
      <c r="O413" s="545"/>
      <c r="P413" s="545"/>
      <c r="Q413" s="545"/>
      <c r="R413" s="545"/>
      <c r="S413" s="545"/>
      <c r="T413" s="545"/>
      <c r="U413" s="545"/>
      <c r="V413" s="545"/>
      <c r="W413" s="545"/>
      <c r="X413" s="545"/>
      <c r="Y413" s="545"/>
      <c r="Z413" s="545"/>
    </row>
    <row r="414" spans="10:26" s="1677" customFormat="1" ht="21.75" customHeight="1">
      <c r="J414" s="545"/>
      <c r="K414" s="545"/>
      <c r="L414" s="545"/>
      <c r="M414" s="545"/>
      <c r="N414" s="545"/>
      <c r="O414" s="545"/>
      <c r="P414" s="545"/>
      <c r="Q414" s="545"/>
      <c r="R414" s="545"/>
      <c r="S414" s="545"/>
      <c r="T414" s="545"/>
      <c r="U414" s="545"/>
      <c r="V414" s="545"/>
      <c r="W414" s="545"/>
      <c r="X414" s="545"/>
      <c r="Y414" s="545"/>
      <c r="Z414" s="545"/>
    </row>
    <row r="415" spans="10:26" s="1677" customFormat="1" ht="21.75" customHeight="1">
      <c r="J415" s="545"/>
      <c r="K415" s="545"/>
      <c r="L415" s="545"/>
      <c r="M415" s="545"/>
      <c r="N415" s="545"/>
      <c r="O415" s="545"/>
      <c r="P415" s="545"/>
      <c r="Q415" s="545"/>
      <c r="R415" s="545"/>
      <c r="S415" s="545"/>
      <c r="T415" s="545"/>
      <c r="U415" s="545"/>
      <c r="V415" s="545"/>
      <c r="W415" s="545"/>
      <c r="X415" s="545"/>
      <c r="Y415" s="545"/>
      <c r="Z415" s="545"/>
    </row>
    <row r="416" spans="10:26" s="1677" customFormat="1" ht="21.75" customHeight="1">
      <c r="J416" s="545"/>
      <c r="K416" s="545"/>
      <c r="L416" s="545"/>
      <c r="M416" s="545"/>
      <c r="N416" s="545"/>
      <c r="O416" s="545"/>
      <c r="P416" s="545"/>
      <c r="Q416" s="545"/>
      <c r="R416" s="545"/>
      <c r="S416" s="545"/>
      <c r="T416" s="545"/>
      <c r="U416" s="545"/>
      <c r="V416" s="545"/>
      <c r="W416" s="545"/>
      <c r="X416" s="545"/>
      <c r="Y416" s="545"/>
      <c r="Z416" s="545"/>
    </row>
    <row r="417" spans="10:26" s="1677" customFormat="1" ht="21.75" customHeight="1">
      <c r="J417" s="545"/>
      <c r="K417" s="545"/>
      <c r="L417" s="545"/>
      <c r="M417" s="545"/>
      <c r="N417" s="545"/>
      <c r="O417" s="545"/>
      <c r="P417" s="545"/>
      <c r="Q417" s="545"/>
      <c r="R417" s="545"/>
      <c r="S417" s="545"/>
      <c r="T417" s="545"/>
      <c r="U417" s="545"/>
      <c r="V417" s="545"/>
      <c r="W417" s="545"/>
      <c r="X417" s="545"/>
      <c r="Y417" s="545"/>
      <c r="Z417" s="545"/>
    </row>
    <row r="418" spans="10:26" s="1677" customFormat="1" ht="21.75" customHeight="1">
      <c r="J418" s="545"/>
      <c r="K418" s="545"/>
      <c r="L418" s="545"/>
      <c r="M418" s="545"/>
      <c r="N418" s="545"/>
      <c r="O418" s="545"/>
      <c r="P418" s="545"/>
      <c r="Q418" s="545"/>
      <c r="R418" s="545"/>
      <c r="S418" s="545"/>
      <c r="T418" s="545"/>
      <c r="U418" s="545"/>
      <c r="V418" s="545"/>
      <c r="W418" s="545"/>
      <c r="X418" s="545"/>
      <c r="Y418" s="545"/>
      <c r="Z418" s="545"/>
    </row>
    <row r="419" spans="10:26" s="1677" customFormat="1" ht="21.75" customHeight="1">
      <c r="J419" s="545"/>
      <c r="K419" s="545"/>
      <c r="L419" s="545"/>
      <c r="M419" s="545"/>
      <c r="N419" s="545"/>
      <c r="O419" s="545"/>
      <c r="P419" s="545"/>
      <c r="Q419" s="545"/>
      <c r="R419" s="545"/>
      <c r="S419" s="545"/>
      <c r="T419" s="545"/>
      <c r="U419" s="545"/>
      <c r="V419" s="545"/>
      <c r="W419" s="545"/>
      <c r="X419" s="545"/>
      <c r="Y419" s="545"/>
      <c r="Z419" s="545"/>
    </row>
    <row r="420" spans="10:26" s="1677" customFormat="1" ht="21.75" customHeight="1">
      <c r="J420" s="545"/>
      <c r="K420" s="545"/>
      <c r="L420" s="545"/>
      <c r="M420" s="545"/>
      <c r="N420" s="545"/>
      <c r="O420" s="545"/>
      <c r="P420" s="545"/>
      <c r="Q420" s="545"/>
      <c r="R420" s="545"/>
      <c r="S420" s="545"/>
      <c r="T420" s="545"/>
      <c r="U420" s="545"/>
      <c r="V420" s="545"/>
      <c r="W420" s="545"/>
      <c r="X420" s="545"/>
      <c r="Y420" s="545"/>
      <c r="Z420" s="545"/>
    </row>
    <row r="421" spans="10:26" s="1677" customFormat="1" ht="21.75" customHeight="1">
      <c r="J421" s="545"/>
      <c r="K421" s="545"/>
      <c r="L421" s="545"/>
      <c r="M421" s="545"/>
      <c r="N421" s="545"/>
      <c r="O421" s="545"/>
      <c r="P421" s="545"/>
      <c r="Q421" s="545"/>
      <c r="R421" s="545"/>
      <c r="S421" s="545"/>
      <c r="T421" s="545"/>
      <c r="U421" s="545"/>
      <c r="V421" s="545"/>
      <c r="W421" s="545"/>
      <c r="X421" s="545"/>
      <c r="Y421" s="545"/>
      <c r="Z421" s="545"/>
    </row>
    <row r="422" spans="10:26" s="1677" customFormat="1" ht="21.75" customHeight="1">
      <c r="J422" s="545"/>
      <c r="K422" s="545"/>
      <c r="L422" s="545"/>
      <c r="M422" s="545"/>
      <c r="N422" s="545"/>
      <c r="O422" s="545"/>
      <c r="P422" s="545"/>
      <c r="Q422" s="545"/>
      <c r="R422" s="545"/>
      <c r="S422" s="545"/>
      <c r="T422" s="545"/>
      <c r="U422" s="545"/>
      <c r="V422" s="545"/>
      <c r="W422" s="545"/>
      <c r="X422" s="545"/>
      <c r="Y422" s="545"/>
      <c r="Z422" s="545"/>
    </row>
    <row r="423" spans="10:26" s="1677" customFormat="1" ht="21.75" customHeight="1">
      <c r="J423" s="545"/>
      <c r="K423" s="545"/>
      <c r="L423" s="545"/>
      <c r="M423" s="545"/>
      <c r="N423" s="545"/>
      <c r="O423" s="545"/>
      <c r="P423" s="545"/>
      <c r="Q423" s="545"/>
      <c r="R423" s="545"/>
      <c r="S423" s="545"/>
      <c r="T423" s="545"/>
      <c r="U423" s="545"/>
      <c r="V423" s="545"/>
      <c r="W423" s="545"/>
      <c r="X423" s="545"/>
      <c r="Y423" s="545"/>
      <c r="Z423" s="545"/>
    </row>
    <row r="424" spans="10:26" s="1677" customFormat="1" ht="21.75" customHeight="1">
      <c r="J424" s="545"/>
      <c r="K424" s="545"/>
      <c r="L424" s="545"/>
      <c r="M424" s="545"/>
      <c r="N424" s="545"/>
      <c r="O424" s="545"/>
      <c r="P424" s="545"/>
      <c r="Q424" s="545"/>
      <c r="R424" s="545"/>
      <c r="S424" s="545"/>
      <c r="T424" s="545"/>
      <c r="U424" s="545"/>
      <c r="V424" s="545"/>
      <c r="W424" s="545"/>
      <c r="X424" s="545"/>
      <c r="Y424" s="545"/>
      <c r="Z424" s="545"/>
    </row>
    <row r="425" spans="10:26" s="1677" customFormat="1" ht="21.75" customHeight="1">
      <c r="J425" s="545"/>
      <c r="K425" s="545"/>
      <c r="L425" s="545"/>
      <c r="M425" s="545"/>
      <c r="N425" s="545"/>
      <c r="O425" s="545"/>
      <c r="P425" s="545"/>
      <c r="Q425" s="545"/>
      <c r="R425" s="545"/>
      <c r="S425" s="545"/>
      <c r="T425" s="545"/>
      <c r="U425" s="545"/>
      <c r="V425" s="545"/>
      <c r="W425" s="545"/>
      <c r="X425" s="545"/>
      <c r="Y425" s="545"/>
      <c r="Z425" s="545"/>
    </row>
    <row r="426" spans="10:26" s="1677" customFormat="1" ht="21.75" customHeight="1">
      <c r="J426" s="545"/>
      <c r="K426" s="545"/>
      <c r="L426" s="545"/>
      <c r="M426" s="545"/>
      <c r="N426" s="545"/>
      <c r="O426" s="545"/>
      <c r="P426" s="545"/>
      <c r="Q426" s="545"/>
      <c r="R426" s="545"/>
      <c r="S426" s="545"/>
      <c r="T426" s="545"/>
      <c r="U426" s="545"/>
      <c r="V426" s="545"/>
      <c r="W426" s="545"/>
      <c r="X426" s="545"/>
      <c r="Y426" s="545"/>
      <c r="Z426" s="545"/>
    </row>
    <row r="427" spans="10:26" s="1677" customFormat="1" ht="21.75" customHeight="1">
      <c r="J427" s="545"/>
      <c r="K427" s="545"/>
      <c r="L427" s="545"/>
      <c r="M427" s="545"/>
      <c r="N427" s="545"/>
      <c r="O427" s="545"/>
      <c r="P427" s="545"/>
      <c r="Q427" s="545"/>
      <c r="R427" s="545"/>
      <c r="S427" s="545"/>
      <c r="T427" s="545"/>
      <c r="U427" s="545"/>
      <c r="V427" s="545"/>
      <c r="W427" s="545"/>
      <c r="X427" s="545"/>
      <c r="Y427" s="545"/>
      <c r="Z427" s="545"/>
    </row>
    <row r="428" spans="10:26" s="1677" customFormat="1" ht="21.75" customHeight="1">
      <c r="J428" s="545"/>
      <c r="K428" s="545"/>
      <c r="L428" s="545"/>
      <c r="M428" s="545"/>
      <c r="N428" s="545"/>
      <c r="O428" s="545"/>
      <c r="P428" s="545"/>
      <c r="Q428" s="545"/>
      <c r="R428" s="545"/>
      <c r="S428" s="545"/>
      <c r="T428" s="545"/>
      <c r="U428" s="545"/>
      <c r="V428" s="545"/>
      <c r="W428" s="545"/>
      <c r="X428" s="545"/>
      <c r="Y428" s="545"/>
      <c r="Z428" s="545"/>
    </row>
    <row r="429" spans="10:26" s="1677" customFormat="1" ht="21.75" customHeight="1">
      <c r="J429" s="545"/>
      <c r="K429" s="545"/>
      <c r="L429" s="545"/>
      <c r="M429" s="545"/>
      <c r="N429" s="545"/>
      <c r="O429" s="545"/>
      <c r="P429" s="545"/>
      <c r="Q429" s="545"/>
      <c r="R429" s="545"/>
      <c r="S429" s="545"/>
      <c r="T429" s="545"/>
      <c r="U429" s="545"/>
      <c r="V429" s="545"/>
      <c r="W429" s="545"/>
      <c r="X429" s="545"/>
      <c r="Y429" s="545"/>
      <c r="Z429" s="545"/>
    </row>
    <row r="430" spans="10:26" s="1677" customFormat="1" ht="21.75" customHeight="1">
      <c r="J430" s="545"/>
      <c r="K430" s="545"/>
      <c r="L430" s="545"/>
      <c r="M430" s="545"/>
      <c r="N430" s="545"/>
      <c r="O430" s="545"/>
      <c r="P430" s="545"/>
      <c r="Q430" s="545"/>
      <c r="R430" s="545"/>
      <c r="S430" s="545"/>
      <c r="T430" s="545"/>
      <c r="U430" s="545"/>
      <c r="V430" s="545"/>
      <c r="W430" s="545"/>
      <c r="X430" s="545"/>
      <c r="Y430" s="545"/>
      <c r="Z430" s="545"/>
    </row>
    <row r="431" spans="10:26" s="1677" customFormat="1" ht="21.75" customHeight="1">
      <c r="J431" s="545"/>
      <c r="K431" s="545"/>
      <c r="L431" s="545"/>
      <c r="M431" s="545"/>
      <c r="N431" s="545"/>
      <c r="O431" s="545"/>
      <c r="P431" s="545"/>
      <c r="Q431" s="545"/>
      <c r="R431" s="545"/>
      <c r="S431" s="545"/>
      <c r="T431" s="545"/>
      <c r="U431" s="545"/>
      <c r="V431" s="545"/>
      <c r="W431" s="545"/>
      <c r="X431" s="545"/>
      <c r="Y431" s="545"/>
      <c r="Z431" s="545"/>
    </row>
    <row r="432" spans="10:26" s="1677" customFormat="1" ht="21.75" customHeight="1">
      <c r="J432" s="545"/>
      <c r="K432" s="545"/>
      <c r="L432" s="545"/>
      <c r="M432" s="545"/>
      <c r="N432" s="545"/>
      <c r="O432" s="545"/>
      <c r="P432" s="545"/>
      <c r="Q432" s="545"/>
      <c r="R432" s="545"/>
      <c r="S432" s="545"/>
      <c r="T432" s="545"/>
      <c r="U432" s="545"/>
      <c r="V432" s="545"/>
      <c r="W432" s="545"/>
      <c r="X432" s="545"/>
      <c r="Y432" s="545"/>
      <c r="Z432" s="545"/>
    </row>
    <row r="433" spans="10:26" s="1677" customFormat="1" ht="21.75" customHeight="1">
      <c r="J433" s="545"/>
      <c r="K433" s="545"/>
      <c r="L433" s="545"/>
      <c r="M433" s="545"/>
      <c r="N433" s="545"/>
      <c r="O433" s="545"/>
      <c r="P433" s="545"/>
      <c r="Q433" s="545"/>
      <c r="R433" s="545"/>
      <c r="S433" s="545"/>
      <c r="T433" s="545"/>
      <c r="U433" s="545"/>
      <c r="V433" s="545"/>
      <c r="W433" s="545"/>
      <c r="X433" s="545"/>
      <c r="Y433" s="545"/>
      <c r="Z433" s="545"/>
    </row>
    <row r="434" spans="10:26" s="1677" customFormat="1" ht="21.75" customHeight="1">
      <c r="J434" s="545"/>
      <c r="K434" s="545"/>
      <c r="L434" s="545"/>
      <c r="M434" s="545"/>
      <c r="N434" s="545"/>
      <c r="O434" s="545"/>
      <c r="P434" s="545"/>
      <c r="Q434" s="545"/>
      <c r="R434" s="545"/>
      <c r="S434" s="545"/>
      <c r="T434" s="545"/>
      <c r="U434" s="545"/>
      <c r="V434" s="545"/>
      <c r="W434" s="545"/>
      <c r="X434" s="545"/>
      <c r="Y434" s="545"/>
      <c r="Z434" s="545"/>
    </row>
    <row r="435" spans="10:26" s="1677" customFormat="1" ht="21.75" customHeight="1">
      <c r="J435" s="545"/>
      <c r="K435" s="545"/>
      <c r="L435" s="545"/>
      <c r="M435" s="545"/>
      <c r="N435" s="545"/>
      <c r="O435" s="545"/>
      <c r="P435" s="545"/>
      <c r="Q435" s="545"/>
      <c r="R435" s="545"/>
      <c r="S435" s="545"/>
      <c r="T435" s="545"/>
      <c r="U435" s="545"/>
      <c r="V435" s="545"/>
      <c r="W435" s="545"/>
      <c r="X435" s="545"/>
      <c r="Y435" s="545"/>
      <c r="Z435" s="545"/>
    </row>
    <row r="436" spans="10:26" s="1677" customFormat="1" ht="21.75" customHeight="1">
      <c r="J436" s="545"/>
      <c r="K436" s="545"/>
      <c r="L436" s="545"/>
      <c r="M436" s="545"/>
      <c r="N436" s="545"/>
      <c r="O436" s="545"/>
      <c r="P436" s="545"/>
      <c r="Q436" s="545"/>
      <c r="R436" s="545"/>
      <c r="S436" s="545"/>
      <c r="T436" s="545"/>
      <c r="U436" s="545"/>
      <c r="V436" s="545"/>
      <c r="W436" s="545"/>
      <c r="X436" s="545"/>
      <c r="Y436" s="545"/>
      <c r="Z436" s="545"/>
    </row>
    <row r="437" spans="10:26" s="1677" customFormat="1" ht="21.75" customHeight="1">
      <c r="J437" s="545"/>
      <c r="K437" s="545"/>
      <c r="L437" s="545"/>
      <c r="M437" s="545"/>
      <c r="N437" s="545"/>
      <c r="O437" s="545"/>
      <c r="P437" s="545"/>
      <c r="Q437" s="545"/>
      <c r="R437" s="545"/>
      <c r="S437" s="545"/>
      <c r="T437" s="545"/>
      <c r="U437" s="545"/>
      <c r="V437" s="545"/>
      <c r="W437" s="545"/>
      <c r="X437" s="545"/>
      <c r="Y437" s="545"/>
      <c r="Z437" s="545"/>
    </row>
    <row r="438" spans="10:26" s="1677" customFormat="1" ht="21.75" customHeight="1">
      <c r="J438" s="545"/>
      <c r="K438" s="545"/>
      <c r="L438" s="545"/>
      <c r="M438" s="545"/>
      <c r="N438" s="545"/>
      <c r="O438" s="545"/>
      <c r="P438" s="545"/>
      <c r="Q438" s="545"/>
      <c r="R438" s="545"/>
      <c r="S438" s="545"/>
      <c r="T438" s="545"/>
      <c r="U438" s="545"/>
      <c r="V438" s="545"/>
      <c r="W438" s="545"/>
      <c r="X438" s="545"/>
      <c r="Y438" s="545"/>
      <c r="Z438" s="545"/>
    </row>
    <row r="439" spans="10:26" s="1677" customFormat="1" ht="21.75" customHeight="1">
      <c r="J439" s="545"/>
      <c r="K439" s="545"/>
      <c r="L439" s="545"/>
      <c r="M439" s="545"/>
      <c r="N439" s="545"/>
      <c r="O439" s="545"/>
      <c r="P439" s="545"/>
      <c r="Q439" s="545"/>
      <c r="R439" s="545"/>
      <c r="S439" s="545"/>
      <c r="T439" s="545"/>
      <c r="U439" s="545"/>
      <c r="V439" s="545"/>
      <c r="W439" s="545"/>
      <c r="X439" s="545"/>
      <c r="Y439" s="545"/>
      <c r="Z439" s="545"/>
    </row>
    <row r="440" spans="10:26" s="1677" customFormat="1" ht="21.75" customHeight="1">
      <c r="J440" s="545"/>
      <c r="K440" s="545"/>
      <c r="L440" s="545"/>
      <c r="M440" s="545"/>
      <c r="N440" s="545"/>
      <c r="O440" s="545"/>
      <c r="P440" s="545"/>
      <c r="Q440" s="545"/>
      <c r="R440" s="545"/>
      <c r="S440" s="545"/>
      <c r="T440" s="545"/>
      <c r="U440" s="545"/>
      <c r="V440" s="545"/>
      <c r="W440" s="545"/>
      <c r="X440" s="545"/>
      <c r="Y440" s="545"/>
      <c r="Z440" s="545"/>
    </row>
    <row r="441" spans="10:26" s="1677" customFormat="1" ht="21.75" customHeight="1">
      <c r="J441" s="545"/>
      <c r="K441" s="545"/>
      <c r="L441" s="545"/>
      <c r="M441" s="545"/>
      <c r="N441" s="545"/>
      <c r="O441" s="545"/>
      <c r="P441" s="545"/>
      <c r="Q441" s="545"/>
      <c r="R441" s="545"/>
      <c r="S441" s="545"/>
      <c r="T441" s="545"/>
      <c r="U441" s="545"/>
      <c r="V441" s="545"/>
      <c r="W441" s="545"/>
      <c r="X441" s="545"/>
      <c r="Y441" s="545"/>
      <c r="Z441" s="545"/>
    </row>
    <row r="442" spans="10:26" s="1677" customFormat="1" ht="21.75" customHeight="1">
      <c r="J442" s="545"/>
      <c r="K442" s="545"/>
      <c r="L442" s="545"/>
      <c r="M442" s="545"/>
      <c r="N442" s="545"/>
      <c r="O442" s="545"/>
      <c r="P442" s="545"/>
      <c r="Q442" s="545"/>
      <c r="R442" s="545"/>
      <c r="S442" s="545"/>
      <c r="T442" s="545"/>
      <c r="U442" s="545"/>
      <c r="V442" s="545"/>
      <c r="W442" s="545"/>
      <c r="X442" s="545"/>
      <c r="Y442" s="545"/>
      <c r="Z442" s="545"/>
    </row>
    <row r="443" spans="10:26" s="1677" customFormat="1" ht="21.75" customHeight="1">
      <c r="J443" s="545"/>
      <c r="K443" s="545"/>
      <c r="L443" s="545"/>
      <c r="M443" s="545"/>
      <c r="N443" s="545"/>
      <c r="O443" s="545"/>
      <c r="P443" s="545"/>
      <c r="Q443" s="545"/>
      <c r="R443" s="545"/>
      <c r="S443" s="545"/>
      <c r="T443" s="545"/>
      <c r="U443" s="545"/>
      <c r="V443" s="545"/>
      <c r="W443" s="545"/>
      <c r="X443" s="545"/>
      <c r="Y443" s="545"/>
      <c r="Z443" s="545"/>
    </row>
    <row r="444" spans="10:26" s="1677" customFormat="1" ht="21.75" customHeight="1">
      <c r="J444" s="545"/>
      <c r="K444" s="545"/>
      <c r="L444" s="545"/>
      <c r="M444" s="545"/>
      <c r="N444" s="545"/>
      <c r="O444" s="545"/>
      <c r="P444" s="545"/>
      <c r="Q444" s="545"/>
      <c r="R444" s="545"/>
      <c r="S444" s="545"/>
      <c r="T444" s="545"/>
      <c r="U444" s="545"/>
      <c r="V444" s="545"/>
      <c r="W444" s="545"/>
      <c r="X444" s="545"/>
      <c r="Y444" s="545"/>
      <c r="Z444" s="545"/>
    </row>
    <row r="445" spans="10:26" s="1677" customFormat="1" ht="21.75" customHeight="1">
      <c r="J445" s="545"/>
      <c r="K445" s="545"/>
      <c r="L445" s="545"/>
      <c r="M445" s="545"/>
      <c r="N445" s="545"/>
      <c r="O445" s="545"/>
      <c r="P445" s="545"/>
      <c r="Q445" s="545"/>
      <c r="R445" s="545"/>
      <c r="S445" s="545"/>
      <c r="T445" s="545"/>
      <c r="U445" s="545"/>
      <c r="V445" s="545"/>
      <c r="W445" s="545"/>
      <c r="X445" s="545"/>
      <c r="Y445" s="545"/>
      <c r="Z445" s="545"/>
    </row>
    <row r="446" spans="10:26" s="1677" customFormat="1" ht="21.75" customHeight="1">
      <c r="J446" s="545"/>
      <c r="K446" s="545"/>
      <c r="L446" s="545"/>
      <c r="M446" s="545"/>
      <c r="N446" s="545"/>
      <c r="O446" s="545"/>
      <c r="P446" s="545"/>
      <c r="Q446" s="545"/>
      <c r="R446" s="545"/>
      <c r="S446" s="545"/>
      <c r="T446" s="545"/>
      <c r="U446" s="545"/>
      <c r="V446" s="545"/>
      <c r="W446" s="545"/>
      <c r="X446" s="545"/>
      <c r="Y446" s="545"/>
      <c r="Z446" s="545"/>
    </row>
    <row r="447" spans="10:26" s="1677" customFormat="1" ht="21.75" customHeight="1">
      <c r="J447" s="545"/>
      <c r="K447" s="545"/>
      <c r="L447" s="545"/>
      <c r="M447" s="545"/>
      <c r="N447" s="545"/>
      <c r="O447" s="545"/>
      <c r="P447" s="545"/>
      <c r="Q447" s="545"/>
      <c r="R447" s="545"/>
      <c r="S447" s="545"/>
      <c r="T447" s="545"/>
      <c r="U447" s="545"/>
      <c r="V447" s="545"/>
      <c r="W447" s="545"/>
      <c r="X447" s="545"/>
      <c r="Y447" s="545"/>
      <c r="Z447" s="545"/>
    </row>
    <row r="448" spans="10:26" s="1677" customFormat="1" ht="21.75" customHeight="1">
      <c r="J448" s="545"/>
      <c r="K448" s="545"/>
      <c r="L448" s="545"/>
      <c r="M448" s="545"/>
      <c r="N448" s="545"/>
      <c r="O448" s="545"/>
      <c r="P448" s="545"/>
      <c r="Q448" s="545"/>
      <c r="R448" s="545"/>
      <c r="S448" s="545"/>
      <c r="T448" s="545"/>
      <c r="U448" s="545"/>
      <c r="V448" s="545"/>
      <c r="W448" s="545"/>
      <c r="X448" s="545"/>
      <c r="Y448" s="545"/>
      <c r="Z448" s="545"/>
    </row>
    <row r="449" spans="10:26" s="1677" customFormat="1" ht="21.75" customHeight="1">
      <c r="J449" s="545"/>
      <c r="K449" s="545"/>
      <c r="L449" s="545"/>
      <c r="M449" s="545"/>
      <c r="N449" s="545"/>
      <c r="O449" s="545"/>
      <c r="P449" s="545"/>
      <c r="Q449" s="545"/>
      <c r="R449" s="545"/>
      <c r="S449" s="545"/>
      <c r="T449" s="545"/>
      <c r="U449" s="545"/>
      <c r="V449" s="545"/>
      <c r="W449" s="545"/>
      <c r="X449" s="545"/>
      <c r="Y449" s="545"/>
      <c r="Z449" s="545"/>
    </row>
    <row r="450" spans="10:26" s="1677" customFormat="1" ht="21.75" customHeight="1">
      <c r="J450" s="545"/>
      <c r="K450" s="545"/>
      <c r="L450" s="545"/>
      <c r="M450" s="545"/>
      <c r="N450" s="545"/>
      <c r="O450" s="545"/>
      <c r="P450" s="545"/>
      <c r="Q450" s="545"/>
      <c r="R450" s="545"/>
      <c r="S450" s="545"/>
      <c r="T450" s="545"/>
      <c r="U450" s="545"/>
      <c r="V450" s="545"/>
      <c r="W450" s="545"/>
      <c r="X450" s="545"/>
      <c r="Y450" s="545"/>
      <c r="Z450" s="545"/>
    </row>
    <row r="451" spans="10:26" s="1677" customFormat="1" ht="21.75" customHeight="1">
      <c r="J451" s="545"/>
      <c r="K451" s="545"/>
      <c r="L451" s="545"/>
      <c r="M451" s="545"/>
      <c r="N451" s="545"/>
      <c r="O451" s="545"/>
      <c r="P451" s="545"/>
      <c r="Q451" s="545"/>
      <c r="R451" s="545"/>
      <c r="S451" s="545"/>
      <c r="T451" s="545"/>
      <c r="U451" s="545"/>
      <c r="V451" s="545"/>
      <c r="W451" s="545"/>
      <c r="X451" s="545"/>
      <c r="Y451" s="545"/>
      <c r="Z451" s="545"/>
    </row>
    <row r="452" spans="10:26" s="1677" customFormat="1" ht="21.75" customHeight="1">
      <c r="J452" s="545"/>
      <c r="K452" s="545"/>
      <c r="L452" s="545"/>
      <c r="M452" s="545"/>
      <c r="N452" s="545"/>
      <c r="O452" s="545"/>
      <c r="P452" s="545"/>
      <c r="Q452" s="545"/>
      <c r="R452" s="545"/>
      <c r="S452" s="545"/>
      <c r="T452" s="545"/>
      <c r="U452" s="545"/>
      <c r="V452" s="545"/>
      <c r="W452" s="545"/>
      <c r="X452" s="545"/>
      <c r="Y452" s="545"/>
      <c r="Z452" s="545"/>
    </row>
    <row r="453" spans="10:26" s="1677" customFormat="1" ht="21.75" customHeight="1">
      <c r="J453" s="545"/>
      <c r="K453" s="545"/>
      <c r="L453" s="545"/>
      <c r="M453" s="545"/>
      <c r="N453" s="545"/>
      <c r="O453" s="545"/>
      <c r="P453" s="545"/>
      <c r="Q453" s="545"/>
      <c r="R453" s="545"/>
      <c r="S453" s="545"/>
      <c r="T453" s="545"/>
      <c r="U453" s="545"/>
      <c r="V453" s="545"/>
      <c r="W453" s="545"/>
      <c r="X453" s="545"/>
      <c r="Y453" s="545"/>
      <c r="Z453" s="545"/>
    </row>
    <row r="454" spans="10:26" s="1677" customFormat="1" ht="21.75" customHeight="1">
      <c r="J454" s="545"/>
      <c r="K454" s="545"/>
      <c r="L454" s="545"/>
      <c r="M454" s="545"/>
      <c r="N454" s="545"/>
      <c r="O454" s="545"/>
      <c r="P454" s="545"/>
      <c r="Q454" s="545"/>
      <c r="R454" s="545"/>
      <c r="S454" s="545"/>
      <c r="T454" s="545"/>
      <c r="U454" s="545"/>
      <c r="V454" s="545"/>
      <c r="W454" s="545"/>
      <c r="X454" s="545"/>
      <c r="Y454" s="545"/>
      <c r="Z454" s="545"/>
    </row>
    <row r="455" spans="10:26" s="1677" customFormat="1" ht="21.75" customHeight="1">
      <c r="J455" s="545"/>
      <c r="K455" s="545"/>
      <c r="L455" s="545"/>
      <c r="M455" s="545"/>
      <c r="N455" s="545"/>
      <c r="O455" s="545"/>
      <c r="P455" s="545"/>
      <c r="Q455" s="545"/>
      <c r="R455" s="545"/>
      <c r="S455" s="545"/>
      <c r="T455" s="545"/>
      <c r="U455" s="545"/>
      <c r="V455" s="545"/>
      <c r="W455" s="545"/>
      <c r="X455" s="545"/>
      <c r="Y455" s="545"/>
      <c r="Z455" s="545"/>
    </row>
    <row r="456" spans="10:26" s="1677" customFormat="1" ht="21.75" customHeight="1">
      <c r="J456" s="545"/>
      <c r="K456" s="545"/>
      <c r="L456" s="545"/>
      <c r="M456" s="545"/>
      <c r="N456" s="545"/>
      <c r="O456" s="545"/>
      <c r="P456" s="545"/>
      <c r="Q456" s="545"/>
      <c r="R456" s="545"/>
      <c r="S456" s="545"/>
      <c r="T456" s="545"/>
      <c r="U456" s="545"/>
      <c r="V456" s="545"/>
      <c r="W456" s="545"/>
      <c r="X456" s="545"/>
      <c r="Y456" s="545"/>
      <c r="Z456" s="545"/>
    </row>
    <row r="457" spans="10:26" s="1677" customFormat="1" ht="21.75" customHeight="1">
      <c r="J457" s="545"/>
      <c r="K457" s="545"/>
      <c r="L457" s="545"/>
      <c r="M457" s="545"/>
      <c r="N457" s="545"/>
      <c r="O457" s="545"/>
      <c r="P457" s="545"/>
      <c r="Q457" s="545"/>
      <c r="R457" s="545"/>
      <c r="S457" s="545"/>
      <c r="T457" s="545"/>
      <c r="U457" s="545"/>
      <c r="V457" s="545"/>
      <c r="W457" s="545"/>
      <c r="X457" s="545"/>
      <c r="Y457" s="545"/>
      <c r="Z457" s="545"/>
    </row>
    <row r="458" spans="10:26" s="1677" customFormat="1" ht="21.75" customHeight="1">
      <c r="J458" s="545"/>
      <c r="K458" s="545"/>
      <c r="L458" s="545"/>
      <c r="M458" s="545"/>
      <c r="N458" s="545"/>
      <c r="O458" s="545"/>
      <c r="P458" s="545"/>
      <c r="Q458" s="545"/>
      <c r="R458" s="545"/>
      <c r="S458" s="545"/>
      <c r="T458" s="545"/>
      <c r="U458" s="545"/>
      <c r="V458" s="545"/>
      <c r="W458" s="545"/>
      <c r="X458" s="545"/>
      <c r="Y458" s="545"/>
      <c r="Z458" s="545"/>
    </row>
    <row r="459" spans="10:26" s="1677" customFormat="1" ht="21.75" customHeight="1">
      <c r="J459" s="545"/>
      <c r="K459" s="545"/>
      <c r="L459" s="545"/>
      <c r="M459" s="545"/>
      <c r="N459" s="545"/>
      <c r="O459" s="545"/>
      <c r="P459" s="545"/>
      <c r="Q459" s="545"/>
      <c r="R459" s="545"/>
      <c r="S459" s="545"/>
      <c r="T459" s="545"/>
      <c r="U459" s="545"/>
      <c r="V459" s="545"/>
      <c r="W459" s="545"/>
      <c r="X459" s="545"/>
      <c r="Y459" s="545"/>
      <c r="Z459" s="545"/>
    </row>
    <row r="460" spans="10:26" s="1677" customFormat="1" ht="21.75" customHeight="1">
      <c r="J460" s="545"/>
      <c r="K460" s="545"/>
      <c r="L460" s="545"/>
      <c r="M460" s="545"/>
      <c r="N460" s="545"/>
      <c r="O460" s="545"/>
      <c r="P460" s="545"/>
      <c r="Q460" s="545"/>
      <c r="R460" s="545"/>
      <c r="S460" s="545"/>
      <c r="T460" s="545"/>
      <c r="U460" s="545"/>
      <c r="V460" s="545"/>
      <c r="W460" s="545"/>
      <c r="X460" s="545"/>
      <c r="Y460" s="545"/>
      <c r="Z460" s="545"/>
    </row>
    <row r="461" spans="10:26" s="1677" customFormat="1" ht="21.75" customHeight="1">
      <c r="J461" s="545"/>
      <c r="K461" s="545"/>
      <c r="L461" s="545"/>
      <c r="M461" s="545"/>
      <c r="N461" s="545"/>
      <c r="O461" s="545"/>
      <c r="P461" s="545"/>
      <c r="Q461" s="545"/>
      <c r="R461" s="545"/>
      <c r="S461" s="545"/>
      <c r="T461" s="545"/>
      <c r="U461" s="545"/>
      <c r="V461" s="545"/>
      <c r="W461" s="545"/>
      <c r="X461" s="545"/>
      <c r="Y461" s="545"/>
      <c r="Z461" s="545"/>
    </row>
    <row r="462" spans="10:26" s="1677" customFormat="1" ht="21.75" customHeight="1">
      <c r="J462" s="545"/>
      <c r="K462" s="545"/>
      <c r="L462" s="545"/>
      <c r="M462" s="545"/>
      <c r="N462" s="545"/>
      <c r="O462" s="545"/>
      <c r="P462" s="545"/>
      <c r="Q462" s="545"/>
      <c r="R462" s="545"/>
      <c r="S462" s="545"/>
      <c r="T462" s="545"/>
      <c r="U462" s="545"/>
      <c r="V462" s="545"/>
      <c r="W462" s="545"/>
      <c r="X462" s="545"/>
      <c r="Y462" s="545"/>
      <c r="Z462" s="545"/>
    </row>
    <row r="463" spans="10:26" s="1677" customFormat="1" ht="21.75" customHeight="1">
      <c r="J463" s="545"/>
      <c r="K463" s="545"/>
      <c r="L463" s="545"/>
      <c r="M463" s="545"/>
      <c r="N463" s="545"/>
      <c r="O463" s="545"/>
      <c r="P463" s="545"/>
      <c r="Q463" s="545"/>
      <c r="R463" s="545"/>
      <c r="S463" s="545"/>
      <c r="T463" s="545"/>
      <c r="U463" s="545"/>
      <c r="V463" s="545"/>
      <c r="W463" s="545"/>
      <c r="X463" s="545"/>
      <c r="Y463" s="545"/>
      <c r="Z463" s="545"/>
    </row>
    <row r="464" spans="10:26" s="1677" customFormat="1" ht="21.75" customHeight="1">
      <c r="J464" s="545"/>
      <c r="K464" s="545"/>
      <c r="L464" s="545"/>
      <c r="M464" s="545"/>
      <c r="N464" s="545"/>
      <c r="O464" s="545"/>
      <c r="P464" s="545"/>
      <c r="Q464" s="545"/>
      <c r="R464" s="545"/>
      <c r="S464" s="545"/>
      <c r="T464" s="545"/>
      <c r="U464" s="545"/>
      <c r="V464" s="545"/>
      <c r="W464" s="545"/>
      <c r="X464" s="545"/>
      <c r="Y464" s="545"/>
      <c r="Z464" s="545"/>
    </row>
    <row r="465" spans="10:26" s="1677" customFormat="1" ht="21.75" customHeight="1">
      <c r="J465" s="545"/>
      <c r="K465" s="545"/>
      <c r="L465" s="545"/>
      <c r="M465" s="545"/>
      <c r="N465" s="545"/>
      <c r="O465" s="545"/>
      <c r="P465" s="545"/>
      <c r="Q465" s="545"/>
      <c r="R465" s="545"/>
      <c r="S465" s="545"/>
      <c r="T465" s="545"/>
      <c r="U465" s="545"/>
      <c r="V465" s="545"/>
      <c r="W465" s="545"/>
      <c r="X465" s="545"/>
      <c r="Y465" s="545"/>
      <c r="Z465" s="545"/>
    </row>
    <row r="466" spans="10:26" s="1677" customFormat="1" ht="21.75" customHeight="1">
      <c r="J466" s="545"/>
      <c r="K466" s="545"/>
      <c r="L466" s="545"/>
      <c r="M466" s="545"/>
      <c r="N466" s="545"/>
      <c r="O466" s="545"/>
      <c r="P466" s="545"/>
      <c r="Q466" s="545"/>
      <c r="R466" s="545"/>
      <c r="S466" s="545"/>
      <c r="T466" s="545"/>
      <c r="U466" s="545"/>
      <c r="V466" s="545"/>
      <c r="W466" s="545"/>
      <c r="X466" s="545"/>
      <c r="Y466" s="545"/>
      <c r="Z466" s="545"/>
    </row>
    <row r="467" spans="10:26" s="1677" customFormat="1" ht="21.75" customHeight="1">
      <c r="J467" s="545"/>
      <c r="K467" s="545"/>
      <c r="L467" s="545"/>
      <c r="M467" s="545"/>
      <c r="N467" s="545"/>
      <c r="O467" s="545"/>
      <c r="P467" s="545"/>
      <c r="Q467" s="545"/>
      <c r="R467" s="545"/>
      <c r="S467" s="545"/>
      <c r="T467" s="545"/>
      <c r="U467" s="545"/>
      <c r="V467" s="545"/>
      <c r="W467" s="545"/>
      <c r="X467" s="545"/>
      <c r="Y467" s="545"/>
      <c r="Z467" s="545"/>
    </row>
    <row r="468" spans="10:26" s="1677" customFormat="1" ht="21.75" customHeight="1">
      <c r="J468" s="545"/>
      <c r="K468" s="545"/>
      <c r="L468" s="545"/>
      <c r="M468" s="545"/>
      <c r="N468" s="545"/>
      <c r="O468" s="545"/>
      <c r="P468" s="545"/>
      <c r="Q468" s="545"/>
      <c r="R468" s="545"/>
      <c r="S468" s="545"/>
      <c r="T468" s="545"/>
      <c r="U468" s="545"/>
      <c r="V468" s="545"/>
      <c r="W468" s="545"/>
      <c r="X468" s="545"/>
      <c r="Y468" s="545"/>
      <c r="Z468" s="545"/>
    </row>
    <row r="469" spans="10:26" s="1677" customFormat="1" ht="21.75" customHeight="1">
      <c r="J469" s="545"/>
      <c r="K469" s="545"/>
      <c r="L469" s="545"/>
      <c r="M469" s="545"/>
      <c r="N469" s="545"/>
      <c r="O469" s="545"/>
      <c r="P469" s="545"/>
      <c r="Q469" s="545"/>
      <c r="R469" s="545"/>
      <c r="S469" s="545"/>
      <c r="T469" s="545"/>
      <c r="U469" s="545"/>
      <c r="V469" s="545"/>
      <c r="W469" s="545"/>
      <c r="X469" s="545"/>
      <c r="Y469" s="545"/>
      <c r="Z469" s="545"/>
    </row>
    <row r="470" spans="10:26" s="1677" customFormat="1" ht="21.75" customHeight="1">
      <c r="J470" s="545"/>
      <c r="K470" s="545"/>
      <c r="L470" s="545"/>
      <c r="M470" s="545"/>
      <c r="N470" s="545"/>
      <c r="O470" s="545"/>
      <c r="P470" s="545"/>
      <c r="Q470" s="545"/>
      <c r="R470" s="545"/>
      <c r="S470" s="545"/>
      <c r="T470" s="545"/>
      <c r="U470" s="545"/>
      <c r="V470" s="545"/>
      <c r="W470" s="545"/>
      <c r="X470" s="545"/>
      <c r="Y470" s="545"/>
      <c r="Z470" s="545"/>
    </row>
    <row r="471" spans="10:26" s="1677" customFormat="1" ht="21.75" customHeight="1">
      <c r="J471" s="545"/>
      <c r="K471" s="545"/>
      <c r="L471" s="545"/>
      <c r="M471" s="545"/>
      <c r="N471" s="545"/>
      <c r="O471" s="545"/>
      <c r="P471" s="545"/>
      <c r="Q471" s="545"/>
      <c r="R471" s="545"/>
      <c r="S471" s="545"/>
      <c r="T471" s="545"/>
      <c r="U471" s="545"/>
      <c r="V471" s="545"/>
      <c r="W471" s="545"/>
      <c r="X471" s="545"/>
      <c r="Y471" s="545"/>
      <c r="Z471" s="545"/>
    </row>
    <row r="472" spans="10:26" s="1677" customFormat="1" ht="21.75" customHeight="1">
      <c r="J472" s="545"/>
      <c r="K472" s="545"/>
      <c r="L472" s="545"/>
      <c r="M472" s="545"/>
      <c r="N472" s="545"/>
      <c r="O472" s="545"/>
      <c r="P472" s="545"/>
      <c r="Q472" s="545"/>
      <c r="R472" s="545"/>
      <c r="S472" s="545"/>
      <c r="T472" s="545"/>
      <c r="U472" s="545"/>
      <c r="V472" s="545"/>
      <c r="W472" s="545"/>
      <c r="X472" s="545"/>
      <c r="Y472" s="545"/>
      <c r="Z472" s="545"/>
    </row>
    <row r="473" spans="10:26" s="1677" customFormat="1" ht="21.75" customHeight="1">
      <c r="J473" s="545"/>
      <c r="K473" s="545"/>
      <c r="L473" s="545"/>
      <c r="M473" s="545"/>
      <c r="N473" s="545"/>
      <c r="O473" s="545"/>
      <c r="P473" s="545"/>
      <c r="Q473" s="545"/>
      <c r="R473" s="545"/>
      <c r="S473" s="545"/>
      <c r="T473" s="545"/>
      <c r="U473" s="545"/>
      <c r="V473" s="545"/>
      <c r="W473" s="545"/>
      <c r="X473" s="545"/>
      <c r="Y473" s="545"/>
      <c r="Z473" s="545"/>
    </row>
    <row r="474" spans="10:26" s="1677" customFormat="1" ht="21.75" customHeight="1">
      <c r="J474" s="545"/>
      <c r="K474" s="545"/>
      <c r="L474" s="545"/>
      <c r="M474" s="545"/>
      <c r="N474" s="545"/>
      <c r="O474" s="545"/>
      <c r="P474" s="545"/>
      <c r="Q474" s="545"/>
      <c r="R474" s="545"/>
      <c r="S474" s="545"/>
      <c r="T474" s="545"/>
      <c r="U474" s="545"/>
      <c r="V474" s="545"/>
      <c r="W474" s="545"/>
      <c r="X474" s="545"/>
      <c r="Y474" s="545"/>
      <c r="Z474" s="545"/>
    </row>
    <row r="475" spans="10:26" s="1677" customFormat="1" ht="21.75" customHeight="1">
      <c r="J475" s="545"/>
      <c r="K475" s="545"/>
      <c r="L475" s="545"/>
      <c r="M475" s="545"/>
      <c r="N475" s="545"/>
      <c r="O475" s="545"/>
      <c r="P475" s="545"/>
      <c r="Q475" s="545"/>
      <c r="R475" s="545"/>
      <c r="S475" s="545"/>
      <c r="T475" s="545"/>
      <c r="U475" s="545"/>
      <c r="V475" s="545"/>
      <c r="W475" s="545"/>
      <c r="X475" s="545"/>
      <c r="Y475" s="545"/>
      <c r="Z475" s="545"/>
    </row>
    <row r="476" spans="10:26" s="1677" customFormat="1" ht="21.75" customHeight="1">
      <c r="J476" s="545"/>
      <c r="K476" s="545"/>
      <c r="L476" s="545"/>
      <c r="M476" s="545"/>
      <c r="N476" s="545"/>
      <c r="O476" s="545"/>
      <c r="P476" s="545"/>
      <c r="Q476" s="545"/>
      <c r="R476" s="545"/>
      <c r="S476" s="545"/>
      <c r="T476" s="545"/>
      <c r="U476" s="545"/>
      <c r="V476" s="545"/>
      <c r="W476" s="545"/>
      <c r="X476" s="545"/>
      <c r="Y476" s="545"/>
      <c r="Z476" s="545"/>
    </row>
    <row r="477" spans="10:26" s="1677" customFormat="1" ht="21.75" customHeight="1">
      <c r="J477" s="545"/>
      <c r="K477" s="545"/>
      <c r="L477" s="545"/>
      <c r="M477" s="545"/>
      <c r="N477" s="545"/>
      <c r="O477" s="545"/>
      <c r="P477" s="545"/>
      <c r="Q477" s="545"/>
      <c r="R477" s="545"/>
      <c r="S477" s="545"/>
      <c r="T477" s="545"/>
      <c r="U477" s="545"/>
      <c r="V477" s="545"/>
      <c r="W477" s="545"/>
      <c r="X477" s="545"/>
      <c r="Y477" s="545"/>
      <c r="Z477" s="545"/>
    </row>
    <row r="478" spans="10:26" s="1677" customFormat="1" ht="21.75" customHeight="1">
      <c r="J478" s="545"/>
      <c r="K478" s="545"/>
      <c r="L478" s="545"/>
      <c r="M478" s="545"/>
      <c r="N478" s="545"/>
      <c r="O478" s="545"/>
      <c r="P478" s="545"/>
      <c r="Q478" s="545"/>
      <c r="R478" s="545"/>
      <c r="S478" s="545"/>
      <c r="T478" s="545"/>
      <c r="U478" s="545"/>
      <c r="V478" s="545"/>
      <c r="W478" s="545"/>
      <c r="X478" s="545"/>
      <c r="Y478" s="545"/>
      <c r="Z478" s="545"/>
    </row>
    <row r="479" spans="10:26" s="1677" customFormat="1" ht="21.75" customHeight="1">
      <c r="J479" s="545"/>
      <c r="K479" s="545"/>
      <c r="L479" s="545"/>
      <c r="M479" s="545"/>
      <c r="N479" s="545"/>
      <c r="O479" s="545"/>
      <c r="P479" s="545"/>
      <c r="Q479" s="545"/>
      <c r="R479" s="545"/>
      <c r="S479" s="545"/>
      <c r="T479" s="545"/>
      <c r="U479" s="545"/>
      <c r="V479" s="545"/>
      <c r="W479" s="545"/>
      <c r="X479" s="545"/>
      <c r="Y479" s="545"/>
      <c r="Z479" s="545"/>
    </row>
    <row r="480" spans="10:26" s="1677" customFormat="1" ht="21.75" customHeight="1">
      <c r="J480" s="545"/>
      <c r="K480" s="545"/>
      <c r="L480" s="545"/>
      <c r="M480" s="545"/>
      <c r="N480" s="545"/>
      <c r="O480" s="545"/>
      <c r="P480" s="545"/>
      <c r="Q480" s="545"/>
      <c r="R480" s="545"/>
      <c r="S480" s="545"/>
      <c r="T480" s="545"/>
      <c r="U480" s="545"/>
      <c r="V480" s="545"/>
      <c r="W480" s="545"/>
      <c r="X480" s="545"/>
      <c r="Y480" s="545"/>
      <c r="Z480" s="545"/>
    </row>
    <row r="481" spans="10:26" s="1677" customFormat="1" ht="21.75" customHeight="1">
      <c r="J481" s="545"/>
      <c r="K481" s="545"/>
      <c r="L481" s="545"/>
      <c r="M481" s="545"/>
      <c r="N481" s="545"/>
      <c r="O481" s="545"/>
      <c r="P481" s="545"/>
      <c r="Q481" s="545"/>
      <c r="R481" s="545"/>
      <c r="S481" s="545"/>
      <c r="T481" s="545"/>
      <c r="U481" s="545"/>
      <c r="V481" s="545"/>
      <c r="W481" s="545"/>
      <c r="X481" s="545"/>
      <c r="Y481" s="545"/>
      <c r="Z481" s="545"/>
    </row>
    <row r="482" spans="10:26" s="1677" customFormat="1" ht="21.75" customHeight="1">
      <c r="J482" s="545"/>
      <c r="K482" s="545"/>
      <c r="L482" s="545"/>
      <c r="M482" s="545"/>
      <c r="N482" s="545"/>
      <c r="O482" s="545"/>
      <c r="P482" s="545"/>
      <c r="Q482" s="545"/>
      <c r="R482" s="545"/>
      <c r="S482" s="545"/>
      <c r="T482" s="545"/>
      <c r="U482" s="545"/>
      <c r="V482" s="545"/>
      <c r="W482" s="545"/>
      <c r="X482" s="545"/>
      <c r="Y482" s="545"/>
      <c r="Z482" s="545"/>
    </row>
    <row r="483" spans="10:26" s="1677" customFormat="1" ht="21.75" customHeight="1">
      <c r="J483" s="545"/>
      <c r="K483" s="545"/>
      <c r="L483" s="545"/>
      <c r="M483" s="545"/>
      <c r="N483" s="545"/>
      <c r="O483" s="545"/>
      <c r="P483" s="545"/>
      <c r="Q483" s="545"/>
      <c r="R483" s="545"/>
      <c r="S483" s="545"/>
      <c r="T483" s="545"/>
      <c r="U483" s="545"/>
      <c r="V483" s="545"/>
      <c r="W483" s="545"/>
      <c r="X483" s="545"/>
      <c r="Y483" s="545"/>
      <c r="Z483" s="545"/>
    </row>
    <row r="484" spans="10:26" s="1677" customFormat="1" ht="21.75" customHeight="1">
      <c r="J484" s="545"/>
      <c r="K484" s="545"/>
      <c r="L484" s="545"/>
      <c r="M484" s="545"/>
      <c r="N484" s="545"/>
      <c r="O484" s="545"/>
      <c r="P484" s="545"/>
      <c r="Q484" s="545"/>
      <c r="R484" s="545"/>
      <c r="S484" s="545"/>
      <c r="T484" s="545"/>
      <c r="U484" s="545"/>
      <c r="V484" s="545"/>
      <c r="W484" s="545"/>
      <c r="X484" s="545"/>
      <c r="Y484" s="545"/>
      <c r="Z484" s="545"/>
    </row>
    <row r="485" spans="10:26" s="1677" customFormat="1" ht="21.75" customHeight="1">
      <c r="J485" s="545"/>
      <c r="K485" s="545"/>
      <c r="L485" s="545"/>
      <c r="M485" s="545"/>
      <c r="N485" s="545"/>
      <c r="O485" s="545"/>
      <c r="P485" s="545"/>
      <c r="Q485" s="545"/>
      <c r="R485" s="545"/>
      <c r="S485" s="545"/>
      <c r="T485" s="545"/>
      <c r="U485" s="545"/>
      <c r="V485" s="545"/>
      <c r="W485" s="545"/>
      <c r="X485" s="545"/>
      <c r="Y485" s="545"/>
      <c r="Z485" s="545"/>
    </row>
    <row r="486" spans="10:26" s="1677" customFormat="1" ht="21.75" customHeight="1">
      <c r="J486" s="545"/>
      <c r="K486" s="545"/>
      <c r="L486" s="545"/>
      <c r="M486" s="545"/>
      <c r="N486" s="545"/>
      <c r="O486" s="545"/>
      <c r="P486" s="545"/>
      <c r="Q486" s="545"/>
      <c r="R486" s="545"/>
      <c r="S486" s="545"/>
      <c r="T486" s="545"/>
      <c r="U486" s="545"/>
      <c r="V486" s="545"/>
      <c r="W486" s="545"/>
      <c r="X486" s="545"/>
      <c r="Y486" s="545"/>
      <c r="Z486" s="545"/>
    </row>
    <row r="487" spans="10:26" s="1677" customFormat="1" ht="21.75" customHeight="1">
      <c r="J487" s="545"/>
      <c r="K487" s="545"/>
      <c r="L487" s="545"/>
      <c r="M487" s="545"/>
      <c r="N487" s="545"/>
      <c r="O487" s="545"/>
      <c r="P487" s="545"/>
      <c r="Q487" s="545"/>
      <c r="R487" s="545"/>
      <c r="S487" s="545"/>
      <c r="T487" s="545"/>
      <c r="U487" s="545"/>
      <c r="V487" s="545"/>
      <c r="W487" s="545"/>
      <c r="X487" s="545"/>
      <c r="Y487" s="545"/>
      <c r="Z487" s="545"/>
    </row>
    <row r="488" spans="10:26" s="1677" customFormat="1" ht="21.75" customHeight="1">
      <c r="J488" s="545"/>
      <c r="K488" s="545"/>
      <c r="L488" s="545"/>
      <c r="M488" s="545"/>
      <c r="N488" s="545"/>
      <c r="O488" s="545"/>
      <c r="P488" s="545"/>
      <c r="Q488" s="545"/>
      <c r="R488" s="545"/>
      <c r="S488" s="545"/>
      <c r="T488" s="545"/>
      <c r="U488" s="545"/>
      <c r="V488" s="545"/>
      <c r="W488" s="545"/>
      <c r="X488" s="545"/>
      <c r="Y488" s="545"/>
      <c r="Z488" s="545"/>
    </row>
    <row r="489" spans="10:26" s="1677" customFormat="1" ht="21.75" customHeight="1">
      <c r="J489" s="545"/>
      <c r="K489" s="545"/>
      <c r="L489" s="545"/>
      <c r="M489" s="545"/>
      <c r="N489" s="545"/>
      <c r="O489" s="545"/>
      <c r="P489" s="545"/>
      <c r="Q489" s="545"/>
      <c r="R489" s="545"/>
      <c r="S489" s="545"/>
      <c r="T489" s="545"/>
      <c r="U489" s="545"/>
      <c r="V489" s="545"/>
      <c r="W489" s="545"/>
      <c r="X489" s="545"/>
      <c r="Y489" s="545"/>
      <c r="Z489" s="545"/>
    </row>
    <row r="490" spans="10:26" s="1677" customFormat="1" ht="21.75" customHeight="1">
      <c r="J490" s="545"/>
      <c r="K490" s="545"/>
      <c r="L490" s="545"/>
      <c r="M490" s="545"/>
      <c r="N490" s="545"/>
      <c r="O490" s="545"/>
      <c r="P490" s="545"/>
      <c r="Q490" s="545"/>
      <c r="R490" s="545"/>
      <c r="S490" s="545"/>
      <c r="T490" s="545"/>
      <c r="U490" s="545"/>
      <c r="V490" s="545"/>
      <c r="W490" s="545"/>
      <c r="X490" s="545"/>
      <c r="Y490" s="545"/>
      <c r="Z490" s="545"/>
    </row>
    <row r="491" spans="10:26" s="1677" customFormat="1" ht="21.75" customHeight="1">
      <c r="J491" s="545"/>
      <c r="K491" s="545"/>
      <c r="L491" s="545"/>
      <c r="M491" s="545"/>
      <c r="N491" s="545"/>
      <c r="O491" s="545"/>
      <c r="P491" s="545"/>
      <c r="Q491" s="545"/>
      <c r="R491" s="545"/>
      <c r="S491" s="545"/>
      <c r="T491" s="545"/>
      <c r="U491" s="545"/>
      <c r="V491" s="545"/>
      <c r="W491" s="545"/>
      <c r="X491" s="545"/>
      <c r="Y491" s="545"/>
      <c r="Z491" s="545"/>
    </row>
    <row r="492" spans="10:26" s="1677" customFormat="1" ht="21.75" customHeight="1">
      <c r="J492" s="545"/>
      <c r="K492" s="545"/>
      <c r="L492" s="545"/>
      <c r="M492" s="545"/>
      <c r="N492" s="545"/>
      <c r="O492" s="545"/>
      <c r="P492" s="545"/>
      <c r="Q492" s="545"/>
      <c r="R492" s="545"/>
      <c r="S492" s="545"/>
      <c r="T492" s="545"/>
      <c r="U492" s="545"/>
      <c r="V492" s="545"/>
      <c r="W492" s="545"/>
      <c r="X492" s="545"/>
      <c r="Y492" s="545"/>
      <c r="Z492" s="545"/>
    </row>
    <row r="493" spans="10:26" s="1677" customFormat="1" ht="21.75" customHeight="1">
      <c r="J493" s="545"/>
      <c r="K493" s="545"/>
      <c r="L493" s="545"/>
      <c r="M493" s="545"/>
      <c r="N493" s="545"/>
      <c r="O493" s="545"/>
      <c r="P493" s="545"/>
      <c r="Q493" s="545"/>
      <c r="R493" s="545"/>
      <c r="S493" s="545"/>
      <c r="T493" s="545"/>
      <c r="U493" s="545"/>
      <c r="V493" s="545"/>
      <c r="W493" s="545"/>
      <c r="X493" s="545"/>
      <c r="Y493" s="545"/>
      <c r="Z493" s="545"/>
    </row>
    <row r="494" spans="10:26" s="1677" customFormat="1" ht="21.75" customHeight="1">
      <c r="J494" s="545"/>
      <c r="K494" s="545"/>
      <c r="L494" s="545"/>
      <c r="M494" s="545"/>
      <c r="N494" s="545"/>
      <c r="O494" s="545"/>
      <c r="P494" s="545"/>
      <c r="Q494" s="545"/>
      <c r="R494" s="545"/>
      <c r="S494" s="545"/>
      <c r="T494" s="545"/>
      <c r="U494" s="545"/>
      <c r="V494" s="545"/>
      <c r="W494" s="545"/>
      <c r="X494" s="545"/>
      <c r="Y494" s="545"/>
      <c r="Z494" s="545"/>
    </row>
    <row r="495" spans="10:26" s="1677" customFormat="1" ht="21.75" customHeight="1">
      <c r="J495" s="545"/>
      <c r="K495" s="545"/>
      <c r="L495" s="545"/>
      <c r="M495" s="545"/>
      <c r="N495" s="545"/>
      <c r="O495" s="545"/>
      <c r="P495" s="545"/>
      <c r="Q495" s="545"/>
      <c r="R495" s="545"/>
      <c r="S495" s="545"/>
      <c r="T495" s="545"/>
      <c r="U495" s="545"/>
      <c r="V495" s="545"/>
      <c r="W495" s="545"/>
      <c r="X495" s="545"/>
      <c r="Y495" s="545"/>
      <c r="Z495" s="545"/>
    </row>
    <row r="496" spans="10:26" s="1677" customFormat="1" ht="21.75" customHeight="1">
      <c r="J496" s="545"/>
      <c r="K496" s="545"/>
      <c r="L496" s="545"/>
      <c r="M496" s="545"/>
      <c r="N496" s="545"/>
      <c r="O496" s="545"/>
      <c r="P496" s="545"/>
      <c r="Q496" s="545"/>
      <c r="R496" s="545"/>
      <c r="S496" s="545"/>
      <c r="T496" s="545"/>
      <c r="U496" s="545"/>
      <c r="V496" s="545"/>
      <c r="W496" s="545"/>
      <c r="X496" s="545"/>
      <c r="Y496" s="545"/>
      <c r="Z496" s="545"/>
    </row>
    <row r="497" spans="10:26" s="1677" customFormat="1" ht="21.75" customHeight="1">
      <c r="J497" s="545"/>
      <c r="K497" s="545"/>
      <c r="L497" s="545"/>
      <c r="M497" s="545"/>
      <c r="N497" s="545"/>
      <c r="O497" s="545"/>
      <c r="P497" s="545"/>
      <c r="Q497" s="545"/>
      <c r="R497" s="545"/>
      <c r="S497" s="545"/>
      <c r="T497" s="545"/>
      <c r="U497" s="545"/>
      <c r="V497" s="545"/>
      <c r="W497" s="545"/>
      <c r="X497" s="545"/>
      <c r="Y497" s="545"/>
      <c r="Z497" s="545"/>
    </row>
    <row r="498" spans="10:26" s="1677" customFormat="1" ht="21.75" customHeight="1">
      <c r="J498" s="545"/>
      <c r="K498" s="545"/>
      <c r="L498" s="545"/>
      <c r="M498" s="545"/>
      <c r="N498" s="545"/>
      <c r="O498" s="545"/>
      <c r="P498" s="545"/>
      <c r="Q498" s="545"/>
      <c r="R498" s="545"/>
      <c r="S498" s="545"/>
      <c r="T498" s="545"/>
      <c r="U498" s="545"/>
      <c r="V498" s="545"/>
      <c r="W498" s="545"/>
      <c r="X498" s="545"/>
      <c r="Y498" s="545"/>
      <c r="Z498" s="545"/>
    </row>
    <row r="499" spans="10:26" s="1677" customFormat="1" ht="21.75" customHeight="1">
      <c r="J499" s="545"/>
      <c r="K499" s="545"/>
      <c r="L499" s="545"/>
      <c r="M499" s="545"/>
      <c r="N499" s="545"/>
      <c r="O499" s="545"/>
      <c r="P499" s="545"/>
      <c r="Q499" s="545"/>
      <c r="R499" s="545"/>
      <c r="S499" s="545"/>
      <c r="T499" s="545"/>
      <c r="U499" s="545"/>
      <c r="V499" s="545"/>
      <c r="W499" s="545"/>
      <c r="X499" s="545"/>
      <c r="Y499" s="545"/>
      <c r="Z499" s="545"/>
    </row>
    <row r="500" spans="10:26" s="1677" customFormat="1" ht="21.75" customHeight="1">
      <c r="J500" s="545"/>
      <c r="K500" s="545"/>
      <c r="L500" s="545"/>
      <c r="M500" s="545"/>
      <c r="N500" s="545"/>
      <c r="O500" s="545"/>
      <c r="P500" s="545"/>
      <c r="Q500" s="545"/>
      <c r="R500" s="545"/>
      <c r="S500" s="545"/>
      <c r="T500" s="545"/>
      <c r="U500" s="545"/>
      <c r="V500" s="545"/>
      <c r="W500" s="545"/>
      <c r="X500" s="545"/>
      <c r="Y500" s="545"/>
      <c r="Z500" s="545"/>
    </row>
    <row r="501" spans="10:26" s="1677" customFormat="1" ht="21.75" customHeight="1">
      <c r="J501" s="545"/>
      <c r="K501" s="545"/>
      <c r="L501" s="545"/>
      <c r="M501" s="545"/>
      <c r="N501" s="545"/>
      <c r="O501" s="545"/>
      <c r="P501" s="545"/>
      <c r="Q501" s="545"/>
      <c r="R501" s="545"/>
      <c r="S501" s="545"/>
      <c r="T501" s="545"/>
      <c r="U501" s="545"/>
      <c r="V501" s="545"/>
      <c r="W501" s="545"/>
      <c r="X501" s="545"/>
      <c r="Y501" s="545"/>
      <c r="Z501" s="545"/>
    </row>
    <row r="502" spans="10:26" s="1677" customFormat="1" ht="21.75" customHeight="1">
      <c r="J502" s="545"/>
      <c r="K502" s="545"/>
      <c r="L502" s="545"/>
      <c r="M502" s="545"/>
      <c r="N502" s="545"/>
      <c r="O502" s="545"/>
      <c r="P502" s="545"/>
      <c r="Q502" s="545"/>
      <c r="R502" s="545"/>
      <c r="S502" s="545"/>
      <c r="T502" s="545"/>
      <c r="U502" s="545"/>
      <c r="V502" s="545"/>
      <c r="W502" s="545"/>
      <c r="X502" s="545"/>
      <c r="Y502" s="545"/>
      <c r="Z502" s="545"/>
    </row>
    <row r="503" spans="10:26" s="1677" customFormat="1" ht="21.75" customHeight="1">
      <c r="J503" s="545"/>
      <c r="K503" s="545"/>
      <c r="L503" s="545"/>
      <c r="M503" s="545"/>
      <c r="N503" s="545"/>
      <c r="O503" s="545"/>
      <c r="P503" s="545"/>
      <c r="Q503" s="545"/>
      <c r="R503" s="545"/>
      <c r="S503" s="545"/>
      <c r="T503" s="545"/>
      <c r="U503" s="545"/>
      <c r="V503" s="545"/>
      <c r="W503" s="545"/>
      <c r="X503" s="545"/>
      <c r="Y503" s="545"/>
      <c r="Z503" s="545"/>
    </row>
    <row r="504" spans="10:26" s="1677" customFormat="1" ht="21.75" customHeight="1">
      <c r="J504" s="545"/>
      <c r="K504" s="545"/>
      <c r="L504" s="545"/>
      <c r="M504" s="545"/>
      <c r="N504" s="545"/>
      <c r="O504" s="545"/>
      <c r="P504" s="545"/>
      <c r="Q504" s="545"/>
      <c r="R504" s="545"/>
      <c r="S504" s="545"/>
      <c r="T504" s="545"/>
      <c r="U504" s="545"/>
      <c r="V504" s="545"/>
      <c r="W504" s="545"/>
      <c r="X504" s="545"/>
      <c r="Y504" s="545"/>
      <c r="Z504" s="545"/>
    </row>
    <row r="505" spans="10:26" s="1677" customFormat="1" ht="21.75" customHeight="1">
      <c r="J505" s="545"/>
      <c r="K505" s="545"/>
      <c r="L505" s="545"/>
      <c r="M505" s="545"/>
      <c r="N505" s="545"/>
      <c r="O505" s="545"/>
      <c r="P505" s="545"/>
      <c r="Q505" s="545"/>
      <c r="R505" s="545"/>
      <c r="S505" s="545"/>
      <c r="T505" s="545"/>
      <c r="U505" s="545"/>
      <c r="V505" s="545"/>
      <c r="W505" s="545"/>
      <c r="X505" s="545"/>
      <c r="Y505" s="545"/>
      <c r="Z505" s="545"/>
    </row>
    <row r="506" spans="10:26" s="1677" customFormat="1" ht="21.75" customHeight="1">
      <c r="J506" s="545"/>
      <c r="K506" s="545"/>
      <c r="L506" s="545"/>
      <c r="M506" s="545"/>
      <c r="N506" s="545"/>
      <c r="O506" s="545"/>
      <c r="P506" s="545"/>
      <c r="Q506" s="545"/>
      <c r="R506" s="545"/>
      <c r="S506" s="545"/>
      <c r="T506" s="545"/>
      <c r="U506" s="545"/>
      <c r="V506" s="545"/>
      <c r="W506" s="545"/>
      <c r="X506" s="545"/>
      <c r="Y506" s="545"/>
      <c r="Z506" s="545"/>
    </row>
    <row r="507" spans="10:26" s="1677" customFormat="1" ht="21.75" customHeight="1">
      <c r="J507" s="545"/>
      <c r="K507" s="545"/>
      <c r="L507" s="545"/>
      <c r="M507" s="545"/>
      <c r="N507" s="545"/>
      <c r="O507" s="545"/>
      <c r="P507" s="545"/>
      <c r="Q507" s="545"/>
      <c r="R507" s="545"/>
      <c r="S507" s="545"/>
      <c r="T507" s="545"/>
      <c r="U507" s="545"/>
      <c r="V507" s="545"/>
      <c r="W507" s="545"/>
      <c r="X507" s="545"/>
      <c r="Y507" s="545"/>
      <c r="Z507" s="545"/>
    </row>
    <row r="508" spans="10:26" s="1677" customFormat="1" ht="21.75" customHeight="1">
      <c r="J508" s="545"/>
      <c r="K508" s="545"/>
      <c r="L508" s="545"/>
      <c r="M508" s="545"/>
      <c r="N508" s="545"/>
      <c r="O508" s="545"/>
      <c r="P508" s="545"/>
      <c r="Q508" s="545"/>
      <c r="R508" s="545"/>
      <c r="S508" s="545"/>
      <c r="T508" s="545"/>
      <c r="U508" s="545"/>
      <c r="V508" s="545"/>
      <c r="W508" s="545"/>
      <c r="X508" s="545"/>
      <c r="Y508" s="545"/>
      <c r="Z508" s="545"/>
    </row>
    <row r="509" spans="10:26" s="1677" customFormat="1" ht="21.75" customHeight="1">
      <c r="J509" s="545"/>
      <c r="K509" s="545"/>
      <c r="L509" s="545"/>
      <c r="M509" s="545"/>
      <c r="N509" s="545"/>
      <c r="O509" s="545"/>
      <c r="P509" s="545"/>
      <c r="Q509" s="545"/>
      <c r="R509" s="545"/>
      <c r="S509" s="545"/>
      <c r="T509" s="545"/>
      <c r="U509" s="545"/>
      <c r="V509" s="545"/>
      <c r="W509" s="545"/>
      <c r="X509" s="545"/>
      <c r="Y509" s="545"/>
      <c r="Z509" s="545"/>
    </row>
    <row r="510" spans="10:26" s="1677" customFormat="1" ht="21.75" customHeight="1">
      <c r="J510" s="545"/>
      <c r="K510" s="545"/>
      <c r="L510" s="545"/>
      <c r="M510" s="545"/>
      <c r="N510" s="545"/>
      <c r="O510" s="545"/>
      <c r="P510" s="545"/>
      <c r="Q510" s="545"/>
      <c r="R510" s="545"/>
      <c r="S510" s="545"/>
      <c r="T510" s="545"/>
      <c r="U510" s="545"/>
      <c r="V510" s="545"/>
      <c r="W510" s="545"/>
      <c r="X510" s="545"/>
      <c r="Y510" s="545"/>
      <c r="Z510" s="545"/>
    </row>
    <row r="511" spans="10:26" s="1677" customFormat="1" ht="21.75" customHeight="1">
      <c r="J511" s="545"/>
      <c r="K511" s="545"/>
      <c r="L511" s="545"/>
      <c r="M511" s="545"/>
      <c r="N511" s="545"/>
      <c r="O511" s="545"/>
      <c r="P511" s="545"/>
      <c r="Q511" s="545"/>
      <c r="R511" s="545"/>
      <c r="S511" s="545"/>
      <c r="T511" s="545"/>
      <c r="U511" s="545"/>
      <c r="V511" s="545"/>
      <c r="W511" s="545"/>
      <c r="X511" s="545"/>
      <c r="Y511" s="545"/>
      <c r="Z511" s="545"/>
    </row>
    <row r="512" spans="10:26" s="1677" customFormat="1" ht="21.75" customHeight="1">
      <c r="J512" s="545"/>
      <c r="K512" s="545"/>
      <c r="L512" s="545"/>
      <c r="M512" s="545"/>
      <c r="N512" s="545"/>
      <c r="O512" s="545"/>
      <c r="P512" s="545"/>
      <c r="Q512" s="545"/>
      <c r="R512" s="545"/>
      <c r="S512" s="545"/>
      <c r="T512" s="545"/>
      <c r="U512" s="545"/>
      <c r="V512" s="545"/>
      <c r="W512" s="545"/>
      <c r="X512" s="545"/>
      <c r="Y512" s="545"/>
      <c r="Z512" s="54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9" type="noConversion"/>
  <conditionalFormatting sqref="E36">
    <cfRule type="expression" dxfId="169" priority="1" stopIfTrue="1">
      <formula>$D$36="同一抵押权人同一抵押物续贷"</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C5:C7">
    <cfRule type="cellIs" dxfId="166" priority="10" stopIfTrue="1" operator="equal">
      <formula>25</formula>
    </cfRule>
  </conditionalFormatting>
  <conditionalFormatting sqref="C8:C9">
    <cfRule type="cellIs" dxfId="165" priority="9" stopIfTrue="1" operator="equal">
      <formula>15</formula>
    </cfRule>
  </conditionalFormatting>
  <conditionalFormatting sqref="C14:C16">
    <cfRule type="cellIs" dxfId="164" priority="8" stopIfTrue="1" operator="equal">
      <formula>30</formula>
    </cfRule>
  </conditionalFormatting>
  <conditionalFormatting sqref="D5:D7">
    <cfRule type="cellIs" dxfId="163" priority="7" stopIfTrue="1" operator="equal">
      <formula>25</formula>
    </cfRule>
  </conditionalFormatting>
  <conditionalFormatting sqref="D8:D9">
    <cfRule type="cellIs" dxfId="162" priority="6" stopIfTrue="1" operator="equal">
      <formula>15</formula>
    </cfRule>
  </conditionalFormatting>
  <conditionalFormatting sqref="D14:D16">
    <cfRule type="cellIs" dxfId="161" priority="4" stopIfTrue="1" operator="equal">
      <formula>30</formula>
    </cfRule>
  </conditionalFormatting>
  <conditionalFormatting sqref="C10:D13">
    <cfRule type="cellIs" dxfId="160"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640625" defaultRowHeight="13.2"/>
  <cols>
    <col min="1" max="1" width="9.77734375" style="641" customWidth="1"/>
    <col min="2" max="2" width="25.77734375" style="2514" customWidth="1"/>
    <col min="3" max="3" width="10.33203125" style="2515" customWidth="1"/>
    <col min="4" max="4" width="9.88671875" style="2514" customWidth="1"/>
    <col min="5" max="5" width="9.44140625" style="641" customWidth="1"/>
    <col min="6" max="6" width="10.109375" style="2514" customWidth="1"/>
    <col min="7" max="7" width="10.77734375" style="2514" customWidth="1"/>
    <col min="8" max="8" width="10" style="2514" customWidth="1"/>
    <col min="9" max="11" width="9.44140625" style="2514" customWidth="1"/>
    <col min="12" max="12" width="9" style="2514" customWidth="1"/>
    <col min="13" max="13" width="10.44140625" style="2514" customWidth="1"/>
    <col min="14" max="254" width="9" style="2514" customWidth="1"/>
    <col min="255" max="16384" width="6.6640625" style="2514"/>
  </cols>
  <sheetData>
    <row r="1" spans="1:33" ht="21">
      <c r="A1" s="373" t="s">
        <v>3271</v>
      </c>
      <c r="B1" s="778"/>
      <c r="C1" s="2516"/>
      <c r="D1" s="2517"/>
      <c r="E1" s="2518"/>
      <c r="F1" s="2518"/>
      <c r="G1" s="2519"/>
      <c r="H1" s="2518"/>
      <c r="I1" s="2518"/>
      <c r="J1" s="2518"/>
      <c r="K1" s="2584">
        <f>MATCH(C1,'数据-取费表'!A6:A16,0)+5</f>
        <v>9</v>
      </c>
    </row>
    <row r="2" spans="1:33" ht="18" customHeight="1">
      <c r="A2" s="377" t="s">
        <v>2864</v>
      </c>
      <c r="B2" s="381">
        <f ca="1">C32</f>
        <v>-176</v>
      </c>
      <c r="C2" s="2520" t="s">
        <v>3272</v>
      </c>
      <c r="D2" s="2520"/>
      <c r="E2" s="2518"/>
      <c r="F2" s="2518"/>
      <c r="G2" s="2518"/>
      <c r="H2" s="2518"/>
      <c r="I2" s="2518"/>
      <c r="J2" s="2518"/>
      <c r="K2" s="2518"/>
    </row>
    <row r="3" spans="1:33" ht="18" customHeight="1">
      <c r="A3" s="380" t="s">
        <v>2866</v>
      </c>
      <c r="B3" s="381">
        <f ca="1">ROUND(B2*10000/IF(C1="",'数据-汇总表'!E3,INDIRECT("'数据-取费表'!K"&amp;$K$1)),0)</f>
        <v>-208</v>
      </c>
      <c r="C3" s="2520" t="s">
        <v>3273</v>
      </c>
      <c r="D3" s="2520"/>
      <c r="E3" s="2518"/>
      <c r="F3" s="2518"/>
      <c r="G3" s="2518"/>
      <c r="H3" s="2518"/>
      <c r="I3" s="2518"/>
      <c r="J3" s="2518"/>
      <c r="K3" s="2518"/>
    </row>
    <row r="4" spans="1:33" s="2505" customFormat="1" ht="16.5" customHeight="1">
      <c r="A4" s="2521" t="s">
        <v>3274</v>
      </c>
      <c r="B4" s="2522"/>
      <c r="C4" s="2523">
        <f>SUM(C8:K8)</f>
        <v>0</v>
      </c>
      <c r="D4" s="2522"/>
      <c r="E4" s="2522"/>
      <c r="F4" s="2522"/>
      <c r="G4" s="2522"/>
      <c r="H4" s="2522"/>
      <c r="I4" s="2522"/>
      <c r="J4" s="2522"/>
      <c r="K4" s="2585"/>
    </row>
    <row r="5" spans="1:33" s="2506" customFormat="1" ht="14.4">
      <c r="A5" s="1733" t="s">
        <v>3275</v>
      </c>
      <c r="B5" s="2524" t="s">
        <v>3276</v>
      </c>
      <c r="C5" s="2525"/>
      <c r="D5" s="2525"/>
      <c r="E5" s="2525"/>
      <c r="F5" s="2525"/>
      <c r="G5" s="2525"/>
      <c r="H5" s="2525"/>
      <c r="I5" s="2525"/>
      <c r="J5" s="2525"/>
      <c r="K5" s="2525"/>
      <c r="L5" s="2586"/>
      <c r="M5" s="2586"/>
      <c r="N5" s="2586"/>
      <c r="O5" s="2586"/>
      <c r="P5" s="2586"/>
      <c r="Q5" s="2586"/>
      <c r="R5" s="2586"/>
      <c r="S5" s="2586"/>
      <c r="T5" s="2586"/>
      <c r="U5" s="2586"/>
      <c r="V5" s="2586"/>
      <c r="W5" s="2586"/>
      <c r="X5" s="2586"/>
      <c r="Y5" s="2586"/>
      <c r="Z5" s="2586"/>
      <c r="AA5" s="2586"/>
      <c r="AB5" s="2586"/>
      <c r="AC5" s="2586"/>
      <c r="AD5" s="2586"/>
      <c r="AE5" s="2586"/>
      <c r="AF5" s="2586"/>
      <c r="AG5" s="2586"/>
    </row>
    <row r="6" spans="1:33" s="2507" customFormat="1" ht="13.5" customHeight="1">
      <c r="A6" s="2526" t="s">
        <v>2770</v>
      </c>
      <c r="B6" s="741" t="s">
        <v>3277</v>
      </c>
      <c r="C6" s="2527"/>
      <c r="D6" s="2527"/>
      <c r="E6" s="2527"/>
      <c r="F6" s="2527"/>
      <c r="G6" s="2527"/>
      <c r="H6" s="2527"/>
      <c r="I6" s="2527"/>
      <c r="J6" s="2527"/>
      <c r="K6" s="2587"/>
      <c r="L6" s="2588"/>
      <c r="M6" s="2588"/>
      <c r="N6" s="2588"/>
      <c r="O6" s="2588"/>
      <c r="P6" s="2588"/>
      <c r="Q6" s="2588"/>
      <c r="R6" s="2588"/>
      <c r="S6" s="2588"/>
      <c r="T6" s="2588"/>
      <c r="U6" s="2588"/>
      <c r="V6" s="2588"/>
      <c r="W6" s="2588"/>
      <c r="X6" s="2588"/>
      <c r="Y6" s="2588"/>
      <c r="Z6" s="2588"/>
      <c r="AA6" s="2588"/>
      <c r="AB6" s="2588"/>
      <c r="AC6" s="2588"/>
      <c r="AD6" s="2588"/>
      <c r="AE6" s="2588"/>
      <c r="AF6" s="2588"/>
      <c r="AG6" s="2588"/>
    </row>
    <row r="7" spans="1:33" s="2507" customFormat="1" ht="13.5" customHeight="1">
      <c r="A7" s="2526" t="s">
        <v>2774</v>
      </c>
      <c r="B7" s="741" t="s">
        <v>458</v>
      </c>
      <c r="C7" s="2528">
        <f>SUMIF('数据-汇总表'!$C19:$C33,假设开发法!C5,'数据-汇总表'!$E19:$E33)</f>
        <v>0</v>
      </c>
      <c r="D7" s="2528">
        <f>SUMIF('数据-汇总表'!$C19:$C33,假设开发法!D5,'数据-汇总表'!$E19:$E33)</f>
        <v>0</v>
      </c>
      <c r="E7" s="2528">
        <f>SUMIF('数据-汇总表'!$C19:$C33,假设开发法!E5,'数据-汇总表'!$E19:$E33)</f>
        <v>0</v>
      </c>
      <c r="F7" s="2528">
        <f>SUMIF('数据-汇总表'!$C19:$C33,假设开发法!F5,'数据-汇总表'!$E19:$E33)</f>
        <v>0</v>
      </c>
      <c r="G7" s="2528">
        <f>SUMIF('数据-汇总表'!$C19:$C33,假设开发法!G5,'数据-汇总表'!$E19:$E33)</f>
        <v>0</v>
      </c>
      <c r="H7" s="2528">
        <f>SUMIF('数据-汇总表'!$C19:$C33,假设开发法!H5,'数据-汇总表'!$E19:$E33)</f>
        <v>0</v>
      </c>
      <c r="I7" s="2528">
        <f>SUMIF('数据-汇总表'!$C19:$C33,假设开发法!I5,'数据-汇总表'!$E19:$E33)</f>
        <v>0</v>
      </c>
      <c r="J7" s="2528">
        <f>SUMIF('数据-汇总表'!$C19:$C33,假设开发法!J5,'数据-汇总表'!$E19:$E33)</f>
        <v>0</v>
      </c>
      <c r="K7" s="2589">
        <f>SUMIF('数据-汇总表'!$C19:$C33,假设开发法!K5,'数据-汇总表'!$E19:$E33)</f>
        <v>0</v>
      </c>
      <c r="L7" s="2588"/>
      <c r="M7" s="2588"/>
      <c r="N7" s="2588"/>
      <c r="O7" s="2588"/>
      <c r="P7" s="2588"/>
      <c r="Q7" s="2588"/>
      <c r="R7" s="2588"/>
      <c r="S7" s="2588"/>
      <c r="T7" s="2588"/>
      <c r="U7" s="2588"/>
      <c r="V7" s="2588"/>
      <c r="W7" s="2588"/>
      <c r="X7" s="2588"/>
      <c r="Y7" s="2588"/>
      <c r="Z7" s="2588"/>
      <c r="AA7" s="2588"/>
      <c r="AB7" s="2588"/>
      <c r="AC7" s="2588"/>
      <c r="AD7" s="2588"/>
      <c r="AE7" s="2588"/>
      <c r="AF7" s="2588"/>
      <c r="AG7" s="2588"/>
    </row>
    <row r="8" spans="1:33" s="2507" customFormat="1" ht="13.5" customHeight="1">
      <c r="A8" s="2529" t="s">
        <v>2819</v>
      </c>
      <c r="B8" s="2530" t="s">
        <v>3278</v>
      </c>
      <c r="C8" s="2531"/>
      <c r="D8" s="2531"/>
      <c r="E8" s="2531"/>
      <c r="F8" s="2532"/>
      <c r="G8" s="2532"/>
      <c r="H8" s="2532"/>
      <c r="I8" s="2532"/>
      <c r="J8" s="2532"/>
      <c r="K8" s="2590"/>
      <c r="L8" s="2588"/>
      <c r="M8" s="2588"/>
      <c r="N8" s="2588"/>
      <c r="O8" s="2588"/>
      <c r="P8" s="2588"/>
      <c r="Q8" s="2588"/>
      <c r="R8" s="2588"/>
      <c r="S8" s="2588"/>
      <c r="T8" s="2588"/>
      <c r="U8" s="2588"/>
      <c r="V8" s="2588"/>
      <c r="W8" s="2588"/>
      <c r="X8" s="2588"/>
      <c r="Y8" s="2588"/>
      <c r="Z8" s="2588"/>
      <c r="AA8" s="2588"/>
      <c r="AB8" s="2588"/>
      <c r="AC8" s="2588"/>
      <c r="AD8" s="2588"/>
      <c r="AE8" s="2588"/>
      <c r="AF8" s="2588"/>
      <c r="AG8" s="2588"/>
    </row>
    <row r="9" spans="1:33" s="2505" customFormat="1" ht="16.5" customHeight="1">
      <c r="A9" s="2521" t="s">
        <v>3279</v>
      </c>
      <c r="B9" s="2522"/>
      <c r="C9" s="2522"/>
      <c r="D9" s="2522"/>
      <c r="E9" s="2522"/>
      <c r="F9" s="2522"/>
      <c r="G9" s="2522"/>
      <c r="H9" s="2522"/>
      <c r="I9" s="2522"/>
      <c r="J9" s="2522"/>
      <c r="K9" s="2585"/>
    </row>
    <row r="10" spans="1:33" s="2508" customFormat="1" ht="13.5" customHeight="1">
      <c r="A10" s="1733" t="s">
        <v>3275</v>
      </c>
      <c r="B10" s="2533" t="s">
        <v>3276</v>
      </c>
      <c r="C10" s="2534" t="s">
        <v>3280</v>
      </c>
      <c r="D10" s="2535" t="s">
        <v>3281</v>
      </c>
      <c r="E10" s="2535" t="s">
        <v>3282</v>
      </c>
      <c r="F10" s="2535" t="s">
        <v>3283</v>
      </c>
      <c r="G10" s="2533"/>
      <c r="H10" s="2536"/>
      <c r="I10" s="2536"/>
      <c r="J10" s="2536"/>
      <c r="K10" s="2591"/>
    </row>
    <row r="11" spans="1:33" s="2509" customFormat="1" ht="13.5" customHeight="1">
      <c r="A11" s="2537" t="s">
        <v>2991</v>
      </c>
      <c r="B11" s="2538" t="s">
        <v>3284</v>
      </c>
      <c r="C11" s="2539">
        <f ca="1">IF(C1="",'数据-取费表'!P16,INDIRECT("'数据-取费表'!p"&amp;$K$1)+INDIRECT("'数据-取费表'!ar"&amp;$K$1))</f>
        <v>0</v>
      </c>
      <c r="D11" s="2540"/>
      <c r="E11" s="744"/>
      <c r="F11" s="2541">
        <f ca="1">1-IF('数据-取费表'!B24=0,1,IF(C1="",'数据-取费表'!N16,INDIRECT("'数据-取费表'!n"&amp;$K$1)))</f>
        <v>0</v>
      </c>
      <c r="G11" s="2533"/>
      <c r="H11" s="2536"/>
      <c r="I11" s="2536"/>
      <c r="J11" s="2536"/>
      <c r="K11" s="2591"/>
    </row>
    <row r="12" spans="1:33" s="2509" customFormat="1" ht="13.5" customHeight="1">
      <c r="A12" s="2537" t="s">
        <v>2995</v>
      </c>
      <c r="B12" s="2538" t="s">
        <v>3108</v>
      </c>
      <c r="C12" s="599">
        <f ca="1">ROUND(C11*F12,0)</f>
        <v>0</v>
      </c>
      <c r="D12" s="2540"/>
      <c r="E12" s="744"/>
      <c r="F12" s="2541">
        <f>'数据-取费表'!B33</f>
        <v>0.05</v>
      </c>
      <c r="G12" s="2533" t="s">
        <v>3285</v>
      </c>
      <c r="H12" s="2536"/>
      <c r="I12" s="2536"/>
      <c r="J12" s="2536"/>
      <c r="K12" s="2591"/>
    </row>
    <row r="13" spans="1:33" s="2509" customFormat="1" ht="13.5" customHeight="1">
      <c r="A13" s="2537" t="s">
        <v>3220</v>
      </c>
      <c r="B13" s="2538" t="s">
        <v>3111</v>
      </c>
      <c r="C13" s="599">
        <f ca="1">ROUND(IF(C1="",SUMIF('数据-取费表'!C:C,"住宅",'数据-取费表'!P:P)*F13,IF(INDIRECT("'数据-取费表'!c"&amp;$K$1)="住宅",INDIRECT("'数据-取费表'!P"&amp;$K$1)*F13,0)),0)</f>
        <v>0</v>
      </c>
      <c r="D13" s="2542"/>
      <c r="E13" s="744"/>
      <c r="F13" s="2541">
        <f>'数据-取费表'!B34</f>
        <v>0</v>
      </c>
      <c r="G13" s="2533" t="s">
        <v>3286</v>
      </c>
      <c r="H13" s="2536"/>
      <c r="I13" s="2536"/>
      <c r="J13" s="2536"/>
      <c r="K13" s="2591"/>
    </row>
    <row r="14" spans="1:33" s="2510" customFormat="1" ht="13.5" customHeight="1">
      <c r="A14" s="2537" t="s">
        <v>3287</v>
      </c>
      <c r="B14" s="2538" t="s">
        <v>3288</v>
      </c>
      <c r="C14" s="599">
        <f ca="1">ROUND(D14*E14*F11/10000,0)</f>
        <v>0</v>
      </c>
      <c r="D14" s="2542">
        <f ca="1">IF(C1="",'数据-汇总表'!E3,INDIRECT("'数据-取费表'!K"&amp;$K$1)+INDIRECT("'数据-取费表'!S"&amp;$K$1))</f>
        <v>8450.66</v>
      </c>
      <c r="E14" s="599">
        <f>'数据-取费表'!B35</f>
        <v>200</v>
      </c>
      <c r="F14" s="2543"/>
      <c r="G14" s="2533" t="s">
        <v>3289</v>
      </c>
      <c r="H14" s="2536"/>
      <c r="I14" s="2536"/>
      <c r="J14" s="2536"/>
      <c r="K14" s="2591"/>
      <c r="L14" s="2509"/>
      <c r="M14" s="2509"/>
      <c r="N14" s="2509"/>
      <c r="O14" s="2509"/>
      <c r="P14" s="2509"/>
      <c r="Q14" s="2509"/>
      <c r="R14" s="2509"/>
      <c r="S14" s="2509"/>
      <c r="T14" s="2509"/>
      <c r="U14" s="2509"/>
      <c r="V14" s="2509"/>
      <c r="W14" s="2509"/>
      <c r="X14" s="2509"/>
      <c r="Y14" s="2509"/>
      <c r="Z14" s="2509"/>
      <c r="AA14" s="2509"/>
      <c r="AB14" s="2509"/>
      <c r="AC14" s="2509"/>
      <c r="AD14" s="2509"/>
      <c r="AE14" s="2509"/>
      <c r="AF14" s="2509"/>
      <c r="AG14" s="2509"/>
    </row>
    <row r="15" spans="1:33" s="2510" customFormat="1" ht="13.5" customHeight="1">
      <c r="A15" s="2537" t="s">
        <v>3290</v>
      </c>
      <c r="B15" s="2538" t="s">
        <v>3123</v>
      </c>
      <c r="C15" s="2544">
        <f ca="1">ROUND(C11*F15,0)</f>
        <v>0</v>
      </c>
      <c r="D15" s="2545"/>
      <c r="E15" s="2544"/>
      <c r="F15" s="2541">
        <f>'数据-取费表'!B36</f>
        <v>1.4999999999999999E-2</v>
      </c>
      <c r="G15" s="741" t="s">
        <v>3291</v>
      </c>
      <c r="H15" s="856"/>
      <c r="I15" s="856"/>
      <c r="J15" s="856"/>
      <c r="K15" s="857"/>
      <c r="L15" s="2509"/>
      <c r="M15" s="2509"/>
      <c r="N15" s="2509"/>
      <c r="O15" s="2509"/>
      <c r="P15" s="2509"/>
      <c r="Q15" s="2509"/>
      <c r="R15" s="2509"/>
      <c r="S15" s="2509"/>
      <c r="T15" s="2509"/>
      <c r="U15" s="2509"/>
      <c r="V15" s="2509"/>
      <c r="W15" s="2509"/>
      <c r="X15" s="2509"/>
      <c r="Y15" s="2509"/>
      <c r="Z15" s="2509"/>
      <c r="AA15" s="2509"/>
      <c r="AB15" s="2509"/>
      <c r="AC15" s="2509"/>
      <c r="AD15" s="2509"/>
      <c r="AE15" s="2509"/>
      <c r="AF15" s="2509"/>
      <c r="AG15" s="2509"/>
    </row>
    <row r="16" spans="1:33" s="2510" customFormat="1" ht="13.5" customHeight="1">
      <c r="A16" s="2537" t="s">
        <v>2793</v>
      </c>
      <c r="B16" s="2538" t="s">
        <v>3292</v>
      </c>
      <c r="C16" s="2544">
        <f ca="1">SUM(C11:C15)</f>
        <v>0</v>
      </c>
      <c r="D16" s="2545"/>
      <c r="E16" s="2544"/>
      <c r="F16" s="2541"/>
      <c r="G16" s="741"/>
      <c r="H16" s="2546"/>
      <c r="I16" s="856"/>
      <c r="J16" s="856"/>
      <c r="K16" s="857"/>
      <c r="L16" s="2509"/>
      <c r="M16" s="2509"/>
      <c r="N16" s="2509"/>
      <c r="O16" s="2509"/>
      <c r="P16" s="2509"/>
      <c r="Q16" s="2509"/>
      <c r="R16" s="2509"/>
      <c r="S16" s="2509"/>
      <c r="T16" s="2509"/>
      <c r="U16" s="2509"/>
      <c r="V16" s="2509"/>
      <c r="W16" s="2509"/>
      <c r="X16" s="2509"/>
      <c r="Y16" s="2509"/>
      <c r="Z16" s="2509"/>
      <c r="AA16" s="2509"/>
      <c r="AB16" s="2509"/>
      <c r="AC16" s="2509"/>
      <c r="AD16" s="2509"/>
      <c r="AE16" s="2509"/>
      <c r="AF16" s="2509"/>
      <c r="AG16" s="2509"/>
    </row>
    <row r="17" spans="1:33" s="2510" customFormat="1" ht="13.5" customHeight="1">
      <c r="A17" s="2537" t="s">
        <v>2797</v>
      </c>
      <c r="B17" s="2538" t="s">
        <v>3293</v>
      </c>
      <c r="C17" s="599">
        <f ca="1">ROUND(D17*E17/10000,0)</f>
        <v>0</v>
      </c>
      <c r="D17" s="2542">
        <f ca="1">D14</f>
        <v>8450.66</v>
      </c>
      <c r="E17" s="599">
        <f>'数据-取费表'!B32</f>
        <v>0</v>
      </c>
      <c r="F17" s="2545"/>
      <c r="G17" s="741" t="s">
        <v>3294</v>
      </c>
      <c r="H17" s="2546"/>
      <c r="I17" s="856"/>
      <c r="J17" s="856"/>
      <c r="K17" s="857"/>
      <c r="L17" s="2509"/>
      <c r="M17" s="2509"/>
      <c r="N17" s="2509"/>
      <c r="O17" s="2509"/>
      <c r="P17" s="2509"/>
      <c r="Q17" s="2509"/>
      <c r="R17" s="2509"/>
      <c r="S17" s="2509"/>
      <c r="T17" s="2509"/>
      <c r="U17" s="2509"/>
      <c r="V17" s="2509"/>
      <c r="W17" s="2509"/>
      <c r="X17" s="2509"/>
      <c r="Y17" s="2509"/>
      <c r="Z17" s="2509"/>
      <c r="AA17" s="2509"/>
      <c r="AB17" s="2509"/>
      <c r="AC17" s="2509"/>
      <c r="AD17" s="2509"/>
      <c r="AE17" s="2509"/>
      <c r="AF17" s="2509"/>
      <c r="AG17" s="2509"/>
    </row>
    <row r="18" spans="1:33" s="2509" customFormat="1" ht="13.5" customHeight="1">
      <c r="A18" s="2537" t="s">
        <v>3295</v>
      </c>
      <c r="B18" s="2538" t="s">
        <v>3296</v>
      </c>
      <c r="C18" s="599">
        <f ca="1">C19+C20-IF(C1="",'数据-取费表'!B29,IF(G18="已全部缴纳",C19+C20,H18))</f>
        <v>169</v>
      </c>
      <c r="D18" s="2542"/>
      <c r="E18" s="599"/>
      <c r="F18" s="2543"/>
      <c r="G18" s="2547"/>
      <c r="H18" s="2548"/>
      <c r="I18" s="2592" t="s">
        <v>3297</v>
      </c>
      <c r="J18" s="856"/>
      <c r="K18" s="857"/>
    </row>
    <row r="19" spans="1:33" s="2509" customFormat="1" ht="13.5" customHeight="1">
      <c r="A19" s="2537" t="s">
        <v>2991</v>
      </c>
      <c r="B19" s="2538" t="s">
        <v>445</v>
      </c>
      <c r="C19" s="599">
        <f ca="1">ROUND(D19*E19/10000,0)</f>
        <v>0</v>
      </c>
      <c r="D19" s="2542">
        <f ca="1">IF(C1="",'数据-汇总表'!E5,IF(INDIRECT("'数据-取费表'!c"&amp;$K$1)="住宅",INDIRECT("'数据-取费表'!k"&amp;$K$1),0))</f>
        <v>0</v>
      </c>
      <c r="E19" s="599">
        <f>'数据-取费表'!B27</f>
        <v>160</v>
      </c>
      <c r="F19" s="2543"/>
      <c r="G19" s="855"/>
      <c r="H19" s="2549"/>
      <c r="I19" s="1839"/>
      <c r="J19" s="1839"/>
      <c r="K19" s="2593"/>
    </row>
    <row r="20" spans="1:33" s="2509" customFormat="1" ht="13.5" customHeight="1">
      <c r="A20" s="2537" t="s">
        <v>2995</v>
      </c>
      <c r="B20" s="2538" t="s">
        <v>3298</v>
      </c>
      <c r="C20" s="599">
        <f ca="1">ROUND(D20*E20/10000,0)</f>
        <v>169</v>
      </c>
      <c r="D20" s="2542">
        <f ca="1">IF(C1="",'数据-汇总表'!E6,IF(INDIRECT("'数据-取费表'!c"&amp;$K$1)="住宅",INDIRECT("'数据-取费表'!s"&amp;$K$1),INDIRECT("'数据-取费表'!k"&amp;$K$1)+INDIRECT("'数据-取费表'!s"&amp;$K$1)))</f>
        <v>8450.66</v>
      </c>
      <c r="E20" s="599">
        <f>'数据-取费表'!B28</f>
        <v>200</v>
      </c>
      <c r="F20" s="2543"/>
      <c r="G20" s="855"/>
      <c r="H20" s="1839"/>
      <c r="I20" s="1839"/>
      <c r="J20" s="1839"/>
      <c r="K20" s="2593"/>
    </row>
    <row r="21" spans="1:33" s="2509" customFormat="1" ht="13.5" customHeight="1">
      <c r="A21" s="2526" t="s">
        <v>2770</v>
      </c>
      <c r="B21" s="2550" t="s">
        <v>3299</v>
      </c>
      <c r="C21" s="2551">
        <f ca="1">C16+C17+C18</f>
        <v>169</v>
      </c>
      <c r="D21" s="2552"/>
      <c r="E21" s="2553"/>
      <c r="F21" s="2553"/>
      <c r="G21" s="741" t="s">
        <v>3300</v>
      </c>
      <c r="H21" s="856"/>
      <c r="I21" s="856"/>
      <c r="J21" s="856"/>
      <c r="K21" s="857"/>
    </row>
    <row r="22" spans="1:33" s="2509" customFormat="1" ht="13.5" customHeight="1">
      <c r="A22" s="2526" t="s">
        <v>2774</v>
      </c>
      <c r="B22" s="2550" t="s">
        <v>3301</v>
      </c>
      <c r="C22" s="2551">
        <f ca="1">ROUND(C21*F22,0)</f>
        <v>3</v>
      </c>
      <c r="D22" s="2553"/>
      <c r="E22" s="2553"/>
      <c r="F22" s="2554">
        <f>'数据-取费表'!B37</f>
        <v>0.02</v>
      </c>
      <c r="G22" s="2533" t="s">
        <v>3302</v>
      </c>
      <c r="H22" s="2536"/>
      <c r="I22" s="2536"/>
      <c r="J22" s="2536"/>
      <c r="K22" s="2591"/>
    </row>
    <row r="23" spans="1:33" s="2509" customFormat="1" ht="13.5" customHeight="1">
      <c r="A23" s="2526" t="s">
        <v>2819</v>
      </c>
      <c r="B23" s="2550" t="s">
        <v>3303</v>
      </c>
      <c r="C23" s="2551">
        <f ca="1">ROUND(C4*F23*F11,0)</f>
        <v>0</v>
      </c>
      <c r="D23" s="2553"/>
      <c r="E23" s="2553"/>
      <c r="F23" s="2554">
        <f>'数据-取费表'!B38</f>
        <v>0.02</v>
      </c>
      <c r="G23" s="2533" t="s">
        <v>3304</v>
      </c>
      <c r="H23" s="2536"/>
      <c r="I23" s="2536"/>
      <c r="J23" s="2536"/>
      <c r="K23" s="2591"/>
    </row>
    <row r="24" spans="1:33" s="2509" customFormat="1" ht="13.5" customHeight="1">
      <c r="A24" s="2526" t="s">
        <v>2822</v>
      </c>
      <c r="B24" s="2550" t="s">
        <v>3305</v>
      </c>
      <c r="C24" s="2555">
        <f>ROUND(F24/(1+'数据-取费表'!C42),4)</f>
        <v>2.9000000000000001E-2</v>
      </c>
      <c r="D24" s="2553" t="s">
        <v>3306</v>
      </c>
      <c r="E24" s="2553"/>
      <c r="F24" s="2554">
        <f>IF(项目基本情况!B8="出让",0,'数据-取费表'!B48+'数据-取费表'!B49)</f>
        <v>3.0499999999999999E-2</v>
      </c>
      <c r="G24" s="2533" t="s">
        <v>3307</v>
      </c>
      <c r="H24" s="2556"/>
      <c r="I24" s="2556"/>
      <c r="J24" s="2556"/>
      <c r="K24" s="2594"/>
    </row>
    <row r="25" spans="1:33" s="2509" customFormat="1" ht="13.5" customHeight="1">
      <c r="A25" s="2526" t="s">
        <v>2826</v>
      </c>
      <c r="B25" s="2552" t="s">
        <v>3308</v>
      </c>
      <c r="C25" s="2557">
        <f ca="1">C27</f>
        <v>0</v>
      </c>
      <c r="D25" s="2555">
        <f ca="1">C26</f>
        <v>0</v>
      </c>
      <c r="E25" s="2558" t="s">
        <v>3306</v>
      </c>
      <c r="F25" s="2559">
        <f ca="1">'数据-取费表'!B40</f>
        <v>3.4500000000000003E-2</v>
      </c>
      <c r="G25" s="741" t="str">
        <f>IF('数据-取费表'!B22&lt;=1,"单利计息。","复利计息。")&amp;"后续开发成本、管理费用及销售费用产生的利息。"</f>
        <v>复利计息。后续开发成本、管理费用及销售费用产生的利息。</v>
      </c>
      <c r="H25" s="2556"/>
      <c r="I25" s="2556"/>
      <c r="J25" s="2556"/>
      <c r="K25" s="2594"/>
    </row>
    <row r="26" spans="1:33" s="2511" customFormat="1" ht="13.5" customHeight="1">
      <c r="A26" s="2537" t="s">
        <v>2793</v>
      </c>
      <c r="B26" s="2560" t="s">
        <v>3309</v>
      </c>
      <c r="C26" s="2561">
        <f ca="1">ROUND(IF('数据-取费表'!B22&lt;=1,(1+C24)*F25*'数据-取费表'!B24,(1+C24)*(POWER((1+F25),'数据-取费表'!B24)-1)),4)</f>
        <v>0</v>
      </c>
      <c r="D26" s="2562"/>
      <c r="E26" s="2563"/>
      <c r="F26" s="2564"/>
      <c r="G26" s="2565" t="str">
        <f>IF('数据-取费表'!B22&lt;=1,"（(1)+取得税费率/(1+5%)）×年利率×建设期","（(1)+取得税费率）/(1+5%)×((1+年利率)^建设期-1)")</f>
        <v>（(1)+取得税费率）/(1+5%)×((1+年利率)^建设期-1)</v>
      </c>
      <c r="H26" s="856"/>
      <c r="I26" s="856"/>
      <c r="J26" s="856"/>
      <c r="K26" s="857"/>
    </row>
    <row r="27" spans="1:33" s="2511" customFormat="1" ht="13.5" customHeight="1">
      <c r="A27" s="2537" t="s">
        <v>2797</v>
      </c>
      <c r="B27" s="2560" t="s">
        <v>3310</v>
      </c>
      <c r="C27" s="2566">
        <f ca="1">ROUND(IF('数据-取费表'!B22&lt;=1,(C21+C22+C23)*F25*'数据-取费表'!B24/2,(C21+C22+C23)*(POWER((1+F25),'数据-取费表'!B24/2)-1)),0)</f>
        <v>0</v>
      </c>
      <c r="D27" s="2562"/>
      <c r="E27" s="2563"/>
      <c r="F27" s="2564"/>
      <c r="G27" s="2565" t="str">
        <f>IF('数据-取费表'!B22&lt;=1,"（1）-（3）项×年利率×建设期÷2","（1）-（3）项×((1+年利率)^(建设期÷2)-1)")</f>
        <v>（1）-（3）项×((1+年利率)^(建设期÷2)-1)</v>
      </c>
      <c r="H27" s="856"/>
      <c r="I27" s="856"/>
      <c r="J27" s="856"/>
      <c r="K27" s="857"/>
    </row>
    <row r="28" spans="1:33" s="2512" customFormat="1" ht="13.5" customHeight="1">
      <c r="A28" s="2526" t="s">
        <v>2827</v>
      </c>
      <c r="B28" s="2567" t="s">
        <v>3311</v>
      </c>
      <c r="C28" s="2568">
        <f ca="1">C30</f>
        <v>9</v>
      </c>
      <c r="D28" s="2555">
        <f ca="1">C29</f>
        <v>0</v>
      </c>
      <c r="E28" s="2558" t="s">
        <v>3306</v>
      </c>
      <c r="F28" s="2088">
        <f ca="1">IF(C1="",'数据-取费表'!Q16,INDIRECT("'数据-取费表'!q"&amp;$K$1))</f>
        <v>0.05</v>
      </c>
      <c r="G28" s="2569"/>
      <c r="H28" s="2556"/>
      <c r="I28" s="2556"/>
      <c r="J28" s="2556"/>
      <c r="K28" s="2594"/>
    </row>
    <row r="29" spans="1:33" s="2513" customFormat="1" ht="13.5" customHeight="1">
      <c r="A29" s="2537" t="s">
        <v>2793</v>
      </c>
      <c r="B29" s="2570" t="s">
        <v>3312</v>
      </c>
      <c r="C29" s="2562">
        <f ca="1">ROUND((1+C24)*F28*'数据-取费表'!B24/'数据-取费表'!B20,4)</f>
        <v>0</v>
      </c>
      <c r="D29" s="2562"/>
      <c r="E29" s="2563"/>
      <c r="F29" s="2571"/>
      <c r="G29" s="741" t="s">
        <v>3313</v>
      </c>
      <c r="H29" s="856"/>
      <c r="I29" s="856"/>
      <c r="J29" s="856"/>
      <c r="K29" s="857"/>
    </row>
    <row r="30" spans="1:33" s="2513" customFormat="1" ht="13.5" customHeight="1">
      <c r="A30" s="2537" t="s">
        <v>2797</v>
      </c>
      <c r="B30" s="2570" t="s">
        <v>3314</v>
      </c>
      <c r="C30" s="2572">
        <f ca="1">ROUND((C21+C22+C23)*F28,0)</f>
        <v>9</v>
      </c>
      <c r="D30" s="2562"/>
      <c r="E30" s="2563"/>
      <c r="F30" s="2571"/>
      <c r="G30" s="741"/>
      <c r="H30" s="856"/>
      <c r="I30" s="856"/>
      <c r="J30" s="856"/>
      <c r="K30" s="857"/>
    </row>
    <row r="31" spans="1:33" s="2509" customFormat="1" ht="13.5" customHeight="1">
      <c r="A31" s="2573" t="s">
        <v>3168</v>
      </c>
      <c r="B31" s="2574" t="s">
        <v>3315</v>
      </c>
      <c r="C31" s="2575">
        <f>ROUND(C4*F31/(1+'数据-取费表'!C42),0)</f>
        <v>0</v>
      </c>
      <c r="D31" s="2576"/>
      <c r="E31" s="2577"/>
      <c r="F31" s="2578">
        <f>'数据-取费表'!B41</f>
        <v>5.6000000000000001E-2</v>
      </c>
      <c r="G31" s="2579" t="s">
        <v>3316</v>
      </c>
      <c r="H31" s="2580"/>
      <c r="I31" s="2580"/>
      <c r="J31" s="2580"/>
      <c r="K31" s="2595"/>
    </row>
    <row r="32" spans="1:33" s="2508" customFormat="1" ht="13.5" customHeight="1">
      <c r="A32" s="1710" t="s">
        <v>3317</v>
      </c>
      <c r="B32" s="2581"/>
      <c r="C32" s="2582">
        <f ca="1">ROUND((C4-C21-C22-C23-C25-C28-C31)/(1+C24+D25+D28),0)</f>
        <v>-176</v>
      </c>
      <c r="D32" s="2581"/>
      <c r="E32" s="2581"/>
      <c r="F32" s="2581"/>
      <c r="G32" s="2583" t="s">
        <v>3318</v>
      </c>
      <c r="H32" s="2581"/>
      <c r="I32" s="2581"/>
      <c r="J32" s="2581"/>
      <c r="K32" s="2596"/>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topLeftCell="A7" zoomScale="80" zoomScaleNormal="70" workbookViewId="0">
      <selection activeCell="G35" sqref="G35"/>
    </sheetView>
  </sheetViews>
  <sheetFormatPr defaultColWidth="9" defaultRowHeight="13.8"/>
  <cols>
    <col min="1" max="1" width="10.44140625" style="1358" customWidth="1"/>
    <col min="2" max="2" width="15.77734375" style="1358" customWidth="1"/>
    <col min="3" max="3" width="14.33203125" style="1358" customWidth="1"/>
    <col min="4" max="4" width="12.21875" style="1358" customWidth="1"/>
    <col min="5" max="5" width="14.33203125" style="1358" customWidth="1"/>
    <col min="6" max="6" width="12.21875" style="1358" customWidth="1"/>
    <col min="7" max="7" width="14.44140625" style="1358" customWidth="1"/>
    <col min="8" max="8" width="12.21875" style="1358" customWidth="1"/>
    <col min="9" max="9" width="14.44140625" style="1358" customWidth="1"/>
    <col min="10" max="10" width="12.21875" style="1358" customWidth="1"/>
    <col min="11" max="11" width="12.21875" style="1359" customWidth="1"/>
    <col min="12" max="12" width="12.21875" style="1360" customWidth="1"/>
    <col min="13" max="15" width="12.21875" style="1358" customWidth="1"/>
    <col min="16" max="16" width="4.77734375" style="1358" customWidth="1"/>
    <col min="17" max="17" width="19.44140625" style="1358" customWidth="1"/>
    <col min="18" max="22" width="6.109375" style="1358" customWidth="1"/>
    <col min="23" max="23" width="5.77734375" style="1358" customWidth="1"/>
    <col min="24" max="24" width="4.21875" style="1358" customWidth="1"/>
    <col min="25" max="25" width="3.44140625" style="1358" customWidth="1"/>
    <col min="26" max="26" width="19.77734375" style="1358" customWidth="1"/>
    <col min="27" max="28" width="9.33203125" style="1358" customWidth="1"/>
    <col min="29" max="16384" width="9" style="1358"/>
  </cols>
  <sheetData>
    <row r="1" spans="1:29" s="1351" customFormat="1" ht="28.5" customHeight="1">
      <c r="A1" s="1362" t="s">
        <v>2859</v>
      </c>
      <c r="B1" s="2491" t="s">
        <v>414</v>
      </c>
      <c r="C1" s="2132" t="s">
        <v>2860</v>
      </c>
      <c r="D1" s="1365" t="s">
        <v>551</v>
      </c>
      <c r="E1" s="2133" t="s">
        <v>2861</v>
      </c>
      <c r="F1" s="1367" t="s">
        <v>2862</v>
      </c>
      <c r="G1" s="1368" t="s">
        <v>2863</v>
      </c>
      <c r="H1" s="1369"/>
      <c r="I1" s="1369"/>
      <c r="J1" s="1369"/>
      <c r="K1" s="1519"/>
      <c r="L1" s="1520"/>
      <c r="M1" s="1364"/>
      <c r="N1" s="1364"/>
      <c r="O1" s="1364"/>
      <c r="P1" s="2132"/>
      <c r="Q1" s="2132"/>
      <c r="R1" s="2132"/>
      <c r="S1" s="2132"/>
      <c r="T1" s="2132"/>
      <c r="U1" s="2132"/>
      <c r="V1" s="2132"/>
      <c r="W1" s="2132"/>
      <c r="X1" s="2132"/>
      <c r="Y1" s="2132"/>
      <c r="Z1" s="2132"/>
      <c r="AA1" s="2132"/>
      <c r="AB1" s="2132"/>
      <c r="AC1" s="2172"/>
    </row>
    <row r="2" spans="1:29" s="1352" customFormat="1" ht="28.5" customHeight="1">
      <c r="A2" s="1370" t="s">
        <v>2864</v>
      </c>
      <c r="B2" s="1371">
        <f>IF(E1="项目模式",IF(C2="——",ROUND(C37*D3/10000,0),ROUND(C37*D3/10000,0)-D2),IF(E1="单套模式",IF(C2="——",ROUND(C37*D3/10000,4),ROUND(C37*D3/10000,4)-D2)))</f>
        <v>18879</v>
      </c>
      <c r="C2" s="1372" t="s">
        <v>124</v>
      </c>
      <c r="D2" s="2111" t="e">
        <f ca="1">IF(E1="项目模式",SUMIF(INDIRECT("'"&amp;F2&amp;"'"&amp;"!A:A"),"承租人权益价值",INDIRECT("'"&amp;F2&amp;"'"&amp;"!c:c")),SUMIF(INDIRECT("'"&amp;F2&amp;"'"&amp;"!A:A"),"承租人权益价值（单套）",INDIRECT("'"&amp;F2&amp;"'"&amp;"!c:c")))</f>
        <v>#REF!</v>
      </c>
      <c r="E2" s="1374" t="s">
        <v>2865</v>
      </c>
      <c r="F2" s="1375"/>
      <c r="G2" s="1376"/>
      <c r="H2" s="1376"/>
      <c r="I2" s="1376"/>
      <c r="J2" s="1376"/>
      <c r="K2" s="1525"/>
      <c r="L2" s="1522"/>
      <c r="M2" s="1523"/>
      <c r="N2" s="1523"/>
      <c r="O2" s="1523"/>
      <c r="P2" s="2066"/>
      <c r="Q2" s="2066"/>
      <c r="R2" s="2066"/>
      <c r="S2" s="2066"/>
      <c r="T2" s="2066"/>
      <c r="U2" s="2066"/>
      <c r="V2" s="2066"/>
      <c r="W2" s="2066"/>
      <c r="X2" s="2066"/>
      <c r="Y2" s="2066"/>
      <c r="Z2" s="2066"/>
      <c r="AA2" s="2066"/>
      <c r="AB2" s="2066"/>
      <c r="AC2" s="2082"/>
    </row>
    <row r="3" spans="1:29" s="1352" customFormat="1" ht="28.5" customHeight="1">
      <c r="A3" s="380" t="s">
        <v>2866</v>
      </c>
      <c r="B3" s="1377">
        <f>IF(C2="——",C37,ROUND(B2*10000/D3,0))</f>
        <v>29451</v>
      </c>
      <c r="C3" s="1378" t="s">
        <v>2867</v>
      </c>
      <c r="D3" s="1379">
        <f>SUMIF('数据-汇总表'!$C19:$C33,D1,'数据-汇总表'!$E19:$E33)</f>
        <v>6410.4</v>
      </c>
      <c r="E3" s="1376"/>
      <c r="F3" s="1381"/>
      <c r="G3" s="1376"/>
      <c r="H3" s="1376"/>
      <c r="I3" s="1376"/>
      <c r="J3" s="1376"/>
      <c r="K3" s="1525"/>
      <c r="L3" s="1522"/>
      <c r="M3" s="1523"/>
      <c r="N3" s="1523"/>
      <c r="O3" s="1523"/>
      <c r="P3" s="2066"/>
      <c r="Q3" s="2066"/>
      <c r="R3" s="2066"/>
      <c r="S3" s="2066"/>
      <c r="T3" s="2066"/>
      <c r="U3" s="2066"/>
      <c r="V3" s="2066"/>
      <c r="W3" s="2066"/>
      <c r="X3" s="2066"/>
      <c r="Y3" s="2066"/>
      <c r="Z3" s="2066"/>
      <c r="AA3" s="2066"/>
      <c r="AB3" s="2083"/>
      <c r="AC3" s="670"/>
    </row>
    <row r="4" spans="1:29" ht="14.4">
      <c r="A4" s="1382" t="s">
        <v>2869</v>
      </c>
      <c r="B4" s="1383"/>
      <c r="C4" s="3681" t="s">
        <v>2870</v>
      </c>
      <c r="D4" s="3682"/>
      <c r="E4" s="3683" t="s">
        <v>2871</v>
      </c>
      <c r="F4" s="3684"/>
      <c r="G4" s="3681" t="s">
        <v>2872</v>
      </c>
      <c r="H4" s="3682"/>
      <c r="I4" s="3681" t="s">
        <v>2873</v>
      </c>
      <c r="J4" s="3682"/>
      <c r="K4" s="1526" t="s">
        <v>2874</v>
      </c>
      <c r="L4" s="1527"/>
      <c r="M4" s="1528"/>
      <c r="N4" s="1528"/>
      <c r="O4" s="1528"/>
      <c r="P4" s="3652" t="s">
        <v>2875</v>
      </c>
      <c r="Q4" s="3653"/>
      <c r="R4" s="3658" t="s">
        <v>2871</v>
      </c>
      <c r="S4" s="3659"/>
      <c r="T4" s="3658" t="s">
        <v>2872</v>
      </c>
      <c r="U4" s="3659"/>
      <c r="V4" s="3664" t="s">
        <v>2873</v>
      </c>
      <c r="W4" s="3664"/>
      <c r="X4" s="1575"/>
      <c r="Y4" s="3658" t="s">
        <v>2875</v>
      </c>
      <c r="Z4" s="3659"/>
      <c r="AA4" s="3649" t="s">
        <v>2871</v>
      </c>
      <c r="AB4" s="3650" t="s">
        <v>2872</v>
      </c>
      <c r="AC4" s="3649" t="s">
        <v>2873</v>
      </c>
    </row>
    <row r="5" spans="1:29">
      <c r="A5" s="1384"/>
      <c r="B5" s="1385"/>
      <c r="C5" s="3685" t="s">
        <v>2876</v>
      </c>
      <c r="D5" s="3686"/>
      <c r="E5" s="3687" t="s">
        <v>3319</v>
      </c>
      <c r="F5" s="3688"/>
      <c r="G5" s="3689" t="s">
        <v>3320</v>
      </c>
      <c r="H5" s="3686"/>
      <c r="I5" s="3689" t="s">
        <v>2879</v>
      </c>
      <c r="J5" s="3686"/>
      <c r="K5" s="1526"/>
      <c r="L5" s="1527"/>
      <c r="M5" s="1528"/>
      <c r="N5" s="1528"/>
      <c r="O5" s="1528"/>
      <c r="P5" s="3654"/>
      <c r="Q5" s="3655"/>
      <c r="R5" s="3660"/>
      <c r="S5" s="3661"/>
      <c r="T5" s="3660"/>
      <c r="U5" s="3661"/>
      <c r="V5" s="3664"/>
      <c r="W5" s="3664"/>
      <c r="X5" s="1575"/>
      <c r="Y5" s="3660"/>
      <c r="Z5" s="3661"/>
      <c r="AA5" s="3650"/>
      <c r="AB5" s="3650"/>
      <c r="AC5" s="3650"/>
    </row>
    <row r="6" spans="1:29" ht="14.4">
      <c r="A6" s="1386"/>
      <c r="B6" s="1387"/>
      <c r="C6" s="3676" t="s">
        <v>2880</v>
      </c>
      <c r="D6" s="3677"/>
      <c r="E6" s="3678" t="s">
        <v>2880</v>
      </c>
      <c r="F6" s="3679"/>
      <c r="G6" s="3676" t="s">
        <v>2880</v>
      </c>
      <c r="H6" s="3677"/>
      <c r="I6" s="3676" t="s">
        <v>2880</v>
      </c>
      <c r="J6" s="3677"/>
      <c r="K6" s="1526" t="s">
        <v>2881</v>
      </c>
      <c r="L6" s="1527"/>
      <c r="M6" s="1528"/>
      <c r="N6" s="1528"/>
      <c r="O6" s="1528"/>
      <c r="P6" s="3656"/>
      <c r="Q6" s="3657"/>
      <c r="R6" s="3660"/>
      <c r="S6" s="3661"/>
      <c r="T6" s="3662"/>
      <c r="U6" s="3663"/>
      <c r="V6" s="3664"/>
      <c r="W6" s="3664"/>
      <c r="X6" s="1575"/>
      <c r="Y6" s="3662"/>
      <c r="Z6" s="3663"/>
      <c r="AA6" s="3651"/>
      <c r="AB6" s="3651"/>
      <c r="AC6" s="3651"/>
    </row>
    <row r="7" spans="1:29" s="1353" customFormat="1" ht="14.4">
      <c r="A7" s="1388" t="s">
        <v>2882</v>
      </c>
      <c r="B7" s="1389"/>
      <c r="C7" s="1390">
        <f>'数据-取费表'!B2</f>
        <v>45311</v>
      </c>
      <c r="D7" s="1391">
        <v>100</v>
      </c>
      <c r="E7" s="1392">
        <f>C7</f>
        <v>45311</v>
      </c>
      <c r="F7" s="1393">
        <f>SUMIF(46:46,YEAR(E7)&amp;"-"&amp;MONTH(E7),47:47)</f>
        <v>100</v>
      </c>
      <c r="G7" s="1990">
        <f>C7</f>
        <v>45311</v>
      </c>
      <c r="H7" s="1391">
        <f>SUMIF(46:46,YEAR(G7)&amp;"-"&amp;MONTH(G7),47:47)</f>
        <v>100</v>
      </c>
      <c r="I7" s="1392">
        <f>C7</f>
        <v>45311</v>
      </c>
      <c r="J7" s="1391">
        <f>SUMIF(46:46,YEAR(I7)&amp;"-"&amp;MONTH(I7),47:47)</f>
        <v>100</v>
      </c>
      <c r="K7" s="1529"/>
      <c r="L7" s="1530"/>
      <c r="M7" s="1531"/>
      <c r="N7" s="1531"/>
      <c r="O7" s="1531"/>
      <c r="P7" s="3670" t="s">
        <v>2883</v>
      </c>
      <c r="Q7" s="3680"/>
      <c r="R7" s="1576" t="s">
        <v>2884</v>
      </c>
      <c r="S7" s="1577">
        <f t="shared" ref="S7:S14" si="0">F7</f>
        <v>100</v>
      </c>
      <c r="T7" s="1576" t="s">
        <v>2884</v>
      </c>
      <c r="U7" s="1577">
        <f t="shared" ref="U7:U14" si="1">H7</f>
        <v>100</v>
      </c>
      <c r="V7" s="1576" t="s">
        <v>2884</v>
      </c>
      <c r="W7" s="1577">
        <f t="shared" ref="W7:W14" si="2">J7</f>
        <v>100</v>
      </c>
      <c r="X7" s="1578"/>
      <c r="Y7" s="3670" t="s">
        <v>2883</v>
      </c>
      <c r="Z7" s="3671"/>
      <c r="AA7" s="1593">
        <f>D7/F7</f>
        <v>1</v>
      </c>
      <c r="AB7" s="1593">
        <f>D7/H7</f>
        <v>1</v>
      </c>
      <c r="AC7" s="1593">
        <f>D7/J7</f>
        <v>1</v>
      </c>
    </row>
    <row r="8" spans="1:29" s="1353" customFormat="1" ht="14.4">
      <c r="A8" s="1388" t="s">
        <v>2885</v>
      </c>
      <c r="B8" s="1389"/>
      <c r="C8" s="1394" t="s">
        <v>2886</v>
      </c>
      <c r="D8" s="1391">
        <v>100</v>
      </c>
      <c r="E8" s="1394" t="s">
        <v>2886</v>
      </c>
      <c r="F8" s="1393">
        <f>SUMIF(49:49,E8,50:50)-SUMIF(49:49,C8,50:50)+100</f>
        <v>100</v>
      </c>
      <c r="G8" s="1394" t="s">
        <v>2886</v>
      </c>
      <c r="H8" s="1391">
        <f>SUMIF(49:49,G8,50:50)-SUMIF(49:49,C8,50:50)+100</f>
        <v>100</v>
      </c>
      <c r="I8" s="1394" t="s">
        <v>2886</v>
      </c>
      <c r="J8" s="1391">
        <f>SUMIF(49:49,I8,50:50)-SUMIF(49:49,C8,50:50)+100</f>
        <v>100</v>
      </c>
      <c r="K8" s="1529"/>
      <c r="L8" s="1530"/>
      <c r="M8" s="1531"/>
      <c r="N8" s="1531"/>
      <c r="O8" s="1531"/>
      <c r="P8" s="3670" t="s">
        <v>2887</v>
      </c>
      <c r="Q8" s="3671"/>
      <c r="R8" s="1576" t="s">
        <v>2884</v>
      </c>
      <c r="S8" s="1577">
        <f t="shared" si="0"/>
        <v>100</v>
      </c>
      <c r="T8" s="1576" t="s">
        <v>2884</v>
      </c>
      <c r="U8" s="1577">
        <f t="shared" si="1"/>
        <v>100</v>
      </c>
      <c r="V8" s="1576" t="s">
        <v>2884</v>
      </c>
      <c r="W8" s="1577">
        <f t="shared" si="2"/>
        <v>100</v>
      </c>
      <c r="X8" s="1578"/>
      <c r="Y8" s="3670" t="s">
        <v>2887</v>
      </c>
      <c r="Z8" s="3671"/>
      <c r="AA8" s="1593">
        <f t="shared" ref="AA8:AA34" si="3">D8/F8</f>
        <v>1</v>
      </c>
      <c r="AB8" s="1593">
        <f t="shared" ref="AB8:AB34" si="4">D8/H8</f>
        <v>1</v>
      </c>
      <c r="AC8" s="1593">
        <f t="shared" ref="AC8:AC34" si="5">D8/J8</f>
        <v>1</v>
      </c>
    </row>
    <row r="9" spans="1:29" s="1353" customFormat="1" ht="14.4">
      <c r="A9" s="1395" t="s">
        <v>2888</v>
      </c>
      <c r="B9" s="1396" t="s">
        <v>2889</v>
      </c>
      <c r="C9" s="1397" t="s">
        <v>551</v>
      </c>
      <c r="D9" s="1398">
        <v>100</v>
      </c>
      <c r="E9" s="2135" t="s">
        <v>551</v>
      </c>
      <c r="F9" s="1400">
        <f>SUMIF(51:51,E9,52:52)-SUMIF(51:51,C9,52:52)+100</f>
        <v>100</v>
      </c>
      <c r="G9" s="2135" t="s">
        <v>551</v>
      </c>
      <c r="H9" s="1398">
        <f>SUMIF(51:51,G9,52:52)-SUMIF(51:51,C9,52:52)+100</f>
        <v>100</v>
      </c>
      <c r="I9" s="2135" t="s">
        <v>551</v>
      </c>
      <c r="J9" s="1398">
        <f>SUMIF(51:51,I9,52:52)-SUMIF(51:51,C9,52:52)+100</f>
        <v>100</v>
      </c>
      <c r="K9" s="1529"/>
      <c r="L9" s="1530"/>
      <c r="M9" s="1531"/>
      <c r="N9" s="1531"/>
      <c r="O9" s="2067"/>
      <c r="P9" s="3665" t="s">
        <v>2891</v>
      </c>
      <c r="Q9" s="1580" t="str">
        <f t="shared" ref="Q9:Q14" si="6">B9</f>
        <v>用途</v>
      </c>
      <c r="R9" s="1576" t="s">
        <v>2884</v>
      </c>
      <c r="S9" s="1577">
        <f t="shared" si="0"/>
        <v>100</v>
      </c>
      <c r="T9" s="1576" t="s">
        <v>2884</v>
      </c>
      <c r="U9" s="1577">
        <f t="shared" si="1"/>
        <v>100</v>
      </c>
      <c r="V9" s="1576" t="s">
        <v>2884</v>
      </c>
      <c r="W9" s="1577">
        <f t="shared" si="2"/>
        <v>100</v>
      </c>
      <c r="X9" s="1578"/>
      <c r="Y9" s="3573" t="s">
        <v>2892</v>
      </c>
      <c r="Z9" s="1594" t="str">
        <f t="shared" ref="Z9:Z14" si="7">Q9</f>
        <v>用途</v>
      </c>
      <c r="AA9" s="1593">
        <f t="shared" si="3"/>
        <v>1</v>
      </c>
      <c r="AB9" s="1593">
        <f t="shared" si="4"/>
        <v>1</v>
      </c>
      <c r="AC9" s="1593">
        <f t="shared" si="5"/>
        <v>1</v>
      </c>
    </row>
    <row r="10" spans="1:29" s="1354" customFormat="1" ht="28.8">
      <c r="A10" s="1401"/>
      <c r="B10" s="1402" t="s">
        <v>2893</v>
      </c>
      <c r="C10" s="1403" t="s">
        <v>2894</v>
      </c>
      <c r="D10" s="1404">
        <v>100</v>
      </c>
      <c r="E10" s="1403" t="s">
        <v>2894</v>
      </c>
      <c r="F10" s="1405">
        <f>SUMIF(53:53,E10,54:54)-SUMIF(53:53,C10,54:54)+100</f>
        <v>100</v>
      </c>
      <c r="G10" s="1403" t="s">
        <v>2894</v>
      </c>
      <c r="H10" s="1404">
        <f>SUMIF(53:53,G10,54:54)-SUMIF(53:53,C10,54:54)+100</f>
        <v>100</v>
      </c>
      <c r="I10" s="1403" t="s">
        <v>2894</v>
      </c>
      <c r="J10" s="1404">
        <f>SUMIF(53:53,I10,54:54)-SUMIF(53:53,C10,54:54)+100</f>
        <v>100</v>
      </c>
      <c r="K10" s="1529"/>
      <c r="L10" s="1532"/>
      <c r="M10" s="1533"/>
      <c r="N10" s="1533"/>
      <c r="O10" s="2069"/>
      <c r="P10" s="3665"/>
      <c r="Q10" s="1580" t="str">
        <f t="shared" si="6"/>
        <v>土地使用年限（年）</v>
      </c>
      <c r="R10" s="1576" t="s">
        <v>2884</v>
      </c>
      <c r="S10" s="1577">
        <f t="shared" si="0"/>
        <v>100</v>
      </c>
      <c r="T10" s="1576" t="s">
        <v>2884</v>
      </c>
      <c r="U10" s="1577">
        <f t="shared" si="1"/>
        <v>100</v>
      </c>
      <c r="V10" s="1576" t="s">
        <v>2884</v>
      </c>
      <c r="W10" s="1577">
        <f t="shared" si="2"/>
        <v>100</v>
      </c>
      <c r="X10" s="1578"/>
      <c r="Y10" s="3573"/>
      <c r="Z10" s="1594" t="str">
        <f t="shared" si="7"/>
        <v>土地使用年限（年）</v>
      </c>
      <c r="AA10" s="1593">
        <f t="shared" si="3"/>
        <v>1</v>
      </c>
      <c r="AB10" s="1593">
        <f t="shared" si="4"/>
        <v>1</v>
      </c>
      <c r="AC10" s="1593">
        <f t="shared" si="5"/>
        <v>1</v>
      </c>
    </row>
    <row r="11" spans="1:29" ht="15">
      <c r="A11" s="1406"/>
      <c r="B11" s="1410">
        <v>111</v>
      </c>
      <c r="C11" s="1411"/>
      <c r="D11" s="1404">
        <v>100</v>
      </c>
      <c r="E11" s="1457"/>
      <c r="F11" s="1405">
        <f>SUMIF(55:55,E11,56:56)-SUMIF(55:55,C11,56:56)+100</f>
        <v>100</v>
      </c>
      <c r="G11" s="1457"/>
      <c r="H11" s="1404">
        <f>SUMIF(55:55,G11,56:56)-SUMIF(55:55,C11,56:56)+100</f>
        <v>100</v>
      </c>
      <c r="I11" s="1457"/>
      <c r="J11" s="1404">
        <f>SUMIF(55:55,I11,56:56)-SUMIF(55:55,C11,56:56)+100</f>
        <v>100</v>
      </c>
      <c r="K11" s="1536"/>
      <c r="L11" s="1535"/>
      <c r="M11" s="1528"/>
      <c r="N11" s="1528"/>
      <c r="O11" s="2071"/>
      <c r="P11" s="3665"/>
      <c r="Q11" s="1580">
        <f t="shared" si="6"/>
        <v>111</v>
      </c>
      <c r="R11" s="1576" t="s">
        <v>2884</v>
      </c>
      <c r="S11" s="1577">
        <f t="shared" si="0"/>
        <v>100</v>
      </c>
      <c r="T11" s="1576" t="s">
        <v>2884</v>
      </c>
      <c r="U11" s="1577">
        <f t="shared" si="1"/>
        <v>100</v>
      </c>
      <c r="V11" s="1576" t="s">
        <v>2884</v>
      </c>
      <c r="W11" s="1577">
        <f t="shared" si="2"/>
        <v>100</v>
      </c>
      <c r="X11" s="1578"/>
      <c r="Y11" s="3573"/>
      <c r="Z11" s="1594">
        <f t="shared" si="7"/>
        <v>111</v>
      </c>
      <c r="AA11" s="1593">
        <f t="shared" si="3"/>
        <v>1</v>
      </c>
      <c r="AB11" s="1593">
        <f t="shared" si="4"/>
        <v>1</v>
      </c>
      <c r="AC11" s="1593">
        <f t="shared" si="5"/>
        <v>1</v>
      </c>
    </row>
    <row r="12" spans="1:29" s="1353" customFormat="1" ht="15">
      <c r="A12" s="1409"/>
      <c r="B12" s="1410">
        <v>111</v>
      </c>
      <c r="C12" s="1411"/>
      <c r="D12" s="1412">
        <v>100</v>
      </c>
      <c r="E12" s="1457"/>
      <c r="F12" s="1405">
        <f>SUMIF(57:57,E12,58:58)-SUMIF(57:57,C12,58:58)+100</f>
        <v>100</v>
      </c>
      <c r="G12" s="1457"/>
      <c r="H12" s="1404">
        <f>SUMIF(57:57,G12,58:58)-SUMIF(57:57,C12,58:58)+100</f>
        <v>100</v>
      </c>
      <c r="I12" s="1457"/>
      <c r="J12" s="1404">
        <f>SUMIF(57:57,I12,58:58)-SUMIF(57:57,C12,58:58)+100</f>
        <v>100</v>
      </c>
      <c r="K12" s="1536"/>
      <c r="L12" s="1530"/>
      <c r="M12" s="1531"/>
      <c r="N12" s="1531"/>
      <c r="O12" s="2067"/>
      <c r="P12" s="3665"/>
      <c r="Q12" s="1580">
        <f t="shared" si="6"/>
        <v>111</v>
      </c>
      <c r="R12" s="1576" t="s">
        <v>2884</v>
      </c>
      <c r="S12" s="1577">
        <f t="shared" si="0"/>
        <v>100</v>
      </c>
      <c r="T12" s="1576" t="s">
        <v>2884</v>
      </c>
      <c r="U12" s="1577">
        <f t="shared" si="1"/>
        <v>100</v>
      </c>
      <c r="V12" s="1576" t="s">
        <v>2884</v>
      </c>
      <c r="W12" s="1577">
        <f t="shared" si="2"/>
        <v>100</v>
      </c>
      <c r="X12" s="1578"/>
      <c r="Y12" s="3573"/>
      <c r="Z12" s="1594">
        <f t="shared" si="7"/>
        <v>111</v>
      </c>
      <c r="AA12" s="1593">
        <f t="shared" si="3"/>
        <v>1</v>
      </c>
      <c r="AB12" s="1593">
        <f t="shared" si="4"/>
        <v>1</v>
      </c>
      <c r="AC12" s="1593">
        <f t="shared" si="5"/>
        <v>1</v>
      </c>
    </row>
    <row r="13" spans="1:29" ht="15">
      <c r="A13" s="1406"/>
      <c r="B13" s="1410">
        <v>111</v>
      </c>
      <c r="C13" s="1413"/>
      <c r="D13" s="1414">
        <v>100</v>
      </c>
      <c r="E13" s="1457"/>
      <c r="F13" s="1405">
        <f>SUMIF(59:59,E13,60:60)-SUMIF(59:59,C13,60:60)+100</f>
        <v>100</v>
      </c>
      <c r="G13" s="2492"/>
      <c r="H13" s="1418">
        <f>SUMIF(59:59,G13,60:60)-SUMIF(59:59,C13,60:60)+100</f>
        <v>100</v>
      </c>
      <c r="I13" s="1457"/>
      <c r="J13" s="1414">
        <f>SUMIF(59:59,I13,60:60)-SUMIF(59:59,C13,60:60)+100</f>
        <v>100</v>
      </c>
      <c r="K13" s="1536"/>
      <c r="L13" s="1537"/>
      <c r="M13" s="1528"/>
      <c r="N13" s="1528"/>
      <c r="O13" s="2071"/>
      <c r="P13" s="3665"/>
      <c r="Q13" s="1580">
        <f t="shared" si="6"/>
        <v>111</v>
      </c>
      <c r="R13" s="1576" t="s">
        <v>2884</v>
      </c>
      <c r="S13" s="1577">
        <f t="shared" si="0"/>
        <v>100</v>
      </c>
      <c r="T13" s="1576" t="s">
        <v>2884</v>
      </c>
      <c r="U13" s="1577">
        <f t="shared" si="1"/>
        <v>100</v>
      </c>
      <c r="V13" s="1576" t="s">
        <v>2884</v>
      </c>
      <c r="W13" s="1577">
        <f t="shared" si="2"/>
        <v>100</v>
      </c>
      <c r="X13" s="1578"/>
      <c r="Y13" s="3573"/>
      <c r="Z13" s="1594">
        <f t="shared" si="7"/>
        <v>111</v>
      </c>
      <c r="AA13" s="1593">
        <f t="shared" si="3"/>
        <v>1</v>
      </c>
      <c r="AB13" s="1593">
        <f t="shared" si="4"/>
        <v>1</v>
      </c>
      <c r="AC13" s="1593">
        <f t="shared" si="5"/>
        <v>1</v>
      </c>
    </row>
    <row r="14" spans="1:29" ht="96.6">
      <c r="A14" s="1420" t="s">
        <v>2895</v>
      </c>
      <c r="B14" s="1421" t="s">
        <v>2896</v>
      </c>
      <c r="C14" s="1994" t="str">
        <f>IF(B1="工业",估价对象房地状况!G4,估价对象房地状况!C6)</f>
        <v>估价对象周边道路状况、公共交通通达情况、停车便捷程度，综合评价交通便捷度较好</v>
      </c>
      <c r="D14" s="1423">
        <v>100</v>
      </c>
      <c r="E14" s="1424"/>
      <c r="F14" s="1425">
        <f>SUMIF(61:61,E15,62:62)-SUMIF(61:61,C15,62:62)+100</f>
        <v>100</v>
      </c>
      <c r="G14" s="1426"/>
      <c r="H14" s="1423">
        <f>SUMIF(61:61,G15,62:62)-SUMIF(61:61,C15,62:62)+100</f>
        <v>100</v>
      </c>
      <c r="I14" s="1424"/>
      <c r="J14" s="1423">
        <f>SUMIF(61:61,I15,62:62)-SUMIF(61:61,C15,62:62)+100</f>
        <v>100</v>
      </c>
      <c r="K14" s="1538">
        <v>3</v>
      </c>
      <c r="L14" s="1537"/>
      <c r="M14" s="1528"/>
      <c r="N14" s="1528"/>
      <c r="O14" s="2071"/>
      <c r="P14" s="3672" t="s">
        <v>2897</v>
      </c>
      <c r="Q14" s="1076" t="str">
        <f t="shared" si="6"/>
        <v>交通便捷度</v>
      </c>
      <c r="R14" s="1581" t="s">
        <v>2884</v>
      </c>
      <c r="S14" s="1582">
        <f t="shared" si="0"/>
        <v>100</v>
      </c>
      <c r="T14" s="1581" t="s">
        <v>2884</v>
      </c>
      <c r="U14" s="1582">
        <f t="shared" si="1"/>
        <v>100</v>
      </c>
      <c r="V14" s="1581" t="s">
        <v>2884</v>
      </c>
      <c r="W14" s="1582">
        <f t="shared" si="2"/>
        <v>100</v>
      </c>
      <c r="X14" s="1575"/>
      <c r="Y14" s="3672" t="s">
        <v>2897</v>
      </c>
      <c r="Z14" s="1574" t="str">
        <f t="shared" si="7"/>
        <v>交通便捷度</v>
      </c>
      <c r="AA14" s="1587">
        <f t="shared" si="3"/>
        <v>1</v>
      </c>
      <c r="AB14" s="1587">
        <f t="shared" si="4"/>
        <v>1</v>
      </c>
      <c r="AC14" s="1587">
        <f t="shared" si="5"/>
        <v>1</v>
      </c>
    </row>
    <row r="15" spans="1:29" ht="15">
      <c r="A15" s="1406"/>
      <c r="B15" s="1427"/>
      <c r="C15" s="1428" t="s">
        <v>2898</v>
      </c>
      <c r="D15" s="1429"/>
      <c r="E15" s="1428" t="s">
        <v>2898</v>
      </c>
      <c r="F15" s="1430"/>
      <c r="G15" s="1428" t="s">
        <v>2898</v>
      </c>
      <c r="H15" s="1431"/>
      <c r="I15" s="1428" t="s">
        <v>2898</v>
      </c>
      <c r="J15" s="1429"/>
      <c r="K15" s="1539"/>
      <c r="L15" s="1537"/>
      <c r="M15" s="1528"/>
      <c r="N15" s="1528"/>
      <c r="O15" s="2071"/>
      <c r="P15" s="3673"/>
      <c r="Q15" s="1076"/>
      <c r="R15" s="1581"/>
      <c r="S15" s="1582"/>
      <c r="T15" s="1581"/>
      <c r="U15" s="1582"/>
      <c r="V15" s="1581"/>
      <c r="W15" s="1582"/>
      <c r="X15" s="1575"/>
      <c r="Y15" s="3673"/>
      <c r="Z15" s="1574"/>
      <c r="AA15" s="1587">
        <v>1</v>
      </c>
      <c r="AB15" s="1587">
        <v>1</v>
      </c>
      <c r="AC15" s="1587">
        <v>1</v>
      </c>
    </row>
    <row r="16" spans="1:29" ht="41.4">
      <c r="A16" s="1406"/>
      <c r="B16" s="1432" t="s">
        <v>2899</v>
      </c>
      <c r="C16" s="1433" t="str">
        <f>IF(B1="工业",估价对象房地状况!G5,估价对象房地状况!C7)</f>
        <v>估价对象所在区域公共配套设施齐备情况</v>
      </c>
      <c r="D16" s="1437">
        <v>100</v>
      </c>
      <c r="E16" s="1442"/>
      <c r="F16" s="1443">
        <f>SUMIF(63:63,E17,64:64)-SUMIF(63:63,C17,64:64)+100</f>
        <v>100</v>
      </c>
      <c r="G16" s="1444"/>
      <c r="H16" s="1437">
        <f>SUMIF(63:63,G17,64:64)-SUMIF(63:63,C17,64:64)+100</f>
        <v>100</v>
      </c>
      <c r="I16" s="1442"/>
      <c r="J16" s="1437">
        <f>SUMIF(63:63,I17,64:64)-SUMIF(63:63,C17,64:64)+100</f>
        <v>100</v>
      </c>
      <c r="K16" s="1538">
        <v>2</v>
      </c>
      <c r="L16" s="1537"/>
      <c r="M16" s="1528"/>
      <c r="N16" s="1528"/>
      <c r="O16" s="2071"/>
      <c r="P16" s="3673"/>
      <c r="Q16" s="1076" t="str">
        <f>B16</f>
        <v>公共配套设施</v>
      </c>
      <c r="R16" s="1581" t="s">
        <v>2884</v>
      </c>
      <c r="S16" s="1582">
        <f>F16</f>
        <v>100</v>
      </c>
      <c r="T16" s="1581" t="s">
        <v>2884</v>
      </c>
      <c r="U16" s="1582">
        <f>H16</f>
        <v>100</v>
      </c>
      <c r="V16" s="1581" t="s">
        <v>2884</v>
      </c>
      <c r="W16" s="1582">
        <f>J16</f>
        <v>100</v>
      </c>
      <c r="X16" s="1575"/>
      <c r="Y16" s="3673"/>
      <c r="Z16" s="1574" t="str">
        <f>Q16</f>
        <v>公共配套设施</v>
      </c>
      <c r="AA16" s="1587">
        <f t="shared" si="3"/>
        <v>1</v>
      </c>
      <c r="AB16" s="1587">
        <f t="shared" si="4"/>
        <v>1</v>
      </c>
      <c r="AC16" s="1587">
        <f t="shared" si="5"/>
        <v>1</v>
      </c>
    </row>
    <row r="17" spans="1:29" ht="15">
      <c r="A17" s="1406"/>
      <c r="B17" s="1438"/>
      <c r="C17" s="1439" t="s">
        <v>2900</v>
      </c>
      <c r="D17" s="1429"/>
      <c r="E17" s="1428" t="s">
        <v>2900</v>
      </c>
      <c r="F17" s="1430"/>
      <c r="G17" s="1439" t="s">
        <v>2900</v>
      </c>
      <c r="H17" s="1429"/>
      <c r="I17" s="1439" t="s">
        <v>2900</v>
      </c>
      <c r="J17" s="1429"/>
      <c r="K17" s="1539"/>
      <c r="L17" s="1537"/>
      <c r="M17" s="1528"/>
      <c r="N17" s="1528"/>
      <c r="O17" s="2071"/>
      <c r="P17" s="3673"/>
      <c r="Q17" s="1076"/>
      <c r="R17" s="1581"/>
      <c r="S17" s="1582"/>
      <c r="T17" s="1581"/>
      <c r="U17" s="1582"/>
      <c r="V17" s="1581"/>
      <c r="W17" s="1582"/>
      <c r="X17" s="1575"/>
      <c r="Y17" s="3673"/>
      <c r="Z17" s="1574"/>
      <c r="AA17" s="1587">
        <v>1</v>
      </c>
      <c r="AB17" s="1587">
        <v>1</v>
      </c>
      <c r="AC17" s="1587">
        <v>1</v>
      </c>
    </row>
    <row r="18" spans="1:29" ht="41.4">
      <c r="A18" s="1406"/>
      <c r="B18" s="1447" t="s">
        <v>2901</v>
      </c>
      <c r="C18" s="1433" t="str">
        <f>IF(B1="工业",估价对象房地状况!G6,估价对象房地状况!C8)</f>
        <v>估价对象所在区域基础设施水平</v>
      </c>
      <c r="D18" s="1437">
        <v>100</v>
      </c>
      <c r="E18" s="1434"/>
      <c r="F18" s="1443">
        <f>SUMIF(65:65,E19,66:66)-SUMIF(65:65,C19,66:66)+100</f>
        <v>100</v>
      </c>
      <c r="G18" s="1436"/>
      <c r="H18" s="1437">
        <f>SUMIF(65:65,G19,66:66)-SUMIF(65:65,C19,66:66)+100</f>
        <v>100</v>
      </c>
      <c r="I18" s="1442"/>
      <c r="J18" s="1437">
        <f>SUMIF(65:65,I19,66:66)-SUMIF(65:65,C19,66:66)+100</f>
        <v>100</v>
      </c>
      <c r="K18" s="1538">
        <v>1</v>
      </c>
      <c r="L18" s="1537"/>
      <c r="M18" s="1528"/>
      <c r="N18" s="1528"/>
      <c r="O18" s="2071"/>
      <c r="P18" s="3673"/>
      <c r="Q18" s="1076" t="str">
        <f>B18</f>
        <v>基础设施水平</v>
      </c>
      <c r="R18" s="1581" t="s">
        <v>2884</v>
      </c>
      <c r="S18" s="1582">
        <f>F18</f>
        <v>100</v>
      </c>
      <c r="T18" s="1581" t="s">
        <v>2884</v>
      </c>
      <c r="U18" s="1582">
        <f>H18</f>
        <v>100</v>
      </c>
      <c r="V18" s="1581" t="s">
        <v>2884</v>
      </c>
      <c r="W18" s="1582">
        <f>J18</f>
        <v>100</v>
      </c>
      <c r="X18" s="1575"/>
      <c r="Y18" s="3673"/>
      <c r="Z18" s="1574" t="str">
        <f>Q18</f>
        <v>基础设施水平</v>
      </c>
      <c r="AA18" s="1587">
        <f t="shared" ref="AA18" si="8">D18/F18</f>
        <v>1</v>
      </c>
      <c r="AB18" s="1587">
        <f t="shared" ref="AB18" si="9">D18/H18</f>
        <v>1</v>
      </c>
      <c r="AC18" s="1587">
        <f t="shared" ref="AC18" si="10">D18/J18</f>
        <v>1</v>
      </c>
    </row>
    <row r="19" spans="1:29" ht="15">
      <c r="A19" s="1406"/>
      <c r="B19" s="1447"/>
      <c r="C19" s="1439" t="s">
        <v>236</v>
      </c>
      <c r="D19" s="1431"/>
      <c r="E19" s="1439" t="s">
        <v>236</v>
      </c>
      <c r="F19" s="1435"/>
      <c r="G19" s="1439" t="s">
        <v>236</v>
      </c>
      <c r="H19" s="1429"/>
      <c r="I19" s="1439" t="s">
        <v>236</v>
      </c>
      <c r="J19" s="1429"/>
      <c r="K19" s="1540"/>
      <c r="L19" s="1537"/>
      <c r="M19" s="1528"/>
      <c r="N19" s="1528"/>
      <c r="O19" s="2071"/>
      <c r="P19" s="3673"/>
      <c r="Q19" s="1076"/>
      <c r="R19" s="1581"/>
      <c r="S19" s="1582"/>
      <c r="T19" s="1581"/>
      <c r="U19" s="1582"/>
      <c r="V19" s="1581"/>
      <c r="W19" s="1582"/>
      <c r="X19" s="1575"/>
      <c r="Y19" s="3673"/>
      <c r="Z19" s="1574"/>
      <c r="AA19" s="1587">
        <v>1</v>
      </c>
      <c r="AB19" s="1587">
        <v>1</v>
      </c>
      <c r="AC19" s="1587">
        <v>1</v>
      </c>
    </row>
    <row r="20" spans="1:29" ht="55.2">
      <c r="A20" s="1406"/>
      <c r="B20" s="1432" t="s">
        <v>2902</v>
      </c>
      <c r="C20" s="1433" t="str">
        <f>IF(B1="工业",估价对象房地状况!G7,估价对象房地状况!C9)</f>
        <v>区域自然环境：；人文环境；综合评价环境状况一般</v>
      </c>
      <c r="D20" s="1437">
        <v>100</v>
      </c>
      <c r="E20" s="1442"/>
      <c r="F20" s="1443">
        <f>SUMIF(67:67,E21,68:68)-SUMIF(67:67,C21,68:68)+100</f>
        <v>102</v>
      </c>
      <c r="G20" s="1444"/>
      <c r="H20" s="1431">
        <f>SUMIF(67:67,G21,68:68)-SUMIF(67:67,C21,68:68)+100</f>
        <v>100</v>
      </c>
      <c r="I20" s="1434"/>
      <c r="J20" s="1431">
        <f>SUMIF(67:67,I21,68:68)-SUMIF(67:67,C21,68:68)+100</f>
        <v>100</v>
      </c>
      <c r="K20" s="1538">
        <v>2</v>
      </c>
      <c r="L20" s="1537"/>
      <c r="M20" s="1528"/>
      <c r="N20" s="1528"/>
      <c r="O20" s="2071"/>
      <c r="P20" s="3673"/>
      <c r="Q20" s="1076" t="str">
        <f>B20</f>
        <v>自然及人文环境</v>
      </c>
      <c r="R20" s="1581" t="s">
        <v>2884</v>
      </c>
      <c r="S20" s="1582">
        <f>F20</f>
        <v>102</v>
      </c>
      <c r="T20" s="1581" t="s">
        <v>2884</v>
      </c>
      <c r="U20" s="1582">
        <f>H20</f>
        <v>100</v>
      </c>
      <c r="V20" s="1581" t="s">
        <v>2884</v>
      </c>
      <c r="W20" s="1582">
        <f>J20</f>
        <v>100</v>
      </c>
      <c r="X20" s="1575"/>
      <c r="Y20" s="3673"/>
      <c r="Z20" s="1574" t="str">
        <f>Q20</f>
        <v>自然及人文环境</v>
      </c>
      <c r="AA20" s="1587">
        <f t="shared" si="3"/>
        <v>0.98039215686274495</v>
      </c>
      <c r="AB20" s="1587">
        <f t="shared" si="4"/>
        <v>1</v>
      </c>
      <c r="AC20" s="1587">
        <f t="shared" si="5"/>
        <v>1</v>
      </c>
    </row>
    <row r="21" spans="1:29" ht="15">
      <c r="A21" s="1406"/>
      <c r="B21" s="1438"/>
      <c r="C21" s="1428" t="s">
        <v>2900</v>
      </c>
      <c r="D21" s="1429"/>
      <c r="E21" s="1428" t="s">
        <v>2898</v>
      </c>
      <c r="F21" s="1430"/>
      <c r="G21" s="1428" t="s">
        <v>2900</v>
      </c>
      <c r="H21" s="1429"/>
      <c r="I21" s="1428" t="s">
        <v>2900</v>
      </c>
      <c r="J21" s="1429"/>
      <c r="K21" s="1539"/>
      <c r="L21" s="1537"/>
      <c r="M21" s="1528"/>
      <c r="N21" s="1528"/>
      <c r="O21" s="2071"/>
      <c r="P21" s="3673"/>
      <c r="Q21" s="1076"/>
      <c r="R21" s="1581"/>
      <c r="S21" s="1582"/>
      <c r="T21" s="1581"/>
      <c r="U21" s="1582"/>
      <c r="V21" s="1581"/>
      <c r="W21" s="1582"/>
      <c r="X21" s="1575"/>
      <c r="Y21" s="3673"/>
      <c r="Z21" s="1574"/>
      <c r="AA21" s="1587">
        <v>1</v>
      </c>
      <c r="AB21" s="1587">
        <v>1</v>
      </c>
      <c r="AC21" s="1587">
        <v>1</v>
      </c>
    </row>
    <row r="22" spans="1:29" ht="15">
      <c r="A22" s="1406"/>
      <c r="B22" s="1432" t="s">
        <v>2903</v>
      </c>
      <c r="C22" s="1448"/>
      <c r="D22" s="1431">
        <v>100</v>
      </c>
      <c r="E22" s="1448"/>
      <c r="F22" s="1449">
        <f>SUMIF(69:69,E22,70:70)-SUMIF(69:69,C22,70:70)+100</f>
        <v>100</v>
      </c>
      <c r="G22" s="1448"/>
      <c r="H22" s="1414">
        <f>SUMIF(69:69,G22,70:70)-SUMIF(69:69,C22,70:70)+100</f>
        <v>100</v>
      </c>
      <c r="I22" s="1448"/>
      <c r="J22" s="1414">
        <f>SUMIF(69:69,I22,70:70)-SUMIF(69:69,C22,70:70)+100</f>
        <v>100</v>
      </c>
      <c r="K22" s="1534"/>
      <c r="L22" s="1537"/>
      <c r="M22" s="1528"/>
      <c r="N22" s="1528"/>
      <c r="O22" s="2071"/>
      <c r="P22" s="3673"/>
      <c r="Q22" s="1076" t="str">
        <f>B22</f>
        <v>楼层</v>
      </c>
      <c r="R22" s="1581" t="s">
        <v>2884</v>
      </c>
      <c r="S22" s="1582">
        <f>F22</f>
        <v>100</v>
      </c>
      <c r="T22" s="1581" t="s">
        <v>2884</v>
      </c>
      <c r="U22" s="1582">
        <f>H22</f>
        <v>100</v>
      </c>
      <c r="V22" s="1581" t="s">
        <v>2884</v>
      </c>
      <c r="W22" s="1582">
        <f>J22</f>
        <v>100</v>
      </c>
      <c r="X22" s="1575"/>
      <c r="Y22" s="3673"/>
      <c r="Z22" s="1574" t="str">
        <f>Q22</f>
        <v>楼层</v>
      </c>
      <c r="AA22" s="1587">
        <f t="shared" si="3"/>
        <v>1</v>
      </c>
      <c r="AB22" s="1587">
        <f t="shared" si="4"/>
        <v>1</v>
      </c>
      <c r="AC22" s="1587">
        <f t="shared" si="5"/>
        <v>1</v>
      </c>
    </row>
    <row r="23" spans="1:29" ht="15">
      <c r="A23" s="1384"/>
      <c r="B23" s="1410">
        <v>111</v>
      </c>
      <c r="C23" s="1411"/>
      <c r="D23" s="1414">
        <v>100</v>
      </c>
      <c r="E23" s="1413"/>
      <c r="F23" s="1449">
        <f>SUMIF(71:71,E23,72:72)-SUMIF(71:71,C23,72:72)+100</f>
        <v>100</v>
      </c>
      <c r="G23" s="1413"/>
      <c r="H23" s="1414">
        <f>SUMIF(71:71,G23,72:72)-SUMIF(71:71,C23,72:72)+100</f>
        <v>100</v>
      </c>
      <c r="I23" s="1413"/>
      <c r="J23" s="1414">
        <f>SUMIF(71:71,I23,72:72)-SUMIF(71:71,C23,72:72)+100</f>
        <v>100</v>
      </c>
      <c r="K23" s="1536"/>
      <c r="L23" s="1537"/>
      <c r="M23" s="1528"/>
      <c r="N23" s="1528"/>
      <c r="O23" s="2071"/>
      <c r="P23" s="3673"/>
      <c r="Q23" s="1076">
        <f>B23</f>
        <v>111</v>
      </c>
      <c r="R23" s="1581" t="s">
        <v>2884</v>
      </c>
      <c r="S23" s="1582">
        <f>F23</f>
        <v>100</v>
      </c>
      <c r="T23" s="1581" t="s">
        <v>2884</v>
      </c>
      <c r="U23" s="1582">
        <f>H23</f>
        <v>100</v>
      </c>
      <c r="V23" s="1581" t="s">
        <v>2884</v>
      </c>
      <c r="W23" s="1582">
        <f>J23</f>
        <v>100</v>
      </c>
      <c r="X23" s="1575"/>
      <c r="Y23" s="3673"/>
      <c r="Z23" s="1574">
        <f>Q23</f>
        <v>111</v>
      </c>
      <c r="AA23" s="1587">
        <f t="shared" si="3"/>
        <v>1</v>
      </c>
      <c r="AB23" s="1587">
        <f t="shared" si="4"/>
        <v>1</v>
      </c>
      <c r="AC23" s="1587">
        <f t="shared" si="5"/>
        <v>1</v>
      </c>
    </row>
    <row r="24" spans="1:29" ht="15">
      <c r="A24" s="1406"/>
      <c r="B24" s="1410">
        <v>111</v>
      </c>
      <c r="C24" s="1411"/>
      <c r="D24" s="1414">
        <v>100</v>
      </c>
      <c r="E24" s="1413"/>
      <c r="F24" s="1449">
        <f>SUMIF(73:73,E24,74:74)-SUMIF(73:73,C24,74:74)+100</f>
        <v>100</v>
      </c>
      <c r="G24" s="1413"/>
      <c r="H24" s="1414">
        <f>SUMIF(73:73,G24,74:74)-SUMIF(73:73,C24,74:74)+100</f>
        <v>100</v>
      </c>
      <c r="I24" s="1413"/>
      <c r="J24" s="1414">
        <f>SUMIF(73:73,I24,74:74)-SUMIF(73:73,C24,74:74)+100</f>
        <v>100</v>
      </c>
      <c r="K24" s="1536"/>
      <c r="L24" s="1537"/>
      <c r="M24" s="1528"/>
      <c r="N24" s="1528"/>
      <c r="O24" s="2071"/>
      <c r="P24" s="3673"/>
      <c r="Q24" s="1076">
        <f t="shared" ref="Q24:Q34" si="11">B24</f>
        <v>111</v>
      </c>
      <c r="R24" s="1581" t="s">
        <v>2884</v>
      </c>
      <c r="S24" s="1582">
        <f>F24</f>
        <v>100</v>
      </c>
      <c r="T24" s="1581" t="s">
        <v>2884</v>
      </c>
      <c r="U24" s="1582">
        <f>H24</f>
        <v>100</v>
      </c>
      <c r="V24" s="1581" t="s">
        <v>2884</v>
      </c>
      <c r="W24" s="1582">
        <f>J24</f>
        <v>100</v>
      </c>
      <c r="X24" s="1575"/>
      <c r="Y24" s="3673"/>
      <c r="Z24" s="1574">
        <f>Q24</f>
        <v>111</v>
      </c>
      <c r="AA24" s="1587">
        <f t="shared" si="3"/>
        <v>1</v>
      </c>
      <c r="AB24" s="1587">
        <f t="shared" si="4"/>
        <v>1</v>
      </c>
      <c r="AC24" s="1587">
        <f t="shared" si="5"/>
        <v>1</v>
      </c>
    </row>
    <row r="25" spans="1:29" s="1353" customFormat="1" ht="15">
      <c r="A25" s="1409"/>
      <c r="B25" s="1410">
        <v>111</v>
      </c>
      <c r="C25" s="2493"/>
      <c r="D25" s="2494">
        <v>100</v>
      </c>
      <c r="E25" s="2493"/>
      <c r="F25" s="2495">
        <f>SUMIF(75:75,E25,76:76)-SUMIF(75:75,C25,76:76)+100</f>
        <v>100</v>
      </c>
      <c r="G25" s="2493"/>
      <c r="H25" s="2494">
        <f>SUMIF(75:75,G25,76:76)-SUMIF(75:75,C25,76:76)+100</f>
        <v>100</v>
      </c>
      <c r="I25" s="2493"/>
      <c r="J25" s="2494">
        <f>SUMIF(75:75,I25,76:76)-SUMIF(75:75,C25,76:76)+100</f>
        <v>100</v>
      </c>
      <c r="K25" s="1536"/>
      <c r="L25" s="1530"/>
      <c r="M25" s="1531"/>
      <c r="N25" s="1531"/>
      <c r="O25" s="2067"/>
      <c r="P25" s="3673"/>
      <c r="Q25" s="1580">
        <f t="shared" si="11"/>
        <v>111</v>
      </c>
      <c r="R25" s="1576" t="s">
        <v>2884</v>
      </c>
      <c r="S25" s="1577">
        <f>F25</f>
        <v>100</v>
      </c>
      <c r="T25" s="1576" t="s">
        <v>2884</v>
      </c>
      <c r="U25" s="1577">
        <f>H25</f>
        <v>100</v>
      </c>
      <c r="V25" s="1576" t="s">
        <v>2884</v>
      </c>
      <c r="W25" s="1577">
        <f>J25</f>
        <v>100</v>
      </c>
      <c r="X25" s="1578"/>
      <c r="Y25" s="3673"/>
      <c r="Z25" s="1594">
        <f>Q25</f>
        <v>111</v>
      </c>
      <c r="AA25" s="1587">
        <f t="shared" si="3"/>
        <v>1</v>
      </c>
      <c r="AB25" s="1587">
        <f t="shared" si="4"/>
        <v>1</v>
      </c>
      <c r="AC25" s="1587">
        <f t="shared" si="5"/>
        <v>1</v>
      </c>
    </row>
    <row r="26" spans="1:29" ht="30">
      <c r="A26" s="2139" t="s">
        <v>2904</v>
      </c>
      <c r="B26" s="1396" t="s">
        <v>2912</v>
      </c>
      <c r="C26" s="2140" t="s">
        <v>2913</v>
      </c>
      <c r="D26" s="1455">
        <v>100</v>
      </c>
      <c r="E26" s="2140" t="s">
        <v>2913</v>
      </c>
      <c r="F26" s="2496">
        <f>SUMIF(77:77,E26,78:78)-SUMIF(77:77,C26,78:78)+100</f>
        <v>100</v>
      </c>
      <c r="G26" s="2140" t="s">
        <v>2913</v>
      </c>
      <c r="H26" s="1455">
        <f>SUMIF(77:77,G26,78:78)-SUMIF(77:77,C26,78:78)+100</f>
        <v>100</v>
      </c>
      <c r="I26" s="2140" t="s">
        <v>2913</v>
      </c>
      <c r="J26" s="1455">
        <f>SUMIF(77:77,I26,78:78)-SUMIF(77:77,C26,78:78)+100</f>
        <v>100</v>
      </c>
      <c r="K26" s="1534">
        <v>2</v>
      </c>
      <c r="L26" s="1537"/>
      <c r="M26" s="1528"/>
      <c r="N26" s="1528"/>
      <c r="O26" s="2071"/>
      <c r="P26" s="3674" t="s">
        <v>2906</v>
      </c>
      <c r="Q26" s="1076" t="str">
        <f t="shared" si="11"/>
        <v>公共部分装修</v>
      </c>
      <c r="R26" s="1581" t="s">
        <v>2884</v>
      </c>
      <c r="S26" s="1582">
        <f t="shared" ref="S26:S34" si="12">F26</f>
        <v>100</v>
      </c>
      <c r="T26" s="1581" t="s">
        <v>2884</v>
      </c>
      <c r="U26" s="1582">
        <f t="shared" ref="U26:U34" si="13">H26</f>
        <v>100</v>
      </c>
      <c r="V26" s="1581" t="s">
        <v>2884</v>
      </c>
      <c r="W26" s="1582">
        <f t="shared" ref="W26:W34" si="14">J26</f>
        <v>100</v>
      </c>
      <c r="X26" s="1575"/>
      <c r="Y26" s="3675" t="s">
        <v>2906</v>
      </c>
      <c r="Z26" s="1574" t="str">
        <f t="shared" ref="Z26:Z34" si="15">Q26</f>
        <v>公共部分装修</v>
      </c>
      <c r="AA26" s="1587">
        <f t="shared" si="3"/>
        <v>1</v>
      </c>
      <c r="AB26" s="1587">
        <f t="shared" si="4"/>
        <v>1</v>
      </c>
      <c r="AC26" s="1587">
        <f t="shared" si="5"/>
        <v>1</v>
      </c>
    </row>
    <row r="27" spans="1:29" s="1355" customFormat="1" ht="15">
      <c r="A27" s="1456"/>
      <c r="B27" s="1402" t="s">
        <v>2914</v>
      </c>
      <c r="C27" s="1461">
        <v>1</v>
      </c>
      <c r="D27" s="1404">
        <v>100</v>
      </c>
      <c r="E27" s="2235">
        <v>1</v>
      </c>
      <c r="F27" s="1449">
        <f>LOOKUP(E27,80:80,81:81)-LOOKUP(C27,80:80,81:81)+100</f>
        <v>100</v>
      </c>
      <c r="G27" s="2218">
        <v>1</v>
      </c>
      <c r="H27" s="1414">
        <f>LOOKUP(G27,80:80,81:81)-LOOKUP(C27,80:80,81:81)+100</f>
        <v>100</v>
      </c>
      <c r="I27" s="2218">
        <v>1</v>
      </c>
      <c r="J27" s="1414">
        <f>LOOKUP(I27,80:80,81:81)-LOOKUP(C27,80:80,81:81)+100</f>
        <v>100</v>
      </c>
      <c r="K27" s="1534">
        <v>2</v>
      </c>
      <c r="L27" s="1535"/>
      <c r="M27" s="1541"/>
      <c r="N27" s="1541"/>
      <c r="O27" s="2073"/>
      <c r="P27" s="3675"/>
      <c r="Q27" s="1583" t="str">
        <f t="shared" si="11"/>
        <v>成新率</v>
      </c>
      <c r="R27" s="1584" t="s">
        <v>2884</v>
      </c>
      <c r="S27" s="1585">
        <f t="shared" si="12"/>
        <v>100</v>
      </c>
      <c r="T27" s="1584" t="s">
        <v>2884</v>
      </c>
      <c r="U27" s="1585">
        <f t="shared" si="13"/>
        <v>100</v>
      </c>
      <c r="V27" s="1584" t="s">
        <v>2884</v>
      </c>
      <c r="W27" s="1585">
        <f t="shared" si="14"/>
        <v>100</v>
      </c>
      <c r="X27" s="1586"/>
      <c r="Y27" s="3675"/>
      <c r="Z27" s="1595" t="str">
        <f t="shared" si="15"/>
        <v>成新率</v>
      </c>
      <c r="AA27" s="1587">
        <f t="shared" si="3"/>
        <v>1</v>
      </c>
      <c r="AB27" s="1587">
        <f t="shared" si="4"/>
        <v>1</v>
      </c>
      <c r="AC27" s="1587">
        <f t="shared" si="5"/>
        <v>1</v>
      </c>
    </row>
    <row r="28" spans="1:29" ht="15">
      <c r="A28" s="1458"/>
      <c r="B28" s="1402" t="s">
        <v>2915</v>
      </c>
      <c r="C28" s="2141"/>
      <c r="D28" s="1414">
        <v>100</v>
      </c>
      <c r="E28" s="2141"/>
      <c r="F28" s="1449">
        <f>SUMIF(82:82,E28,83:83)-SUMIF(82:82,C28,83:83)+100</f>
        <v>100</v>
      </c>
      <c r="G28" s="2141"/>
      <c r="H28" s="1414">
        <f>SUMIF(82:82,G28,83:83)-SUMIF(82:82,C28,83:83)+100</f>
        <v>100</v>
      </c>
      <c r="I28" s="2141"/>
      <c r="J28" s="1414">
        <f>SUMIF(82:82,I28,83:83)-SUMIF(82:82,C28,83:83)+100</f>
        <v>100</v>
      </c>
      <c r="K28" s="1534"/>
      <c r="L28" s="1537"/>
      <c r="M28" s="1528"/>
      <c r="N28" s="1528"/>
      <c r="O28" s="2071"/>
      <c r="P28" s="3675"/>
      <c r="Q28" s="1076" t="str">
        <f t="shared" si="11"/>
        <v>物业等级</v>
      </c>
      <c r="R28" s="1581" t="s">
        <v>2884</v>
      </c>
      <c r="S28" s="1582">
        <f t="shared" si="12"/>
        <v>100</v>
      </c>
      <c r="T28" s="1581" t="s">
        <v>2884</v>
      </c>
      <c r="U28" s="1582">
        <f t="shared" si="13"/>
        <v>100</v>
      </c>
      <c r="V28" s="1581" t="s">
        <v>2884</v>
      </c>
      <c r="W28" s="1582">
        <f t="shared" si="14"/>
        <v>100</v>
      </c>
      <c r="X28" s="1575"/>
      <c r="Y28" s="3675"/>
      <c r="Z28" s="1574" t="str">
        <f t="shared" si="15"/>
        <v>物业等级</v>
      </c>
      <c r="AA28" s="1587">
        <f t="shared" si="3"/>
        <v>1</v>
      </c>
      <c r="AB28" s="1587">
        <f t="shared" si="4"/>
        <v>1</v>
      </c>
      <c r="AC28" s="1587">
        <f t="shared" si="5"/>
        <v>1</v>
      </c>
    </row>
    <row r="29" spans="1:29" ht="15">
      <c r="A29" s="1458"/>
      <c r="B29" s="1402" t="s">
        <v>3321</v>
      </c>
      <c r="C29" s="2497" t="s">
        <v>3322</v>
      </c>
      <c r="D29" s="1414">
        <v>100</v>
      </c>
      <c r="E29" s="2497" t="s">
        <v>3322</v>
      </c>
      <c r="F29" s="1449">
        <f>SUMIF(84:84,E29,85:85)-SUMIF(84:84,C29,85:85)+100</f>
        <v>100</v>
      </c>
      <c r="G29" s="2497" t="s">
        <v>3322</v>
      </c>
      <c r="H29" s="1414">
        <f>SUMIF(84:84,G29,85:85)-SUMIF(84:84,C29,85:85)+100</f>
        <v>100</v>
      </c>
      <c r="I29" s="2497" t="s">
        <v>3322</v>
      </c>
      <c r="J29" s="1414">
        <f>SUMIF(84:84,I29,85:85)-SUMIF(84:84,C29,85:85)+100</f>
        <v>100</v>
      </c>
      <c r="K29" s="1534">
        <v>2</v>
      </c>
      <c r="L29" s="1537"/>
      <c r="M29" s="1528"/>
      <c r="N29" s="1528"/>
      <c r="O29" s="2071"/>
      <c r="P29" s="3675"/>
      <c r="Q29" s="1076" t="str">
        <f t="shared" si="11"/>
        <v>有无电梯</v>
      </c>
      <c r="R29" s="1581" t="s">
        <v>2884</v>
      </c>
      <c r="S29" s="1582">
        <f t="shared" si="12"/>
        <v>100</v>
      </c>
      <c r="T29" s="1581" t="s">
        <v>2884</v>
      </c>
      <c r="U29" s="1582">
        <f t="shared" si="13"/>
        <v>100</v>
      </c>
      <c r="V29" s="1581" t="s">
        <v>2884</v>
      </c>
      <c r="W29" s="1582">
        <f t="shared" si="14"/>
        <v>100</v>
      </c>
      <c r="X29" s="1575"/>
      <c r="Y29" s="3675"/>
      <c r="Z29" s="1574" t="str">
        <f t="shared" si="15"/>
        <v>有无电梯</v>
      </c>
      <c r="AA29" s="1587">
        <f t="shared" si="3"/>
        <v>1</v>
      </c>
      <c r="AB29" s="1587">
        <f t="shared" si="4"/>
        <v>1</v>
      </c>
      <c r="AC29" s="1587">
        <f t="shared" si="5"/>
        <v>1</v>
      </c>
    </row>
    <row r="30" spans="1:29" ht="15">
      <c r="A30" s="1458"/>
      <c r="B30" s="1402" t="s">
        <v>600</v>
      </c>
      <c r="C30" s="1457"/>
      <c r="D30" s="1414">
        <v>100</v>
      </c>
      <c r="E30" s="1457"/>
      <c r="F30" s="1449">
        <f>LOOKUP(E30,87:87,88:88)-LOOKUP(C30,87:87,88:88)+100</f>
        <v>100</v>
      </c>
      <c r="G30" s="1457"/>
      <c r="H30" s="1414">
        <f>LOOKUP(G30,87:87,88:88)-LOOKUP(C30,87:87,88:88)+100</f>
        <v>100</v>
      </c>
      <c r="I30" s="1457"/>
      <c r="J30" s="1414">
        <f>LOOKUP(I30,87:87,88:88)-LOOKUP(C30,87:87,88:88)+100</f>
        <v>100</v>
      </c>
      <c r="K30" s="1536"/>
      <c r="L30" s="1537"/>
      <c r="M30" s="1528"/>
      <c r="N30" s="1528"/>
      <c r="O30" s="2071"/>
      <c r="P30" s="3675"/>
      <c r="Q30" s="1076" t="str">
        <f t="shared" si="11"/>
        <v>建筑面积</v>
      </c>
      <c r="R30" s="1581" t="s">
        <v>2884</v>
      </c>
      <c r="S30" s="1582">
        <f t="shared" si="12"/>
        <v>100</v>
      </c>
      <c r="T30" s="1581" t="s">
        <v>2884</v>
      </c>
      <c r="U30" s="1582">
        <f t="shared" si="13"/>
        <v>100</v>
      </c>
      <c r="V30" s="1581" t="s">
        <v>2884</v>
      </c>
      <c r="W30" s="1582">
        <f t="shared" si="14"/>
        <v>100</v>
      </c>
      <c r="X30" s="1575"/>
      <c r="Y30" s="3675"/>
      <c r="Z30" s="1574" t="str">
        <f t="shared" si="15"/>
        <v>建筑面积</v>
      </c>
      <c r="AA30" s="1587">
        <f t="shared" si="3"/>
        <v>1</v>
      </c>
      <c r="AB30" s="1587">
        <f t="shared" si="4"/>
        <v>1</v>
      </c>
      <c r="AC30" s="1587">
        <f t="shared" si="5"/>
        <v>1</v>
      </c>
    </row>
    <row r="31" spans="1:29" s="1353" customFormat="1" ht="15">
      <c r="A31" s="1462"/>
      <c r="B31" s="1402" t="s">
        <v>3323</v>
      </c>
      <c r="C31" s="2497"/>
      <c r="D31" s="1404">
        <v>100</v>
      </c>
      <c r="E31" s="2497"/>
      <c r="F31" s="1449">
        <f>SUMIF(89:89,E31,90:90)-SUMIF(89:89,C31,90:90)+100</f>
        <v>100</v>
      </c>
      <c r="G31" s="2497"/>
      <c r="H31" s="1414">
        <f>SUMIF(89:89,G31,90:90)-SUMIF(89:89,C31,90:90)+100</f>
        <v>100</v>
      </c>
      <c r="I31" s="2497"/>
      <c r="J31" s="1414">
        <f>SUMIF(89:89,I31,90:90)-SUMIF(89:89,C31,90:90)+100</f>
        <v>100</v>
      </c>
      <c r="K31" s="1534"/>
      <c r="L31" s="1530"/>
      <c r="M31" s="1531"/>
      <c r="N31" s="1531"/>
      <c r="O31" s="2067"/>
      <c r="P31" s="3675"/>
      <c r="Q31" s="1580" t="str">
        <f t="shared" si="11"/>
        <v>是否封闭</v>
      </c>
      <c r="R31" s="1576" t="s">
        <v>2884</v>
      </c>
      <c r="S31" s="1577">
        <f t="shared" si="12"/>
        <v>100</v>
      </c>
      <c r="T31" s="1576" t="s">
        <v>2884</v>
      </c>
      <c r="U31" s="1577">
        <f t="shared" si="13"/>
        <v>100</v>
      </c>
      <c r="V31" s="1576" t="s">
        <v>2884</v>
      </c>
      <c r="W31" s="1577">
        <f t="shared" si="14"/>
        <v>100</v>
      </c>
      <c r="X31" s="1578"/>
      <c r="Y31" s="3675"/>
      <c r="Z31" s="1594" t="str">
        <f t="shared" si="15"/>
        <v>是否封闭</v>
      </c>
      <c r="AA31" s="1593">
        <f t="shared" si="3"/>
        <v>1</v>
      </c>
      <c r="AB31" s="1593">
        <f t="shared" si="4"/>
        <v>1</v>
      </c>
      <c r="AC31" s="1593">
        <f t="shared" si="5"/>
        <v>1</v>
      </c>
    </row>
    <row r="32" spans="1:29" ht="15">
      <c r="A32" s="1458"/>
      <c r="B32" s="1410">
        <v>111</v>
      </c>
      <c r="C32" s="1411"/>
      <c r="D32" s="1414">
        <v>100</v>
      </c>
      <c r="E32" s="1457"/>
      <c r="F32" s="1449">
        <f>SUMIF(91:91,E32,92:92)-SUMIF(91:91,C32,92:92)+100</f>
        <v>100</v>
      </c>
      <c r="G32" s="1457"/>
      <c r="H32" s="1414">
        <f>SUMIF(91:91,G32,92:92)-SUMIF(91:91,C32,92:92)+100</f>
        <v>100</v>
      </c>
      <c r="I32" s="1457"/>
      <c r="J32" s="1414">
        <f>SUMIF(91:91,I32,92:92)-SUMIF(91:91,C32,92:92)+100</f>
        <v>100</v>
      </c>
      <c r="K32" s="1536"/>
      <c r="L32" s="1537"/>
      <c r="M32" s="1528"/>
      <c r="N32" s="1528"/>
      <c r="O32" s="2071"/>
      <c r="P32" s="3675" t="s">
        <v>2906</v>
      </c>
      <c r="Q32" s="1076">
        <f t="shared" si="11"/>
        <v>111</v>
      </c>
      <c r="R32" s="1581" t="s">
        <v>2884</v>
      </c>
      <c r="S32" s="1582">
        <f t="shared" si="12"/>
        <v>100</v>
      </c>
      <c r="T32" s="1581" t="s">
        <v>2884</v>
      </c>
      <c r="U32" s="1582">
        <f t="shared" si="13"/>
        <v>100</v>
      </c>
      <c r="V32" s="1581" t="s">
        <v>2884</v>
      </c>
      <c r="W32" s="1582">
        <f t="shared" si="14"/>
        <v>100</v>
      </c>
      <c r="X32" s="1575"/>
      <c r="Y32" s="3675" t="s">
        <v>2906</v>
      </c>
      <c r="Z32" s="1574">
        <f t="shared" si="15"/>
        <v>111</v>
      </c>
      <c r="AA32" s="1587">
        <f t="shared" si="3"/>
        <v>1</v>
      </c>
      <c r="AB32" s="1587">
        <f t="shared" si="4"/>
        <v>1</v>
      </c>
      <c r="AC32" s="1587">
        <f t="shared" si="5"/>
        <v>1</v>
      </c>
    </row>
    <row r="33" spans="1:30" ht="15">
      <c r="A33" s="1458"/>
      <c r="B33" s="1410">
        <v>111</v>
      </c>
      <c r="C33" s="1411"/>
      <c r="D33" s="1414">
        <v>100</v>
      </c>
      <c r="E33" s="1457"/>
      <c r="F33" s="1449">
        <f>SUMIF(93:93,E33,94:94)-SUMIF(93:93,C33,94:94)+100</f>
        <v>100</v>
      </c>
      <c r="G33" s="1457"/>
      <c r="H33" s="1414">
        <f>SUMIF(93:93,G33,94:94)-SUMIF(93:93,C33,94:94)+100</f>
        <v>100</v>
      </c>
      <c r="I33" s="1457"/>
      <c r="J33" s="1414">
        <f>SUMIF(93:93,I33,94:94)-SUMIF(93:93,C33,94:94)+100</f>
        <v>100</v>
      </c>
      <c r="K33" s="1536"/>
      <c r="L33" s="1537"/>
      <c r="M33" s="1528"/>
      <c r="N33" s="1528"/>
      <c r="O33" s="2071"/>
      <c r="P33" s="3675"/>
      <c r="Q33" s="1076">
        <f t="shared" si="11"/>
        <v>111</v>
      </c>
      <c r="R33" s="1581" t="s">
        <v>2884</v>
      </c>
      <c r="S33" s="1582">
        <f t="shared" si="12"/>
        <v>100</v>
      </c>
      <c r="T33" s="1581" t="s">
        <v>2884</v>
      </c>
      <c r="U33" s="1582">
        <f t="shared" si="13"/>
        <v>100</v>
      </c>
      <c r="V33" s="1581" t="s">
        <v>2884</v>
      </c>
      <c r="W33" s="1582">
        <f t="shared" si="14"/>
        <v>100</v>
      </c>
      <c r="X33" s="1575"/>
      <c r="Y33" s="3675"/>
      <c r="Z33" s="1574">
        <f t="shared" si="15"/>
        <v>111</v>
      </c>
      <c r="AA33" s="1587">
        <f t="shared" si="3"/>
        <v>1</v>
      </c>
      <c r="AB33" s="1587">
        <f t="shared" si="4"/>
        <v>1</v>
      </c>
      <c r="AC33" s="1587">
        <f t="shared" si="5"/>
        <v>1</v>
      </c>
    </row>
    <row r="34" spans="1:30" ht="15">
      <c r="A34" s="1466"/>
      <c r="B34" s="1416">
        <v>111</v>
      </c>
      <c r="C34" s="1417"/>
      <c r="D34" s="1418">
        <v>100</v>
      </c>
      <c r="E34" s="2492"/>
      <c r="F34" s="1419">
        <f>SUMIF(95:95,E34,96:96)-SUMIF(95:95,C34,96:96)+100</f>
        <v>100</v>
      </c>
      <c r="G34" s="2492"/>
      <c r="H34" s="1418">
        <f>SUMIF(95:95,G34,96:96)-SUMIF(95:95,C34,96:96)+100</f>
        <v>100</v>
      </c>
      <c r="I34" s="2492"/>
      <c r="J34" s="1418">
        <f>SUMIF(95:95,I34,96:96)-SUMIF(95:95,C34,96:96)+100</f>
        <v>100</v>
      </c>
      <c r="K34" s="1536"/>
      <c r="L34" s="1537"/>
      <c r="M34" s="1528"/>
      <c r="N34" s="1528"/>
      <c r="O34" s="2071"/>
      <c r="P34" s="3675"/>
      <c r="Q34" s="1076">
        <f t="shared" si="11"/>
        <v>111</v>
      </c>
      <c r="R34" s="1581" t="s">
        <v>2884</v>
      </c>
      <c r="S34" s="1582">
        <f t="shared" si="12"/>
        <v>100</v>
      </c>
      <c r="T34" s="1581" t="s">
        <v>2884</v>
      </c>
      <c r="U34" s="1582">
        <f t="shared" si="13"/>
        <v>100</v>
      </c>
      <c r="V34" s="1581" t="s">
        <v>2884</v>
      </c>
      <c r="W34" s="1582">
        <f t="shared" si="14"/>
        <v>100</v>
      </c>
      <c r="X34" s="1575"/>
      <c r="Y34" s="3675"/>
      <c r="Z34" s="1574">
        <f t="shared" si="15"/>
        <v>111</v>
      </c>
      <c r="AA34" s="1587">
        <f t="shared" si="3"/>
        <v>1</v>
      </c>
      <c r="AB34" s="1587">
        <f t="shared" si="4"/>
        <v>1</v>
      </c>
      <c r="AC34" s="1587">
        <f t="shared" si="5"/>
        <v>1</v>
      </c>
    </row>
    <row r="35" spans="1:30" ht="14.4">
      <c r="A35" s="1467" t="s">
        <v>3324</v>
      </c>
      <c r="B35" s="1468"/>
      <c r="C35" s="1469" t="s">
        <v>124</v>
      </c>
      <c r="D35" s="1470"/>
      <c r="E35" s="1471">
        <v>28919</v>
      </c>
      <c r="F35" s="1472"/>
      <c r="G35" s="1473">
        <v>30000</v>
      </c>
      <c r="H35" s="1474"/>
      <c r="I35" s="1471">
        <v>30000</v>
      </c>
      <c r="J35" s="1474"/>
      <c r="K35" s="1542"/>
      <c r="L35" s="1543"/>
      <c r="M35" s="1484"/>
      <c r="N35" s="1528"/>
      <c r="O35" s="1484"/>
      <c r="P35" s="3665" t="str">
        <f>A35</f>
        <v>成交单价（元/平方米）</v>
      </c>
      <c r="Q35" s="3665"/>
      <c r="R35" s="3666">
        <f>E35</f>
        <v>28919</v>
      </c>
      <c r="S35" s="3666"/>
      <c r="T35" s="3666">
        <f>G35</f>
        <v>30000</v>
      </c>
      <c r="U35" s="3666"/>
      <c r="V35" s="3666">
        <f>I35</f>
        <v>30000</v>
      </c>
      <c r="W35" s="3666"/>
      <c r="X35" s="1493"/>
      <c r="Y35" s="1596"/>
      <c r="Z35" s="1493"/>
      <c r="AA35" s="1493"/>
      <c r="AB35" s="1493"/>
      <c r="AC35" s="1493"/>
    </row>
    <row r="36" spans="1:30" ht="14.4">
      <c r="A36" s="1475" t="s">
        <v>2922</v>
      </c>
      <c r="B36" s="1476"/>
      <c r="C36" s="1477">
        <f>R37</f>
        <v>29451</v>
      </c>
      <c r="D36" s="1478" t="s">
        <v>2923</v>
      </c>
      <c r="E36" s="1479">
        <f>R36</f>
        <v>28352</v>
      </c>
      <c r="F36" s="1480"/>
      <c r="G36" s="1477">
        <f>T36</f>
        <v>30000</v>
      </c>
      <c r="H36" s="1480"/>
      <c r="I36" s="1479">
        <f>V36</f>
        <v>30000</v>
      </c>
      <c r="J36" s="1480"/>
      <c r="K36" s="1544">
        <f>F36+H36+J36</f>
        <v>0</v>
      </c>
      <c r="L36" s="1543"/>
      <c r="M36" s="1484"/>
      <c r="N36" s="1528"/>
      <c r="O36" s="1484"/>
      <c r="P36" s="3665" t="str">
        <f>A36</f>
        <v>比较价值（元/平方米）</v>
      </c>
      <c r="Q36" s="3665"/>
      <c r="R36" s="3666">
        <f>IF(F1="售价",ROUND(PRODUCT(R35,AA7:AA34),0),ROUND(PRODUCT(R35,AA7:AA34),1))</f>
        <v>28352</v>
      </c>
      <c r="S36" s="3666"/>
      <c r="T36" s="3666">
        <f>IF(F1="售价",ROUND(PRODUCT(T35,AB7:AB34),0),ROUND(PRODUCT(T35,AB7:AB34),1))</f>
        <v>30000</v>
      </c>
      <c r="U36" s="3666"/>
      <c r="V36" s="3666">
        <f>IF(F1="售价",ROUND(PRODUCT(V35,AC7:AC34),0),ROUND(PRODUCT(V35,AC7:AC34),1))</f>
        <v>30000</v>
      </c>
      <c r="W36" s="3666"/>
      <c r="X36" s="1493"/>
      <c r="Y36" s="1493"/>
      <c r="Z36" s="1493"/>
      <c r="AA36" s="1493"/>
      <c r="AB36" s="1493"/>
      <c r="AC36" s="1493"/>
    </row>
    <row r="37" spans="1:30" ht="14.4">
      <c r="A37" s="1481" t="s">
        <v>3325</v>
      </c>
      <c r="B37" s="1482"/>
      <c r="C37" s="1483">
        <f>R37</f>
        <v>29451</v>
      </c>
      <c r="D37" s="1483"/>
      <c r="E37" s="1483"/>
      <c r="F37" s="1483"/>
      <c r="G37" s="1483"/>
      <c r="H37" s="1483"/>
      <c r="I37" s="1483"/>
      <c r="J37" s="1483"/>
      <c r="K37" s="1545"/>
      <c r="L37" s="1543"/>
      <c r="M37" s="1484"/>
      <c r="N37" s="1484"/>
      <c r="O37" s="1484"/>
      <c r="P37" s="3667" t="str">
        <f>A37</f>
        <v>估价对象XX用房的比较价值（楼面单价，元/平方米）</v>
      </c>
      <c r="Q37" s="3668"/>
      <c r="R37" s="3669">
        <f>IF(F1="售价",ROUND(IF(D36="简单平均",AVERAGE(R36:W36),R36*F36+T36*H36+V36*J36),0),ROUND(IF(D36="简单平均",AVERAGE(R36:V36),R36*F36+T36*H36+V36*J36),1))</f>
        <v>29451</v>
      </c>
      <c r="S37" s="3669"/>
      <c r="T37" s="3669"/>
      <c r="U37" s="3669"/>
      <c r="V37" s="3669"/>
      <c r="W37" s="3669"/>
      <c r="X37" s="1493"/>
      <c r="Y37" s="1493"/>
      <c r="Z37" s="1493"/>
      <c r="AA37" s="1493"/>
      <c r="AB37" s="1493"/>
      <c r="AC37" s="1493"/>
    </row>
    <row r="38" spans="1:30">
      <c r="A38" s="1484"/>
      <c r="B38" s="1484"/>
      <c r="C38" s="1484"/>
      <c r="D38" s="1484"/>
      <c r="E38" s="1484"/>
      <c r="F38" s="1484"/>
      <c r="G38" s="1485"/>
      <c r="H38" s="1484"/>
      <c r="I38" s="1484"/>
      <c r="J38" s="1484"/>
      <c r="K38" s="1546"/>
      <c r="L38" s="1547"/>
      <c r="M38" s="1484"/>
      <c r="N38" s="1484"/>
      <c r="O38" s="1484"/>
      <c r="P38" s="1484"/>
      <c r="Q38" s="1484"/>
      <c r="R38" s="1484"/>
      <c r="S38" s="1484"/>
      <c r="T38" s="1484"/>
      <c r="U38" s="1484"/>
      <c r="V38" s="1484"/>
      <c r="W38" s="1484"/>
      <c r="X38" s="1484"/>
      <c r="Y38" s="1484"/>
      <c r="Z38" s="1484"/>
      <c r="AA38" s="1484"/>
      <c r="AB38" s="1484"/>
      <c r="AC38" s="1484"/>
      <c r="AD38" s="1484"/>
    </row>
    <row r="39" spans="1:30">
      <c r="A39" s="1484"/>
      <c r="B39" s="1484"/>
      <c r="C39" s="1484"/>
      <c r="D39" s="1484"/>
      <c r="E39" s="1484"/>
      <c r="F39" s="1484"/>
      <c r="G39" s="1484"/>
      <c r="H39" s="1484"/>
      <c r="I39" s="1484"/>
      <c r="J39" s="1484"/>
      <c r="K39" s="1546"/>
      <c r="L39" s="1547"/>
      <c r="M39" s="1484"/>
      <c r="N39" s="1484"/>
      <c r="O39" s="1484"/>
      <c r="P39" s="1484"/>
      <c r="Q39" s="1484"/>
      <c r="R39" s="1484"/>
      <c r="S39" s="1484"/>
      <c r="T39" s="1484"/>
      <c r="U39" s="1484"/>
      <c r="V39" s="1484"/>
      <c r="W39" s="1484"/>
      <c r="X39" s="1484"/>
      <c r="Y39" s="1484"/>
      <c r="Z39" s="1484"/>
      <c r="AA39" s="1484"/>
      <c r="AB39" s="1484"/>
      <c r="AC39" s="1484"/>
      <c r="AD39" s="1484"/>
    </row>
    <row r="40" spans="1:30" ht="13.5" customHeight="1">
      <c r="A40" s="1484"/>
      <c r="B40" s="1484"/>
      <c r="C40" s="1486" t="s">
        <v>2925</v>
      </c>
      <c r="D40" s="1120"/>
      <c r="E40" s="1487">
        <f>IF(E35&lt;E36,E36/E35-1,E35/E36-1)</f>
        <v>1.9998589164785599E-2</v>
      </c>
      <c r="F40" s="1488" t="str">
        <f>IF(OR(E40&gt;=0.3,E40&lt;=-0.3),"超过30%","")</f>
        <v/>
      </c>
      <c r="G40" s="1487">
        <f>IF(G35&lt;G36,G36/G35-1,G35/G36-1)</f>
        <v>0</v>
      </c>
      <c r="H40" s="1488" t="str">
        <f>IF(OR(G40&gt;=0.3,G40&lt;=-0.3),"超过30%","")</f>
        <v/>
      </c>
      <c r="I40" s="1487">
        <f>IF(I35&lt;I36,I36/I35-1,I35/I36-1)</f>
        <v>0</v>
      </c>
      <c r="J40" s="1488" t="str">
        <f>IF(OR(I40&gt;=0.3,I40&lt;=-0.3),"超过30%","")</f>
        <v/>
      </c>
      <c r="K40" s="1546"/>
      <c r="L40" s="1547"/>
      <c r="M40" s="1484"/>
      <c r="N40" s="1484"/>
      <c r="O40" s="1484"/>
      <c r="P40" s="1484"/>
      <c r="Q40" s="1484"/>
      <c r="R40" s="1484"/>
      <c r="S40" s="1484"/>
      <c r="T40" s="1484"/>
      <c r="U40" s="1484"/>
      <c r="V40" s="1484"/>
      <c r="W40" s="1484"/>
      <c r="X40" s="1484"/>
      <c r="Y40" s="1484"/>
      <c r="Z40" s="1484"/>
      <c r="AA40" s="1484"/>
      <c r="AB40" s="1484"/>
      <c r="AC40" s="1484"/>
      <c r="AD40" s="1484"/>
    </row>
    <row r="41" spans="1:30" ht="13.5" customHeight="1">
      <c r="A41" s="1484"/>
      <c r="B41" s="1484"/>
      <c r="C41" s="1486" t="s">
        <v>2926</v>
      </c>
      <c r="D41" s="1119"/>
      <c r="E41" s="1487">
        <f>IF(E36&lt;G36,G36/E36-1,E36/G36-1)</f>
        <v>5.8126410835214401E-2</v>
      </c>
      <c r="F41" s="1488" t="str">
        <f>IF(OR(E41&gt;=0.2,E41&lt;=-0.2),"超过20%","")</f>
        <v/>
      </c>
      <c r="G41" s="1487">
        <f>IF(G36&lt;I36,I36/G36-1,G36/I36-1)</f>
        <v>0</v>
      </c>
      <c r="H41" s="1488" t="str">
        <f>IF(OR(G41&gt;=0.2,G41&lt;=-0.2),"超过20%","")</f>
        <v/>
      </c>
      <c r="I41" s="1487">
        <f>IF(I36&lt;E36,E36/I36-1,I36/E36-1)</f>
        <v>5.8126410835214401E-2</v>
      </c>
      <c r="J41" s="1488" t="str">
        <f>IF(OR(I41&gt;=0.2,I41&lt;=-0.2),"超过20%","")</f>
        <v/>
      </c>
      <c r="K41" s="1546"/>
      <c r="L41" s="1547"/>
      <c r="M41" s="1484"/>
      <c r="N41" s="1484"/>
      <c r="O41" s="1484"/>
      <c r="P41" s="1484"/>
      <c r="Q41" s="1484"/>
      <c r="R41" s="1484"/>
      <c r="S41" s="1484"/>
      <c r="T41" s="1484"/>
      <c r="U41" s="1484"/>
      <c r="V41" s="1484"/>
      <c r="W41" s="1484"/>
      <c r="X41" s="1484"/>
      <c r="Y41" s="1484"/>
      <c r="Z41" s="1484"/>
      <c r="AA41" s="1484"/>
      <c r="AB41" s="1484"/>
      <c r="AC41" s="1484"/>
      <c r="AD41" s="1484"/>
    </row>
    <row r="42" spans="1:30" s="1356" customFormat="1" ht="13.5" customHeight="1">
      <c r="A42" s="1489"/>
      <c r="B42" s="1489"/>
      <c r="C42" s="1486" t="s">
        <v>2927</v>
      </c>
      <c r="D42" s="1119"/>
      <c r="E42" s="1487">
        <f>IF(E35&lt;G35,G35/E35-1,E35/G35-1)</f>
        <v>3.73802690272831E-2</v>
      </c>
      <c r="F42" s="1488" t="str">
        <f>IF(OR(E42&gt;=0.3,E42&lt;=-0.3),"超过30%","")</f>
        <v/>
      </c>
      <c r="G42" s="1487">
        <f>IF(G35&lt;I35,I35/G35-1,G35/I35-1)</f>
        <v>0</v>
      </c>
      <c r="H42" s="1488" t="str">
        <f>IF(OR(G42&gt;=0.3,G42&lt;=-0.3),"超过30%","")</f>
        <v/>
      </c>
      <c r="I42" s="1487">
        <f>IF(I35&lt;E35,E35/I35-1,I35/E35-1)</f>
        <v>3.73802690272831E-2</v>
      </c>
      <c r="J42" s="1488" t="str">
        <f>IF(OR(I42&gt;=0.3,I42&lt;=-0.3),"超过30%","")</f>
        <v/>
      </c>
      <c r="K42" s="1549"/>
      <c r="L42" s="1550"/>
      <c r="M42" s="1489"/>
      <c r="N42" s="1489"/>
      <c r="O42" s="1489"/>
      <c r="P42" s="1489"/>
      <c r="Q42" s="1489"/>
      <c r="R42" s="1489"/>
      <c r="S42" s="1489"/>
      <c r="T42" s="1489"/>
      <c r="U42" s="1489"/>
      <c r="V42" s="1489"/>
      <c r="W42" s="1489"/>
      <c r="X42" s="1489"/>
      <c r="Y42" s="1489"/>
      <c r="Z42" s="1489"/>
      <c r="AA42" s="1489"/>
      <c r="AB42" s="1489"/>
      <c r="AC42" s="1489"/>
      <c r="AD42" s="1489"/>
    </row>
    <row r="43" spans="1:30" s="1356" customFormat="1">
      <c r="A43" s="1489"/>
      <c r="B43" s="1490"/>
      <c r="C43" s="1491"/>
      <c r="D43" s="1489"/>
      <c r="E43" s="1489"/>
      <c r="F43" s="1489"/>
      <c r="G43" s="1489"/>
      <c r="H43" s="1489"/>
      <c r="I43" s="1489"/>
      <c r="J43" s="1489"/>
      <c r="K43" s="1549"/>
      <c r="L43" s="1550"/>
      <c r="M43" s="1489"/>
      <c r="N43" s="1489"/>
      <c r="O43" s="1489"/>
      <c r="P43" s="1489"/>
      <c r="Q43" s="1489"/>
      <c r="R43" s="1489"/>
      <c r="S43" s="1489"/>
      <c r="T43" s="1489"/>
      <c r="U43" s="1489"/>
      <c r="V43" s="1489"/>
      <c r="W43" s="1489"/>
      <c r="X43" s="1489"/>
      <c r="Y43" s="1489"/>
      <c r="Z43" s="1489"/>
      <c r="AA43" s="1489"/>
      <c r="AB43" s="1489"/>
      <c r="AC43" s="1489"/>
      <c r="AD43" s="1489"/>
    </row>
    <row r="44" spans="1:30">
      <c r="A44" s="1484"/>
      <c r="B44" s="1490"/>
      <c r="C44" s="1491"/>
      <c r="D44" s="1484"/>
      <c r="E44" s="1484"/>
      <c r="F44" s="1484"/>
      <c r="G44" s="1484"/>
      <c r="H44" s="1484"/>
      <c r="I44" s="1484"/>
      <c r="J44" s="1484"/>
      <c r="K44" s="1546"/>
      <c r="L44" s="1547"/>
      <c r="M44" s="1484"/>
      <c r="N44" s="1484"/>
      <c r="O44" s="1484"/>
      <c r="P44" s="1484"/>
      <c r="Q44" s="1484"/>
      <c r="R44" s="1484"/>
      <c r="S44" s="1484"/>
      <c r="T44" s="1484"/>
      <c r="U44" s="1484"/>
      <c r="V44" s="1484"/>
      <c r="W44" s="1484"/>
      <c r="X44" s="1484"/>
      <c r="Y44" s="1484"/>
      <c r="Z44" s="1484"/>
      <c r="AA44" s="1484"/>
      <c r="AB44" s="1484"/>
      <c r="AC44" s="1484"/>
      <c r="AD44" s="1484"/>
    </row>
    <row r="45" spans="1:30" ht="21.6">
      <c r="A45" s="1492" t="s">
        <v>2928</v>
      </c>
      <c r="B45" s="1493"/>
      <c r="C45" s="1494"/>
      <c r="D45" s="1494"/>
      <c r="E45" s="1494"/>
      <c r="F45" s="1495"/>
      <c r="G45" s="1495"/>
      <c r="H45" s="1494"/>
      <c r="I45" s="1494"/>
      <c r="J45" s="1494"/>
      <c r="K45" s="1552"/>
      <c r="L45" s="2080"/>
      <c r="M45" s="1494"/>
      <c r="N45" s="2081"/>
      <c r="O45" s="2081"/>
      <c r="P45" s="2081"/>
      <c r="Q45" s="1588"/>
      <c r="R45" s="1484"/>
      <c r="S45" s="1484"/>
      <c r="T45" s="1484"/>
      <c r="U45" s="1484"/>
      <c r="V45" s="1484"/>
      <c r="W45" s="1484"/>
      <c r="X45" s="1484"/>
      <c r="Y45" s="1484"/>
      <c r="Z45" s="1484"/>
      <c r="AA45" s="1484"/>
      <c r="AB45" s="1484"/>
      <c r="AC45" s="1484"/>
      <c r="AD45" s="1484"/>
    </row>
    <row r="46" spans="1:30" s="1357" customFormat="1" ht="14.4">
      <c r="A46" s="1496" t="s">
        <v>2882</v>
      </c>
      <c r="B46" s="1497"/>
      <c r="C46" s="1498" t="str">
        <f>YEAR(C7)&amp;"-"&amp;MONTH(C7)</f>
        <v>2024-1</v>
      </c>
      <c r="D46" s="1499">
        <f>EDATE(C46,-1)</f>
        <v>45261</v>
      </c>
      <c r="E46" s="1499">
        <f t="shared" ref="E46:O46" si="16">EDATE(D46,-1)</f>
        <v>45231</v>
      </c>
      <c r="F46" s="1499">
        <f t="shared" si="16"/>
        <v>45200</v>
      </c>
      <c r="G46" s="1499">
        <f t="shared" si="16"/>
        <v>45170</v>
      </c>
      <c r="H46" s="1499">
        <f t="shared" si="16"/>
        <v>45139</v>
      </c>
      <c r="I46" s="1499">
        <f t="shared" si="16"/>
        <v>45108</v>
      </c>
      <c r="J46" s="1499">
        <f t="shared" si="16"/>
        <v>45078</v>
      </c>
      <c r="K46" s="1499">
        <f t="shared" si="16"/>
        <v>45047</v>
      </c>
      <c r="L46" s="1499">
        <f t="shared" si="16"/>
        <v>45017</v>
      </c>
      <c r="M46" s="1499">
        <f t="shared" si="16"/>
        <v>44986</v>
      </c>
      <c r="N46" s="1499">
        <f t="shared" si="16"/>
        <v>44958</v>
      </c>
      <c r="O46" s="1499">
        <f t="shared" si="16"/>
        <v>44927</v>
      </c>
      <c r="P46" s="2094"/>
      <c r="Q46" s="1589"/>
      <c r="R46" s="1589"/>
      <c r="S46" s="1589"/>
      <c r="T46" s="1589"/>
      <c r="U46" s="1589"/>
      <c r="V46" s="1589"/>
      <c r="W46" s="1589"/>
      <c r="X46" s="1589"/>
      <c r="Y46" s="1589"/>
      <c r="Z46" s="1589"/>
      <c r="AA46" s="1589"/>
      <c r="AB46" s="1589"/>
      <c r="AC46" s="1589"/>
      <c r="AD46" s="1589"/>
    </row>
    <row r="47" spans="1:30" s="1353" customFormat="1">
      <c r="A47" s="1500"/>
      <c r="B47" s="1501"/>
      <c r="C47" s="1502">
        <v>100</v>
      </c>
      <c r="D47" s="1503"/>
      <c r="E47" s="1503"/>
      <c r="F47" s="1503"/>
      <c r="G47" s="1503"/>
      <c r="H47" s="1503"/>
      <c r="I47" s="1503"/>
      <c r="J47" s="1503"/>
      <c r="K47" s="1503"/>
      <c r="L47" s="1503"/>
      <c r="M47" s="1557"/>
      <c r="N47" s="1503"/>
      <c r="O47" s="1564"/>
      <c r="P47" s="1588"/>
      <c r="Q47" s="1590"/>
      <c r="R47" s="1590"/>
      <c r="S47" s="1590"/>
      <c r="T47" s="1590"/>
      <c r="U47" s="1590"/>
      <c r="V47" s="1590"/>
      <c r="W47" s="1590"/>
      <c r="X47" s="1590"/>
      <c r="Y47" s="1590"/>
      <c r="Z47" s="1590"/>
      <c r="AA47" s="1590"/>
      <c r="AB47" s="1590"/>
      <c r="AC47" s="1590"/>
      <c r="AD47" s="1590"/>
    </row>
    <row r="48" spans="1:30" s="1353" customFormat="1" ht="14.4">
      <c r="A48" s="1504" t="s">
        <v>2929</v>
      </c>
      <c r="B48" s="1505"/>
      <c r="C48" s="1506"/>
      <c r="D48" s="1507"/>
      <c r="E48" s="1507"/>
      <c r="F48" s="1507"/>
      <c r="G48" s="1507"/>
      <c r="H48" s="1507"/>
      <c r="I48" s="1507"/>
      <c r="J48" s="1507"/>
      <c r="K48" s="1507"/>
      <c r="L48" s="1507"/>
      <c r="M48" s="1559"/>
      <c r="N48" s="1507"/>
      <c r="O48" s="2097"/>
      <c r="P48" s="1588"/>
      <c r="Q48" s="1588"/>
      <c r="R48" s="1590"/>
      <c r="S48" s="1590"/>
      <c r="T48" s="1590"/>
      <c r="U48" s="1590"/>
      <c r="V48" s="1590"/>
      <c r="W48" s="1590"/>
      <c r="X48" s="1590"/>
      <c r="Y48" s="1590"/>
      <c r="Z48" s="1590"/>
      <c r="AA48" s="1590"/>
      <c r="AB48" s="1590"/>
      <c r="AC48" s="1590"/>
      <c r="AD48" s="1590"/>
    </row>
    <row r="49" spans="1:30" s="1353" customFormat="1" ht="14.4">
      <c r="A49" s="1508" t="s">
        <v>2885</v>
      </c>
      <c r="B49" s="1501"/>
      <c r="C49" s="1509" t="s">
        <v>2930</v>
      </c>
      <c r="D49" s="1510"/>
      <c r="E49" s="1510"/>
      <c r="F49" s="1510"/>
      <c r="G49" s="1510"/>
      <c r="H49" s="1510"/>
      <c r="I49" s="1510"/>
      <c r="J49" s="1510"/>
      <c r="K49" s="1510"/>
      <c r="L49" s="1560"/>
      <c r="M49" s="1561"/>
      <c r="N49" s="1562"/>
      <c r="O49" s="1562"/>
      <c r="P49" s="2098"/>
      <c r="Q49" s="1588"/>
      <c r="R49" s="1590"/>
      <c r="S49" s="1590"/>
      <c r="T49" s="1590"/>
      <c r="U49" s="1590"/>
      <c r="V49" s="1590"/>
      <c r="W49" s="1590"/>
      <c r="X49" s="1590"/>
      <c r="Y49" s="1590"/>
      <c r="Z49" s="1590"/>
      <c r="AA49" s="1590"/>
      <c r="AB49" s="1590"/>
      <c r="AC49" s="1590"/>
      <c r="AD49" s="1590"/>
    </row>
    <row r="50" spans="1:30" s="1353" customFormat="1">
      <c r="A50" s="1508"/>
      <c r="B50" s="1501"/>
      <c r="C50" s="2089">
        <v>100</v>
      </c>
      <c r="D50" s="1503"/>
      <c r="E50" s="1503"/>
      <c r="F50" s="1503"/>
      <c r="G50" s="1503"/>
      <c r="H50" s="1503"/>
      <c r="I50" s="1503"/>
      <c r="J50" s="1503"/>
      <c r="K50" s="1503"/>
      <c r="L50" s="1503"/>
      <c r="M50" s="1564"/>
      <c r="N50" s="1562"/>
      <c r="O50" s="1562"/>
      <c r="P50" s="1588"/>
      <c r="Q50" s="1588"/>
      <c r="R50" s="1590"/>
      <c r="S50" s="1590"/>
      <c r="T50" s="1590"/>
      <c r="U50" s="1590"/>
      <c r="V50" s="1590"/>
      <c r="W50" s="1590"/>
      <c r="X50" s="1590"/>
      <c r="Y50" s="1590"/>
      <c r="Z50" s="1590"/>
      <c r="AA50" s="1590"/>
      <c r="AB50" s="1590"/>
      <c r="AC50" s="1590"/>
      <c r="AD50" s="1590"/>
    </row>
    <row r="51" spans="1:30" ht="14.4">
      <c r="A51" s="1512" t="s">
        <v>2931</v>
      </c>
      <c r="B51" s="1513" t="s">
        <v>2889</v>
      </c>
      <c r="C51" s="1514" t="str">
        <f>C9</f>
        <v>仓储</v>
      </c>
      <c r="D51" s="1515"/>
      <c r="E51" s="1515"/>
      <c r="F51" s="1515"/>
      <c r="G51" s="1515"/>
      <c r="H51" s="1515"/>
      <c r="I51" s="1515"/>
      <c r="J51" s="1515"/>
      <c r="K51" s="1565"/>
      <c r="L51" s="1566"/>
      <c r="M51" s="1567"/>
      <c r="N51" s="1568"/>
      <c r="O51" s="1568"/>
      <c r="P51" s="2099"/>
      <c r="Q51" s="1588"/>
      <c r="R51" s="1484"/>
      <c r="S51" s="1484"/>
      <c r="T51" s="1484"/>
      <c r="U51" s="1484"/>
      <c r="V51" s="1484"/>
      <c r="W51" s="1484"/>
      <c r="X51" s="1484"/>
      <c r="Y51" s="1484"/>
      <c r="Z51" s="1484"/>
      <c r="AA51" s="1484"/>
      <c r="AB51" s="1484"/>
      <c r="AC51" s="1484"/>
      <c r="AD51" s="1484"/>
    </row>
    <row r="52" spans="1:30">
      <c r="A52" s="1516"/>
      <c r="B52" s="1517"/>
      <c r="C52" s="1518">
        <v>100</v>
      </c>
      <c r="D52" s="1518"/>
      <c r="E52" s="1518"/>
      <c r="F52" s="1518"/>
      <c r="G52" s="1518"/>
      <c r="H52" s="1518"/>
      <c r="I52" s="1518"/>
      <c r="J52" s="1518"/>
      <c r="K52" s="1518"/>
      <c r="L52" s="1518"/>
      <c r="M52" s="1570"/>
      <c r="N52" s="1571"/>
      <c r="O52" s="1571"/>
      <c r="P52" s="2099"/>
      <c r="Q52" s="1588"/>
      <c r="R52" s="1484"/>
      <c r="S52" s="1484"/>
      <c r="T52" s="1484"/>
      <c r="U52" s="1484"/>
      <c r="V52" s="1484"/>
      <c r="W52" s="1484"/>
      <c r="X52" s="1484"/>
      <c r="Y52" s="1484"/>
      <c r="Z52" s="1484"/>
      <c r="AA52" s="1484"/>
      <c r="AB52" s="1484"/>
      <c r="AC52" s="1484"/>
      <c r="AD52" s="1484"/>
    </row>
    <row r="53" spans="1:30" ht="28.8">
      <c r="A53" s="1516"/>
      <c r="B53" s="1597" t="s">
        <v>2893</v>
      </c>
      <c r="C53" s="1598" t="s">
        <v>3326</v>
      </c>
      <c r="D53" s="1598"/>
      <c r="E53" s="1598"/>
      <c r="F53" s="1598"/>
      <c r="G53" s="1598"/>
      <c r="H53" s="1598"/>
      <c r="I53" s="1598"/>
      <c r="J53" s="1598"/>
      <c r="K53" s="1632"/>
      <c r="L53" s="1633"/>
      <c r="M53" s="1634"/>
      <c r="N53" s="1568"/>
      <c r="O53" s="1568"/>
      <c r="P53" s="2099"/>
      <c r="Q53" s="1588"/>
      <c r="R53" s="1484"/>
      <c r="S53" s="1484"/>
      <c r="T53" s="1484"/>
      <c r="U53" s="1484"/>
      <c r="V53" s="1484"/>
      <c r="W53" s="1484"/>
      <c r="X53" s="1484"/>
      <c r="Y53" s="1484"/>
      <c r="Z53" s="1484"/>
      <c r="AA53" s="1484"/>
      <c r="AB53" s="1484"/>
      <c r="AC53" s="1484"/>
      <c r="AD53" s="1484"/>
    </row>
    <row r="54" spans="1:30">
      <c r="A54" s="1516"/>
      <c r="B54" s="1599"/>
      <c r="C54" s="1518"/>
      <c r="D54" s="1518"/>
      <c r="E54" s="1518"/>
      <c r="F54" s="1518"/>
      <c r="G54" s="1518"/>
      <c r="H54" s="1518"/>
      <c r="I54" s="1518"/>
      <c r="J54" s="1518"/>
      <c r="K54" s="1518"/>
      <c r="L54" s="1518"/>
      <c r="M54" s="1570"/>
      <c r="N54" s="1571"/>
      <c r="O54" s="1571"/>
      <c r="P54" s="2099"/>
      <c r="Q54" s="1588"/>
      <c r="R54" s="1484"/>
      <c r="S54" s="1484"/>
      <c r="T54" s="1484"/>
      <c r="U54" s="1484"/>
      <c r="V54" s="1484"/>
      <c r="W54" s="1484"/>
      <c r="X54" s="1484"/>
      <c r="Y54" s="1484"/>
      <c r="Z54" s="1484"/>
      <c r="AA54" s="1484"/>
      <c r="AB54" s="1484"/>
      <c r="AC54" s="1484"/>
      <c r="AD54" s="1484"/>
    </row>
    <row r="55" spans="1:30">
      <c r="A55" s="1516"/>
      <c r="B55" s="1618">
        <f>B11</f>
        <v>111</v>
      </c>
      <c r="C55" s="1603"/>
      <c r="D55" s="1603"/>
      <c r="E55" s="1603"/>
      <c r="F55" s="1603"/>
      <c r="G55" s="1603"/>
      <c r="H55" s="1603"/>
      <c r="I55" s="1603"/>
      <c r="J55" s="1603"/>
      <c r="K55" s="1635"/>
      <c r="L55" s="1636"/>
      <c r="M55" s="1637"/>
      <c r="N55" s="1568"/>
      <c r="O55" s="1568"/>
      <c r="P55" s="2099"/>
      <c r="Q55" s="1588"/>
      <c r="R55" s="1484"/>
      <c r="S55" s="1484"/>
      <c r="T55" s="1484"/>
      <c r="U55" s="1484"/>
      <c r="V55" s="1484"/>
      <c r="W55" s="1484"/>
      <c r="X55" s="1484"/>
      <c r="Y55" s="1484"/>
      <c r="Z55" s="1484"/>
      <c r="AA55" s="1484"/>
      <c r="AB55" s="1484"/>
      <c r="AC55" s="1484"/>
      <c r="AD55" s="1484"/>
    </row>
    <row r="56" spans="1:30">
      <c r="A56" s="1516"/>
      <c r="B56" s="1517"/>
      <c r="C56" s="1608"/>
      <c r="D56" s="1518"/>
      <c r="E56" s="1518"/>
      <c r="F56" s="1518"/>
      <c r="G56" s="1518"/>
      <c r="H56" s="1518"/>
      <c r="I56" s="1518"/>
      <c r="J56" s="1518"/>
      <c r="K56" s="1518"/>
      <c r="L56" s="1518"/>
      <c r="M56" s="1570"/>
      <c r="N56" s="1571"/>
      <c r="O56" s="1571"/>
      <c r="P56" s="2099"/>
      <c r="Q56" s="1588"/>
      <c r="R56" s="1484"/>
      <c r="S56" s="1484"/>
      <c r="T56" s="1484"/>
      <c r="U56" s="1484"/>
      <c r="V56" s="1484"/>
      <c r="W56" s="1484"/>
      <c r="X56" s="1484"/>
      <c r="Y56" s="1484"/>
      <c r="Z56" s="1484"/>
      <c r="AA56" s="1484"/>
      <c r="AB56" s="1484"/>
      <c r="AC56" s="1484"/>
      <c r="AD56" s="1484"/>
    </row>
    <row r="57" spans="1:30" s="1355" customFormat="1">
      <c r="A57" s="1605"/>
      <c r="B57" s="1597">
        <f>B12</f>
        <v>111</v>
      </c>
      <c r="C57" s="1603"/>
      <c r="D57" s="1603"/>
      <c r="E57" s="1603"/>
      <c r="F57" s="1603"/>
      <c r="G57" s="1606"/>
      <c r="H57" s="1607"/>
      <c r="I57" s="1607"/>
      <c r="J57" s="1607"/>
      <c r="K57" s="1607"/>
      <c r="L57" s="1639"/>
      <c r="M57" s="1640"/>
      <c r="N57" s="1641"/>
      <c r="O57" s="1641"/>
      <c r="P57" s="2100"/>
      <c r="Q57" s="1671"/>
      <c r="R57" s="1672"/>
      <c r="S57" s="1672"/>
      <c r="T57" s="1672"/>
      <c r="U57" s="1672"/>
      <c r="V57" s="1672"/>
      <c r="W57" s="1672"/>
      <c r="X57" s="1672"/>
      <c r="Y57" s="1672"/>
      <c r="Z57" s="1672"/>
      <c r="AA57" s="1672"/>
      <c r="AB57" s="1672"/>
      <c r="AC57" s="1672"/>
      <c r="AD57" s="1672"/>
    </row>
    <row r="58" spans="1:30" s="1355" customFormat="1">
      <c r="A58" s="1605"/>
      <c r="B58" s="1599"/>
      <c r="C58" s="1608"/>
      <c r="D58" s="1518"/>
      <c r="E58" s="1518"/>
      <c r="F58" s="1518"/>
      <c r="G58" s="1518"/>
      <c r="H58" s="1518"/>
      <c r="I58" s="1518"/>
      <c r="J58" s="1518"/>
      <c r="K58" s="1518"/>
      <c r="L58" s="1518"/>
      <c r="M58" s="1570"/>
      <c r="N58" s="1571"/>
      <c r="O58" s="1571"/>
      <c r="P58" s="2100"/>
      <c r="Q58" s="1671"/>
      <c r="R58" s="1672"/>
      <c r="S58" s="1672"/>
      <c r="T58" s="1672"/>
      <c r="U58" s="1672"/>
      <c r="V58" s="1672"/>
      <c r="W58" s="1672"/>
      <c r="X58" s="1672"/>
      <c r="Y58" s="1672"/>
      <c r="Z58" s="1672"/>
      <c r="AA58" s="1672"/>
      <c r="AB58" s="1672"/>
      <c r="AC58" s="1672"/>
      <c r="AD58" s="1672"/>
    </row>
    <row r="59" spans="1:30" s="1355" customFormat="1">
      <c r="A59" s="1605"/>
      <c r="B59" s="1597">
        <f>B13</f>
        <v>111</v>
      </c>
      <c r="C59" s="1603"/>
      <c r="D59" s="1603"/>
      <c r="E59" s="1603"/>
      <c r="F59" s="1603"/>
      <c r="G59" s="1606"/>
      <c r="H59" s="1607"/>
      <c r="I59" s="1607"/>
      <c r="J59" s="1607"/>
      <c r="K59" s="1607"/>
      <c r="L59" s="1639"/>
      <c r="M59" s="1640"/>
      <c r="N59" s="1641"/>
      <c r="O59" s="1641"/>
      <c r="P59" s="1541"/>
      <c r="Q59" s="1673"/>
      <c r="R59" s="1672"/>
      <c r="S59" s="1672"/>
      <c r="T59" s="1672"/>
      <c r="U59" s="1672"/>
      <c r="V59" s="1672"/>
      <c r="W59" s="1672"/>
      <c r="X59" s="1672"/>
      <c r="Y59" s="1672"/>
      <c r="Z59" s="1672"/>
      <c r="AA59" s="1672"/>
      <c r="AB59" s="1672"/>
      <c r="AC59" s="1672"/>
      <c r="AD59" s="1672"/>
    </row>
    <row r="60" spans="1:30" s="1355" customFormat="1">
      <c r="A60" s="1605"/>
      <c r="B60" s="1599"/>
      <c r="C60" s="1608"/>
      <c r="D60" s="1608"/>
      <c r="E60" s="1608"/>
      <c r="F60" s="1608"/>
      <c r="G60" s="1608"/>
      <c r="H60" s="1609"/>
      <c r="I60" s="1609"/>
      <c r="J60" s="1609"/>
      <c r="K60" s="1609"/>
      <c r="L60" s="1609"/>
      <c r="M60" s="1644"/>
      <c r="N60" s="1641"/>
      <c r="O60" s="1641"/>
      <c r="P60" s="2100"/>
      <c r="Q60" s="1671"/>
      <c r="R60" s="1672"/>
      <c r="S60" s="1672"/>
      <c r="T60" s="1672"/>
      <c r="U60" s="1672"/>
      <c r="V60" s="1672"/>
      <c r="W60" s="1672"/>
      <c r="X60" s="1672"/>
      <c r="Y60" s="1672"/>
      <c r="Z60" s="1672"/>
      <c r="AA60" s="1672"/>
      <c r="AB60" s="1672"/>
      <c r="AC60" s="1672"/>
      <c r="AD60" s="1672"/>
    </row>
    <row r="61" spans="1:30" ht="14.4">
      <c r="A61" s="1512" t="s">
        <v>2895</v>
      </c>
      <c r="B61" s="1513" t="s">
        <v>2896</v>
      </c>
      <c r="C61" s="1615" t="s">
        <v>2933</v>
      </c>
      <c r="D61" s="1615" t="s">
        <v>2934</v>
      </c>
      <c r="E61" s="1615" t="s">
        <v>2935</v>
      </c>
      <c r="F61" s="1615" t="s">
        <v>2936</v>
      </c>
      <c r="G61" s="1615" t="s">
        <v>2937</v>
      </c>
      <c r="H61" s="1514"/>
      <c r="I61" s="1514"/>
      <c r="J61" s="1514"/>
      <c r="K61" s="1649"/>
      <c r="L61" s="1650"/>
      <c r="M61" s="1651"/>
      <c r="N61" s="1568"/>
      <c r="O61" s="1568"/>
      <c r="P61" s="2102"/>
      <c r="Q61" s="1588"/>
      <c r="R61" s="1484"/>
      <c r="S61" s="1484"/>
      <c r="T61" s="1484"/>
      <c r="U61" s="1484"/>
      <c r="V61" s="1484"/>
      <c r="W61" s="1484"/>
      <c r="X61" s="1484"/>
      <c r="Y61" s="1484"/>
      <c r="Z61" s="1484"/>
      <c r="AA61" s="1484"/>
      <c r="AB61" s="1484"/>
      <c r="AC61" s="1484"/>
      <c r="AD61" s="1484"/>
    </row>
    <row r="62" spans="1:30">
      <c r="A62" s="1516"/>
      <c r="B62" s="1599"/>
      <c r="C62" s="1604">
        <v>100</v>
      </c>
      <c r="D62" s="1604">
        <f>C62-$K14</f>
        <v>97</v>
      </c>
      <c r="E62" s="1604">
        <f>D62-$K14</f>
        <v>94</v>
      </c>
      <c r="F62" s="1604">
        <f>E62-$K14</f>
        <v>91</v>
      </c>
      <c r="G62" s="1604">
        <f>F62-$K14</f>
        <v>88</v>
      </c>
      <c r="H62" s="1604"/>
      <c r="I62" s="1604"/>
      <c r="J62" s="1604"/>
      <c r="K62" s="1604"/>
      <c r="L62" s="1604"/>
      <c r="M62" s="1638"/>
      <c r="N62" s="1571"/>
      <c r="O62" s="1571"/>
      <c r="P62" s="2099"/>
      <c r="Q62" s="1588"/>
      <c r="R62" s="1484"/>
      <c r="S62" s="1484"/>
      <c r="T62" s="1484"/>
      <c r="U62" s="1484"/>
      <c r="V62" s="1484"/>
      <c r="W62" s="1484"/>
      <c r="X62" s="1484"/>
      <c r="Y62" s="1484"/>
      <c r="Z62" s="1484"/>
      <c r="AA62" s="1484"/>
      <c r="AB62" s="1484"/>
      <c r="AC62" s="1484"/>
      <c r="AD62" s="1484"/>
    </row>
    <row r="63" spans="1:30" ht="28.8">
      <c r="A63" s="1516"/>
      <c r="B63" s="1597" t="s">
        <v>3327</v>
      </c>
      <c r="C63" s="1616" t="s">
        <v>2933</v>
      </c>
      <c r="D63" s="1616" t="s">
        <v>2934</v>
      </c>
      <c r="E63" s="1616" t="s">
        <v>2935</v>
      </c>
      <c r="F63" s="1616" t="s">
        <v>2936</v>
      </c>
      <c r="G63" s="1616" t="s">
        <v>2937</v>
      </c>
      <c r="H63" s="1617"/>
      <c r="I63" s="1617"/>
      <c r="J63" s="1617"/>
      <c r="K63" s="1653"/>
      <c r="L63" s="1654"/>
      <c r="M63" s="1655"/>
      <c r="N63" s="1568"/>
      <c r="O63" s="1568"/>
      <c r="P63" s="2099"/>
      <c r="Q63" s="1588"/>
      <c r="R63" s="1484"/>
      <c r="S63" s="1484"/>
      <c r="T63" s="1484"/>
      <c r="U63" s="1484"/>
      <c r="V63" s="1484"/>
      <c r="W63" s="1484"/>
      <c r="X63" s="1484"/>
      <c r="Y63" s="1484"/>
      <c r="Z63" s="1484"/>
      <c r="AA63" s="1484"/>
      <c r="AB63" s="1484"/>
      <c r="AC63" s="1484"/>
      <c r="AD63" s="1484"/>
    </row>
    <row r="64" spans="1:30">
      <c r="A64" s="1516"/>
      <c r="B64" s="1599"/>
      <c r="C64" s="1604">
        <v>100</v>
      </c>
      <c r="D64" s="1604">
        <f>C64-$K16</f>
        <v>98</v>
      </c>
      <c r="E64" s="1604">
        <f>D64-$K16</f>
        <v>96</v>
      </c>
      <c r="F64" s="1604">
        <f>E64-$K16</f>
        <v>94</v>
      </c>
      <c r="G64" s="1604">
        <f>F64-$K16</f>
        <v>92</v>
      </c>
      <c r="H64" s="1604"/>
      <c r="I64" s="1604"/>
      <c r="J64" s="1604"/>
      <c r="K64" s="1604"/>
      <c r="L64" s="1604"/>
      <c r="M64" s="1638"/>
      <c r="N64" s="1571"/>
      <c r="O64" s="1571"/>
      <c r="P64" s="2099"/>
      <c r="Q64" s="1588"/>
      <c r="R64" s="1484"/>
      <c r="S64" s="1484"/>
      <c r="T64" s="1484"/>
      <c r="U64" s="1484"/>
      <c r="V64" s="1484"/>
      <c r="W64" s="1484"/>
      <c r="X64" s="1484"/>
      <c r="Y64" s="1484"/>
      <c r="Z64" s="1484"/>
      <c r="AA64" s="1484"/>
      <c r="AB64" s="1484"/>
      <c r="AC64" s="1484"/>
      <c r="AD64" s="1484"/>
    </row>
    <row r="65" spans="1:30" ht="14.4">
      <c r="A65" s="1516"/>
      <c r="B65" s="1600" t="s">
        <v>2901</v>
      </c>
      <c r="C65" s="1618" t="s">
        <v>2938</v>
      </c>
      <c r="D65" s="1618" t="s">
        <v>2939</v>
      </c>
      <c r="E65" s="1618" t="s">
        <v>2940</v>
      </c>
      <c r="F65" s="1618" t="s">
        <v>2941</v>
      </c>
      <c r="G65" s="1618" t="s">
        <v>2942</v>
      </c>
      <c r="H65" s="1617"/>
      <c r="I65" s="1617"/>
      <c r="J65" s="1617"/>
      <c r="K65" s="1617"/>
      <c r="L65" s="1617"/>
      <c r="M65" s="1656"/>
      <c r="N65" s="1571"/>
      <c r="O65" s="1571"/>
      <c r="P65" s="2099"/>
      <c r="Q65" s="1588"/>
      <c r="R65" s="1484"/>
      <c r="S65" s="1484"/>
      <c r="T65" s="1484"/>
      <c r="U65" s="1484"/>
      <c r="V65" s="1484"/>
      <c r="W65" s="1484"/>
      <c r="X65" s="1484"/>
      <c r="Y65" s="1484"/>
      <c r="Z65" s="1484"/>
      <c r="AA65" s="1484"/>
      <c r="AB65" s="1484"/>
      <c r="AC65" s="1484"/>
      <c r="AD65" s="1484"/>
    </row>
    <row r="66" spans="1:30">
      <c r="A66" s="1516"/>
      <c r="B66" s="1600"/>
      <c r="C66" s="1604">
        <v>100</v>
      </c>
      <c r="D66" s="1604">
        <f>C66-$K18</f>
        <v>99</v>
      </c>
      <c r="E66" s="1604">
        <f>D66-$K18</f>
        <v>98</v>
      </c>
      <c r="F66" s="1604">
        <f>E66-$K18</f>
        <v>97</v>
      </c>
      <c r="G66" s="1604">
        <f>F66-$K18</f>
        <v>96</v>
      </c>
      <c r="H66" s="1618"/>
      <c r="I66" s="1618"/>
      <c r="J66" s="1618"/>
      <c r="K66" s="1618"/>
      <c r="L66" s="1618"/>
      <c r="M66" s="1431"/>
      <c r="N66" s="1571"/>
      <c r="O66" s="1571"/>
      <c r="P66" s="2099"/>
      <c r="Q66" s="1588"/>
      <c r="R66" s="1484"/>
      <c r="S66" s="1484"/>
      <c r="T66" s="1484"/>
      <c r="U66" s="1484"/>
      <c r="V66" s="1484"/>
      <c r="W66" s="1484"/>
      <c r="X66" s="1484"/>
      <c r="Y66" s="1484"/>
      <c r="Z66" s="1484"/>
      <c r="AA66" s="1484"/>
      <c r="AB66" s="1484"/>
      <c r="AC66" s="1484"/>
      <c r="AD66" s="1484"/>
    </row>
    <row r="67" spans="1:30" ht="14.4">
      <c r="A67" s="1516"/>
      <c r="B67" s="1597" t="s">
        <v>2902</v>
      </c>
      <c r="C67" s="1616" t="s">
        <v>2933</v>
      </c>
      <c r="D67" s="1616" t="s">
        <v>2934</v>
      </c>
      <c r="E67" s="1616" t="s">
        <v>2935</v>
      </c>
      <c r="F67" s="1616" t="s">
        <v>2936</v>
      </c>
      <c r="G67" s="1616" t="s">
        <v>2937</v>
      </c>
      <c r="H67" s="1617"/>
      <c r="I67" s="1617"/>
      <c r="J67" s="1617"/>
      <c r="K67" s="1653"/>
      <c r="L67" s="1654"/>
      <c r="M67" s="1655"/>
      <c r="N67" s="1568"/>
      <c r="O67" s="1568"/>
      <c r="P67" s="2099"/>
      <c r="Q67" s="1588"/>
      <c r="R67" s="1484"/>
      <c r="S67" s="1484"/>
      <c r="T67" s="1484"/>
      <c r="U67" s="1484"/>
      <c r="V67" s="1484"/>
      <c r="W67" s="1484"/>
      <c r="X67" s="1484"/>
      <c r="Y67" s="1484"/>
      <c r="Z67" s="1484"/>
      <c r="AA67" s="1484"/>
      <c r="AB67" s="1484"/>
      <c r="AC67" s="1484"/>
      <c r="AD67" s="1484"/>
    </row>
    <row r="68" spans="1:30">
      <c r="A68" s="1516"/>
      <c r="B68" s="1599"/>
      <c r="C68" s="1604">
        <v>100</v>
      </c>
      <c r="D68" s="1604">
        <f>C68-$K20</f>
        <v>98</v>
      </c>
      <c r="E68" s="1604">
        <f>D68-$K20</f>
        <v>96</v>
      </c>
      <c r="F68" s="1604">
        <f>E68-$K20</f>
        <v>94</v>
      </c>
      <c r="G68" s="1604">
        <f>F68-$K20</f>
        <v>92</v>
      </c>
      <c r="H68" s="1604"/>
      <c r="I68" s="1604"/>
      <c r="J68" s="1604"/>
      <c r="K68" s="1604"/>
      <c r="L68" s="1604"/>
      <c r="M68" s="1638"/>
      <c r="N68" s="1571"/>
      <c r="O68" s="1571"/>
      <c r="P68" s="2099"/>
      <c r="Q68" s="1588"/>
      <c r="R68" s="1484"/>
      <c r="S68" s="1484"/>
      <c r="T68" s="1484"/>
      <c r="U68" s="1484"/>
      <c r="V68" s="1484"/>
      <c r="W68" s="1484"/>
      <c r="X68" s="1484"/>
      <c r="Y68" s="1484"/>
      <c r="Z68" s="1484"/>
      <c r="AA68" s="1484"/>
      <c r="AB68" s="1484"/>
      <c r="AC68" s="1484"/>
      <c r="AD68" s="1484"/>
    </row>
    <row r="69" spans="1:30" ht="14.4">
      <c r="A69" s="1516"/>
      <c r="B69" s="1597" t="s">
        <v>2903</v>
      </c>
      <c r="C69" s="1606"/>
      <c r="D69" s="1606"/>
      <c r="E69" s="1606"/>
      <c r="F69" s="1606"/>
      <c r="G69" s="1606"/>
      <c r="H69" s="1598"/>
      <c r="I69" s="1598"/>
      <c r="J69" s="1598"/>
      <c r="K69" s="1632"/>
      <c r="L69" s="1633"/>
      <c r="M69" s="1634"/>
      <c r="N69" s="1568"/>
      <c r="O69" s="1568"/>
      <c r="P69" s="2099"/>
      <c r="Q69" s="1588"/>
      <c r="R69" s="1484"/>
      <c r="S69" s="1484"/>
      <c r="T69" s="1484"/>
      <c r="U69" s="1484"/>
      <c r="V69" s="1484"/>
      <c r="W69" s="1484"/>
      <c r="X69" s="1484"/>
      <c r="Y69" s="1484"/>
      <c r="Z69" s="1484"/>
      <c r="AA69" s="1484"/>
      <c r="AB69" s="1484"/>
      <c r="AC69" s="1484"/>
      <c r="AD69" s="1484"/>
    </row>
    <row r="70" spans="1:30">
      <c r="A70" s="1516"/>
      <c r="B70" s="1599"/>
      <c r="C70" s="1604">
        <v>100</v>
      </c>
      <c r="D70" s="1604">
        <f>C70-$K22</f>
        <v>100</v>
      </c>
      <c r="E70" s="1604"/>
      <c r="F70" s="1604"/>
      <c r="G70" s="1604"/>
      <c r="H70" s="1604"/>
      <c r="I70" s="1604"/>
      <c r="J70" s="1604"/>
      <c r="K70" s="1604"/>
      <c r="L70" s="1604"/>
      <c r="M70" s="1638"/>
      <c r="N70" s="1571"/>
      <c r="O70" s="1571"/>
      <c r="P70" s="2099"/>
      <c r="Q70" s="1588"/>
      <c r="R70" s="1484"/>
      <c r="S70" s="1484"/>
      <c r="T70" s="1484"/>
      <c r="U70" s="1484"/>
      <c r="V70" s="1484"/>
      <c r="W70" s="1484"/>
      <c r="X70" s="1484"/>
      <c r="Y70" s="1484"/>
      <c r="Z70" s="1484"/>
      <c r="AA70" s="1484"/>
      <c r="AB70" s="1484"/>
      <c r="AC70" s="1484"/>
      <c r="AD70" s="1484"/>
    </row>
    <row r="71" spans="1:30" s="1353" customFormat="1">
      <c r="A71" s="1619"/>
      <c r="B71" s="1597">
        <f>B23</f>
        <v>111</v>
      </c>
      <c r="C71" s="1603"/>
      <c r="D71" s="1603"/>
      <c r="E71" s="1603"/>
      <c r="F71" s="1603"/>
      <c r="G71" s="1606"/>
      <c r="H71" s="1606"/>
      <c r="I71" s="1606"/>
      <c r="J71" s="1606"/>
      <c r="K71" s="1606"/>
      <c r="L71" s="1657"/>
      <c r="M71" s="1658"/>
      <c r="N71" s="1562"/>
      <c r="O71" s="1562"/>
      <c r="P71" s="2099"/>
      <c r="Q71" s="1588"/>
      <c r="R71" s="1590"/>
      <c r="S71" s="1590"/>
      <c r="T71" s="1590"/>
      <c r="U71" s="1590"/>
      <c r="V71" s="1590"/>
      <c r="W71" s="1590"/>
      <c r="X71" s="1590"/>
      <c r="Y71" s="1590"/>
      <c r="Z71" s="1590"/>
      <c r="AA71" s="1590"/>
      <c r="AB71" s="1590"/>
      <c r="AC71" s="1590"/>
      <c r="AD71" s="1590"/>
    </row>
    <row r="72" spans="1:30" s="1353" customFormat="1">
      <c r="A72" s="1619"/>
      <c r="B72" s="1599"/>
      <c r="C72" s="1608"/>
      <c r="D72" s="1518"/>
      <c r="E72" s="1518"/>
      <c r="F72" s="1518"/>
      <c r="G72" s="1518"/>
      <c r="H72" s="1518"/>
      <c r="I72" s="1518"/>
      <c r="J72" s="1518"/>
      <c r="K72" s="1518"/>
      <c r="L72" s="1518"/>
      <c r="M72" s="1570"/>
      <c r="N72" s="1571"/>
      <c r="O72" s="1571"/>
      <c r="P72" s="2099"/>
      <c r="Q72" s="1588"/>
      <c r="R72" s="1590"/>
      <c r="S72" s="1590"/>
      <c r="T72" s="1590"/>
      <c r="U72" s="1590"/>
      <c r="V72" s="1590"/>
      <c r="W72" s="1590"/>
      <c r="X72" s="1590"/>
      <c r="Y72" s="1590"/>
      <c r="Z72" s="1590"/>
      <c r="AA72" s="1590"/>
      <c r="AB72" s="1590"/>
      <c r="AC72" s="1590"/>
      <c r="AD72" s="1590"/>
    </row>
    <row r="73" spans="1:30" s="1353" customFormat="1">
      <c r="A73" s="1619"/>
      <c r="B73" s="1597">
        <f>B24</f>
        <v>111</v>
      </c>
      <c r="C73" s="1603"/>
      <c r="D73" s="1603"/>
      <c r="E73" s="1603"/>
      <c r="F73" s="1603"/>
      <c r="G73" s="1606"/>
      <c r="H73" s="1606"/>
      <c r="I73" s="1606"/>
      <c r="J73" s="1606"/>
      <c r="K73" s="1606"/>
      <c r="L73" s="1606"/>
      <c r="M73" s="1658"/>
      <c r="N73" s="1562"/>
      <c r="O73" s="1562"/>
      <c r="P73" s="2099"/>
      <c r="Q73" s="1588"/>
      <c r="R73" s="1590"/>
      <c r="S73" s="1590"/>
      <c r="T73" s="1590"/>
      <c r="U73" s="1590"/>
      <c r="V73" s="1590"/>
      <c r="W73" s="1590"/>
      <c r="X73" s="1590"/>
      <c r="Y73" s="1590"/>
      <c r="Z73" s="1590"/>
      <c r="AA73" s="1590"/>
      <c r="AB73" s="1590"/>
      <c r="AC73" s="1590"/>
      <c r="AD73" s="1590"/>
    </row>
    <row r="74" spans="1:30" s="1353" customFormat="1">
      <c r="A74" s="1619"/>
      <c r="B74" s="1599"/>
      <c r="C74" s="1608"/>
      <c r="D74" s="1518"/>
      <c r="E74" s="1518"/>
      <c r="F74" s="1518"/>
      <c r="G74" s="1518"/>
      <c r="H74" s="1518"/>
      <c r="I74" s="1518"/>
      <c r="J74" s="1518"/>
      <c r="K74" s="1518"/>
      <c r="L74" s="1518"/>
      <c r="M74" s="1570"/>
      <c r="N74" s="1571"/>
      <c r="O74" s="1571"/>
      <c r="P74" s="2099"/>
      <c r="Q74" s="1588"/>
      <c r="R74" s="1590"/>
      <c r="S74" s="1590"/>
      <c r="T74" s="1590"/>
      <c r="U74" s="1590"/>
      <c r="V74" s="1590"/>
      <c r="W74" s="1590"/>
      <c r="X74" s="1590"/>
      <c r="Y74" s="1590"/>
      <c r="Z74" s="1590"/>
      <c r="AA74" s="1590"/>
      <c r="AB74" s="1590"/>
      <c r="AC74" s="1590"/>
      <c r="AD74" s="1590"/>
    </row>
    <row r="75" spans="1:30" s="1355" customFormat="1">
      <c r="A75" s="1605"/>
      <c r="B75" s="1597">
        <f>B25</f>
        <v>111</v>
      </c>
      <c r="C75" s="1603"/>
      <c r="D75" s="1603"/>
      <c r="E75" s="1603"/>
      <c r="F75" s="1603"/>
      <c r="G75" s="1606"/>
      <c r="H75" s="1607"/>
      <c r="I75" s="1607"/>
      <c r="J75" s="1607"/>
      <c r="K75" s="1607"/>
      <c r="L75" s="1639"/>
      <c r="M75" s="1640"/>
      <c r="N75" s="1641"/>
      <c r="O75" s="1641"/>
      <c r="P75" s="2100"/>
      <c r="Q75" s="1671"/>
      <c r="R75" s="1672"/>
      <c r="S75" s="1672"/>
      <c r="T75" s="1672"/>
      <c r="U75" s="1672"/>
      <c r="V75" s="1672"/>
      <c r="W75" s="1672"/>
      <c r="X75" s="1672"/>
      <c r="Y75" s="1672"/>
      <c r="Z75" s="1672"/>
      <c r="AA75" s="1672"/>
      <c r="AB75" s="1672"/>
      <c r="AC75" s="1672"/>
      <c r="AD75" s="1672"/>
    </row>
    <row r="76" spans="1:30" s="1355" customFormat="1">
      <c r="A76" s="1605"/>
      <c r="B76" s="1599"/>
      <c r="C76" s="1608"/>
      <c r="D76" s="1608"/>
      <c r="E76" s="1608"/>
      <c r="F76" s="1608"/>
      <c r="G76" s="1518"/>
      <c r="H76" s="1518"/>
      <c r="I76" s="1518"/>
      <c r="J76" s="1518"/>
      <c r="K76" s="1518"/>
      <c r="L76" s="1518"/>
      <c r="M76" s="1570"/>
      <c r="N76" s="1641"/>
      <c r="O76" s="1641"/>
      <c r="P76" s="2100"/>
      <c r="Q76" s="1671"/>
      <c r="R76" s="1672"/>
      <c r="S76" s="1672"/>
      <c r="T76" s="1672"/>
      <c r="U76" s="1672"/>
      <c r="V76" s="1672"/>
      <c r="W76" s="1672"/>
      <c r="X76" s="1672"/>
      <c r="Y76" s="1672"/>
      <c r="Z76" s="1672"/>
      <c r="AA76" s="1672"/>
      <c r="AB76" s="1672"/>
      <c r="AC76" s="1672"/>
      <c r="AD76" s="1672"/>
    </row>
    <row r="77" spans="1:30" ht="14.4">
      <c r="A77" s="1512" t="s">
        <v>2904</v>
      </c>
      <c r="B77" s="1513" t="s">
        <v>2912</v>
      </c>
      <c r="C77" s="1630" t="s">
        <v>2913</v>
      </c>
      <c r="D77" s="1606"/>
      <c r="E77" s="1515"/>
      <c r="F77" s="1515"/>
      <c r="G77" s="1515"/>
      <c r="H77" s="1515"/>
      <c r="I77" s="1515"/>
      <c r="J77" s="1515"/>
      <c r="K77" s="1565"/>
      <c r="L77" s="1566"/>
      <c r="M77" s="1567"/>
      <c r="N77" s="1568"/>
      <c r="O77" s="1568"/>
      <c r="P77" s="2099"/>
      <c r="Q77" s="1588"/>
      <c r="R77" s="1484"/>
      <c r="S77" s="1484"/>
      <c r="T77" s="1484"/>
      <c r="U77" s="1484"/>
      <c r="V77" s="1484"/>
      <c r="W77" s="1484"/>
      <c r="X77" s="1484"/>
      <c r="Y77" s="1484"/>
      <c r="Z77" s="1484"/>
      <c r="AA77" s="1484"/>
      <c r="AB77" s="1484"/>
      <c r="AC77" s="1484"/>
      <c r="AD77" s="1484"/>
    </row>
    <row r="78" spans="1:30">
      <c r="A78" s="1516"/>
      <c r="B78" s="1599"/>
      <c r="C78" s="1604">
        <v>100</v>
      </c>
      <c r="D78" s="1604">
        <f t="shared" ref="D78:M78" si="17">C78-$K26</f>
        <v>98</v>
      </c>
      <c r="E78" s="1604">
        <f t="shared" si="17"/>
        <v>96</v>
      </c>
      <c r="F78" s="1604">
        <f t="shared" si="17"/>
        <v>94</v>
      </c>
      <c r="G78" s="1604">
        <f t="shared" si="17"/>
        <v>92</v>
      </c>
      <c r="H78" s="1604">
        <f t="shared" si="17"/>
        <v>90</v>
      </c>
      <c r="I78" s="1604">
        <f t="shared" si="17"/>
        <v>88</v>
      </c>
      <c r="J78" s="1604">
        <f t="shared" si="17"/>
        <v>86</v>
      </c>
      <c r="K78" s="1604">
        <f t="shared" si="17"/>
        <v>84</v>
      </c>
      <c r="L78" s="1604">
        <f t="shared" si="17"/>
        <v>82</v>
      </c>
      <c r="M78" s="1638">
        <f t="shared" si="17"/>
        <v>80</v>
      </c>
      <c r="N78" s="1571"/>
      <c r="O78" s="1571"/>
      <c r="P78" s="2099"/>
      <c r="Q78" s="1588"/>
      <c r="R78" s="1484"/>
      <c r="S78" s="1484"/>
      <c r="T78" s="1484"/>
      <c r="U78" s="1484"/>
      <c r="V78" s="1484"/>
      <c r="W78" s="1484"/>
      <c r="X78" s="1484"/>
      <c r="Y78" s="1484"/>
      <c r="Z78" s="1484"/>
      <c r="AA78" s="1484"/>
      <c r="AB78" s="1484"/>
      <c r="AC78" s="1484"/>
      <c r="AD78" s="1484"/>
    </row>
    <row r="79" spans="1:30" ht="14.4">
      <c r="A79" s="1516"/>
      <c r="B79" s="1597" t="s">
        <v>2914</v>
      </c>
      <c r="C79" s="1616" t="str">
        <f>C80&amp;"(含)"&amp;"-"&amp;D80</f>
        <v>0.5(含)-0.6</v>
      </c>
      <c r="D79" s="1616" t="str">
        <f>D80&amp;"(含)"&amp;"-"&amp;E80</f>
        <v>0.6(含)-0.7</v>
      </c>
      <c r="E79" s="1616" t="str">
        <f>E80&amp;"(含)"&amp;"-"&amp;F80</f>
        <v>0.7(含)-0.8</v>
      </c>
      <c r="F79" s="1616" t="str">
        <f>F80&amp;"(含)"&amp;"-"&amp;G80</f>
        <v>0.8(含)-0.9</v>
      </c>
      <c r="G79" s="1616" t="str">
        <f>G80&amp;"(含)"&amp;"-"&amp;ROUND(H80,0)&amp;"(含)"</f>
        <v>0.9(含)-1(含)</v>
      </c>
      <c r="H79" s="1616"/>
      <c r="I79" s="1617"/>
      <c r="J79" s="1617"/>
      <c r="K79" s="1653"/>
      <c r="L79" s="1654"/>
      <c r="M79" s="1655"/>
      <c r="N79" s="1562"/>
      <c r="O79" s="1562"/>
      <c r="P79" s="2099"/>
      <c r="Q79" s="1588"/>
      <c r="R79" s="1484"/>
      <c r="S79" s="1484"/>
      <c r="T79" s="1484"/>
      <c r="U79" s="1484"/>
      <c r="V79" s="1484"/>
      <c r="W79" s="1484"/>
      <c r="X79" s="1484"/>
      <c r="Y79" s="1484"/>
      <c r="Z79" s="1484"/>
      <c r="AA79" s="1484"/>
      <c r="AB79" s="1484"/>
      <c r="AC79" s="1484"/>
      <c r="AD79" s="1484"/>
    </row>
    <row r="80" spans="1:30">
      <c r="A80" s="1516"/>
      <c r="B80" s="1600"/>
      <c r="C80" s="1251">
        <v>0.5</v>
      </c>
      <c r="D80" s="1251">
        <v>0.6</v>
      </c>
      <c r="E80" s="1251">
        <v>0.7</v>
      </c>
      <c r="F80" s="1251">
        <v>0.8</v>
      </c>
      <c r="G80" s="1251">
        <v>0.9</v>
      </c>
      <c r="H80" s="1251">
        <v>1.0001</v>
      </c>
      <c r="I80" s="1618"/>
      <c r="J80" s="1618"/>
      <c r="K80" s="2499"/>
      <c r="L80" s="2500"/>
      <c r="M80" s="2501"/>
      <c r="N80" s="1562"/>
      <c r="O80" s="1562"/>
      <c r="P80" s="2099"/>
      <c r="Q80" s="1588"/>
      <c r="R80" s="1484"/>
      <c r="S80" s="1484"/>
      <c r="T80" s="1484"/>
      <c r="U80" s="1484"/>
      <c r="V80" s="1484"/>
      <c r="W80" s="1484"/>
      <c r="X80" s="1484"/>
      <c r="Y80" s="1484"/>
      <c r="Z80" s="1484"/>
      <c r="AA80" s="1484"/>
      <c r="AB80" s="1484"/>
      <c r="AC80" s="1484"/>
      <c r="AD80" s="1484"/>
    </row>
    <row r="81" spans="1:30" s="1355" customFormat="1">
      <c r="A81" s="1605"/>
      <c r="B81" s="1599"/>
      <c r="C81" s="1620">
        <v>100</v>
      </c>
      <c r="D81" s="1604">
        <f t="shared" ref="D81:M81" si="18">C81+$K27</f>
        <v>102</v>
      </c>
      <c r="E81" s="1604">
        <f t="shared" si="18"/>
        <v>104</v>
      </c>
      <c r="F81" s="1604">
        <f t="shared" si="18"/>
        <v>106</v>
      </c>
      <c r="G81" s="1604">
        <f t="shared" si="18"/>
        <v>108</v>
      </c>
      <c r="H81" s="1604">
        <f t="shared" si="18"/>
        <v>110</v>
      </c>
      <c r="I81" s="1604">
        <f t="shared" si="18"/>
        <v>112</v>
      </c>
      <c r="J81" s="1604">
        <f t="shared" si="18"/>
        <v>114</v>
      </c>
      <c r="K81" s="1604">
        <f t="shared" si="18"/>
        <v>116</v>
      </c>
      <c r="L81" s="1604">
        <f t="shared" si="18"/>
        <v>118</v>
      </c>
      <c r="M81" s="1604">
        <f t="shared" si="18"/>
        <v>120</v>
      </c>
      <c r="N81" s="1571"/>
      <c r="O81" s="1571"/>
      <c r="P81" s="2100"/>
      <c r="Q81" s="1671"/>
      <c r="R81" s="1672"/>
      <c r="S81" s="1672"/>
      <c r="T81" s="1672"/>
      <c r="U81" s="1672"/>
      <c r="V81" s="1672"/>
      <c r="W81" s="1672"/>
      <c r="X81" s="1672"/>
      <c r="Y81" s="1672"/>
      <c r="Z81" s="1672"/>
      <c r="AA81" s="1672"/>
      <c r="AB81" s="1672"/>
      <c r="AC81" s="1672"/>
      <c r="AD81" s="1672"/>
    </row>
    <row r="82" spans="1:30" ht="14.4">
      <c r="A82" s="1629"/>
      <c r="B82" s="1600" t="s">
        <v>2915</v>
      </c>
      <c r="C82" s="1606"/>
      <c r="D82" s="1606"/>
      <c r="E82" s="1598"/>
      <c r="F82" s="1598"/>
      <c r="G82" s="1598"/>
      <c r="H82" s="1598"/>
      <c r="I82" s="1598"/>
      <c r="J82" s="1598"/>
      <c r="K82" s="1632"/>
      <c r="L82" s="1633"/>
      <c r="M82" s="1634"/>
      <c r="N82" s="1568"/>
      <c r="O82" s="1568"/>
      <c r="P82" s="2099"/>
      <c r="Q82" s="1588"/>
      <c r="R82" s="1484"/>
      <c r="S82" s="1484"/>
      <c r="T82" s="1484"/>
      <c r="U82" s="1484"/>
      <c r="V82" s="1484"/>
      <c r="W82" s="1484"/>
      <c r="X82" s="1484"/>
      <c r="Y82" s="1484"/>
      <c r="Z82" s="1484"/>
      <c r="AA82" s="1484"/>
      <c r="AB82" s="1484"/>
      <c r="AC82" s="1484"/>
      <c r="AD82" s="1484"/>
    </row>
    <row r="83" spans="1:30">
      <c r="A83" s="1516"/>
      <c r="B83" s="1599"/>
      <c r="C83" s="1604">
        <v>100</v>
      </c>
      <c r="D83" s="1604">
        <f t="shared" ref="D83:M83" si="19">C83-$K28</f>
        <v>100</v>
      </c>
      <c r="E83" s="1604">
        <f t="shared" si="19"/>
        <v>100</v>
      </c>
      <c r="F83" s="1604">
        <f t="shared" si="19"/>
        <v>100</v>
      </c>
      <c r="G83" s="1604">
        <f t="shared" si="19"/>
        <v>100</v>
      </c>
      <c r="H83" s="1604">
        <f t="shared" si="19"/>
        <v>100</v>
      </c>
      <c r="I83" s="1604">
        <f t="shared" si="19"/>
        <v>100</v>
      </c>
      <c r="J83" s="1604">
        <f t="shared" si="19"/>
        <v>100</v>
      </c>
      <c r="K83" s="1604">
        <f t="shared" si="19"/>
        <v>100</v>
      </c>
      <c r="L83" s="1604">
        <f t="shared" si="19"/>
        <v>100</v>
      </c>
      <c r="M83" s="1638">
        <f t="shared" si="19"/>
        <v>100</v>
      </c>
      <c r="N83" s="1571"/>
      <c r="O83" s="1571"/>
      <c r="P83" s="2099"/>
      <c r="Q83" s="1588"/>
      <c r="R83" s="1484"/>
      <c r="S83" s="1484"/>
      <c r="T83" s="1484"/>
      <c r="U83" s="1484"/>
      <c r="V83" s="1484"/>
      <c r="W83" s="1484"/>
      <c r="X83" s="1484"/>
      <c r="Y83" s="1484"/>
      <c r="Z83" s="1484"/>
      <c r="AA83" s="1484"/>
      <c r="AB83" s="1484"/>
      <c r="AC83" s="1484"/>
      <c r="AD83" s="1484"/>
    </row>
    <row r="84" spans="1:30" ht="14.4">
      <c r="A84" s="1629"/>
      <c r="B84" s="1597" t="s">
        <v>3321</v>
      </c>
      <c r="C84" s="1630" t="s">
        <v>3322</v>
      </c>
      <c r="D84" s="1606"/>
      <c r="E84" s="1606"/>
      <c r="F84" s="1606"/>
      <c r="G84" s="1606"/>
      <c r="H84" s="1606"/>
      <c r="I84" s="1598"/>
      <c r="J84" s="1598"/>
      <c r="K84" s="1632"/>
      <c r="L84" s="1633"/>
      <c r="M84" s="1634"/>
      <c r="N84" s="1568"/>
      <c r="O84" s="1568"/>
      <c r="P84" s="2099"/>
      <c r="Q84" s="1588"/>
      <c r="R84" s="1484"/>
      <c r="S84" s="1484"/>
      <c r="T84" s="1484"/>
      <c r="U84" s="1484"/>
      <c r="V84" s="1484"/>
      <c r="W84" s="1484"/>
      <c r="X84" s="1484"/>
      <c r="Y84" s="1484"/>
      <c r="Z84" s="1484"/>
      <c r="AA84" s="1484"/>
      <c r="AB84" s="1484"/>
      <c r="AC84" s="1484"/>
      <c r="AD84" s="1484"/>
    </row>
    <row r="85" spans="1:30">
      <c r="A85" s="1516"/>
      <c r="B85" s="1599"/>
      <c r="C85" s="1620">
        <v>100</v>
      </c>
      <c r="D85" s="1604">
        <f t="shared" ref="D85:M85" si="20">C85+$K29</f>
        <v>102</v>
      </c>
      <c r="E85" s="1604">
        <f t="shared" si="20"/>
        <v>104</v>
      </c>
      <c r="F85" s="1604">
        <f t="shared" si="20"/>
        <v>106</v>
      </c>
      <c r="G85" s="1604">
        <f t="shared" si="20"/>
        <v>108</v>
      </c>
      <c r="H85" s="1604">
        <f t="shared" si="20"/>
        <v>110</v>
      </c>
      <c r="I85" s="1604">
        <f t="shared" si="20"/>
        <v>112</v>
      </c>
      <c r="J85" s="1604">
        <f t="shared" si="20"/>
        <v>114</v>
      </c>
      <c r="K85" s="1604">
        <f t="shared" si="20"/>
        <v>116</v>
      </c>
      <c r="L85" s="1604">
        <f t="shared" si="20"/>
        <v>118</v>
      </c>
      <c r="M85" s="1604">
        <f t="shared" si="20"/>
        <v>120</v>
      </c>
      <c r="N85" s="1571"/>
      <c r="O85" s="1571"/>
      <c r="P85" s="2099"/>
      <c r="Q85" s="1588"/>
      <c r="R85" s="1484"/>
      <c r="S85" s="1484"/>
      <c r="T85" s="1484"/>
      <c r="U85" s="1484"/>
      <c r="V85" s="1484"/>
      <c r="W85" s="1484"/>
      <c r="X85" s="1484"/>
      <c r="Y85" s="1484"/>
      <c r="Z85" s="1484"/>
      <c r="AA85" s="1484"/>
      <c r="AB85" s="1484"/>
      <c r="AC85" s="1484"/>
      <c r="AD85" s="1484"/>
    </row>
    <row r="86" spans="1:30" ht="14.4">
      <c r="A86" s="1629"/>
      <c r="B86" s="1600" t="s">
        <v>600</v>
      </c>
      <c r="C86" s="1616" t="str">
        <f t="shared" ref="C86:L86" si="21">C87&amp;"(含)"&amp;"-"&amp;D87</f>
        <v>0(含)-</v>
      </c>
      <c r="D86" s="1616" t="str">
        <f t="shared" si="21"/>
        <v>(含)-</v>
      </c>
      <c r="E86" s="1616" t="str">
        <f t="shared" si="21"/>
        <v>(含)-</v>
      </c>
      <c r="F86" s="1616" t="str">
        <f t="shared" si="21"/>
        <v>(含)-</v>
      </c>
      <c r="G86" s="1616" t="str">
        <f t="shared" si="21"/>
        <v>(含)-</v>
      </c>
      <c r="H86" s="1616" t="str">
        <f t="shared" si="21"/>
        <v>(含)-</v>
      </c>
      <c r="I86" s="1616" t="str">
        <f t="shared" si="21"/>
        <v>(含)-</v>
      </c>
      <c r="J86" s="1616" t="str">
        <f t="shared" si="21"/>
        <v>(含)-</v>
      </c>
      <c r="K86" s="1616" t="str">
        <f t="shared" si="21"/>
        <v>(含)-</v>
      </c>
      <c r="L86" s="1616" t="str">
        <f t="shared" si="21"/>
        <v>(含)-</v>
      </c>
      <c r="M86" s="1663" t="str">
        <f>M87&amp;"(含)"&amp;"-"&amp;P87</f>
        <v>(含)-</v>
      </c>
      <c r="N86" s="1568"/>
      <c r="O86" s="1568"/>
      <c r="P86" s="2099"/>
      <c r="Q86" s="1588"/>
      <c r="R86" s="1484"/>
      <c r="S86" s="1484"/>
      <c r="T86" s="1484"/>
      <c r="U86" s="1484"/>
      <c r="V86" s="1484"/>
      <c r="W86" s="1484"/>
      <c r="X86" s="1484"/>
      <c r="Y86" s="1484"/>
      <c r="Z86" s="1484"/>
      <c r="AA86" s="1484"/>
      <c r="AB86" s="1484"/>
      <c r="AC86" s="1484"/>
      <c r="AD86" s="1484"/>
    </row>
    <row r="87" spans="1:30">
      <c r="A87" s="1629"/>
      <c r="B87" s="1600"/>
      <c r="C87" s="1628">
        <v>0</v>
      </c>
      <c r="D87" s="1628"/>
      <c r="E87" s="1628"/>
      <c r="F87" s="1628"/>
      <c r="G87" s="1628"/>
      <c r="H87" s="1628"/>
      <c r="I87" s="1628"/>
      <c r="J87" s="1664"/>
      <c r="K87" s="1664"/>
      <c r="L87" s="1665"/>
      <c r="M87" s="1666"/>
      <c r="N87" s="1568"/>
      <c r="O87" s="1568"/>
      <c r="P87" s="2099"/>
      <c r="Q87" s="1588"/>
      <c r="R87" s="1484"/>
      <c r="S87" s="1484"/>
      <c r="T87" s="1484"/>
      <c r="U87" s="1484"/>
      <c r="V87" s="1484"/>
      <c r="W87" s="1484"/>
      <c r="X87" s="1484"/>
      <c r="Y87" s="1484"/>
      <c r="Z87" s="1484"/>
      <c r="AA87" s="1484"/>
      <c r="AB87" s="1484"/>
      <c r="AC87" s="1484"/>
      <c r="AD87" s="1484"/>
    </row>
    <row r="88" spans="1:30">
      <c r="A88" s="1516"/>
      <c r="B88" s="1599"/>
      <c r="C88" s="1608"/>
      <c r="D88" s="1518"/>
      <c r="E88" s="1518"/>
      <c r="F88" s="1518"/>
      <c r="G88" s="1518"/>
      <c r="H88" s="1518"/>
      <c r="I88" s="1518"/>
      <c r="J88" s="1518"/>
      <c r="K88" s="1518"/>
      <c r="L88" s="1518"/>
      <c r="M88" s="1518"/>
      <c r="N88" s="1571"/>
      <c r="O88" s="1571"/>
      <c r="P88" s="2099"/>
      <c r="Q88" s="1588"/>
      <c r="R88" s="1484"/>
      <c r="S88" s="1484"/>
      <c r="T88" s="1484"/>
      <c r="U88" s="1484"/>
      <c r="V88" s="1484"/>
      <c r="W88" s="1484"/>
      <c r="X88" s="1484"/>
      <c r="Y88" s="1484"/>
      <c r="Z88" s="1484"/>
      <c r="AA88" s="1484"/>
      <c r="AB88" s="1484"/>
      <c r="AC88" s="1484"/>
      <c r="AD88" s="1484"/>
    </row>
    <row r="89" spans="1:30" s="1355" customFormat="1" ht="14.4">
      <c r="A89" s="1626"/>
      <c r="B89" s="1597" t="s">
        <v>3323</v>
      </c>
      <c r="C89" s="1606"/>
      <c r="D89" s="1606"/>
      <c r="E89" s="1606"/>
      <c r="F89" s="1606"/>
      <c r="G89" s="1606"/>
      <c r="H89" s="1606"/>
      <c r="I89" s="1606"/>
      <c r="J89" s="1606"/>
      <c r="K89" s="1606"/>
      <c r="L89" s="1606"/>
      <c r="M89" s="1658"/>
      <c r="N89" s="1641"/>
      <c r="O89" s="1641"/>
      <c r="P89" s="2100"/>
      <c r="Q89" s="1671"/>
      <c r="R89" s="1672"/>
      <c r="S89" s="1672"/>
      <c r="T89" s="1672"/>
      <c r="U89" s="1672"/>
      <c r="V89" s="1672"/>
      <c r="W89" s="1672"/>
      <c r="X89" s="1672"/>
      <c r="Y89" s="1672"/>
      <c r="Z89" s="1672"/>
      <c r="AA89" s="1672"/>
      <c r="AB89" s="1672"/>
      <c r="AC89" s="1672"/>
      <c r="AD89" s="1672"/>
    </row>
    <row r="90" spans="1:30" s="1355" customFormat="1">
      <c r="A90" s="1605"/>
      <c r="B90" s="1599"/>
      <c r="C90" s="1608"/>
      <c r="D90" s="1518"/>
      <c r="E90" s="1518"/>
      <c r="F90" s="1518"/>
      <c r="G90" s="1518"/>
      <c r="H90" s="1518"/>
      <c r="I90" s="1518"/>
      <c r="J90" s="1518"/>
      <c r="K90" s="1518"/>
      <c r="L90" s="1518"/>
      <c r="M90" s="1570"/>
      <c r="N90" s="1641"/>
      <c r="O90" s="1641"/>
      <c r="P90" s="2100"/>
      <c r="Q90" s="1671"/>
      <c r="R90" s="1672"/>
      <c r="S90" s="1672"/>
      <c r="T90" s="1672"/>
      <c r="U90" s="1672"/>
      <c r="V90" s="1672"/>
      <c r="W90" s="1672"/>
      <c r="X90" s="1672"/>
      <c r="Y90" s="1672"/>
      <c r="Z90" s="1672"/>
      <c r="AA90" s="1672"/>
      <c r="AB90" s="1672"/>
      <c r="AC90" s="1672"/>
      <c r="AD90" s="1672"/>
    </row>
    <row r="91" spans="1:30">
      <c r="A91" s="1629"/>
      <c r="B91" s="1597">
        <f>B32</f>
        <v>111</v>
      </c>
      <c r="C91" s="1603"/>
      <c r="D91" s="1603"/>
      <c r="E91" s="1603"/>
      <c r="F91" s="1603"/>
      <c r="G91" s="1606"/>
      <c r="H91" s="1607"/>
      <c r="I91" s="1607"/>
      <c r="J91" s="1607"/>
      <c r="K91" s="1607"/>
      <c r="L91" s="1639"/>
      <c r="M91" s="1640"/>
      <c r="N91" s="1568"/>
      <c r="O91" s="1568"/>
      <c r="P91" s="2099"/>
      <c r="Q91" s="1588"/>
      <c r="R91" s="1484"/>
      <c r="S91" s="1484"/>
      <c r="T91" s="1484"/>
      <c r="U91" s="1484"/>
      <c r="V91" s="1484"/>
      <c r="W91" s="1484"/>
      <c r="X91" s="1484"/>
      <c r="Y91" s="1484"/>
      <c r="Z91" s="1484"/>
      <c r="AA91" s="1484"/>
      <c r="AB91" s="1484"/>
      <c r="AC91" s="1484"/>
      <c r="AD91" s="1484"/>
    </row>
    <row r="92" spans="1:30">
      <c r="A92" s="1516"/>
      <c r="B92" s="1599"/>
      <c r="C92" s="1608"/>
      <c r="D92" s="1518"/>
      <c r="E92" s="1518"/>
      <c r="F92" s="1518"/>
      <c r="G92" s="1608"/>
      <c r="H92" s="1609"/>
      <c r="I92" s="1609"/>
      <c r="J92" s="1609"/>
      <c r="K92" s="1609"/>
      <c r="L92" s="1609"/>
      <c r="M92" s="1644"/>
      <c r="N92" s="1571"/>
      <c r="O92" s="1571"/>
      <c r="P92" s="2099"/>
      <c r="Q92" s="1588"/>
      <c r="R92" s="1484"/>
      <c r="S92" s="1484"/>
      <c r="T92" s="1484"/>
      <c r="U92" s="1484"/>
      <c r="V92" s="1484"/>
      <c r="W92" s="1484"/>
      <c r="X92" s="1484"/>
      <c r="Y92" s="1484"/>
      <c r="Z92" s="1484"/>
      <c r="AA92" s="1484"/>
      <c r="AB92" s="1484"/>
      <c r="AC92" s="1484"/>
      <c r="AD92" s="1484"/>
    </row>
    <row r="93" spans="1:30">
      <c r="A93" s="1629"/>
      <c r="B93" s="1597">
        <f>B33</f>
        <v>111</v>
      </c>
      <c r="C93" s="1603"/>
      <c r="D93" s="1603"/>
      <c r="E93" s="1603"/>
      <c r="F93" s="1603"/>
      <c r="G93" s="1606"/>
      <c r="H93" s="1607"/>
      <c r="I93" s="1607"/>
      <c r="J93" s="1607"/>
      <c r="K93" s="1607"/>
      <c r="L93" s="1639"/>
      <c r="M93" s="1640"/>
      <c r="N93" s="1568"/>
      <c r="O93" s="1568"/>
      <c r="P93" s="2099"/>
      <c r="Q93" s="1588"/>
      <c r="R93" s="1484"/>
      <c r="S93" s="1484"/>
      <c r="T93" s="1484"/>
      <c r="U93" s="1484"/>
      <c r="V93" s="1484"/>
      <c r="W93" s="1484"/>
      <c r="X93" s="1484"/>
      <c r="Y93" s="1484"/>
      <c r="Z93" s="1484"/>
      <c r="AA93" s="1484"/>
      <c r="AB93" s="1484"/>
      <c r="AC93" s="1484"/>
      <c r="AD93" s="1484"/>
    </row>
    <row r="94" spans="1:30">
      <c r="A94" s="1516"/>
      <c r="B94" s="1599"/>
      <c r="C94" s="1608"/>
      <c r="D94" s="1518"/>
      <c r="E94" s="1518"/>
      <c r="F94" s="1518"/>
      <c r="G94" s="1608"/>
      <c r="H94" s="1609"/>
      <c r="I94" s="1609"/>
      <c r="J94" s="1609"/>
      <c r="K94" s="1609"/>
      <c r="L94" s="1609"/>
      <c r="M94" s="1644"/>
      <c r="N94" s="1571"/>
      <c r="O94" s="1571"/>
      <c r="P94" s="2099"/>
      <c r="Q94" s="1588"/>
      <c r="R94" s="1484"/>
      <c r="S94" s="1484"/>
      <c r="T94" s="1484"/>
      <c r="U94" s="1484"/>
      <c r="V94" s="1484"/>
      <c r="W94" s="1484"/>
      <c r="X94" s="1484"/>
      <c r="Y94" s="1484"/>
      <c r="Z94" s="1484"/>
      <c r="AA94" s="1484"/>
      <c r="AB94" s="1484"/>
      <c r="AC94" s="1484"/>
      <c r="AD94" s="1484"/>
    </row>
    <row r="95" spans="1:30">
      <c r="A95" s="1629"/>
      <c r="B95" s="2173">
        <f>B34</f>
        <v>111</v>
      </c>
      <c r="C95" s="1603"/>
      <c r="D95" s="1603"/>
      <c r="E95" s="1603"/>
      <c r="F95" s="1603"/>
      <c r="G95" s="1606"/>
      <c r="H95" s="1607"/>
      <c r="I95" s="1607"/>
      <c r="J95" s="1607"/>
      <c r="K95" s="1607"/>
      <c r="L95" s="1639"/>
      <c r="M95" s="1640"/>
      <c r="N95" s="1571"/>
      <c r="O95" s="1571"/>
      <c r="P95" s="2502"/>
      <c r="Q95" s="2210"/>
      <c r="R95" s="1484"/>
      <c r="S95" s="1484"/>
      <c r="T95" s="1484"/>
      <c r="U95" s="1484"/>
      <c r="V95" s="1484"/>
      <c r="W95" s="1484"/>
      <c r="X95" s="1484"/>
      <c r="Y95" s="1484"/>
      <c r="Z95" s="1484"/>
      <c r="AA95" s="1484"/>
      <c r="AB95" s="1484"/>
      <c r="AC95" s="1484"/>
      <c r="AD95" s="1484"/>
    </row>
    <row r="96" spans="1:30">
      <c r="A96" s="1516"/>
      <c r="B96" s="1599"/>
      <c r="C96" s="1608"/>
      <c r="D96" s="1608"/>
      <c r="E96" s="1608"/>
      <c r="F96" s="1608"/>
      <c r="G96" s="1608"/>
      <c r="H96" s="1609"/>
      <c r="I96" s="1609"/>
      <c r="J96" s="1609"/>
      <c r="K96" s="1609"/>
      <c r="L96" s="1609"/>
      <c r="M96" s="1644"/>
      <c r="N96" s="1571"/>
      <c r="O96" s="1571"/>
      <c r="P96" s="2099"/>
      <c r="Q96" s="1588"/>
      <c r="R96" s="1484"/>
      <c r="S96" s="1484"/>
      <c r="T96" s="1484"/>
      <c r="U96" s="1484"/>
      <c r="V96" s="1484"/>
      <c r="W96" s="1484"/>
      <c r="X96" s="1484"/>
      <c r="Y96" s="1484"/>
      <c r="Z96" s="1484"/>
      <c r="AA96" s="1484"/>
      <c r="AB96" s="1484"/>
      <c r="AC96" s="1484"/>
      <c r="AD96" s="1484"/>
    </row>
    <row r="97" spans="1:30">
      <c r="N97" s="1484"/>
      <c r="O97" s="1484"/>
      <c r="P97" s="1484"/>
      <c r="Q97" s="1484"/>
      <c r="R97" s="1484"/>
      <c r="S97" s="1484"/>
      <c r="T97" s="1484"/>
      <c r="U97" s="1484"/>
      <c r="V97" s="1484"/>
      <c r="W97" s="1484"/>
      <c r="X97" s="1484"/>
      <c r="Y97" s="1484"/>
      <c r="Z97" s="1484"/>
      <c r="AA97" s="1484"/>
      <c r="AB97" s="1484"/>
      <c r="AC97" s="1484"/>
      <c r="AD97" s="1484"/>
    </row>
    <row r="98" spans="1:30">
      <c r="A98" s="2498"/>
      <c r="B98" s="2498"/>
      <c r="C98" s="2498"/>
      <c r="D98" s="2498"/>
      <c r="E98" s="2498"/>
      <c r="F98" s="2498"/>
      <c r="G98" s="2498"/>
      <c r="H98" s="2498"/>
      <c r="I98" s="2498"/>
      <c r="J98" s="2498"/>
      <c r="K98" s="2503"/>
      <c r="L98" s="2504"/>
      <c r="M98" s="2498"/>
      <c r="N98" s="1484"/>
      <c r="O98" s="1484"/>
      <c r="P98" s="1484"/>
      <c r="Q98" s="1484"/>
      <c r="R98" s="1484"/>
      <c r="S98" s="1484"/>
      <c r="T98" s="1484"/>
      <c r="U98" s="1484"/>
      <c r="V98" s="1484"/>
      <c r="W98" s="1484"/>
      <c r="X98" s="1484"/>
      <c r="Y98" s="1484"/>
      <c r="Z98" s="1484"/>
      <c r="AA98" s="1484"/>
      <c r="AB98" s="1484"/>
      <c r="AC98" s="1484"/>
      <c r="AD98" s="1484"/>
    </row>
    <row r="99" spans="1:30">
      <c r="A99" s="2498"/>
      <c r="B99" s="2498"/>
      <c r="C99" s="2498"/>
      <c r="D99" s="2498"/>
      <c r="E99" s="2498"/>
      <c r="F99" s="2498"/>
      <c r="G99" s="2498"/>
      <c r="H99" s="2498"/>
      <c r="I99" s="2498"/>
      <c r="J99" s="2498"/>
      <c r="K99" s="2503"/>
      <c r="L99" s="2504"/>
      <c r="M99" s="2498"/>
      <c r="N99" s="1484"/>
      <c r="O99" s="1484"/>
      <c r="P99" s="1484"/>
      <c r="Q99" s="1484"/>
      <c r="R99" s="1484"/>
      <c r="S99" s="1484"/>
      <c r="T99" s="1484"/>
      <c r="U99" s="1484"/>
      <c r="V99" s="1484"/>
      <c r="W99" s="1484"/>
      <c r="X99" s="1484"/>
      <c r="Y99" s="1484"/>
      <c r="Z99" s="1484"/>
      <c r="AA99" s="1484"/>
      <c r="AB99" s="1484"/>
      <c r="AC99" s="1484"/>
      <c r="AD99" s="1484"/>
    </row>
    <row r="100" spans="1:30">
      <c r="A100" s="2498"/>
      <c r="B100" s="2498"/>
      <c r="C100" s="2498"/>
      <c r="D100" s="2498"/>
      <c r="E100" s="2498"/>
      <c r="F100" s="2498"/>
      <c r="G100" s="2498"/>
      <c r="H100" s="2498"/>
      <c r="I100" s="2498"/>
      <c r="J100" s="2498"/>
      <c r="K100" s="2503"/>
      <c r="L100" s="2504"/>
      <c r="M100" s="2498"/>
      <c r="N100" s="1484"/>
      <c r="O100" s="1484"/>
      <c r="P100" s="1484"/>
      <c r="Q100" s="1484"/>
      <c r="R100" s="1484"/>
      <c r="S100" s="1484"/>
      <c r="T100" s="1484"/>
      <c r="U100" s="1484"/>
      <c r="V100" s="1484"/>
      <c r="W100" s="1484"/>
      <c r="X100" s="1484"/>
      <c r="Y100" s="1484"/>
      <c r="Z100" s="1484"/>
      <c r="AA100" s="1484"/>
      <c r="AB100" s="1484"/>
      <c r="AC100" s="1484"/>
      <c r="AD100" s="1484"/>
    </row>
    <row r="101" spans="1:30">
      <c r="A101" s="2498"/>
      <c r="B101" s="2498"/>
      <c r="C101" s="2498"/>
      <c r="D101" s="2498"/>
      <c r="E101" s="2498"/>
      <c r="F101" s="2498"/>
      <c r="G101" s="2498"/>
      <c r="H101" s="2498"/>
      <c r="I101" s="2498"/>
      <c r="J101" s="2498"/>
      <c r="K101" s="2503"/>
      <c r="L101" s="2504"/>
      <c r="M101" s="2498"/>
      <c r="N101" s="1484"/>
      <c r="O101" s="1484"/>
      <c r="P101" s="1484"/>
      <c r="Q101" s="1484"/>
      <c r="R101" s="1484"/>
      <c r="S101" s="1484"/>
      <c r="T101" s="1484"/>
      <c r="U101" s="1484"/>
      <c r="V101" s="1484"/>
      <c r="W101" s="1484"/>
      <c r="X101" s="1484"/>
      <c r="Y101" s="1484"/>
      <c r="Z101" s="1484"/>
      <c r="AA101" s="1484"/>
      <c r="AB101" s="1484"/>
      <c r="AC101" s="1484"/>
      <c r="AD101" s="1484"/>
    </row>
    <row r="102" spans="1:30">
      <c r="A102" s="2498"/>
      <c r="B102" s="2498"/>
      <c r="C102" s="2498"/>
      <c r="D102" s="2498"/>
      <c r="E102" s="2498"/>
      <c r="F102" s="2498"/>
      <c r="G102" s="2498"/>
      <c r="H102" s="2498"/>
      <c r="I102" s="2498"/>
      <c r="J102" s="2498"/>
      <c r="K102" s="2503"/>
      <c r="L102" s="2504"/>
      <c r="M102" s="2498"/>
      <c r="N102" s="1484"/>
      <c r="O102" s="1484"/>
      <c r="P102" s="1484"/>
      <c r="Q102" s="1484"/>
      <c r="R102" s="1484"/>
      <c r="S102" s="1484"/>
      <c r="T102" s="1484"/>
      <c r="U102" s="1484"/>
      <c r="V102" s="1484"/>
      <c r="W102" s="1484"/>
      <c r="X102" s="1484"/>
      <c r="Y102" s="1484"/>
      <c r="Z102" s="1484"/>
      <c r="AA102" s="1484"/>
      <c r="AB102" s="1484"/>
      <c r="AC102" s="1484"/>
      <c r="AD102" s="1484"/>
    </row>
    <row r="103" spans="1:30">
      <c r="A103" s="2498"/>
      <c r="B103" s="2498"/>
      <c r="C103" s="2498"/>
      <c r="D103" s="2498"/>
      <c r="E103" s="2498"/>
      <c r="F103" s="2498"/>
      <c r="G103" s="2498"/>
      <c r="H103" s="2498"/>
      <c r="I103" s="2498"/>
      <c r="J103" s="2498"/>
      <c r="K103" s="2503"/>
      <c r="L103" s="2504"/>
      <c r="M103" s="2498"/>
      <c r="N103" s="2498"/>
      <c r="O103" s="2498"/>
      <c r="P103" s="1484"/>
      <c r="Q103" s="1484"/>
      <c r="R103" s="1484"/>
      <c r="S103" s="1484"/>
      <c r="T103" s="1484"/>
      <c r="U103" s="1484"/>
      <c r="V103" s="1484"/>
      <c r="W103" s="1484"/>
      <c r="X103" s="1484"/>
      <c r="Y103" s="1484"/>
      <c r="Z103" s="1484"/>
      <c r="AA103" s="1484"/>
      <c r="AB103" s="1484"/>
      <c r="AC103" s="1484"/>
      <c r="AD103" s="1484"/>
    </row>
    <row r="104" spans="1:30">
      <c r="A104" s="2498"/>
      <c r="B104" s="2498"/>
      <c r="C104" s="2498"/>
      <c r="D104" s="2498"/>
      <c r="E104" s="2498"/>
      <c r="F104" s="2498"/>
      <c r="G104" s="2498"/>
      <c r="H104" s="2498"/>
      <c r="I104" s="2498"/>
      <c r="J104" s="2498"/>
      <c r="K104" s="2503"/>
      <c r="L104" s="2504"/>
      <c r="M104" s="2498"/>
      <c r="N104" s="2498"/>
      <c r="O104" s="2498"/>
      <c r="P104" s="2498"/>
      <c r="Q104" s="2498"/>
      <c r="R104" s="2498"/>
      <c r="S104" s="2498"/>
      <c r="T104" s="2498"/>
    </row>
    <row r="105" spans="1:30">
      <c r="A105" s="2498"/>
      <c r="B105" s="2498"/>
      <c r="C105" s="2498"/>
      <c r="D105" s="2498"/>
      <c r="E105" s="2498"/>
      <c r="F105" s="2498"/>
      <c r="G105" s="2498"/>
      <c r="H105" s="2498"/>
      <c r="I105" s="2498"/>
      <c r="J105" s="2498"/>
      <c r="K105" s="2503"/>
      <c r="L105" s="2504"/>
      <c r="M105" s="2498"/>
      <c r="N105" s="2498"/>
      <c r="O105" s="2498"/>
      <c r="P105" s="2498"/>
      <c r="Q105" s="2498"/>
      <c r="R105" s="2498"/>
      <c r="S105" s="2498"/>
      <c r="T105" s="2498"/>
    </row>
    <row r="106" spans="1:30">
      <c r="A106" s="2498"/>
      <c r="B106" s="2498"/>
      <c r="C106" s="2498"/>
      <c r="D106" s="2498"/>
      <c r="E106" s="2498"/>
      <c r="F106" s="2498"/>
      <c r="G106" s="2498"/>
      <c r="H106" s="2498"/>
      <c r="I106" s="2498"/>
      <c r="J106" s="2498"/>
      <c r="K106" s="2503"/>
      <c r="L106" s="2504"/>
      <c r="M106" s="2498"/>
      <c r="N106" s="2498"/>
      <c r="O106" s="2498"/>
      <c r="P106" s="2498"/>
      <c r="Q106" s="2498"/>
      <c r="R106" s="2498"/>
      <c r="S106" s="2498"/>
      <c r="T106" s="2498"/>
    </row>
    <row r="107" spans="1:30">
      <c r="A107" s="2498"/>
      <c r="B107" s="2498"/>
      <c r="C107" s="2498"/>
      <c r="D107" s="2498"/>
      <c r="E107" s="2498"/>
      <c r="F107" s="2498"/>
      <c r="G107" s="2498"/>
      <c r="H107" s="2498"/>
      <c r="I107" s="2498"/>
      <c r="J107" s="2498"/>
      <c r="K107" s="2503"/>
      <c r="L107" s="2504"/>
      <c r="M107" s="2498"/>
      <c r="N107" s="2498"/>
      <c r="O107" s="2498"/>
      <c r="P107" s="2498"/>
      <c r="Q107" s="2498"/>
      <c r="R107" s="2498"/>
      <c r="S107" s="2498"/>
      <c r="T107" s="2498"/>
    </row>
    <row r="108" spans="1:30">
      <c r="A108" s="2498"/>
      <c r="B108" s="2498"/>
      <c r="C108" s="2498"/>
      <c r="D108" s="2498"/>
      <c r="E108" s="2498"/>
      <c r="F108" s="2498"/>
      <c r="G108" s="2498"/>
      <c r="H108" s="2498"/>
      <c r="I108" s="2498"/>
      <c r="J108" s="2498"/>
      <c r="K108" s="2503"/>
      <c r="L108" s="2504"/>
      <c r="M108" s="2498"/>
      <c r="N108" s="2498"/>
      <c r="O108" s="2498"/>
      <c r="P108" s="2498"/>
      <c r="Q108" s="2498"/>
      <c r="R108" s="2498"/>
      <c r="S108" s="2498"/>
      <c r="T108" s="2498"/>
    </row>
    <row r="109" spans="1:30">
      <c r="A109" s="2498"/>
      <c r="B109" s="2498"/>
      <c r="C109" s="2498"/>
      <c r="D109" s="2498"/>
      <c r="E109" s="2498"/>
      <c r="F109" s="2498"/>
      <c r="G109" s="2498"/>
      <c r="H109" s="2498"/>
      <c r="I109" s="2498"/>
      <c r="J109" s="2498"/>
      <c r="K109" s="2503"/>
      <c r="L109" s="2504"/>
      <c r="M109" s="2498"/>
      <c r="N109" s="2498"/>
      <c r="O109" s="2498"/>
      <c r="P109" s="2498"/>
      <c r="Q109" s="2498"/>
      <c r="R109" s="2498"/>
      <c r="S109" s="2498"/>
      <c r="T109" s="2498"/>
    </row>
    <row r="110" spans="1:30">
      <c r="A110" s="2498"/>
      <c r="B110" s="2498"/>
      <c r="C110" s="2498"/>
      <c r="D110" s="2498"/>
      <c r="E110" s="2498"/>
      <c r="F110" s="2498"/>
      <c r="G110" s="2498"/>
      <c r="H110" s="2498"/>
      <c r="I110" s="2498"/>
      <c r="J110" s="2498"/>
      <c r="K110" s="2503"/>
      <c r="L110" s="2504"/>
      <c r="M110" s="2498"/>
      <c r="N110" s="2498"/>
      <c r="O110" s="2498"/>
      <c r="P110" s="2498"/>
      <c r="Q110" s="2498"/>
      <c r="R110" s="2498"/>
      <c r="S110" s="2498"/>
      <c r="T110" s="2498"/>
    </row>
    <row r="111" spans="1:30">
      <c r="A111" s="2498"/>
      <c r="B111" s="2498"/>
      <c r="C111" s="2498"/>
      <c r="D111" s="2498"/>
      <c r="E111" s="2498"/>
      <c r="F111" s="2498"/>
      <c r="G111" s="2498"/>
      <c r="H111" s="2498"/>
      <c r="I111" s="2498"/>
      <c r="J111" s="2498"/>
      <c r="K111" s="2503"/>
      <c r="L111" s="2504"/>
      <c r="M111" s="2498"/>
      <c r="N111" s="2498"/>
      <c r="O111" s="2498"/>
      <c r="P111" s="2498"/>
      <c r="Q111" s="2498"/>
      <c r="R111" s="2498"/>
      <c r="S111" s="2498"/>
      <c r="T111" s="2498"/>
    </row>
    <row r="112" spans="1:30">
      <c r="A112" s="2498"/>
      <c r="B112" s="2498"/>
      <c r="C112" s="2498"/>
      <c r="D112" s="2498"/>
      <c r="E112" s="2498"/>
      <c r="F112" s="2498"/>
      <c r="G112" s="2498"/>
      <c r="H112" s="2498"/>
      <c r="I112" s="2498"/>
      <c r="J112" s="2498"/>
      <c r="K112" s="2503"/>
      <c r="L112" s="2504"/>
      <c r="M112" s="2498"/>
      <c r="N112" s="2498"/>
      <c r="O112" s="2498"/>
      <c r="P112" s="2498"/>
      <c r="Q112" s="2498"/>
      <c r="R112" s="2498"/>
      <c r="S112" s="2498"/>
      <c r="T112" s="2498"/>
    </row>
    <row r="113" spans="1:20">
      <c r="A113" s="2498"/>
      <c r="B113" s="2498"/>
      <c r="C113" s="2498"/>
      <c r="D113" s="2498"/>
      <c r="E113" s="2498"/>
      <c r="F113" s="2498"/>
      <c r="G113" s="2498"/>
      <c r="H113" s="2498"/>
      <c r="I113" s="2498"/>
      <c r="J113" s="2498"/>
      <c r="K113" s="2503"/>
      <c r="L113" s="2504"/>
      <c r="M113" s="2498"/>
      <c r="N113" s="2498"/>
      <c r="O113" s="2498"/>
      <c r="P113" s="2498"/>
      <c r="Q113" s="2498"/>
      <c r="R113" s="2498"/>
      <c r="S113" s="2498"/>
      <c r="T113" s="2498"/>
    </row>
    <row r="114" spans="1:20">
      <c r="A114" s="2498"/>
      <c r="B114" s="2498"/>
      <c r="C114" s="2498"/>
      <c r="D114" s="2498"/>
      <c r="E114" s="2498"/>
      <c r="F114" s="2498"/>
      <c r="G114" s="2498"/>
      <c r="H114" s="2498"/>
      <c r="I114" s="2498"/>
      <c r="J114" s="2498"/>
      <c r="K114" s="2503"/>
      <c r="L114" s="2504"/>
      <c r="M114" s="2498"/>
      <c r="N114" s="2498"/>
      <c r="O114" s="2498"/>
      <c r="P114" s="2498"/>
      <c r="Q114" s="2498"/>
      <c r="R114" s="2498"/>
      <c r="S114" s="2498"/>
      <c r="T114" s="2498"/>
    </row>
    <row r="115" spans="1:20">
      <c r="A115" s="2498"/>
      <c r="B115" s="2498"/>
      <c r="C115" s="2498"/>
      <c r="D115" s="2498"/>
      <c r="E115" s="2498"/>
      <c r="F115" s="2498"/>
      <c r="G115" s="2498"/>
      <c r="H115" s="2498"/>
      <c r="I115" s="2498"/>
      <c r="J115" s="2498"/>
      <c r="K115" s="2503"/>
      <c r="L115" s="2504"/>
      <c r="M115" s="2498"/>
      <c r="N115" s="2498"/>
      <c r="O115" s="2498"/>
      <c r="P115" s="2498"/>
      <c r="Q115" s="2498"/>
      <c r="R115" s="2498"/>
      <c r="S115" s="2498"/>
      <c r="T115" s="2498"/>
    </row>
    <row r="116" spans="1:20">
      <c r="A116" s="2498"/>
      <c r="B116" s="2498"/>
      <c r="C116" s="2498"/>
      <c r="D116" s="2498"/>
      <c r="E116" s="2498"/>
      <c r="F116" s="2498"/>
      <c r="G116" s="2498"/>
      <c r="H116" s="2498"/>
      <c r="I116" s="2498"/>
      <c r="J116" s="2498"/>
      <c r="K116" s="2503"/>
      <c r="L116" s="2504"/>
      <c r="M116" s="2498"/>
      <c r="N116" s="2498"/>
      <c r="O116" s="2498"/>
      <c r="P116" s="2498"/>
      <c r="Q116" s="2498"/>
      <c r="R116" s="2498"/>
      <c r="S116" s="2498"/>
      <c r="T116" s="2498"/>
    </row>
    <row r="117" spans="1:20">
      <c r="A117" s="2498"/>
      <c r="B117" s="2498"/>
      <c r="C117" s="2498"/>
      <c r="D117" s="2498"/>
      <c r="E117" s="2498"/>
      <c r="F117" s="2498"/>
      <c r="G117" s="2498"/>
      <c r="H117" s="2498"/>
      <c r="I117" s="2498"/>
      <c r="J117" s="2498"/>
      <c r="K117" s="2503"/>
      <c r="L117" s="2504"/>
      <c r="M117" s="2498"/>
      <c r="N117" s="2498"/>
      <c r="O117" s="2498"/>
      <c r="P117" s="2498"/>
      <c r="Q117" s="2498"/>
      <c r="R117" s="2498"/>
      <c r="S117" s="2498"/>
      <c r="T117" s="2498"/>
    </row>
    <row r="118" spans="1:20">
      <c r="A118" s="2498"/>
      <c r="B118" s="2498"/>
      <c r="C118" s="2498"/>
      <c r="D118" s="2498"/>
      <c r="E118" s="2498"/>
      <c r="F118" s="2498"/>
      <c r="G118" s="2498"/>
      <c r="H118" s="2498"/>
      <c r="I118" s="2498"/>
      <c r="J118" s="2498"/>
      <c r="K118" s="2503"/>
      <c r="L118" s="2504"/>
      <c r="M118" s="2498"/>
      <c r="N118" s="2498"/>
      <c r="O118" s="2498"/>
      <c r="P118" s="2498"/>
      <c r="Q118" s="2498"/>
      <c r="R118" s="2498"/>
      <c r="S118" s="2498"/>
      <c r="T118" s="2498"/>
    </row>
    <row r="119" spans="1:20">
      <c r="A119" s="2498"/>
      <c r="B119" s="2498"/>
      <c r="C119" s="2498"/>
      <c r="D119" s="2498"/>
      <c r="E119" s="2498"/>
      <c r="F119" s="2498"/>
      <c r="G119" s="2498"/>
      <c r="H119" s="2498"/>
      <c r="I119" s="2498"/>
      <c r="J119" s="2498"/>
      <c r="K119" s="2503"/>
      <c r="L119" s="2504"/>
      <c r="M119" s="2498"/>
      <c r="N119" s="2498"/>
      <c r="O119" s="2498"/>
      <c r="P119" s="2498"/>
      <c r="Q119" s="2498"/>
      <c r="R119" s="2498"/>
      <c r="S119" s="2498"/>
      <c r="T119" s="2498"/>
    </row>
    <row r="120" spans="1:20">
      <c r="A120" s="2498"/>
      <c r="B120" s="2498"/>
      <c r="C120" s="2498"/>
      <c r="D120" s="2498"/>
      <c r="E120" s="2498"/>
      <c r="F120" s="2498"/>
      <c r="G120" s="2498"/>
      <c r="H120" s="2498"/>
      <c r="I120" s="2498"/>
      <c r="J120" s="2498"/>
      <c r="K120" s="2503"/>
      <c r="L120" s="2504"/>
      <c r="M120" s="2498"/>
      <c r="N120" s="2498"/>
      <c r="O120" s="2498"/>
      <c r="P120" s="2498"/>
      <c r="Q120" s="2498"/>
      <c r="R120" s="2498"/>
      <c r="S120" s="2498"/>
      <c r="T120" s="2498"/>
    </row>
    <row r="121" spans="1:20">
      <c r="A121" s="2498"/>
      <c r="B121" s="2498"/>
      <c r="C121" s="2498"/>
      <c r="D121" s="2498"/>
      <c r="E121" s="2498"/>
      <c r="F121" s="2498"/>
      <c r="G121" s="2498"/>
      <c r="H121" s="2498"/>
      <c r="I121" s="2498"/>
      <c r="J121" s="2498"/>
      <c r="K121" s="2503"/>
      <c r="L121" s="2504"/>
      <c r="M121" s="2498"/>
      <c r="N121" s="2498"/>
      <c r="O121" s="2498"/>
      <c r="P121" s="2498"/>
      <c r="Q121" s="2498"/>
      <c r="R121" s="2498"/>
      <c r="S121" s="2498"/>
      <c r="T121" s="2498"/>
    </row>
    <row r="122" spans="1:20">
      <c r="A122" s="2498"/>
      <c r="B122" s="2498"/>
      <c r="C122" s="2498"/>
      <c r="D122" s="2498"/>
      <c r="E122" s="2498"/>
      <c r="F122" s="2498"/>
      <c r="G122" s="2498"/>
      <c r="H122" s="2498"/>
      <c r="I122" s="2498"/>
      <c r="J122" s="2498"/>
      <c r="K122" s="2503"/>
      <c r="L122" s="2504"/>
      <c r="M122" s="2498"/>
      <c r="N122" s="2498"/>
      <c r="O122" s="2498"/>
      <c r="P122" s="2498"/>
      <c r="Q122" s="2498"/>
      <c r="R122" s="2498"/>
      <c r="S122" s="2498"/>
      <c r="T122" s="2498"/>
    </row>
    <row r="123" spans="1:20">
      <c r="A123" s="2498"/>
      <c r="B123" s="2498"/>
      <c r="C123" s="2498"/>
      <c r="D123" s="2498"/>
      <c r="E123" s="2498"/>
      <c r="F123" s="2498"/>
      <c r="G123" s="2498"/>
      <c r="H123" s="2498"/>
      <c r="I123" s="2498"/>
      <c r="J123" s="2498"/>
      <c r="K123" s="2503"/>
      <c r="L123" s="2504"/>
      <c r="M123" s="2498"/>
      <c r="N123" s="2498"/>
      <c r="O123" s="2498"/>
      <c r="P123" s="2498"/>
      <c r="Q123" s="2498"/>
      <c r="R123" s="2498"/>
      <c r="S123" s="2498"/>
      <c r="T123" s="2498"/>
    </row>
    <row r="124" spans="1:20">
      <c r="A124" s="2498"/>
      <c r="B124" s="2498"/>
      <c r="C124" s="2498"/>
      <c r="D124" s="2498"/>
      <c r="E124" s="2498"/>
      <c r="F124" s="2498"/>
      <c r="G124" s="2498"/>
      <c r="H124" s="2498"/>
      <c r="I124" s="2498"/>
      <c r="J124" s="2498"/>
      <c r="K124" s="2503"/>
      <c r="L124" s="2504"/>
      <c r="M124" s="2498"/>
      <c r="N124" s="2498"/>
      <c r="O124" s="2498"/>
      <c r="P124" s="2498"/>
      <c r="Q124" s="2498"/>
      <c r="R124" s="2498"/>
      <c r="S124" s="2498"/>
      <c r="T124" s="2498"/>
    </row>
    <row r="125" spans="1:20">
      <c r="A125" s="2498"/>
      <c r="B125" s="2498"/>
      <c r="C125" s="2498"/>
      <c r="D125" s="2498"/>
      <c r="E125" s="2498"/>
      <c r="F125" s="2498"/>
      <c r="G125" s="2498"/>
      <c r="H125" s="2498"/>
      <c r="I125" s="2498"/>
      <c r="J125" s="2498"/>
      <c r="K125" s="2503"/>
      <c r="L125" s="2504"/>
      <c r="M125" s="2498"/>
      <c r="N125" s="2498"/>
      <c r="O125" s="2498"/>
      <c r="P125" s="2498"/>
      <c r="Q125" s="2498"/>
      <c r="R125" s="2498"/>
      <c r="S125" s="2498"/>
      <c r="T125" s="2498"/>
    </row>
    <row r="126" spans="1:20">
      <c r="A126" s="2498"/>
      <c r="B126" s="2498"/>
      <c r="C126" s="2498"/>
      <c r="D126" s="2498"/>
      <c r="E126" s="2498"/>
      <c r="F126" s="2498"/>
      <c r="G126" s="2498"/>
      <c r="H126" s="2498"/>
      <c r="I126" s="2498"/>
      <c r="J126" s="2498"/>
      <c r="K126" s="2503"/>
      <c r="L126" s="2504"/>
      <c r="M126" s="2498"/>
      <c r="N126" s="2498"/>
      <c r="O126" s="2498"/>
      <c r="P126" s="2498"/>
      <c r="Q126" s="2498"/>
      <c r="R126" s="2498"/>
      <c r="S126" s="2498"/>
      <c r="T126" s="2498"/>
    </row>
    <row r="127" spans="1:20">
      <c r="A127" s="2498"/>
      <c r="B127" s="2498"/>
      <c r="C127" s="2498"/>
      <c r="D127" s="2498"/>
      <c r="E127" s="2498"/>
      <c r="F127" s="2498"/>
      <c r="G127" s="2498"/>
      <c r="H127" s="2498"/>
      <c r="I127" s="2498"/>
      <c r="J127" s="2498"/>
      <c r="K127" s="2503"/>
      <c r="L127" s="2504"/>
      <c r="M127" s="2498"/>
      <c r="N127" s="2498"/>
      <c r="O127" s="2498"/>
      <c r="P127" s="2498"/>
      <c r="Q127" s="2498"/>
      <c r="R127" s="2498"/>
      <c r="S127" s="2498"/>
      <c r="T127" s="2498"/>
    </row>
    <row r="128" spans="1:20">
      <c r="A128" s="2498"/>
      <c r="B128" s="2498"/>
      <c r="C128" s="2498"/>
      <c r="D128" s="2498"/>
      <c r="E128" s="2498"/>
      <c r="F128" s="2498"/>
      <c r="G128" s="2498"/>
      <c r="H128" s="2498"/>
      <c r="I128" s="2498"/>
      <c r="J128" s="2498"/>
      <c r="K128" s="2503"/>
      <c r="L128" s="2504"/>
      <c r="M128" s="2498"/>
      <c r="N128" s="2498"/>
      <c r="O128" s="2498"/>
      <c r="P128" s="2498"/>
      <c r="Q128" s="2498"/>
      <c r="R128" s="2498"/>
      <c r="S128" s="2498"/>
      <c r="T128" s="2498"/>
    </row>
    <row r="129" spans="1:20">
      <c r="A129" s="2498"/>
      <c r="B129" s="2498"/>
      <c r="C129" s="2498"/>
      <c r="D129" s="2498"/>
      <c r="E129" s="2498"/>
      <c r="F129" s="2498"/>
      <c r="G129" s="2498"/>
      <c r="H129" s="2498"/>
      <c r="I129" s="2498"/>
      <c r="J129" s="2498"/>
      <c r="K129" s="2503"/>
      <c r="L129" s="2504"/>
      <c r="M129" s="2498"/>
      <c r="N129" s="2498"/>
      <c r="O129" s="2498"/>
      <c r="P129" s="2498"/>
      <c r="Q129" s="2498"/>
      <c r="R129" s="2498"/>
      <c r="S129" s="2498"/>
      <c r="T129" s="2498"/>
    </row>
    <row r="130" spans="1:20">
      <c r="A130" s="2498"/>
      <c r="B130" s="2498"/>
      <c r="C130" s="2498"/>
      <c r="D130" s="2498"/>
      <c r="E130" s="2498"/>
      <c r="F130" s="2498"/>
      <c r="G130" s="2498"/>
      <c r="H130" s="2498"/>
      <c r="I130" s="2498"/>
      <c r="J130" s="2498"/>
      <c r="K130" s="2503"/>
      <c r="L130" s="2504"/>
      <c r="M130" s="2498"/>
      <c r="N130" s="2498"/>
      <c r="O130" s="2498"/>
      <c r="P130" s="2498"/>
      <c r="Q130" s="2498"/>
      <c r="R130" s="2498"/>
      <c r="S130" s="2498"/>
      <c r="T130" s="2498"/>
    </row>
    <row r="131" spans="1:20">
      <c r="A131" s="2498"/>
      <c r="B131" s="2498"/>
      <c r="C131" s="2498"/>
      <c r="D131" s="2498"/>
      <c r="E131" s="2498"/>
      <c r="F131" s="2498"/>
      <c r="G131" s="2498"/>
      <c r="H131" s="2498"/>
      <c r="I131" s="2498"/>
      <c r="J131" s="2498"/>
      <c r="K131" s="2503"/>
      <c r="L131" s="2504"/>
      <c r="M131" s="2498"/>
      <c r="N131" s="2498"/>
      <c r="O131" s="2498"/>
      <c r="P131" s="2498"/>
      <c r="Q131" s="2498"/>
      <c r="R131" s="2498"/>
      <c r="S131" s="2498"/>
      <c r="T131" s="2498"/>
    </row>
    <row r="132" spans="1:20">
      <c r="A132" s="2498"/>
      <c r="B132" s="2498"/>
      <c r="C132" s="2498"/>
      <c r="D132" s="2498"/>
      <c r="E132" s="2498"/>
      <c r="F132" s="2498"/>
      <c r="G132" s="2498"/>
      <c r="H132" s="2498"/>
      <c r="I132" s="2498"/>
      <c r="J132" s="2498"/>
      <c r="K132" s="2503"/>
      <c r="L132" s="2504"/>
      <c r="M132" s="2498"/>
      <c r="N132" s="2498"/>
      <c r="O132" s="2498"/>
      <c r="P132" s="2498"/>
      <c r="Q132" s="2498"/>
      <c r="R132" s="2498"/>
      <c r="S132" s="2498"/>
      <c r="T132" s="2498"/>
    </row>
    <row r="133" spans="1:20">
      <c r="A133" s="2498"/>
      <c r="B133" s="2498"/>
      <c r="C133" s="2498"/>
      <c r="D133" s="2498"/>
      <c r="E133" s="2498"/>
      <c r="F133" s="2498"/>
      <c r="G133" s="2498"/>
      <c r="H133" s="2498"/>
      <c r="I133" s="2498"/>
      <c r="J133" s="2498"/>
      <c r="K133" s="2503"/>
      <c r="L133" s="2504"/>
      <c r="M133" s="2498"/>
      <c r="N133" s="2498"/>
      <c r="O133" s="2498"/>
      <c r="P133" s="2498"/>
      <c r="Q133" s="2498"/>
      <c r="R133" s="2498"/>
      <c r="S133" s="2498"/>
      <c r="T133" s="2498"/>
    </row>
    <row r="134" spans="1:20">
      <c r="A134" s="2498"/>
      <c r="B134" s="2498"/>
      <c r="C134" s="2498"/>
      <c r="D134" s="2498"/>
      <c r="E134" s="2498"/>
      <c r="F134" s="2498"/>
      <c r="G134" s="2498"/>
      <c r="H134" s="2498"/>
      <c r="I134" s="2498"/>
      <c r="J134" s="2498"/>
      <c r="K134" s="2503"/>
      <c r="L134" s="2504"/>
      <c r="M134" s="2498"/>
      <c r="N134" s="2498"/>
      <c r="O134" s="2498"/>
      <c r="P134" s="2498"/>
      <c r="Q134" s="2498"/>
      <c r="R134" s="2498"/>
      <c r="S134" s="2498"/>
      <c r="T134" s="2498"/>
    </row>
    <row r="135" spans="1:20">
      <c r="A135" s="2498"/>
      <c r="B135" s="2498"/>
      <c r="C135" s="2498"/>
      <c r="D135" s="2498"/>
      <c r="E135" s="2498"/>
      <c r="F135" s="2498"/>
      <c r="G135" s="2498"/>
      <c r="H135" s="2498"/>
      <c r="I135" s="2498"/>
      <c r="J135" s="2498"/>
      <c r="K135" s="2503"/>
      <c r="L135" s="2504"/>
      <c r="M135" s="2498"/>
      <c r="N135" s="2498"/>
      <c r="O135" s="2498"/>
      <c r="P135" s="2498"/>
      <c r="Q135" s="2498"/>
      <c r="R135" s="2498"/>
      <c r="S135" s="2498"/>
      <c r="T135" s="2498"/>
    </row>
    <row r="136" spans="1:20">
      <c r="A136" s="2498"/>
      <c r="B136" s="2498"/>
      <c r="C136" s="2498"/>
      <c r="D136" s="2498"/>
      <c r="E136" s="2498"/>
      <c r="F136" s="2498"/>
      <c r="G136" s="2498"/>
      <c r="H136" s="2498"/>
      <c r="I136" s="2498"/>
      <c r="J136" s="2498"/>
      <c r="K136" s="2503"/>
      <c r="L136" s="2504"/>
      <c r="M136" s="2498"/>
      <c r="N136" s="2498"/>
      <c r="O136" s="2498"/>
      <c r="P136" s="2498"/>
      <c r="Q136" s="2498"/>
      <c r="R136" s="2498"/>
      <c r="S136" s="2498"/>
      <c r="T136" s="2498"/>
    </row>
    <row r="137" spans="1:20">
      <c r="A137" s="2498"/>
      <c r="B137" s="2498"/>
      <c r="C137" s="2498"/>
      <c r="D137" s="2498"/>
      <c r="E137" s="2498"/>
      <c r="F137" s="2498"/>
      <c r="G137" s="2498"/>
      <c r="H137" s="2498"/>
      <c r="I137" s="2498"/>
      <c r="J137" s="2498"/>
      <c r="K137" s="2503"/>
      <c r="L137" s="2504"/>
      <c r="M137" s="2498"/>
      <c r="N137" s="2498"/>
      <c r="O137" s="2498"/>
      <c r="P137" s="2498"/>
      <c r="Q137" s="2498"/>
      <c r="R137" s="2498"/>
      <c r="S137" s="2498"/>
      <c r="T137" s="2498"/>
    </row>
    <row r="138" spans="1:20">
      <c r="A138" s="2498"/>
      <c r="B138" s="2498"/>
      <c r="C138" s="2498"/>
      <c r="D138" s="2498"/>
      <c r="E138" s="2498"/>
      <c r="F138" s="2498"/>
      <c r="G138" s="2498"/>
      <c r="H138" s="2498"/>
      <c r="I138" s="2498"/>
      <c r="J138" s="2498"/>
      <c r="K138" s="2503"/>
      <c r="L138" s="2504"/>
      <c r="M138" s="2498"/>
      <c r="N138" s="2498"/>
      <c r="O138" s="2498"/>
      <c r="P138" s="2498"/>
      <c r="Q138" s="2498"/>
      <c r="R138" s="2498"/>
      <c r="S138" s="2498"/>
      <c r="T138" s="2498"/>
    </row>
    <row r="139" spans="1:20">
      <c r="A139" s="2498"/>
      <c r="B139" s="2498"/>
      <c r="C139" s="2498"/>
      <c r="D139" s="2498"/>
      <c r="E139" s="2498"/>
      <c r="F139" s="2498"/>
      <c r="G139" s="2498"/>
      <c r="H139" s="2498"/>
      <c r="I139" s="2498"/>
      <c r="J139" s="2498"/>
      <c r="K139" s="2503"/>
      <c r="L139" s="2504"/>
      <c r="M139" s="2498"/>
      <c r="N139" s="2498"/>
      <c r="O139" s="2498"/>
      <c r="P139" s="2498"/>
      <c r="Q139" s="2498"/>
      <c r="R139" s="2498"/>
      <c r="S139" s="2498"/>
      <c r="T139" s="2498"/>
    </row>
    <row r="140" spans="1:20">
      <c r="A140" s="2498"/>
      <c r="B140" s="2498"/>
      <c r="C140" s="2498"/>
      <c r="D140" s="2498"/>
      <c r="E140" s="2498"/>
      <c r="F140" s="2498"/>
      <c r="G140" s="2498"/>
      <c r="H140" s="2498"/>
      <c r="I140" s="2498"/>
      <c r="J140" s="2498"/>
      <c r="K140" s="2503"/>
      <c r="L140" s="2504"/>
      <c r="M140" s="2498"/>
      <c r="N140" s="2498"/>
      <c r="O140" s="2498"/>
      <c r="P140" s="2498"/>
      <c r="Q140" s="2498"/>
      <c r="R140" s="2498"/>
      <c r="S140" s="2498"/>
      <c r="T140" s="2498"/>
    </row>
    <row r="141" spans="1:20">
      <c r="A141" s="2498"/>
      <c r="B141" s="2498"/>
      <c r="C141" s="2498"/>
      <c r="D141" s="2498"/>
      <c r="E141" s="2498"/>
      <c r="F141" s="2498"/>
      <c r="G141" s="2498"/>
      <c r="H141" s="2498"/>
      <c r="I141" s="2498"/>
      <c r="J141" s="2498"/>
      <c r="K141" s="2503"/>
      <c r="L141" s="2504"/>
      <c r="M141" s="2498"/>
      <c r="N141" s="2498"/>
      <c r="O141" s="2498"/>
      <c r="P141" s="2498"/>
      <c r="Q141" s="2498"/>
      <c r="R141" s="2498"/>
      <c r="S141" s="2498"/>
      <c r="T141" s="2498"/>
    </row>
    <row r="142" spans="1:20">
      <c r="A142" s="2498"/>
      <c r="B142" s="2498"/>
      <c r="C142" s="2498"/>
      <c r="D142" s="2498"/>
      <c r="E142" s="2498"/>
      <c r="F142" s="2498"/>
      <c r="G142" s="2498"/>
      <c r="H142" s="2498"/>
      <c r="I142" s="2498"/>
      <c r="J142" s="2498"/>
      <c r="K142" s="2503"/>
      <c r="L142" s="2504"/>
      <c r="M142" s="2498"/>
      <c r="N142" s="2498"/>
      <c r="O142" s="2498"/>
      <c r="P142" s="2498"/>
      <c r="Q142" s="2498"/>
      <c r="R142" s="2498"/>
      <c r="S142" s="2498"/>
      <c r="T142" s="2498"/>
    </row>
    <row r="143" spans="1:20">
      <c r="A143" s="2498"/>
      <c r="B143" s="2498"/>
      <c r="C143" s="2498"/>
      <c r="D143" s="2498"/>
      <c r="E143" s="2498"/>
      <c r="F143" s="2498"/>
      <c r="G143" s="2498"/>
      <c r="H143" s="2498"/>
      <c r="I143" s="2498"/>
      <c r="J143" s="2498"/>
      <c r="K143" s="2503"/>
      <c r="L143" s="2504"/>
      <c r="M143" s="2498"/>
      <c r="N143" s="2498"/>
      <c r="O143" s="2498"/>
      <c r="P143" s="2498"/>
      <c r="Q143" s="2498"/>
      <c r="R143" s="2498"/>
      <c r="S143" s="2498"/>
      <c r="T143" s="2498"/>
    </row>
    <row r="144" spans="1:20">
      <c r="A144" s="2498"/>
      <c r="B144" s="2498"/>
      <c r="C144" s="2498"/>
      <c r="D144" s="2498"/>
      <c r="E144" s="2498"/>
      <c r="F144" s="2498"/>
      <c r="G144" s="2498"/>
      <c r="H144" s="2498"/>
      <c r="I144" s="2498"/>
      <c r="J144" s="2498"/>
      <c r="K144" s="2503"/>
      <c r="L144" s="2504"/>
      <c r="M144" s="2498"/>
      <c r="N144" s="2498"/>
      <c r="O144" s="2498"/>
      <c r="P144" s="2498"/>
      <c r="Q144" s="2498"/>
      <c r="R144" s="2498"/>
      <c r="S144" s="2498"/>
      <c r="T144" s="2498"/>
    </row>
    <row r="145" spans="1:20">
      <c r="A145" s="2498"/>
      <c r="B145" s="2498"/>
      <c r="C145" s="2498"/>
      <c r="D145" s="2498"/>
      <c r="E145" s="2498"/>
      <c r="F145" s="2498"/>
      <c r="G145" s="2498"/>
      <c r="H145" s="2498"/>
      <c r="I145" s="2498"/>
      <c r="J145" s="2498"/>
      <c r="K145" s="2503"/>
      <c r="L145" s="2504"/>
      <c r="M145" s="2498"/>
      <c r="N145" s="2498"/>
      <c r="O145" s="2498"/>
      <c r="P145" s="2498"/>
      <c r="Q145" s="2498"/>
      <c r="R145" s="2498"/>
      <c r="S145" s="2498"/>
      <c r="T145" s="2498"/>
    </row>
    <row r="146" spans="1:20">
      <c r="A146" s="2498"/>
      <c r="B146" s="2498"/>
      <c r="C146" s="2498"/>
      <c r="D146" s="2498"/>
      <c r="E146" s="2498"/>
      <c r="F146" s="2498"/>
      <c r="G146" s="2498"/>
      <c r="H146" s="2498"/>
      <c r="I146" s="2498"/>
      <c r="J146" s="2498"/>
      <c r="K146" s="2503"/>
      <c r="L146" s="2504"/>
      <c r="M146" s="2498"/>
      <c r="N146" s="2498"/>
      <c r="O146" s="2498"/>
      <c r="P146" s="2498"/>
      <c r="Q146" s="2498"/>
      <c r="R146" s="2498"/>
      <c r="S146" s="2498"/>
      <c r="T146" s="2498"/>
    </row>
    <row r="147" spans="1:20">
      <c r="A147" s="2498"/>
      <c r="B147" s="2498"/>
      <c r="C147" s="2498"/>
      <c r="D147" s="2498"/>
      <c r="E147" s="2498"/>
      <c r="F147" s="2498"/>
      <c r="G147" s="2498"/>
      <c r="H147" s="2498"/>
      <c r="I147" s="2498"/>
      <c r="J147" s="2498"/>
      <c r="K147" s="2503"/>
      <c r="L147" s="2504"/>
      <c r="M147" s="2498"/>
      <c r="N147" s="2498"/>
      <c r="O147" s="2498"/>
      <c r="P147" s="2498"/>
      <c r="Q147" s="2498"/>
      <c r="R147" s="2498"/>
      <c r="S147" s="2498"/>
      <c r="T147" s="2498"/>
    </row>
    <row r="148" spans="1:20">
      <c r="A148" s="2498"/>
      <c r="B148" s="2498"/>
      <c r="C148" s="2498"/>
      <c r="D148" s="2498"/>
      <c r="E148" s="2498"/>
      <c r="F148" s="2498"/>
      <c r="G148" s="2498"/>
      <c r="H148" s="2498"/>
      <c r="I148" s="2498"/>
      <c r="J148" s="2498"/>
      <c r="K148" s="2503"/>
      <c r="L148" s="2504"/>
      <c r="M148" s="2498"/>
      <c r="N148" s="2498"/>
      <c r="O148" s="2498"/>
      <c r="P148" s="2498"/>
      <c r="Q148" s="2498"/>
      <c r="R148" s="2498"/>
      <c r="S148" s="2498"/>
      <c r="T148" s="2498"/>
    </row>
    <row r="149" spans="1:20">
      <c r="A149" s="2498"/>
      <c r="B149" s="2498"/>
      <c r="C149" s="2498"/>
      <c r="D149" s="2498"/>
      <c r="E149" s="2498"/>
      <c r="F149" s="2498"/>
      <c r="G149" s="2498"/>
      <c r="H149" s="2498"/>
      <c r="I149" s="2498"/>
      <c r="J149" s="2498"/>
      <c r="K149" s="2503"/>
      <c r="L149" s="2504"/>
      <c r="M149" s="2498"/>
      <c r="N149" s="2498"/>
      <c r="O149" s="2498"/>
      <c r="P149" s="2498"/>
      <c r="Q149" s="2498"/>
      <c r="R149" s="2498"/>
      <c r="S149" s="2498"/>
      <c r="T149" s="2498"/>
    </row>
    <row r="150" spans="1:20">
      <c r="A150" s="2498"/>
      <c r="B150" s="2498"/>
      <c r="C150" s="2498"/>
      <c r="D150" s="2498"/>
      <c r="E150" s="2498"/>
      <c r="F150" s="2498"/>
      <c r="G150" s="2498"/>
      <c r="H150" s="2498"/>
      <c r="I150" s="2498"/>
      <c r="J150" s="2498"/>
      <c r="K150" s="2503"/>
      <c r="L150" s="2504"/>
      <c r="M150" s="2498"/>
      <c r="N150" s="2498"/>
      <c r="O150" s="2498"/>
      <c r="P150" s="2498"/>
      <c r="Q150" s="2498"/>
      <c r="R150" s="2498"/>
      <c r="S150" s="2498"/>
      <c r="T150" s="2498"/>
    </row>
    <row r="151" spans="1:20">
      <c r="A151" s="2498"/>
      <c r="B151" s="2498"/>
      <c r="C151" s="2498"/>
      <c r="D151" s="2498"/>
      <c r="E151" s="2498"/>
      <c r="F151" s="2498"/>
      <c r="G151" s="2498"/>
      <c r="H151" s="2498"/>
      <c r="I151" s="2498"/>
      <c r="J151" s="2498"/>
      <c r="K151" s="2503"/>
      <c r="L151" s="2504"/>
      <c r="M151" s="2498"/>
      <c r="N151" s="2498"/>
      <c r="O151" s="2498"/>
      <c r="P151" s="2498"/>
      <c r="Q151" s="2498"/>
      <c r="R151" s="2498"/>
      <c r="S151" s="2498"/>
      <c r="T151" s="2498"/>
    </row>
    <row r="152" spans="1:20">
      <c r="A152" s="2498"/>
      <c r="B152" s="2498"/>
      <c r="C152" s="2498"/>
      <c r="D152" s="2498"/>
      <c r="E152" s="2498"/>
      <c r="F152" s="2498"/>
      <c r="G152" s="2498"/>
      <c r="H152" s="2498"/>
      <c r="I152" s="2498"/>
      <c r="J152" s="2498"/>
      <c r="K152" s="2503"/>
      <c r="L152" s="2504"/>
      <c r="M152" s="2498"/>
      <c r="N152" s="2498"/>
      <c r="O152" s="2498"/>
      <c r="P152" s="2498"/>
      <c r="Q152" s="2498"/>
      <c r="R152" s="2498"/>
      <c r="S152" s="2498"/>
      <c r="T152" s="2498"/>
    </row>
    <row r="153" spans="1:20">
      <c r="A153" s="2498"/>
      <c r="B153" s="2498"/>
      <c r="C153" s="2498"/>
      <c r="D153" s="2498"/>
      <c r="E153" s="2498"/>
      <c r="F153" s="2498"/>
      <c r="G153" s="2498"/>
      <c r="H153" s="2498"/>
      <c r="I153" s="2498"/>
      <c r="J153" s="2498"/>
      <c r="K153" s="2503"/>
      <c r="L153" s="2504"/>
      <c r="M153" s="2498"/>
      <c r="N153" s="2498"/>
      <c r="O153" s="2498"/>
      <c r="P153" s="2498"/>
      <c r="Q153" s="2498"/>
      <c r="R153" s="2498"/>
      <c r="S153" s="2498"/>
      <c r="T153" s="2498"/>
    </row>
    <row r="154" spans="1:20">
      <c r="A154" s="2498"/>
      <c r="B154" s="2498"/>
      <c r="C154" s="2498"/>
      <c r="D154" s="2498"/>
      <c r="E154" s="2498"/>
      <c r="F154" s="2498"/>
      <c r="G154" s="2498"/>
      <c r="H154" s="2498"/>
      <c r="I154" s="2498"/>
      <c r="J154" s="2498"/>
      <c r="K154" s="2503"/>
      <c r="L154" s="2504"/>
      <c r="M154" s="2498"/>
      <c r="N154" s="2498"/>
      <c r="O154" s="2498"/>
      <c r="P154" s="2498"/>
      <c r="Q154" s="2498"/>
      <c r="R154" s="2498"/>
      <c r="S154" s="2498"/>
      <c r="T154" s="2498"/>
    </row>
    <row r="155" spans="1:20">
      <c r="A155" s="2498"/>
      <c r="B155" s="2498"/>
      <c r="C155" s="2498"/>
      <c r="D155" s="2498"/>
      <c r="E155" s="2498"/>
      <c r="F155" s="2498"/>
      <c r="G155" s="2498"/>
      <c r="H155" s="2498"/>
      <c r="I155" s="2498"/>
      <c r="J155" s="2498"/>
      <c r="K155" s="2503"/>
      <c r="L155" s="2504"/>
      <c r="M155" s="2498"/>
      <c r="N155" s="2498"/>
      <c r="O155" s="2498"/>
      <c r="P155" s="2498"/>
      <c r="Q155" s="2498"/>
      <c r="R155" s="2498"/>
      <c r="S155" s="2498"/>
      <c r="T155" s="2498"/>
    </row>
    <row r="156" spans="1:20">
      <c r="A156" s="2498"/>
      <c r="B156" s="2498"/>
      <c r="C156" s="2498"/>
      <c r="D156" s="2498"/>
      <c r="E156" s="2498"/>
      <c r="F156" s="2498"/>
      <c r="G156" s="2498"/>
      <c r="H156" s="2498"/>
      <c r="I156" s="2498"/>
      <c r="J156" s="2498"/>
      <c r="K156" s="2503"/>
      <c r="L156" s="2504"/>
      <c r="M156" s="2498"/>
      <c r="N156" s="2498"/>
      <c r="O156" s="2498"/>
      <c r="P156" s="2498"/>
      <c r="Q156" s="2498"/>
      <c r="R156" s="2498"/>
      <c r="S156" s="2498"/>
      <c r="T156" s="2498"/>
    </row>
    <row r="157" spans="1:20">
      <c r="A157" s="2498"/>
      <c r="B157" s="2498"/>
      <c r="C157" s="2498"/>
      <c r="D157" s="2498"/>
      <c r="E157" s="2498"/>
      <c r="F157" s="2498"/>
      <c r="G157" s="2498"/>
      <c r="H157" s="2498"/>
      <c r="I157" s="2498"/>
      <c r="J157" s="2498"/>
      <c r="K157" s="2503"/>
      <c r="L157" s="2504"/>
      <c r="M157" s="2498"/>
      <c r="N157" s="2498"/>
      <c r="O157" s="2498"/>
      <c r="P157" s="2498"/>
      <c r="Q157" s="2498"/>
      <c r="R157" s="2498"/>
      <c r="S157" s="2498"/>
      <c r="T157" s="2498"/>
    </row>
    <row r="158" spans="1:20">
      <c r="A158" s="2498"/>
      <c r="B158" s="2498"/>
      <c r="C158" s="2498"/>
      <c r="D158" s="2498"/>
      <c r="E158" s="2498"/>
      <c r="F158" s="2498"/>
      <c r="G158" s="2498"/>
      <c r="H158" s="2498"/>
      <c r="I158" s="2498"/>
      <c r="J158" s="2498"/>
      <c r="K158" s="2503"/>
      <c r="L158" s="2504"/>
      <c r="M158" s="2498"/>
      <c r="N158" s="2498"/>
      <c r="O158" s="2498"/>
      <c r="P158" s="2498"/>
      <c r="Q158" s="2498"/>
      <c r="R158" s="2498"/>
      <c r="S158" s="2498"/>
      <c r="T158" s="2498"/>
    </row>
    <row r="159" spans="1:20">
      <c r="A159" s="2498"/>
      <c r="B159" s="2498"/>
      <c r="C159" s="2498"/>
      <c r="D159" s="2498"/>
      <c r="E159" s="2498"/>
      <c r="F159" s="2498"/>
      <c r="G159" s="2498"/>
      <c r="H159" s="2498"/>
      <c r="I159" s="2498"/>
      <c r="J159" s="2498"/>
      <c r="K159" s="2503"/>
      <c r="L159" s="2504"/>
      <c r="M159" s="2498"/>
      <c r="N159" s="2498"/>
      <c r="O159" s="2498"/>
      <c r="P159" s="2498"/>
      <c r="Q159" s="2498"/>
      <c r="R159" s="2498"/>
      <c r="S159" s="2498"/>
      <c r="T159" s="2498"/>
    </row>
    <row r="160" spans="1:20">
      <c r="A160" s="2498"/>
      <c r="B160" s="2498"/>
      <c r="C160" s="2498"/>
      <c r="D160" s="2498"/>
      <c r="E160" s="2498"/>
      <c r="F160" s="2498"/>
      <c r="G160" s="2498"/>
      <c r="H160" s="2498"/>
      <c r="I160" s="2498"/>
      <c r="J160" s="2498"/>
      <c r="K160" s="2503"/>
      <c r="L160" s="2504"/>
      <c r="M160" s="2498"/>
      <c r="N160" s="2498"/>
      <c r="O160" s="2498"/>
      <c r="P160" s="2498"/>
      <c r="Q160" s="2498"/>
      <c r="R160" s="2498"/>
      <c r="S160" s="2498"/>
      <c r="T160" s="2498"/>
    </row>
    <row r="161" spans="1:20">
      <c r="A161" s="2498"/>
      <c r="B161" s="2498"/>
      <c r="C161" s="2498"/>
      <c r="D161" s="2498"/>
      <c r="E161" s="2498"/>
      <c r="F161" s="2498"/>
      <c r="G161" s="2498"/>
      <c r="H161" s="2498"/>
      <c r="I161" s="2498"/>
      <c r="J161" s="2498"/>
      <c r="K161" s="2503"/>
      <c r="L161" s="2504"/>
      <c r="M161" s="2498"/>
      <c r="N161" s="2498"/>
      <c r="O161" s="2498"/>
      <c r="P161" s="2498"/>
      <c r="Q161" s="2498"/>
      <c r="R161" s="2498"/>
      <c r="S161" s="2498"/>
      <c r="T161" s="2498"/>
    </row>
    <row r="162" spans="1:20">
      <c r="A162" s="2498"/>
      <c r="B162" s="2498"/>
      <c r="C162" s="2498"/>
      <c r="D162" s="2498"/>
      <c r="E162" s="2498"/>
      <c r="F162" s="2498"/>
      <c r="G162" s="2498"/>
      <c r="H162" s="2498"/>
      <c r="I162" s="2498"/>
      <c r="J162" s="2498"/>
      <c r="K162" s="2503"/>
      <c r="L162" s="2504"/>
      <c r="M162" s="2498"/>
      <c r="N162" s="2498"/>
      <c r="O162" s="2498"/>
      <c r="P162" s="2498"/>
      <c r="Q162" s="2498"/>
      <c r="R162" s="2498"/>
      <c r="S162" s="2498"/>
      <c r="T162" s="2498"/>
    </row>
    <row r="163" spans="1:20">
      <c r="A163" s="2498"/>
      <c r="B163" s="2498"/>
      <c r="C163" s="2498"/>
      <c r="D163" s="2498"/>
      <c r="E163" s="2498"/>
      <c r="F163" s="2498"/>
      <c r="G163" s="2498"/>
      <c r="H163" s="2498"/>
      <c r="I163" s="2498"/>
      <c r="J163" s="2498"/>
      <c r="K163" s="2503"/>
      <c r="L163" s="2504"/>
      <c r="M163" s="2498"/>
      <c r="N163" s="2498"/>
      <c r="O163" s="2498"/>
      <c r="P163" s="2498"/>
      <c r="Q163" s="2498"/>
      <c r="R163" s="2498"/>
      <c r="S163" s="2498"/>
      <c r="T163" s="2498"/>
    </row>
    <row r="164" spans="1:20">
      <c r="A164" s="2498"/>
      <c r="B164" s="2498"/>
      <c r="C164" s="2498"/>
      <c r="D164" s="2498"/>
      <c r="E164" s="2498"/>
      <c r="F164" s="2498"/>
      <c r="G164" s="2498"/>
      <c r="H164" s="2498"/>
      <c r="I164" s="2498"/>
      <c r="J164" s="2498"/>
      <c r="K164" s="2503"/>
      <c r="L164" s="2504"/>
      <c r="M164" s="2498"/>
      <c r="N164" s="2498"/>
      <c r="O164" s="2498"/>
      <c r="P164" s="2498"/>
      <c r="Q164" s="2498"/>
      <c r="R164" s="2498"/>
      <c r="S164" s="2498"/>
      <c r="T164" s="2498"/>
    </row>
    <row r="165" spans="1:20">
      <c r="A165" s="2498"/>
      <c r="B165" s="2498"/>
      <c r="C165" s="2498"/>
      <c r="D165" s="2498"/>
      <c r="E165" s="2498"/>
      <c r="F165" s="2498"/>
      <c r="G165" s="2498"/>
      <c r="H165" s="2498"/>
      <c r="I165" s="2498"/>
      <c r="J165" s="2498"/>
      <c r="K165" s="2503"/>
      <c r="L165" s="2504"/>
      <c r="M165" s="2498"/>
      <c r="N165" s="2498"/>
      <c r="O165" s="2498"/>
      <c r="P165" s="2498"/>
      <c r="Q165" s="2498"/>
      <c r="R165" s="2498"/>
      <c r="S165" s="2498"/>
      <c r="T165" s="2498"/>
    </row>
    <row r="166" spans="1:20">
      <c r="A166" s="2498"/>
      <c r="B166" s="2498"/>
      <c r="C166" s="2498"/>
      <c r="D166" s="2498"/>
      <c r="E166" s="2498"/>
      <c r="F166" s="2498"/>
      <c r="G166" s="2498"/>
      <c r="H166" s="2498"/>
      <c r="I166" s="2498"/>
      <c r="J166" s="2498"/>
      <c r="K166" s="2503"/>
      <c r="L166" s="2504"/>
      <c r="M166" s="2498"/>
      <c r="N166" s="2498"/>
      <c r="O166" s="2498"/>
      <c r="P166" s="2498"/>
      <c r="Q166" s="2498"/>
      <c r="R166" s="2498"/>
      <c r="S166" s="2498"/>
      <c r="T166" s="2498"/>
    </row>
    <row r="167" spans="1:20">
      <c r="A167" s="2498"/>
      <c r="B167" s="2498"/>
      <c r="C167" s="2498"/>
      <c r="D167" s="2498"/>
      <c r="E167" s="2498"/>
      <c r="F167" s="2498"/>
      <c r="G167" s="2498"/>
      <c r="H167" s="2498"/>
      <c r="I167" s="2498"/>
      <c r="J167" s="2498"/>
      <c r="K167" s="2503"/>
      <c r="L167" s="2504"/>
      <c r="M167" s="2498"/>
      <c r="N167" s="2498"/>
      <c r="O167" s="2498"/>
      <c r="P167" s="2498"/>
      <c r="Q167" s="2498"/>
      <c r="R167" s="2498"/>
      <c r="S167" s="2498"/>
      <c r="T167" s="2498"/>
    </row>
    <row r="168" spans="1:20">
      <c r="A168" s="2498"/>
      <c r="B168" s="2498"/>
      <c r="C168" s="2498"/>
      <c r="D168" s="2498"/>
      <c r="E168" s="2498"/>
      <c r="F168" s="2498"/>
      <c r="G168" s="2498"/>
      <c r="H168" s="2498"/>
      <c r="I168" s="2498"/>
      <c r="J168" s="2498"/>
      <c r="K168" s="2503"/>
      <c r="L168" s="2504"/>
      <c r="M168" s="2498"/>
      <c r="N168" s="2498"/>
      <c r="O168" s="2498"/>
      <c r="P168" s="2498"/>
      <c r="Q168" s="2498"/>
      <c r="R168" s="2498"/>
      <c r="S168" s="2498"/>
      <c r="T168" s="2498"/>
    </row>
    <row r="169" spans="1:20">
      <c r="A169" s="2498"/>
      <c r="B169" s="2498"/>
      <c r="C169" s="2498"/>
      <c r="D169" s="2498"/>
      <c r="E169" s="2498"/>
      <c r="F169" s="2498"/>
      <c r="G169" s="2498"/>
      <c r="H169" s="2498"/>
      <c r="I169" s="2498"/>
      <c r="J169" s="2498"/>
      <c r="K169" s="2503"/>
      <c r="L169" s="2504"/>
      <c r="M169" s="2498"/>
      <c r="N169" s="2498"/>
      <c r="O169" s="2498"/>
      <c r="P169" s="2498"/>
      <c r="Q169" s="2498"/>
      <c r="R169" s="2498"/>
      <c r="S169" s="2498"/>
      <c r="T169" s="2498"/>
    </row>
    <row r="170" spans="1:20">
      <c r="A170" s="2498"/>
      <c r="B170" s="2498"/>
      <c r="C170" s="2498"/>
      <c r="D170" s="2498"/>
      <c r="E170" s="2498"/>
      <c r="F170" s="2498"/>
      <c r="G170" s="2498"/>
      <c r="H170" s="2498"/>
      <c r="I170" s="2498"/>
      <c r="J170" s="2498"/>
      <c r="K170" s="2503"/>
      <c r="L170" s="2504"/>
      <c r="M170" s="2498"/>
      <c r="N170" s="2498"/>
      <c r="O170" s="2498"/>
      <c r="P170" s="2498"/>
      <c r="Q170" s="2498"/>
      <c r="R170" s="2498"/>
      <c r="S170" s="2498"/>
      <c r="T170" s="2498"/>
    </row>
    <row r="171" spans="1:20">
      <c r="A171" s="2498"/>
      <c r="B171" s="2498"/>
      <c r="C171" s="2498"/>
      <c r="D171" s="2498"/>
      <c r="E171" s="2498"/>
      <c r="F171" s="2498"/>
      <c r="G171" s="2498"/>
      <c r="H171" s="2498"/>
      <c r="I171" s="2498"/>
      <c r="J171" s="2498"/>
      <c r="K171" s="2503"/>
      <c r="L171" s="2504"/>
      <c r="M171" s="2498"/>
      <c r="N171" s="2498"/>
      <c r="O171" s="2498"/>
      <c r="P171" s="2498"/>
      <c r="Q171" s="2498"/>
      <c r="R171" s="2498"/>
      <c r="S171" s="2498"/>
      <c r="T171" s="2498"/>
    </row>
    <row r="172" spans="1:20">
      <c r="A172" s="2498"/>
      <c r="B172" s="2498"/>
      <c r="C172" s="2498"/>
      <c r="D172" s="2498"/>
      <c r="E172" s="2498"/>
      <c r="F172" s="2498"/>
      <c r="G172" s="2498"/>
      <c r="H172" s="2498"/>
      <c r="I172" s="2498"/>
      <c r="J172" s="2498"/>
      <c r="K172" s="2503"/>
      <c r="L172" s="2504"/>
      <c r="M172" s="2498"/>
      <c r="N172" s="2498"/>
      <c r="O172" s="2498"/>
      <c r="P172" s="2498"/>
      <c r="Q172" s="2498"/>
      <c r="R172" s="2498"/>
      <c r="S172" s="2498"/>
      <c r="T172" s="2498"/>
    </row>
    <row r="173" spans="1:20">
      <c r="A173" s="2498"/>
      <c r="B173" s="2498"/>
      <c r="C173" s="2498"/>
      <c r="D173" s="2498"/>
      <c r="E173" s="2498"/>
      <c r="F173" s="2498"/>
      <c r="G173" s="2498"/>
      <c r="H173" s="2498"/>
      <c r="I173" s="2498"/>
      <c r="J173" s="2498"/>
      <c r="K173" s="2503"/>
      <c r="L173" s="2504"/>
      <c r="M173" s="2498"/>
      <c r="N173" s="2498"/>
      <c r="O173" s="2498"/>
      <c r="P173" s="2498"/>
      <c r="Q173" s="2498"/>
      <c r="R173" s="2498"/>
      <c r="S173" s="2498"/>
      <c r="T173" s="2498"/>
    </row>
    <row r="174" spans="1:20">
      <c r="A174" s="2498"/>
      <c r="B174" s="2498"/>
      <c r="C174" s="2498"/>
      <c r="D174" s="2498"/>
      <c r="E174" s="2498"/>
      <c r="F174" s="2498"/>
      <c r="G174" s="2498"/>
      <c r="H174" s="2498"/>
      <c r="I174" s="2498"/>
      <c r="J174" s="2498"/>
      <c r="K174" s="2503"/>
      <c r="L174" s="2504"/>
      <c r="M174" s="2498"/>
      <c r="N174" s="2498"/>
      <c r="O174" s="2498"/>
      <c r="P174" s="2498"/>
      <c r="Q174" s="2498"/>
      <c r="R174" s="2498"/>
      <c r="S174" s="2498"/>
      <c r="T174" s="2498"/>
    </row>
    <row r="175" spans="1:20">
      <c r="A175" s="2498"/>
      <c r="B175" s="2498"/>
      <c r="C175" s="2498"/>
      <c r="D175" s="2498"/>
      <c r="E175" s="2498"/>
      <c r="F175" s="2498"/>
      <c r="G175" s="2498"/>
      <c r="H175" s="2498"/>
      <c r="I175" s="2498"/>
      <c r="J175" s="2498"/>
      <c r="K175" s="2503"/>
      <c r="L175" s="2504"/>
      <c r="M175" s="2498"/>
      <c r="N175" s="2498"/>
      <c r="O175" s="2498"/>
      <c r="P175" s="2498"/>
      <c r="Q175" s="2498"/>
      <c r="R175" s="2498"/>
      <c r="S175" s="2498"/>
      <c r="T175" s="2498"/>
    </row>
    <row r="176" spans="1:20">
      <c r="A176" s="2498"/>
      <c r="B176" s="2498"/>
      <c r="C176" s="2498"/>
      <c r="D176" s="2498"/>
      <c r="E176" s="2498"/>
      <c r="F176" s="2498"/>
      <c r="G176" s="2498"/>
      <c r="H176" s="2498"/>
      <c r="I176" s="2498"/>
      <c r="J176" s="2498"/>
      <c r="K176" s="2503"/>
      <c r="L176" s="2504"/>
      <c r="M176" s="2498"/>
      <c r="N176" s="2498"/>
      <c r="O176" s="2498"/>
      <c r="P176" s="2498"/>
      <c r="Q176" s="2498"/>
      <c r="R176" s="2498"/>
      <c r="S176" s="2498"/>
      <c r="T176" s="2498"/>
    </row>
    <row r="177" spans="1:20">
      <c r="A177" s="2498"/>
      <c r="B177" s="2498"/>
      <c r="C177" s="2498"/>
      <c r="D177" s="2498"/>
      <c r="E177" s="2498"/>
      <c r="F177" s="2498"/>
      <c r="G177" s="2498"/>
      <c r="H177" s="2498"/>
      <c r="I177" s="2498"/>
      <c r="J177" s="2498"/>
      <c r="K177" s="2503"/>
      <c r="L177" s="2504"/>
      <c r="M177" s="2498"/>
      <c r="N177" s="2498"/>
      <c r="O177" s="2498"/>
      <c r="P177" s="2498"/>
      <c r="Q177" s="2498"/>
      <c r="R177" s="2498"/>
      <c r="S177" s="2498"/>
      <c r="T177" s="2498"/>
    </row>
    <row r="178" spans="1:20">
      <c r="A178" s="2498"/>
      <c r="B178" s="2498"/>
      <c r="C178" s="2498"/>
      <c r="D178" s="2498"/>
      <c r="E178" s="2498"/>
      <c r="F178" s="2498"/>
      <c r="G178" s="2498"/>
      <c r="H178" s="2498"/>
      <c r="I178" s="2498"/>
      <c r="J178" s="2498"/>
      <c r="K178" s="2503"/>
      <c r="L178" s="2504"/>
      <c r="M178" s="2498"/>
      <c r="N178" s="2498"/>
      <c r="O178" s="2498"/>
      <c r="P178" s="2498"/>
      <c r="Q178" s="2498"/>
      <c r="R178" s="2498"/>
      <c r="S178" s="2498"/>
      <c r="T178" s="2498"/>
    </row>
    <row r="179" spans="1:20">
      <c r="A179" s="2498"/>
      <c r="B179" s="2498"/>
      <c r="C179" s="2498"/>
      <c r="D179" s="2498"/>
      <c r="E179" s="2498"/>
      <c r="F179" s="2498"/>
      <c r="G179" s="2498"/>
      <c r="H179" s="2498"/>
      <c r="I179" s="2498"/>
      <c r="J179" s="2498"/>
      <c r="K179" s="2503"/>
      <c r="L179" s="2504"/>
      <c r="M179" s="2498"/>
      <c r="N179" s="2498"/>
      <c r="O179" s="2498"/>
      <c r="P179" s="2498"/>
      <c r="Q179" s="2498"/>
      <c r="R179" s="2498"/>
      <c r="S179" s="2498"/>
      <c r="T179" s="2498"/>
    </row>
    <row r="180" spans="1:20">
      <c r="A180" s="2498"/>
      <c r="B180" s="2498"/>
      <c r="C180" s="2498"/>
      <c r="D180" s="2498"/>
      <c r="E180" s="2498"/>
      <c r="F180" s="2498"/>
      <c r="G180" s="2498"/>
      <c r="H180" s="2498"/>
      <c r="I180" s="2498"/>
      <c r="J180" s="2498"/>
      <c r="K180" s="2503"/>
      <c r="L180" s="2504"/>
      <c r="M180" s="2498"/>
      <c r="N180" s="2498"/>
      <c r="O180" s="2498"/>
      <c r="P180" s="2498"/>
      <c r="Q180" s="2498"/>
      <c r="R180" s="2498"/>
      <c r="S180" s="2498"/>
      <c r="T180" s="2498"/>
    </row>
    <row r="181" spans="1:20">
      <c r="A181" s="2498"/>
      <c r="B181" s="2498"/>
      <c r="C181" s="2498"/>
      <c r="D181" s="2498"/>
      <c r="E181" s="2498"/>
      <c r="F181" s="2498"/>
      <c r="G181" s="2498"/>
      <c r="H181" s="2498"/>
      <c r="I181" s="2498"/>
      <c r="J181" s="2498"/>
      <c r="K181" s="2503"/>
      <c r="L181" s="2504"/>
      <c r="M181" s="2498"/>
      <c r="N181" s="2498"/>
      <c r="O181" s="2498"/>
      <c r="P181" s="2498"/>
      <c r="Q181" s="2498"/>
      <c r="R181" s="2498"/>
      <c r="S181" s="2498"/>
      <c r="T181" s="2498"/>
    </row>
    <row r="182" spans="1:20">
      <c r="A182" s="2498"/>
      <c r="B182" s="2498"/>
      <c r="C182" s="2498"/>
      <c r="D182" s="2498"/>
      <c r="E182" s="2498"/>
      <c r="F182" s="2498"/>
      <c r="G182" s="2498"/>
      <c r="H182" s="2498"/>
      <c r="I182" s="2498"/>
      <c r="J182" s="2498"/>
      <c r="K182" s="2503"/>
      <c r="L182" s="2504"/>
      <c r="M182" s="2498"/>
      <c r="N182" s="2498"/>
      <c r="O182" s="2498"/>
      <c r="P182" s="2498"/>
      <c r="Q182" s="2498"/>
      <c r="R182" s="2498"/>
      <c r="S182" s="2498"/>
      <c r="T182" s="2498"/>
    </row>
    <row r="183" spans="1:20">
      <c r="A183" s="2498"/>
      <c r="B183" s="2498"/>
      <c r="C183" s="2498"/>
      <c r="D183" s="2498"/>
      <c r="E183" s="2498"/>
      <c r="F183" s="2498"/>
      <c r="G183" s="2498"/>
      <c r="H183" s="2498"/>
      <c r="I183" s="2498"/>
      <c r="J183" s="2498"/>
      <c r="K183" s="2503"/>
      <c r="L183" s="2504"/>
      <c r="M183" s="2498"/>
      <c r="N183" s="2498"/>
      <c r="O183" s="2498"/>
      <c r="P183" s="2498"/>
      <c r="Q183" s="2498"/>
      <c r="R183" s="2498"/>
      <c r="S183" s="2498"/>
      <c r="T183" s="2498"/>
    </row>
    <row r="184" spans="1:20">
      <c r="A184" s="2498"/>
      <c r="B184" s="2498"/>
      <c r="C184" s="2498"/>
      <c r="D184" s="2498"/>
      <c r="E184" s="2498"/>
      <c r="F184" s="2498"/>
      <c r="G184" s="2498"/>
      <c r="H184" s="2498"/>
      <c r="I184" s="2498"/>
      <c r="J184" s="2498"/>
      <c r="K184" s="2503"/>
      <c r="L184" s="2504"/>
      <c r="M184" s="2498"/>
      <c r="N184" s="2498"/>
      <c r="O184" s="2498"/>
      <c r="P184" s="2498"/>
      <c r="Q184" s="2498"/>
      <c r="R184" s="2498"/>
      <c r="S184" s="2498"/>
      <c r="T184" s="2498"/>
    </row>
    <row r="185" spans="1:20">
      <c r="A185" s="2498"/>
      <c r="B185" s="2498"/>
      <c r="C185" s="2498"/>
      <c r="D185" s="2498"/>
      <c r="E185" s="2498"/>
      <c r="F185" s="2498"/>
      <c r="G185" s="2498"/>
      <c r="H185" s="2498"/>
      <c r="I185" s="2498"/>
      <c r="J185" s="2498"/>
      <c r="K185" s="2503"/>
      <c r="L185" s="2504"/>
      <c r="M185" s="2498"/>
      <c r="N185" s="2498"/>
      <c r="O185" s="2498"/>
      <c r="P185" s="2498"/>
      <c r="Q185" s="2498"/>
      <c r="R185" s="2498"/>
      <c r="S185" s="2498"/>
      <c r="T185" s="2498"/>
    </row>
    <row r="186" spans="1:20">
      <c r="A186" s="2498"/>
      <c r="B186" s="2498"/>
      <c r="C186" s="2498"/>
      <c r="D186" s="2498"/>
      <c r="E186" s="2498"/>
      <c r="F186" s="2498"/>
      <c r="G186" s="2498"/>
      <c r="H186" s="2498"/>
      <c r="I186" s="2498"/>
      <c r="J186" s="2498"/>
      <c r="K186" s="2503"/>
      <c r="L186" s="2504"/>
      <c r="M186" s="2498"/>
      <c r="N186" s="2498"/>
      <c r="O186" s="2498"/>
      <c r="P186" s="2498"/>
      <c r="Q186" s="2498"/>
      <c r="R186" s="2498"/>
      <c r="S186" s="2498"/>
      <c r="T186" s="2498"/>
    </row>
    <row r="187" spans="1:20">
      <c r="A187" s="2498"/>
      <c r="B187" s="2498"/>
      <c r="C187" s="2498"/>
      <c r="D187" s="2498"/>
      <c r="E187" s="2498"/>
      <c r="F187" s="2498"/>
      <c r="G187" s="2498"/>
      <c r="H187" s="2498"/>
      <c r="I187" s="2498"/>
      <c r="J187" s="2498"/>
      <c r="K187" s="2503"/>
      <c r="L187" s="2504"/>
      <c r="M187" s="2498"/>
      <c r="N187" s="2498"/>
      <c r="O187" s="2498"/>
      <c r="P187" s="2498"/>
      <c r="Q187" s="2498"/>
      <c r="R187" s="2498"/>
      <c r="S187" s="2498"/>
      <c r="T187" s="2498"/>
    </row>
    <row r="188" spans="1:20">
      <c r="A188" s="2498"/>
      <c r="B188" s="2498"/>
      <c r="C188" s="2498"/>
      <c r="D188" s="2498"/>
      <c r="E188" s="2498"/>
      <c r="F188" s="2498"/>
      <c r="G188" s="2498"/>
      <c r="H188" s="2498"/>
      <c r="I188" s="2498"/>
      <c r="J188" s="2498"/>
      <c r="K188" s="2503"/>
      <c r="L188" s="2504"/>
      <c r="M188" s="2498"/>
      <c r="N188" s="2498"/>
      <c r="O188" s="2498"/>
      <c r="P188" s="2498"/>
      <c r="Q188" s="2498"/>
      <c r="R188" s="2498"/>
      <c r="S188" s="2498"/>
      <c r="T188" s="2498"/>
    </row>
    <row r="189" spans="1:20">
      <c r="A189" s="2498"/>
      <c r="B189" s="2498"/>
      <c r="C189" s="2498"/>
      <c r="D189" s="2498"/>
      <c r="E189" s="2498"/>
      <c r="F189" s="2498"/>
      <c r="G189" s="2498"/>
      <c r="H189" s="2498"/>
      <c r="I189" s="2498"/>
      <c r="J189" s="2498"/>
      <c r="K189" s="2503"/>
      <c r="L189" s="2504"/>
      <c r="M189" s="2498"/>
      <c r="N189" s="2498"/>
      <c r="O189" s="2498"/>
      <c r="P189" s="2498"/>
      <c r="Q189" s="2498"/>
      <c r="R189" s="2498"/>
      <c r="S189" s="2498"/>
      <c r="T189" s="2498"/>
    </row>
    <row r="190" spans="1:20">
      <c r="A190" s="2498"/>
      <c r="B190" s="2498"/>
      <c r="C190" s="2498"/>
      <c r="D190" s="2498"/>
      <c r="E190" s="2498"/>
      <c r="F190" s="2498"/>
      <c r="G190" s="2498"/>
      <c r="H190" s="2498"/>
      <c r="I190" s="2498"/>
      <c r="J190" s="2498"/>
      <c r="K190" s="2503"/>
      <c r="L190" s="2504"/>
      <c r="M190" s="2498"/>
      <c r="N190" s="2498"/>
      <c r="O190" s="2498"/>
      <c r="P190" s="2498"/>
      <c r="Q190" s="2498"/>
      <c r="R190" s="2498"/>
      <c r="S190" s="2498"/>
      <c r="T190" s="2498"/>
    </row>
    <row r="191" spans="1:20">
      <c r="A191" s="2498"/>
      <c r="B191" s="2498"/>
      <c r="C191" s="2498"/>
      <c r="D191" s="2498"/>
      <c r="E191" s="2498"/>
      <c r="F191" s="2498"/>
      <c r="G191" s="2498"/>
      <c r="H191" s="2498"/>
      <c r="I191" s="2498"/>
      <c r="J191" s="2498"/>
      <c r="K191" s="2503"/>
      <c r="L191" s="2504"/>
      <c r="M191" s="2498"/>
      <c r="N191" s="2498"/>
      <c r="O191" s="2498"/>
      <c r="P191" s="2498"/>
      <c r="Q191" s="2498"/>
      <c r="R191" s="2498"/>
      <c r="S191" s="2498"/>
      <c r="T191" s="2498"/>
    </row>
    <row r="192" spans="1:20">
      <c r="A192" s="2498"/>
      <c r="B192" s="2498"/>
      <c r="C192" s="2498"/>
      <c r="D192" s="2498"/>
      <c r="E192" s="2498"/>
      <c r="F192" s="2498"/>
      <c r="G192" s="2498"/>
      <c r="H192" s="2498"/>
      <c r="I192" s="2498"/>
      <c r="J192" s="2498"/>
      <c r="K192" s="2503"/>
      <c r="L192" s="2504"/>
      <c r="M192" s="2498"/>
      <c r="N192" s="2498"/>
      <c r="O192" s="2498"/>
      <c r="P192" s="2498"/>
      <c r="Q192" s="2498"/>
      <c r="R192" s="2498"/>
      <c r="S192" s="2498"/>
      <c r="T192" s="2498"/>
    </row>
    <row r="193" spans="1:20">
      <c r="A193" s="2498"/>
      <c r="B193" s="2498"/>
      <c r="C193" s="2498"/>
      <c r="D193" s="2498"/>
      <c r="E193" s="2498"/>
      <c r="F193" s="2498"/>
      <c r="G193" s="2498"/>
      <c r="H193" s="2498"/>
      <c r="I193" s="2498"/>
      <c r="J193" s="2498"/>
      <c r="K193" s="2503"/>
      <c r="L193" s="2504"/>
      <c r="M193" s="2498"/>
      <c r="N193" s="2498"/>
      <c r="O193" s="2498"/>
      <c r="P193" s="2498"/>
      <c r="Q193" s="2498"/>
      <c r="R193" s="2498"/>
      <c r="S193" s="2498"/>
      <c r="T193" s="2498"/>
    </row>
    <row r="194" spans="1:20">
      <c r="A194" s="2498"/>
      <c r="B194" s="2498"/>
      <c r="C194" s="2498"/>
      <c r="D194" s="2498"/>
      <c r="E194" s="2498"/>
      <c r="F194" s="2498"/>
      <c r="G194" s="2498"/>
      <c r="H194" s="2498"/>
      <c r="I194" s="2498"/>
      <c r="J194" s="2498"/>
      <c r="K194" s="2503"/>
      <c r="L194" s="2504"/>
      <c r="M194" s="2498"/>
      <c r="N194" s="2498"/>
      <c r="O194" s="2498"/>
      <c r="P194" s="2498"/>
      <c r="Q194" s="2498"/>
      <c r="R194" s="2498"/>
      <c r="S194" s="2498"/>
      <c r="T194" s="2498"/>
    </row>
    <row r="195" spans="1:20">
      <c r="A195" s="2498"/>
      <c r="B195" s="2498"/>
      <c r="C195" s="2498"/>
      <c r="D195" s="2498"/>
      <c r="E195" s="2498"/>
      <c r="F195" s="2498"/>
      <c r="G195" s="2498"/>
      <c r="H195" s="2498"/>
      <c r="I195" s="2498"/>
      <c r="J195" s="2498"/>
      <c r="K195" s="2503"/>
      <c r="L195" s="2504"/>
      <c r="M195" s="2498"/>
      <c r="N195" s="2498"/>
      <c r="O195" s="2498"/>
      <c r="P195" s="2498"/>
      <c r="Q195" s="2498"/>
      <c r="R195" s="2498"/>
      <c r="S195" s="2498"/>
      <c r="T195" s="2498"/>
    </row>
    <row r="196" spans="1:20">
      <c r="A196" s="2498"/>
      <c r="B196" s="2498"/>
      <c r="C196" s="2498"/>
      <c r="D196" s="2498"/>
      <c r="E196" s="2498"/>
      <c r="F196" s="2498"/>
      <c r="G196" s="2498"/>
      <c r="H196" s="2498"/>
      <c r="I196" s="2498"/>
      <c r="J196" s="2498"/>
      <c r="K196" s="2503"/>
      <c r="L196" s="2504"/>
      <c r="M196" s="2498"/>
      <c r="N196" s="2498"/>
      <c r="O196" s="2498"/>
      <c r="P196" s="2498"/>
      <c r="Q196" s="2498"/>
      <c r="R196" s="2498"/>
      <c r="S196" s="2498"/>
      <c r="T196" s="2498"/>
    </row>
    <row r="197" spans="1:20">
      <c r="A197" s="2498"/>
      <c r="B197" s="2498"/>
      <c r="C197" s="2498"/>
      <c r="D197" s="2498"/>
      <c r="E197" s="2498"/>
      <c r="F197" s="2498"/>
      <c r="G197" s="2498"/>
      <c r="H197" s="2498"/>
      <c r="I197" s="2498"/>
      <c r="J197" s="2498"/>
      <c r="K197" s="2503"/>
      <c r="L197" s="2504"/>
      <c r="M197" s="2498"/>
      <c r="N197" s="2498"/>
      <c r="O197" s="2498"/>
      <c r="P197" s="2498"/>
      <c r="Q197" s="2498"/>
      <c r="R197" s="2498"/>
      <c r="S197" s="2498"/>
      <c r="T197" s="2498"/>
    </row>
    <row r="198" spans="1:20">
      <c r="A198" s="2498"/>
      <c r="B198" s="2498"/>
      <c r="C198" s="2498"/>
      <c r="D198" s="2498"/>
      <c r="E198" s="2498"/>
      <c r="F198" s="2498"/>
      <c r="G198" s="2498"/>
      <c r="H198" s="2498"/>
      <c r="I198" s="2498"/>
      <c r="J198" s="2498"/>
      <c r="K198" s="2503"/>
      <c r="L198" s="2504"/>
      <c r="M198" s="2498"/>
      <c r="N198" s="2498"/>
      <c r="O198" s="2498"/>
      <c r="P198" s="2498"/>
      <c r="Q198" s="2498"/>
      <c r="R198" s="2498"/>
      <c r="S198" s="2498"/>
      <c r="T198" s="2498"/>
    </row>
    <row r="199" spans="1:20">
      <c r="A199" s="2498"/>
      <c r="B199" s="2498"/>
      <c r="C199" s="2498"/>
      <c r="D199" s="2498"/>
      <c r="E199" s="2498"/>
      <c r="F199" s="2498"/>
      <c r="G199" s="2498"/>
      <c r="H199" s="2498"/>
      <c r="I199" s="2498"/>
      <c r="J199" s="2498"/>
      <c r="K199" s="2503"/>
      <c r="L199" s="2504"/>
      <c r="M199" s="2498"/>
      <c r="N199" s="2498"/>
      <c r="O199" s="2498"/>
      <c r="P199" s="2498"/>
      <c r="Q199" s="2498"/>
      <c r="R199" s="2498"/>
      <c r="S199" s="2498"/>
      <c r="T199" s="2498"/>
    </row>
    <row r="200" spans="1:20">
      <c r="A200" s="2498"/>
      <c r="B200" s="2498"/>
      <c r="C200" s="2498"/>
      <c r="D200" s="2498"/>
      <c r="E200" s="2498"/>
      <c r="F200" s="2498"/>
      <c r="G200" s="2498"/>
      <c r="H200" s="2498"/>
      <c r="I200" s="2498"/>
      <c r="J200" s="2498"/>
      <c r="K200" s="2503"/>
      <c r="L200" s="2504"/>
      <c r="M200" s="2498"/>
      <c r="N200" s="2498"/>
      <c r="O200" s="2498"/>
      <c r="P200" s="2498"/>
      <c r="Q200" s="2498"/>
      <c r="R200" s="2498"/>
      <c r="S200" s="2498"/>
      <c r="T200" s="2498"/>
    </row>
    <row r="201" spans="1:20">
      <c r="A201" s="2498"/>
      <c r="B201" s="2498"/>
      <c r="C201" s="2498"/>
      <c r="D201" s="2498"/>
      <c r="E201" s="2498"/>
      <c r="F201" s="2498"/>
      <c r="G201" s="2498"/>
      <c r="H201" s="2498"/>
      <c r="I201" s="2498"/>
      <c r="J201" s="2498"/>
      <c r="K201" s="2503"/>
      <c r="L201" s="2504"/>
      <c r="M201" s="2498"/>
      <c r="N201" s="2498"/>
      <c r="O201" s="2498"/>
      <c r="P201" s="2498"/>
      <c r="Q201" s="2498"/>
      <c r="R201" s="2498"/>
      <c r="S201" s="2498"/>
      <c r="T201" s="2498"/>
    </row>
    <row r="202" spans="1:20">
      <c r="A202" s="2498"/>
      <c r="B202" s="2498"/>
      <c r="C202" s="2498"/>
      <c r="D202" s="2498"/>
      <c r="E202" s="2498"/>
      <c r="F202" s="2498"/>
      <c r="G202" s="2498"/>
      <c r="H202" s="2498"/>
      <c r="I202" s="2498"/>
      <c r="J202" s="2498"/>
      <c r="K202" s="2503"/>
      <c r="L202" s="2504"/>
      <c r="M202" s="2498"/>
      <c r="N202" s="2498"/>
      <c r="O202" s="2498"/>
      <c r="P202" s="2498"/>
      <c r="Q202" s="2498"/>
      <c r="R202" s="2498"/>
      <c r="S202" s="2498"/>
      <c r="T202" s="2498"/>
    </row>
    <row r="203" spans="1:20">
      <c r="A203" s="2498"/>
      <c r="B203" s="2498"/>
      <c r="C203" s="2498"/>
      <c r="D203" s="2498"/>
      <c r="E203" s="2498"/>
      <c r="F203" s="2498"/>
      <c r="G203" s="2498"/>
      <c r="H203" s="2498"/>
      <c r="I203" s="2498"/>
      <c r="J203" s="2498"/>
      <c r="K203" s="2503"/>
      <c r="L203" s="2504"/>
      <c r="M203" s="2498"/>
      <c r="N203" s="2498"/>
      <c r="O203" s="2498"/>
      <c r="P203" s="2498"/>
      <c r="Q203" s="2498"/>
      <c r="R203" s="2498"/>
      <c r="S203" s="2498"/>
      <c r="T203" s="2498"/>
    </row>
    <row r="204" spans="1:20">
      <c r="A204" s="2498"/>
      <c r="B204" s="2498"/>
      <c r="C204" s="2498"/>
      <c r="D204" s="2498"/>
      <c r="E204" s="2498"/>
      <c r="F204" s="2498"/>
      <c r="G204" s="2498"/>
      <c r="H204" s="2498"/>
      <c r="I204" s="2498"/>
      <c r="J204" s="2498"/>
      <c r="K204" s="2503"/>
      <c r="L204" s="2504"/>
      <c r="M204" s="2498"/>
      <c r="N204" s="2498"/>
      <c r="O204" s="2498"/>
      <c r="P204" s="2498"/>
      <c r="Q204" s="2498"/>
      <c r="R204" s="2498"/>
      <c r="S204" s="2498"/>
      <c r="T204" s="2498"/>
    </row>
    <row r="205" spans="1:20">
      <c r="A205" s="2498"/>
      <c r="B205" s="2498"/>
      <c r="C205" s="2498"/>
      <c r="D205" s="2498"/>
      <c r="E205" s="2498"/>
      <c r="F205" s="2498"/>
      <c r="G205" s="2498"/>
      <c r="H205" s="2498"/>
      <c r="I205" s="2498"/>
      <c r="J205" s="2498"/>
      <c r="K205" s="2503"/>
      <c r="L205" s="2504"/>
      <c r="M205" s="2498"/>
      <c r="N205" s="2498"/>
      <c r="O205" s="2498"/>
      <c r="P205" s="2498"/>
      <c r="Q205" s="2498"/>
      <c r="R205" s="2498"/>
      <c r="S205" s="2498"/>
      <c r="T205" s="2498"/>
    </row>
    <row r="206" spans="1:20">
      <c r="A206" s="2498"/>
      <c r="B206" s="2498"/>
      <c r="C206" s="2498"/>
      <c r="D206" s="2498"/>
      <c r="E206" s="2498"/>
      <c r="F206" s="2498"/>
      <c r="G206" s="2498"/>
      <c r="H206" s="2498"/>
      <c r="I206" s="2498"/>
      <c r="J206" s="2498"/>
      <c r="K206" s="2503"/>
      <c r="L206" s="2504"/>
      <c r="M206" s="2498"/>
      <c r="N206" s="2498"/>
      <c r="O206" s="2498"/>
      <c r="P206" s="2498"/>
      <c r="Q206" s="2498"/>
      <c r="R206" s="2498"/>
      <c r="S206" s="2498"/>
      <c r="T206" s="2498"/>
    </row>
    <row r="207" spans="1:20">
      <c r="A207" s="2498"/>
      <c r="B207" s="2498"/>
      <c r="C207" s="2498"/>
      <c r="D207" s="2498"/>
      <c r="E207" s="2498"/>
      <c r="F207" s="2498"/>
      <c r="G207" s="2498"/>
      <c r="H207" s="2498"/>
      <c r="I207" s="2498"/>
      <c r="J207" s="2498"/>
      <c r="K207" s="2503"/>
      <c r="L207" s="2504"/>
      <c r="M207" s="2498"/>
      <c r="N207" s="2498"/>
      <c r="O207" s="2498"/>
      <c r="P207" s="2498"/>
      <c r="Q207" s="2498"/>
      <c r="R207" s="2498"/>
      <c r="S207" s="2498"/>
      <c r="T207" s="2498"/>
    </row>
    <row r="208" spans="1:20">
      <c r="A208" s="2498"/>
      <c r="B208" s="2498"/>
      <c r="C208" s="2498"/>
      <c r="D208" s="2498"/>
      <c r="E208" s="2498"/>
      <c r="F208" s="2498"/>
      <c r="G208" s="2498"/>
      <c r="H208" s="2498"/>
      <c r="I208" s="2498"/>
      <c r="J208" s="2498"/>
      <c r="K208" s="2503"/>
      <c r="L208" s="2504"/>
      <c r="M208" s="2498"/>
      <c r="N208" s="2498"/>
      <c r="O208" s="2498"/>
      <c r="P208" s="2498"/>
      <c r="Q208" s="2498"/>
      <c r="R208" s="2498"/>
      <c r="S208" s="2498"/>
      <c r="T208" s="2498"/>
    </row>
    <row r="209" spans="1:20">
      <c r="A209" s="2498"/>
      <c r="B209" s="2498"/>
      <c r="C209" s="2498"/>
      <c r="D209" s="2498"/>
      <c r="E209" s="2498"/>
      <c r="F209" s="2498"/>
      <c r="G209" s="2498"/>
      <c r="H209" s="2498"/>
      <c r="I209" s="2498"/>
      <c r="J209" s="2498"/>
      <c r="K209" s="2503"/>
      <c r="L209" s="2504"/>
      <c r="M209" s="2498"/>
      <c r="N209" s="2498"/>
      <c r="O209" s="2498"/>
      <c r="P209" s="2498"/>
      <c r="Q209" s="2498"/>
      <c r="R209" s="2498"/>
      <c r="S209" s="2498"/>
      <c r="T209" s="2498"/>
    </row>
    <row r="210" spans="1:20">
      <c r="A210" s="2498"/>
      <c r="B210" s="2498"/>
      <c r="C210" s="2498"/>
      <c r="D210" s="2498"/>
      <c r="E210" s="2498"/>
      <c r="F210" s="2498"/>
      <c r="G210" s="2498"/>
      <c r="H210" s="2498"/>
      <c r="I210" s="2498"/>
      <c r="J210" s="2498"/>
      <c r="K210" s="2503"/>
      <c r="L210" s="2504"/>
      <c r="M210" s="2498"/>
      <c r="N210" s="2498"/>
      <c r="O210" s="2498"/>
      <c r="P210" s="2498"/>
      <c r="Q210" s="2498"/>
      <c r="R210" s="2498"/>
      <c r="S210" s="2498"/>
      <c r="T210" s="2498"/>
    </row>
    <row r="211" spans="1:20">
      <c r="A211" s="2498"/>
      <c r="B211" s="2498"/>
      <c r="C211" s="2498"/>
      <c r="D211" s="2498"/>
      <c r="E211" s="2498"/>
      <c r="F211" s="2498"/>
      <c r="G211" s="2498"/>
      <c r="H211" s="2498"/>
      <c r="I211" s="2498"/>
      <c r="J211" s="2498"/>
      <c r="K211" s="2503"/>
      <c r="L211" s="2504"/>
      <c r="M211" s="2498"/>
      <c r="N211" s="2498"/>
      <c r="O211" s="2498"/>
      <c r="P211" s="2498"/>
      <c r="Q211" s="2498"/>
      <c r="R211" s="2498"/>
      <c r="S211" s="2498"/>
      <c r="T211" s="2498"/>
    </row>
    <row r="212" spans="1:20">
      <c r="A212" s="2498"/>
      <c r="B212" s="2498"/>
      <c r="C212" s="2498"/>
      <c r="D212" s="2498"/>
      <c r="E212" s="2498"/>
      <c r="F212" s="2498"/>
      <c r="G212" s="2498"/>
      <c r="H212" s="2498"/>
      <c r="I212" s="2498"/>
      <c r="J212" s="2498"/>
      <c r="K212" s="2503"/>
      <c r="L212" s="2504"/>
      <c r="M212" s="2498"/>
      <c r="N212" s="2498"/>
      <c r="O212" s="2498"/>
      <c r="P212" s="2498"/>
      <c r="Q212" s="2498"/>
      <c r="R212" s="2498"/>
      <c r="S212" s="2498"/>
      <c r="T212" s="2498"/>
    </row>
    <row r="213" spans="1:20">
      <c r="A213" s="2498"/>
      <c r="B213" s="2498"/>
      <c r="C213" s="2498"/>
      <c r="D213" s="2498"/>
      <c r="E213" s="2498"/>
      <c r="F213" s="2498"/>
      <c r="G213" s="2498"/>
      <c r="H213" s="2498"/>
      <c r="I213" s="2498"/>
      <c r="J213" s="2498"/>
      <c r="K213" s="2503"/>
      <c r="L213" s="2504"/>
      <c r="M213" s="2498"/>
      <c r="N213" s="2498"/>
      <c r="O213" s="2498"/>
      <c r="P213" s="2498"/>
      <c r="Q213" s="2498"/>
      <c r="R213" s="2498"/>
      <c r="S213" s="2498"/>
      <c r="T213" s="2498"/>
    </row>
    <row r="214" spans="1:20">
      <c r="A214" s="2498"/>
      <c r="B214" s="2498"/>
      <c r="C214" s="2498"/>
      <c r="D214" s="2498"/>
      <c r="E214" s="2498"/>
      <c r="F214" s="2498"/>
      <c r="G214" s="2498"/>
      <c r="H214" s="2498"/>
      <c r="I214" s="2498"/>
      <c r="J214" s="2498"/>
      <c r="K214" s="2503"/>
      <c r="L214" s="2504"/>
      <c r="M214" s="2498"/>
      <c r="N214" s="2498"/>
      <c r="O214" s="2498"/>
      <c r="P214" s="2498"/>
      <c r="Q214" s="2498"/>
      <c r="R214" s="2498"/>
      <c r="S214" s="2498"/>
      <c r="T214" s="2498"/>
    </row>
    <row r="215" spans="1:20">
      <c r="A215" s="2498"/>
      <c r="B215" s="2498"/>
      <c r="C215" s="2498"/>
      <c r="D215" s="2498"/>
      <c r="E215" s="2498"/>
      <c r="F215" s="2498"/>
      <c r="G215" s="2498"/>
      <c r="H215" s="2498"/>
      <c r="I215" s="2498"/>
      <c r="J215" s="2498"/>
      <c r="K215" s="2503"/>
      <c r="L215" s="2504"/>
      <c r="M215" s="2498"/>
      <c r="N215" s="2498"/>
      <c r="O215" s="2498"/>
      <c r="P215" s="2498"/>
      <c r="Q215" s="2498"/>
      <c r="R215" s="2498"/>
      <c r="S215" s="2498"/>
      <c r="T215" s="2498"/>
    </row>
    <row r="216" spans="1:20">
      <c r="A216" s="2498"/>
      <c r="B216" s="2498"/>
      <c r="C216" s="2498"/>
      <c r="D216" s="2498"/>
      <c r="E216" s="2498"/>
      <c r="F216" s="2498"/>
      <c r="G216" s="2498"/>
      <c r="H216" s="2498"/>
      <c r="I216" s="2498"/>
      <c r="J216" s="2498"/>
      <c r="K216" s="2503"/>
      <c r="L216" s="2504"/>
      <c r="M216" s="2498"/>
      <c r="N216" s="2498"/>
      <c r="O216" s="2498"/>
      <c r="P216" s="2498"/>
      <c r="Q216" s="2498"/>
      <c r="R216" s="2498"/>
      <c r="S216" s="2498"/>
      <c r="T216" s="2498"/>
    </row>
    <row r="217" spans="1:20">
      <c r="A217" s="2498"/>
      <c r="B217" s="2498"/>
      <c r="C217" s="2498"/>
      <c r="D217" s="2498"/>
      <c r="E217" s="2498"/>
      <c r="F217" s="2498"/>
      <c r="G217" s="2498"/>
      <c r="H217" s="2498"/>
      <c r="I217" s="2498"/>
      <c r="J217" s="2498"/>
      <c r="K217" s="2503"/>
      <c r="L217" s="2504"/>
      <c r="M217" s="2498"/>
      <c r="N217" s="2498"/>
      <c r="O217" s="2498"/>
      <c r="P217" s="2498"/>
      <c r="Q217" s="2498"/>
      <c r="R217" s="2498"/>
      <c r="S217" s="2498"/>
      <c r="T217" s="2498"/>
    </row>
    <row r="218" spans="1:20">
      <c r="A218" s="2498"/>
      <c r="B218" s="2498"/>
      <c r="C218" s="2498"/>
      <c r="D218" s="2498"/>
      <c r="E218" s="2498"/>
      <c r="F218" s="2498"/>
      <c r="G218" s="2498"/>
      <c r="H218" s="2498"/>
      <c r="I218" s="2498"/>
      <c r="J218" s="2498"/>
      <c r="K218" s="2503"/>
      <c r="L218" s="2504"/>
      <c r="M218" s="2498"/>
      <c r="N218" s="2498"/>
      <c r="O218" s="2498"/>
      <c r="P218" s="2498"/>
      <c r="Q218" s="2498"/>
      <c r="R218" s="2498"/>
      <c r="S218" s="2498"/>
      <c r="T218" s="2498"/>
    </row>
    <row r="219" spans="1:20">
      <c r="A219" s="2498"/>
      <c r="B219" s="2498"/>
      <c r="C219" s="2498"/>
      <c r="D219" s="2498"/>
      <c r="E219" s="2498"/>
      <c r="F219" s="2498"/>
      <c r="G219" s="2498"/>
      <c r="H219" s="2498"/>
      <c r="I219" s="2498"/>
      <c r="J219" s="2498"/>
      <c r="K219" s="2503"/>
      <c r="L219" s="2504"/>
      <c r="M219" s="2498"/>
      <c r="N219" s="2498"/>
      <c r="O219" s="2498"/>
      <c r="P219" s="2498"/>
      <c r="Q219" s="2498"/>
      <c r="R219" s="2498"/>
      <c r="S219" s="2498"/>
      <c r="T219" s="2498"/>
    </row>
    <row r="220" spans="1:20">
      <c r="A220" s="2498"/>
      <c r="B220" s="2498"/>
      <c r="C220" s="2498"/>
      <c r="D220" s="2498"/>
      <c r="E220" s="2498"/>
      <c r="F220" s="2498"/>
      <c r="G220" s="2498"/>
      <c r="H220" s="2498"/>
      <c r="I220" s="2498"/>
      <c r="J220" s="2498"/>
      <c r="K220" s="2503"/>
      <c r="L220" s="2504"/>
      <c r="M220" s="2498"/>
      <c r="N220" s="2498"/>
      <c r="O220" s="2498"/>
      <c r="P220" s="2498"/>
      <c r="Q220" s="2498"/>
      <c r="R220" s="2498"/>
      <c r="S220" s="2498"/>
      <c r="T220" s="2498"/>
    </row>
    <row r="221" spans="1:20">
      <c r="A221" s="2498"/>
      <c r="B221" s="2498"/>
      <c r="C221" s="2498"/>
      <c r="D221" s="2498"/>
      <c r="E221" s="2498"/>
      <c r="F221" s="2498"/>
      <c r="G221" s="2498"/>
      <c r="H221" s="2498"/>
      <c r="I221" s="2498"/>
      <c r="J221" s="2498"/>
      <c r="K221" s="2503"/>
      <c r="L221" s="2504"/>
      <c r="M221" s="2498"/>
      <c r="N221" s="2498"/>
      <c r="O221" s="2498"/>
      <c r="P221" s="2498"/>
      <c r="Q221" s="2498"/>
      <c r="R221" s="2498"/>
      <c r="S221" s="2498"/>
      <c r="T221" s="2498"/>
    </row>
    <row r="222" spans="1:20">
      <c r="A222" s="2498"/>
      <c r="B222" s="2498"/>
      <c r="C222" s="2498"/>
      <c r="D222" s="2498"/>
      <c r="E222" s="2498"/>
      <c r="F222" s="2498"/>
      <c r="G222" s="2498"/>
      <c r="H222" s="2498"/>
      <c r="I222" s="2498"/>
      <c r="J222" s="2498"/>
      <c r="K222" s="2503"/>
      <c r="L222" s="2504"/>
      <c r="M222" s="2498"/>
      <c r="N222" s="2498"/>
      <c r="O222" s="2498"/>
      <c r="P222" s="2498"/>
      <c r="Q222" s="2498"/>
      <c r="R222" s="2498"/>
      <c r="S222" s="2498"/>
      <c r="T222" s="2498"/>
    </row>
    <row r="223" spans="1:20">
      <c r="A223" s="2498"/>
      <c r="B223" s="2498"/>
      <c r="C223" s="2498"/>
      <c r="D223" s="2498"/>
      <c r="E223" s="2498"/>
      <c r="F223" s="2498"/>
      <c r="G223" s="2498"/>
      <c r="H223" s="2498"/>
      <c r="I223" s="2498"/>
      <c r="J223" s="2498"/>
      <c r="K223" s="2503"/>
      <c r="L223" s="2504"/>
      <c r="M223" s="2498"/>
      <c r="N223" s="2498"/>
      <c r="O223" s="2498"/>
      <c r="P223" s="2498"/>
      <c r="Q223" s="2498"/>
      <c r="R223" s="2498"/>
      <c r="S223" s="2498"/>
      <c r="T223" s="2498"/>
    </row>
    <row r="224" spans="1:20">
      <c r="A224" s="2498"/>
      <c r="B224" s="2498"/>
      <c r="C224" s="2498"/>
      <c r="D224" s="2498"/>
      <c r="E224" s="2498"/>
      <c r="F224" s="2498"/>
      <c r="G224" s="2498"/>
      <c r="H224" s="2498"/>
      <c r="I224" s="2498"/>
      <c r="J224" s="2498"/>
      <c r="K224" s="2503"/>
      <c r="L224" s="2504"/>
      <c r="M224" s="2498"/>
      <c r="N224" s="2498"/>
      <c r="O224" s="2498"/>
      <c r="P224" s="2498"/>
      <c r="Q224" s="2498"/>
      <c r="R224" s="2498"/>
      <c r="S224" s="2498"/>
      <c r="T224" s="2498"/>
    </row>
    <row r="225" spans="1:20">
      <c r="A225" s="2498"/>
      <c r="B225" s="2498"/>
      <c r="C225" s="2498"/>
      <c r="D225" s="2498"/>
      <c r="E225" s="2498"/>
      <c r="F225" s="2498"/>
      <c r="G225" s="2498"/>
      <c r="H225" s="2498"/>
      <c r="I225" s="2498"/>
      <c r="J225" s="2498"/>
      <c r="K225" s="2503"/>
      <c r="L225" s="2504"/>
      <c r="M225" s="2498"/>
      <c r="N225" s="2498"/>
      <c r="O225" s="2498"/>
      <c r="P225" s="2498"/>
      <c r="Q225" s="2498"/>
      <c r="R225" s="2498"/>
      <c r="S225" s="2498"/>
      <c r="T225" s="2498"/>
    </row>
    <row r="226" spans="1:20">
      <c r="A226" s="2498"/>
      <c r="B226" s="2498"/>
      <c r="C226" s="2498"/>
      <c r="D226" s="2498"/>
      <c r="E226" s="2498"/>
      <c r="F226" s="2498"/>
      <c r="G226" s="2498"/>
      <c r="H226" s="2498"/>
      <c r="I226" s="2498"/>
      <c r="J226" s="2498"/>
      <c r="K226" s="2503"/>
      <c r="L226" s="2504"/>
      <c r="M226" s="2498"/>
      <c r="N226" s="2498"/>
      <c r="O226" s="2498"/>
      <c r="P226" s="2498"/>
      <c r="Q226" s="2498"/>
      <c r="R226" s="2498"/>
      <c r="S226" s="2498"/>
      <c r="T226" s="2498"/>
    </row>
    <row r="227" spans="1:20">
      <c r="A227" s="2498"/>
      <c r="B227" s="2498"/>
      <c r="C227" s="2498"/>
      <c r="D227" s="2498"/>
      <c r="E227" s="2498"/>
      <c r="F227" s="2498"/>
      <c r="G227" s="2498"/>
      <c r="H227" s="2498"/>
      <c r="I227" s="2498"/>
      <c r="J227" s="2498"/>
      <c r="K227" s="2503"/>
      <c r="L227" s="2504"/>
      <c r="M227" s="2498"/>
      <c r="N227" s="2498"/>
      <c r="O227" s="2498"/>
      <c r="P227" s="2498"/>
      <c r="Q227" s="2498"/>
      <c r="R227" s="2498"/>
      <c r="S227" s="2498"/>
      <c r="T227" s="2498"/>
    </row>
    <row r="228" spans="1:20">
      <c r="A228" s="2498"/>
      <c r="B228" s="2498"/>
      <c r="C228" s="2498"/>
      <c r="D228" s="2498"/>
      <c r="E228" s="2498"/>
      <c r="F228" s="2498"/>
      <c r="G228" s="2498"/>
      <c r="H228" s="2498"/>
      <c r="I228" s="2498"/>
      <c r="J228" s="2498"/>
      <c r="K228" s="2503"/>
      <c r="L228" s="2504"/>
      <c r="M228" s="2498"/>
      <c r="N228" s="2498"/>
      <c r="O228" s="2498"/>
      <c r="P228" s="2498"/>
      <c r="Q228" s="2498"/>
      <c r="R228" s="2498"/>
      <c r="S228" s="2498"/>
      <c r="T228" s="2498"/>
    </row>
    <row r="229" spans="1:20">
      <c r="A229" s="2498"/>
      <c r="B229" s="2498"/>
      <c r="C229" s="2498"/>
      <c r="D229" s="2498"/>
      <c r="E229" s="2498"/>
      <c r="F229" s="2498"/>
      <c r="G229" s="2498"/>
      <c r="H229" s="2498"/>
      <c r="I229" s="2498"/>
      <c r="J229" s="2498"/>
      <c r="K229" s="2503"/>
      <c r="L229" s="2504"/>
      <c r="M229" s="2498"/>
      <c r="N229" s="2498"/>
      <c r="O229" s="2498"/>
      <c r="P229" s="2498"/>
      <c r="Q229" s="2498"/>
      <c r="R229" s="2498"/>
      <c r="S229" s="2498"/>
      <c r="T229" s="2498"/>
    </row>
    <row r="230" spans="1:20">
      <c r="A230" s="2498"/>
      <c r="B230" s="2498"/>
      <c r="C230" s="2498"/>
      <c r="D230" s="2498"/>
      <c r="E230" s="2498"/>
      <c r="F230" s="2498"/>
      <c r="G230" s="2498"/>
      <c r="H230" s="2498"/>
      <c r="I230" s="2498"/>
      <c r="J230" s="2498"/>
      <c r="K230" s="2503"/>
      <c r="L230" s="2504"/>
      <c r="M230" s="2498"/>
      <c r="N230" s="2498"/>
      <c r="O230" s="2498"/>
      <c r="P230" s="2498"/>
      <c r="Q230" s="2498"/>
      <c r="R230" s="2498"/>
      <c r="S230" s="2498"/>
      <c r="T230" s="2498"/>
    </row>
    <row r="231" spans="1:20">
      <c r="A231" s="2498"/>
      <c r="B231" s="2498"/>
      <c r="C231" s="2498"/>
      <c r="D231" s="2498"/>
      <c r="E231" s="2498"/>
      <c r="F231" s="2498"/>
      <c r="G231" s="2498"/>
      <c r="H231" s="2498"/>
      <c r="I231" s="2498"/>
      <c r="J231" s="2498"/>
      <c r="K231" s="2503"/>
      <c r="L231" s="2504"/>
      <c r="M231" s="2498"/>
      <c r="N231" s="2498"/>
      <c r="O231" s="2498"/>
      <c r="P231" s="2498"/>
      <c r="Q231" s="2498"/>
      <c r="R231" s="2498"/>
      <c r="S231" s="2498"/>
      <c r="T231" s="2498"/>
    </row>
    <row r="232" spans="1:20">
      <c r="A232" s="2498"/>
      <c r="B232" s="2498"/>
      <c r="C232" s="2498"/>
      <c r="D232" s="2498"/>
      <c r="E232" s="2498"/>
      <c r="F232" s="2498"/>
      <c r="G232" s="2498"/>
      <c r="H232" s="2498"/>
      <c r="I232" s="2498"/>
      <c r="J232" s="2498"/>
      <c r="K232" s="2503"/>
      <c r="L232" s="2504"/>
      <c r="M232" s="2498"/>
      <c r="N232" s="2498"/>
      <c r="O232" s="2498"/>
      <c r="P232" s="2498"/>
      <c r="Q232" s="2498"/>
      <c r="R232" s="2498"/>
      <c r="S232" s="2498"/>
      <c r="T232" s="2498"/>
    </row>
    <row r="233" spans="1:20">
      <c r="A233" s="2498"/>
      <c r="B233" s="2498"/>
      <c r="C233" s="2498"/>
      <c r="D233" s="2498"/>
      <c r="E233" s="2498"/>
      <c r="F233" s="2498"/>
      <c r="G233" s="2498"/>
      <c r="H233" s="2498"/>
      <c r="I233" s="2498"/>
      <c r="J233" s="2498"/>
      <c r="K233" s="2503"/>
      <c r="L233" s="2504"/>
      <c r="M233" s="2498"/>
      <c r="N233" s="2498"/>
      <c r="O233" s="2498"/>
      <c r="P233" s="2498"/>
      <c r="Q233" s="2498"/>
      <c r="R233" s="2498"/>
      <c r="S233" s="2498"/>
      <c r="T233" s="2498"/>
    </row>
    <row r="234" spans="1:20">
      <c r="A234" s="2498"/>
      <c r="B234" s="2498"/>
      <c r="C234" s="2498"/>
      <c r="D234" s="2498"/>
      <c r="E234" s="2498"/>
      <c r="F234" s="2498"/>
      <c r="G234" s="2498"/>
      <c r="H234" s="2498"/>
      <c r="I234" s="2498"/>
      <c r="J234" s="2498"/>
      <c r="K234" s="2503"/>
      <c r="L234" s="2504"/>
      <c r="M234" s="2498"/>
      <c r="N234" s="2498"/>
      <c r="O234" s="2498"/>
      <c r="P234" s="2498"/>
      <c r="Q234" s="2498"/>
      <c r="R234" s="2498"/>
      <c r="S234" s="2498"/>
      <c r="T234" s="2498"/>
    </row>
    <row r="235" spans="1:20">
      <c r="A235" s="2498"/>
      <c r="B235" s="2498"/>
      <c r="C235" s="2498"/>
      <c r="D235" s="2498"/>
      <c r="E235" s="2498"/>
      <c r="F235" s="2498"/>
      <c r="G235" s="2498"/>
      <c r="H235" s="2498"/>
      <c r="I235" s="2498"/>
      <c r="J235" s="2498"/>
      <c r="K235" s="2503"/>
      <c r="L235" s="2504"/>
      <c r="M235" s="2498"/>
      <c r="N235" s="2498"/>
      <c r="O235" s="2498"/>
      <c r="P235" s="2498"/>
      <c r="Q235" s="2498"/>
      <c r="R235" s="2498"/>
      <c r="S235" s="2498"/>
      <c r="T235" s="2498"/>
    </row>
    <row r="236" spans="1:20">
      <c r="A236" s="2498"/>
      <c r="B236" s="2498"/>
      <c r="C236" s="2498"/>
      <c r="D236" s="2498"/>
      <c r="E236" s="2498"/>
      <c r="F236" s="2498"/>
      <c r="G236" s="2498"/>
      <c r="H236" s="2498"/>
      <c r="I236" s="2498"/>
      <c r="J236" s="2498"/>
      <c r="K236" s="2503"/>
      <c r="L236" s="2504"/>
      <c r="M236" s="2498"/>
      <c r="N236" s="2498"/>
      <c r="O236" s="2498"/>
      <c r="P236" s="2498"/>
      <c r="Q236" s="2498"/>
      <c r="R236" s="2498"/>
      <c r="S236" s="2498"/>
      <c r="T236" s="2498"/>
    </row>
    <row r="237" spans="1:20">
      <c r="A237" s="2498"/>
      <c r="B237" s="2498"/>
      <c r="C237" s="2498"/>
      <c r="D237" s="2498"/>
      <c r="E237" s="2498"/>
      <c r="F237" s="2498"/>
      <c r="G237" s="2498"/>
      <c r="H237" s="2498"/>
      <c r="I237" s="2498"/>
      <c r="J237" s="2498"/>
      <c r="K237" s="2503"/>
      <c r="L237" s="2504"/>
      <c r="M237" s="2498"/>
      <c r="N237" s="2498"/>
      <c r="O237" s="2498"/>
      <c r="P237" s="2498"/>
      <c r="Q237" s="2498"/>
      <c r="R237" s="2498"/>
      <c r="S237" s="2498"/>
      <c r="T237" s="2498"/>
    </row>
    <row r="238" spans="1:20">
      <c r="A238" s="2498"/>
      <c r="B238" s="2498"/>
      <c r="C238" s="2498"/>
      <c r="D238" s="2498"/>
      <c r="E238" s="2498"/>
      <c r="F238" s="2498"/>
      <c r="G238" s="2498"/>
      <c r="H238" s="2498"/>
      <c r="I238" s="2498"/>
      <c r="J238" s="2498"/>
      <c r="K238" s="2503"/>
      <c r="L238" s="2504"/>
      <c r="M238" s="2498"/>
      <c r="N238" s="2498"/>
      <c r="O238" s="2498"/>
      <c r="P238" s="2498"/>
      <c r="Q238" s="2498"/>
      <c r="R238" s="2498"/>
      <c r="S238" s="2498"/>
      <c r="T238" s="2498"/>
    </row>
    <row r="239" spans="1:20">
      <c r="A239" s="2498"/>
      <c r="B239" s="2498"/>
      <c r="C239" s="2498"/>
      <c r="D239" s="2498"/>
      <c r="E239" s="2498"/>
      <c r="F239" s="2498"/>
      <c r="G239" s="2498"/>
      <c r="H239" s="2498"/>
      <c r="I239" s="2498"/>
      <c r="J239" s="2498"/>
      <c r="K239" s="2503"/>
      <c r="L239" s="2504"/>
      <c r="M239" s="2498"/>
      <c r="N239" s="2498"/>
      <c r="O239" s="2498"/>
      <c r="P239" s="2498"/>
      <c r="Q239" s="2498"/>
      <c r="R239" s="2498"/>
      <c r="S239" s="2498"/>
      <c r="T239" s="2498"/>
    </row>
    <row r="240" spans="1:20">
      <c r="A240" s="2498"/>
      <c r="B240" s="2498"/>
      <c r="C240" s="2498"/>
      <c r="D240" s="2498"/>
      <c r="E240" s="2498"/>
      <c r="F240" s="2498"/>
      <c r="G240" s="2498"/>
      <c r="H240" s="2498"/>
      <c r="I240" s="2498"/>
      <c r="J240" s="2498"/>
      <c r="K240" s="2503"/>
      <c r="L240" s="2504"/>
      <c r="M240" s="2498"/>
      <c r="N240" s="2498"/>
      <c r="O240" s="2498"/>
      <c r="P240" s="2498"/>
      <c r="Q240" s="2498"/>
      <c r="R240" s="2498"/>
      <c r="S240" s="2498"/>
      <c r="T240" s="2498"/>
    </row>
    <row r="241" spans="1:20">
      <c r="A241" s="2498"/>
      <c r="B241" s="2498"/>
      <c r="C241" s="2498"/>
      <c r="D241" s="2498"/>
      <c r="E241" s="2498"/>
      <c r="F241" s="2498"/>
      <c r="G241" s="2498"/>
      <c r="H241" s="2498"/>
      <c r="I241" s="2498"/>
      <c r="J241" s="2498"/>
      <c r="K241" s="2503"/>
      <c r="L241" s="2504"/>
      <c r="M241" s="2498"/>
      <c r="N241" s="2498"/>
      <c r="O241" s="2498"/>
      <c r="P241" s="2498"/>
      <c r="Q241" s="2498"/>
      <c r="R241" s="2498"/>
      <c r="S241" s="2498"/>
      <c r="T241" s="249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9" type="noConversion"/>
  <conditionalFormatting sqref="F36">
    <cfRule type="expression" dxfId="159" priority="4">
      <formula>$D$36="简单平均"</formula>
    </cfRule>
  </conditionalFormatting>
  <conditionalFormatting sqref="H36">
    <cfRule type="expression" dxfId="158" priority="3">
      <formula>$D$36="简单平均"</formula>
    </cfRule>
  </conditionalFormatting>
  <conditionalFormatting sqref="J36">
    <cfRule type="expression" dxfId="157" priority="2">
      <formula>$D$36="简单平均"</formula>
    </cfRule>
  </conditionalFormatting>
  <conditionalFormatting sqref="E40">
    <cfRule type="expression" dxfId="156" priority="13" stopIfTrue="1">
      <formula>$F$40="超过30%"</formula>
    </cfRule>
  </conditionalFormatting>
  <conditionalFormatting sqref="G40">
    <cfRule type="expression" dxfId="155" priority="9" stopIfTrue="1">
      <formula>$H$52+$H$40="超过30%"</formula>
    </cfRule>
  </conditionalFormatting>
  <conditionalFormatting sqref="I40">
    <cfRule type="expression" dxfId="154" priority="7" stopIfTrue="1">
      <formula>$J$40="超过30%"</formula>
    </cfRule>
  </conditionalFormatting>
  <conditionalFormatting sqref="E41">
    <cfRule type="expression" dxfId="153" priority="11" stopIfTrue="1">
      <formula>$F$41="超过20%"</formula>
    </cfRule>
  </conditionalFormatting>
  <conditionalFormatting sqref="G41">
    <cfRule type="expression" dxfId="152" priority="8" stopIfTrue="1">
      <formula>$H$53+$H$41="超过20%"</formula>
    </cfRule>
  </conditionalFormatting>
  <conditionalFormatting sqref="I41">
    <cfRule type="expression" dxfId="151" priority="6" stopIfTrue="1">
      <formula>$J$41="超过20%"</formula>
    </cfRule>
  </conditionalFormatting>
  <conditionalFormatting sqref="E42">
    <cfRule type="expression" dxfId="150" priority="10" stopIfTrue="1">
      <formula>$F$42="超过30%"</formula>
    </cfRule>
  </conditionalFormatting>
  <conditionalFormatting sqref="F42">
    <cfRule type="containsText" dxfId="149" priority="15" stopIfTrue="1" operator="containsText" text="超过">
      <formula>NOT(ISERROR(SEARCH("超过",F42)))</formula>
    </cfRule>
  </conditionalFormatting>
  <conditionalFormatting sqref="G42">
    <cfRule type="expression" dxfId="148" priority="12" stopIfTrue="1">
      <formula>$H$54+$H$42="超过30%"</formula>
    </cfRule>
  </conditionalFormatting>
  <conditionalFormatting sqref="H42">
    <cfRule type="containsText" dxfId="147" priority="16" stopIfTrue="1" operator="containsText" text="超过">
      <formula>NOT(ISERROR(SEARCH("超过",H42)))</formula>
    </cfRule>
  </conditionalFormatting>
  <conditionalFormatting sqref="I42">
    <cfRule type="expression" dxfId="146" priority="5" stopIfTrue="1">
      <formula>$J$42="超过30%"</formula>
    </cfRule>
  </conditionalFormatting>
  <conditionalFormatting sqref="J42">
    <cfRule type="containsText" dxfId="145" priority="17" stopIfTrue="1" operator="containsText" text="超过">
      <formula>NOT(ISERROR(SEARCH("超过",J42)))</formula>
    </cfRule>
  </conditionalFormatting>
  <conditionalFormatting sqref="F7:F34 H7:H34 J7:J34">
    <cfRule type="cellIs" dxfId="144" priority="1" operator="notEqual">
      <formula>100</formula>
    </cfRule>
  </conditionalFormatting>
  <conditionalFormatting sqref="F40 H40 J40">
    <cfRule type="containsText" dxfId="143" priority="18" stopIfTrue="1" operator="containsText" text="超过">
      <formula>NOT(ISERROR(SEARCH("超过",F40)))</formula>
    </cfRule>
  </conditionalFormatting>
  <conditionalFormatting sqref="F41 H41 J41">
    <cfRule type="containsText" dxfId="14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workbookViewId="0">
      <selection activeCell="H11" sqref="H11"/>
    </sheetView>
  </sheetViews>
  <sheetFormatPr defaultColWidth="9" defaultRowHeight="15.6"/>
  <cols>
    <col min="1" max="1" width="9" style="2490"/>
    <col min="2" max="2" width="6.6640625" style="2490" customWidth="1"/>
    <col min="3" max="3" width="16.88671875" style="2490" customWidth="1"/>
    <col min="4" max="4" width="11" style="2490" customWidth="1"/>
    <col min="5" max="16384" width="9" style="2490"/>
  </cols>
  <sheetData>
    <row r="2" spans="2:5">
      <c r="B2" s="2490" t="s">
        <v>613</v>
      </c>
      <c r="C2" s="2490" t="s">
        <v>2944</v>
      </c>
      <c r="D2" s="2490" t="s">
        <v>3328</v>
      </c>
      <c r="E2" s="2490" t="s">
        <v>3329</v>
      </c>
    </row>
    <row r="3" spans="2:5">
      <c r="C3" s="2490" t="s">
        <v>2949</v>
      </c>
      <c r="D3" s="2490" t="s">
        <v>2950</v>
      </c>
    </row>
    <row r="4" spans="2:5">
      <c r="B4" s="2490">
        <v>1</v>
      </c>
      <c r="C4" s="2490" t="s">
        <v>2951</v>
      </c>
      <c r="D4" s="2490" t="s">
        <v>2952</v>
      </c>
      <c r="E4" s="2490">
        <f>ROUND(33913500/1416,0)</f>
        <v>23950</v>
      </c>
    </row>
    <row r="5" spans="2:5">
      <c r="B5" s="2490">
        <v>2</v>
      </c>
      <c r="C5" s="2490" t="s">
        <v>2879</v>
      </c>
      <c r="D5" s="2490" t="s">
        <v>2954</v>
      </c>
      <c r="E5" s="2490">
        <v>30000</v>
      </c>
    </row>
    <row r="6" spans="2:5">
      <c r="B6" s="2490">
        <v>3</v>
      </c>
      <c r="C6" s="2490" t="s">
        <v>3320</v>
      </c>
      <c r="D6" s="2490" t="s">
        <v>2954</v>
      </c>
      <c r="E6" s="2490">
        <v>30000</v>
      </c>
    </row>
    <row r="7" spans="2:5">
      <c r="B7" s="2490">
        <v>4</v>
      </c>
      <c r="C7" s="2490" t="s">
        <v>3319</v>
      </c>
      <c r="D7" s="2490" t="s">
        <v>3330</v>
      </c>
      <c r="E7" s="2490">
        <v>28919</v>
      </c>
    </row>
  </sheetData>
  <phoneticPr fontId="229" type="noConversion"/>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2" customHeight="1"/>
  <cols>
    <col min="1" max="1" width="9.44140625" style="2316" customWidth="1"/>
    <col min="2" max="2" width="8.88671875" style="2316"/>
    <col min="3" max="5" width="12.88671875" style="2316" customWidth="1"/>
    <col min="6" max="6" width="47.44140625" style="2316" customWidth="1"/>
    <col min="7" max="7" width="13" style="2317" customWidth="1"/>
    <col min="8" max="8" width="8.88671875" style="2318"/>
    <col min="9" max="9" width="8.88671875" style="2319"/>
    <col min="10" max="10" width="5.77734375" style="2320" customWidth="1"/>
    <col min="11" max="11" width="11.77734375" style="2320" customWidth="1"/>
    <col min="12" max="13" width="10.77734375" style="2320" customWidth="1"/>
    <col min="14" max="14" width="10" style="2320" customWidth="1"/>
    <col min="15" max="16" width="10.44140625" style="2320" customWidth="1"/>
    <col min="17" max="17" width="10" style="2320" customWidth="1"/>
    <col min="18" max="18" width="10.109375" style="2320" customWidth="1"/>
    <col min="19" max="19" width="10" style="2320" customWidth="1"/>
    <col min="20" max="20" width="26.109375" style="2320" customWidth="1"/>
    <col min="21" max="21" width="8.88671875" style="2320"/>
    <col min="22" max="22" width="8.88671875" style="2319"/>
    <col min="23" max="256" width="8.88671875" style="2316"/>
    <col min="257" max="257" width="9.44140625" style="2316" customWidth="1"/>
    <col min="258" max="258" width="8.88671875" style="2316"/>
    <col min="259" max="261" width="12.88671875" style="2316" customWidth="1"/>
    <col min="262" max="262" width="47.44140625" style="2316" customWidth="1"/>
    <col min="263" max="263" width="13" style="2316" customWidth="1"/>
    <col min="264" max="265" width="8.88671875" style="2316"/>
    <col min="266" max="266" width="5.77734375" style="2316" customWidth="1"/>
    <col min="267" max="267" width="11.77734375" style="2316" customWidth="1"/>
    <col min="268" max="269" width="10.77734375" style="2316" customWidth="1"/>
    <col min="270" max="270" width="10" style="2316" customWidth="1"/>
    <col min="271" max="272" width="10.44140625" style="2316" customWidth="1"/>
    <col min="273" max="273" width="10" style="2316" customWidth="1"/>
    <col min="274" max="274" width="10.109375" style="2316" customWidth="1"/>
    <col min="275" max="275" width="10" style="2316" customWidth="1"/>
    <col min="276" max="276" width="26.109375" style="2316" customWidth="1"/>
    <col min="277" max="512" width="8.88671875" style="2316"/>
    <col min="513" max="513" width="9.44140625" style="2316" customWidth="1"/>
    <col min="514" max="514" width="8.88671875" style="2316"/>
    <col min="515" max="517" width="12.88671875" style="2316" customWidth="1"/>
    <col min="518" max="518" width="47.44140625" style="2316" customWidth="1"/>
    <col min="519" max="519" width="13" style="2316" customWidth="1"/>
    <col min="520" max="521" width="8.88671875" style="2316"/>
    <col min="522" max="522" width="5.77734375" style="2316" customWidth="1"/>
    <col min="523" max="523" width="11.77734375" style="2316" customWidth="1"/>
    <col min="524" max="525" width="10.77734375" style="2316" customWidth="1"/>
    <col min="526" max="526" width="10" style="2316" customWidth="1"/>
    <col min="527" max="528" width="10.44140625" style="2316" customWidth="1"/>
    <col min="529" max="529" width="10" style="2316" customWidth="1"/>
    <col min="530" max="530" width="10.109375" style="2316" customWidth="1"/>
    <col min="531" max="531" width="10" style="2316" customWidth="1"/>
    <col min="532" max="532" width="26.109375" style="2316" customWidth="1"/>
    <col min="533" max="768" width="8.88671875" style="2316"/>
    <col min="769" max="769" width="9.44140625" style="2316" customWidth="1"/>
    <col min="770" max="770" width="8.88671875" style="2316"/>
    <col min="771" max="773" width="12.88671875" style="2316" customWidth="1"/>
    <col min="774" max="774" width="47.44140625" style="2316" customWidth="1"/>
    <col min="775" max="775" width="13" style="2316" customWidth="1"/>
    <col min="776" max="777" width="8.88671875" style="2316"/>
    <col min="778" max="778" width="5.77734375" style="2316" customWidth="1"/>
    <col min="779" max="779" width="11.77734375" style="2316" customWidth="1"/>
    <col min="780" max="781" width="10.77734375" style="2316" customWidth="1"/>
    <col min="782" max="782" width="10" style="2316" customWidth="1"/>
    <col min="783" max="784" width="10.44140625" style="2316" customWidth="1"/>
    <col min="785" max="785" width="10" style="2316" customWidth="1"/>
    <col min="786" max="786" width="10.109375" style="2316" customWidth="1"/>
    <col min="787" max="787" width="10" style="2316" customWidth="1"/>
    <col min="788" max="788" width="26.109375" style="2316" customWidth="1"/>
    <col min="789" max="1024" width="8.88671875" style="2316"/>
    <col min="1025" max="1025" width="9.44140625" style="2316" customWidth="1"/>
    <col min="1026" max="1026" width="8.88671875" style="2316"/>
    <col min="1027" max="1029" width="12.88671875" style="2316" customWidth="1"/>
    <col min="1030" max="1030" width="47.44140625" style="2316" customWidth="1"/>
    <col min="1031" max="1031" width="13" style="2316" customWidth="1"/>
    <col min="1032" max="1033" width="8.88671875" style="2316"/>
    <col min="1034" max="1034" width="5.77734375" style="2316" customWidth="1"/>
    <col min="1035" max="1035" width="11.77734375" style="2316" customWidth="1"/>
    <col min="1036" max="1037" width="10.77734375" style="2316" customWidth="1"/>
    <col min="1038" max="1038" width="10" style="2316" customWidth="1"/>
    <col min="1039" max="1040" width="10.44140625" style="2316" customWidth="1"/>
    <col min="1041" max="1041" width="10" style="2316" customWidth="1"/>
    <col min="1042" max="1042" width="10.109375" style="2316" customWidth="1"/>
    <col min="1043" max="1043" width="10" style="2316" customWidth="1"/>
    <col min="1044" max="1044" width="26.109375" style="2316" customWidth="1"/>
    <col min="1045" max="1280" width="8.88671875" style="2316"/>
    <col min="1281" max="1281" width="9.44140625" style="2316" customWidth="1"/>
    <col min="1282" max="1282" width="8.88671875" style="2316"/>
    <col min="1283" max="1285" width="12.88671875" style="2316" customWidth="1"/>
    <col min="1286" max="1286" width="47.44140625" style="2316" customWidth="1"/>
    <col min="1287" max="1287" width="13" style="2316" customWidth="1"/>
    <col min="1288" max="1289" width="8.88671875" style="2316"/>
    <col min="1290" max="1290" width="5.77734375" style="2316" customWidth="1"/>
    <col min="1291" max="1291" width="11.77734375" style="2316" customWidth="1"/>
    <col min="1292" max="1293" width="10.77734375" style="2316" customWidth="1"/>
    <col min="1294" max="1294" width="10" style="2316" customWidth="1"/>
    <col min="1295" max="1296" width="10.44140625" style="2316" customWidth="1"/>
    <col min="1297" max="1297" width="10" style="2316" customWidth="1"/>
    <col min="1298" max="1298" width="10.109375" style="2316" customWidth="1"/>
    <col min="1299" max="1299" width="10" style="2316" customWidth="1"/>
    <col min="1300" max="1300" width="26.109375" style="2316" customWidth="1"/>
    <col min="1301" max="1536" width="8.88671875" style="2316"/>
    <col min="1537" max="1537" width="9.44140625" style="2316" customWidth="1"/>
    <col min="1538" max="1538" width="8.88671875" style="2316"/>
    <col min="1539" max="1541" width="12.88671875" style="2316" customWidth="1"/>
    <col min="1542" max="1542" width="47.44140625" style="2316" customWidth="1"/>
    <col min="1543" max="1543" width="13" style="2316" customWidth="1"/>
    <col min="1544" max="1545" width="8.88671875" style="2316"/>
    <col min="1546" max="1546" width="5.77734375" style="2316" customWidth="1"/>
    <col min="1547" max="1547" width="11.77734375" style="2316" customWidth="1"/>
    <col min="1548" max="1549" width="10.77734375" style="2316" customWidth="1"/>
    <col min="1550" max="1550" width="10" style="2316" customWidth="1"/>
    <col min="1551" max="1552" width="10.44140625" style="2316" customWidth="1"/>
    <col min="1553" max="1553" width="10" style="2316" customWidth="1"/>
    <col min="1554" max="1554" width="10.109375" style="2316" customWidth="1"/>
    <col min="1555" max="1555" width="10" style="2316" customWidth="1"/>
    <col min="1556" max="1556" width="26.109375" style="2316" customWidth="1"/>
    <col min="1557" max="1792" width="8.88671875" style="2316"/>
    <col min="1793" max="1793" width="9.44140625" style="2316" customWidth="1"/>
    <col min="1794" max="1794" width="8.88671875" style="2316"/>
    <col min="1795" max="1797" width="12.88671875" style="2316" customWidth="1"/>
    <col min="1798" max="1798" width="47.44140625" style="2316" customWidth="1"/>
    <col min="1799" max="1799" width="13" style="2316" customWidth="1"/>
    <col min="1800" max="1801" width="8.88671875" style="2316"/>
    <col min="1802" max="1802" width="5.77734375" style="2316" customWidth="1"/>
    <col min="1803" max="1803" width="11.77734375" style="2316" customWidth="1"/>
    <col min="1804" max="1805" width="10.77734375" style="2316" customWidth="1"/>
    <col min="1806" max="1806" width="10" style="2316" customWidth="1"/>
    <col min="1807" max="1808" width="10.44140625" style="2316" customWidth="1"/>
    <col min="1809" max="1809" width="10" style="2316" customWidth="1"/>
    <col min="1810" max="1810" width="10.109375" style="2316" customWidth="1"/>
    <col min="1811" max="1811" width="10" style="2316" customWidth="1"/>
    <col min="1812" max="1812" width="26.109375" style="2316" customWidth="1"/>
    <col min="1813" max="2048" width="8.88671875" style="2316"/>
    <col min="2049" max="2049" width="9.44140625" style="2316" customWidth="1"/>
    <col min="2050" max="2050" width="8.88671875" style="2316"/>
    <col min="2051" max="2053" width="12.88671875" style="2316" customWidth="1"/>
    <col min="2054" max="2054" width="47.44140625" style="2316" customWidth="1"/>
    <col min="2055" max="2055" width="13" style="2316" customWidth="1"/>
    <col min="2056" max="2057" width="8.88671875" style="2316"/>
    <col min="2058" max="2058" width="5.77734375" style="2316" customWidth="1"/>
    <col min="2059" max="2059" width="11.77734375" style="2316" customWidth="1"/>
    <col min="2060" max="2061" width="10.77734375" style="2316" customWidth="1"/>
    <col min="2062" max="2062" width="10" style="2316" customWidth="1"/>
    <col min="2063" max="2064" width="10.44140625" style="2316" customWidth="1"/>
    <col min="2065" max="2065" width="10" style="2316" customWidth="1"/>
    <col min="2066" max="2066" width="10.109375" style="2316" customWidth="1"/>
    <col min="2067" max="2067" width="10" style="2316" customWidth="1"/>
    <col min="2068" max="2068" width="26.109375" style="2316" customWidth="1"/>
    <col min="2069" max="2304" width="8.88671875" style="2316"/>
    <col min="2305" max="2305" width="9.44140625" style="2316" customWidth="1"/>
    <col min="2306" max="2306" width="8.88671875" style="2316"/>
    <col min="2307" max="2309" width="12.88671875" style="2316" customWidth="1"/>
    <col min="2310" max="2310" width="47.44140625" style="2316" customWidth="1"/>
    <col min="2311" max="2311" width="13" style="2316" customWidth="1"/>
    <col min="2312" max="2313" width="8.88671875" style="2316"/>
    <col min="2314" max="2314" width="5.77734375" style="2316" customWidth="1"/>
    <col min="2315" max="2315" width="11.77734375" style="2316" customWidth="1"/>
    <col min="2316" max="2317" width="10.77734375" style="2316" customWidth="1"/>
    <col min="2318" max="2318" width="10" style="2316" customWidth="1"/>
    <col min="2319" max="2320" width="10.44140625" style="2316" customWidth="1"/>
    <col min="2321" max="2321" width="10" style="2316" customWidth="1"/>
    <col min="2322" max="2322" width="10.109375" style="2316" customWidth="1"/>
    <col min="2323" max="2323" width="10" style="2316" customWidth="1"/>
    <col min="2324" max="2324" width="26.109375" style="2316" customWidth="1"/>
    <col min="2325" max="2560" width="8.88671875" style="2316"/>
    <col min="2561" max="2561" width="9.44140625" style="2316" customWidth="1"/>
    <col min="2562" max="2562" width="8.88671875" style="2316"/>
    <col min="2563" max="2565" width="12.88671875" style="2316" customWidth="1"/>
    <col min="2566" max="2566" width="47.44140625" style="2316" customWidth="1"/>
    <col min="2567" max="2567" width="13" style="2316" customWidth="1"/>
    <col min="2568" max="2569" width="8.88671875" style="2316"/>
    <col min="2570" max="2570" width="5.77734375" style="2316" customWidth="1"/>
    <col min="2571" max="2571" width="11.77734375" style="2316" customWidth="1"/>
    <col min="2572" max="2573" width="10.77734375" style="2316" customWidth="1"/>
    <col min="2574" max="2574" width="10" style="2316" customWidth="1"/>
    <col min="2575" max="2576" width="10.44140625" style="2316" customWidth="1"/>
    <col min="2577" max="2577" width="10" style="2316" customWidth="1"/>
    <col min="2578" max="2578" width="10.109375" style="2316" customWidth="1"/>
    <col min="2579" max="2579" width="10" style="2316" customWidth="1"/>
    <col min="2580" max="2580" width="26.109375" style="2316" customWidth="1"/>
    <col min="2581" max="2816" width="8.88671875" style="2316"/>
    <col min="2817" max="2817" width="9.44140625" style="2316" customWidth="1"/>
    <col min="2818" max="2818" width="8.88671875" style="2316"/>
    <col min="2819" max="2821" width="12.88671875" style="2316" customWidth="1"/>
    <col min="2822" max="2822" width="47.44140625" style="2316" customWidth="1"/>
    <col min="2823" max="2823" width="13" style="2316" customWidth="1"/>
    <col min="2824" max="2825" width="8.88671875" style="2316"/>
    <col min="2826" max="2826" width="5.77734375" style="2316" customWidth="1"/>
    <col min="2827" max="2827" width="11.77734375" style="2316" customWidth="1"/>
    <col min="2828" max="2829" width="10.77734375" style="2316" customWidth="1"/>
    <col min="2830" max="2830" width="10" style="2316" customWidth="1"/>
    <col min="2831" max="2832" width="10.44140625" style="2316" customWidth="1"/>
    <col min="2833" max="2833" width="10" style="2316" customWidth="1"/>
    <col min="2834" max="2834" width="10.109375" style="2316" customWidth="1"/>
    <col min="2835" max="2835" width="10" style="2316" customWidth="1"/>
    <col min="2836" max="2836" width="26.109375" style="2316" customWidth="1"/>
    <col min="2837" max="3072" width="8.88671875" style="2316"/>
    <col min="3073" max="3073" width="9.44140625" style="2316" customWidth="1"/>
    <col min="3074" max="3074" width="8.88671875" style="2316"/>
    <col min="3075" max="3077" width="12.88671875" style="2316" customWidth="1"/>
    <col min="3078" max="3078" width="47.44140625" style="2316" customWidth="1"/>
    <col min="3079" max="3079" width="13" style="2316" customWidth="1"/>
    <col min="3080" max="3081" width="8.88671875" style="2316"/>
    <col min="3082" max="3082" width="5.77734375" style="2316" customWidth="1"/>
    <col min="3083" max="3083" width="11.77734375" style="2316" customWidth="1"/>
    <col min="3084" max="3085" width="10.77734375" style="2316" customWidth="1"/>
    <col min="3086" max="3086" width="10" style="2316" customWidth="1"/>
    <col min="3087" max="3088" width="10.44140625" style="2316" customWidth="1"/>
    <col min="3089" max="3089" width="10" style="2316" customWidth="1"/>
    <col min="3090" max="3090" width="10.109375" style="2316" customWidth="1"/>
    <col min="3091" max="3091" width="10" style="2316" customWidth="1"/>
    <col min="3092" max="3092" width="26.109375" style="2316" customWidth="1"/>
    <col min="3093" max="3328" width="8.88671875" style="2316"/>
    <col min="3329" max="3329" width="9.44140625" style="2316" customWidth="1"/>
    <col min="3330" max="3330" width="8.88671875" style="2316"/>
    <col min="3331" max="3333" width="12.88671875" style="2316" customWidth="1"/>
    <col min="3334" max="3334" width="47.44140625" style="2316" customWidth="1"/>
    <col min="3335" max="3335" width="13" style="2316" customWidth="1"/>
    <col min="3336" max="3337" width="8.88671875" style="2316"/>
    <col min="3338" max="3338" width="5.77734375" style="2316" customWidth="1"/>
    <col min="3339" max="3339" width="11.77734375" style="2316" customWidth="1"/>
    <col min="3340" max="3341" width="10.77734375" style="2316" customWidth="1"/>
    <col min="3342" max="3342" width="10" style="2316" customWidth="1"/>
    <col min="3343" max="3344" width="10.44140625" style="2316" customWidth="1"/>
    <col min="3345" max="3345" width="10" style="2316" customWidth="1"/>
    <col min="3346" max="3346" width="10.109375" style="2316" customWidth="1"/>
    <col min="3347" max="3347" width="10" style="2316" customWidth="1"/>
    <col min="3348" max="3348" width="26.109375" style="2316" customWidth="1"/>
    <col min="3349" max="3584" width="8.88671875" style="2316"/>
    <col min="3585" max="3585" width="9.44140625" style="2316" customWidth="1"/>
    <col min="3586" max="3586" width="8.88671875" style="2316"/>
    <col min="3587" max="3589" width="12.88671875" style="2316" customWidth="1"/>
    <col min="3590" max="3590" width="47.44140625" style="2316" customWidth="1"/>
    <col min="3591" max="3591" width="13" style="2316" customWidth="1"/>
    <col min="3592" max="3593" width="8.88671875" style="2316"/>
    <col min="3594" max="3594" width="5.77734375" style="2316" customWidth="1"/>
    <col min="3595" max="3595" width="11.77734375" style="2316" customWidth="1"/>
    <col min="3596" max="3597" width="10.77734375" style="2316" customWidth="1"/>
    <col min="3598" max="3598" width="10" style="2316" customWidth="1"/>
    <col min="3599" max="3600" width="10.44140625" style="2316" customWidth="1"/>
    <col min="3601" max="3601" width="10" style="2316" customWidth="1"/>
    <col min="3602" max="3602" width="10.109375" style="2316" customWidth="1"/>
    <col min="3603" max="3603" width="10" style="2316" customWidth="1"/>
    <col min="3604" max="3604" width="26.109375" style="2316" customWidth="1"/>
    <col min="3605" max="3840" width="8.88671875" style="2316"/>
    <col min="3841" max="3841" width="9.44140625" style="2316" customWidth="1"/>
    <col min="3842" max="3842" width="8.88671875" style="2316"/>
    <col min="3843" max="3845" width="12.88671875" style="2316" customWidth="1"/>
    <col min="3846" max="3846" width="47.44140625" style="2316" customWidth="1"/>
    <col min="3847" max="3847" width="13" style="2316" customWidth="1"/>
    <col min="3848" max="3849" width="8.88671875" style="2316"/>
    <col min="3850" max="3850" width="5.77734375" style="2316" customWidth="1"/>
    <col min="3851" max="3851" width="11.77734375" style="2316" customWidth="1"/>
    <col min="3852" max="3853" width="10.77734375" style="2316" customWidth="1"/>
    <col min="3854" max="3854" width="10" style="2316" customWidth="1"/>
    <col min="3855" max="3856" width="10.44140625" style="2316" customWidth="1"/>
    <col min="3857" max="3857" width="10" style="2316" customWidth="1"/>
    <col min="3858" max="3858" width="10.109375" style="2316" customWidth="1"/>
    <col min="3859" max="3859" width="10" style="2316" customWidth="1"/>
    <col min="3860" max="3860" width="26.109375" style="2316" customWidth="1"/>
    <col min="3861" max="4096" width="8.88671875" style="2316"/>
    <col min="4097" max="4097" width="9.44140625" style="2316" customWidth="1"/>
    <col min="4098" max="4098" width="8.88671875" style="2316"/>
    <col min="4099" max="4101" width="12.88671875" style="2316" customWidth="1"/>
    <col min="4102" max="4102" width="47.44140625" style="2316" customWidth="1"/>
    <col min="4103" max="4103" width="13" style="2316" customWidth="1"/>
    <col min="4104" max="4105" width="8.88671875" style="2316"/>
    <col min="4106" max="4106" width="5.77734375" style="2316" customWidth="1"/>
    <col min="4107" max="4107" width="11.77734375" style="2316" customWidth="1"/>
    <col min="4108" max="4109" width="10.77734375" style="2316" customWidth="1"/>
    <col min="4110" max="4110" width="10" style="2316" customWidth="1"/>
    <col min="4111" max="4112" width="10.44140625" style="2316" customWidth="1"/>
    <col min="4113" max="4113" width="10" style="2316" customWidth="1"/>
    <col min="4114" max="4114" width="10.109375" style="2316" customWidth="1"/>
    <col min="4115" max="4115" width="10" style="2316" customWidth="1"/>
    <col min="4116" max="4116" width="26.109375" style="2316" customWidth="1"/>
    <col min="4117" max="4352" width="8.88671875" style="2316"/>
    <col min="4353" max="4353" width="9.44140625" style="2316" customWidth="1"/>
    <col min="4354" max="4354" width="8.88671875" style="2316"/>
    <col min="4355" max="4357" width="12.88671875" style="2316" customWidth="1"/>
    <col min="4358" max="4358" width="47.44140625" style="2316" customWidth="1"/>
    <col min="4359" max="4359" width="13" style="2316" customWidth="1"/>
    <col min="4360" max="4361" width="8.88671875" style="2316"/>
    <col min="4362" max="4362" width="5.77734375" style="2316" customWidth="1"/>
    <col min="4363" max="4363" width="11.77734375" style="2316" customWidth="1"/>
    <col min="4364" max="4365" width="10.77734375" style="2316" customWidth="1"/>
    <col min="4366" max="4366" width="10" style="2316" customWidth="1"/>
    <col min="4367" max="4368" width="10.44140625" style="2316" customWidth="1"/>
    <col min="4369" max="4369" width="10" style="2316" customWidth="1"/>
    <col min="4370" max="4370" width="10.109375" style="2316" customWidth="1"/>
    <col min="4371" max="4371" width="10" style="2316" customWidth="1"/>
    <col min="4372" max="4372" width="26.109375" style="2316" customWidth="1"/>
    <col min="4373" max="4608" width="8.88671875" style="2316"/>
    <col min="4609" max="4609" width="9.44140625" style="2316" customWidth="1"/>
    <col min="4610" max="4610" width="8.88671875" style="2316"/>
    <col min="4611" max="4613" width="12.88671875" style="2316" customWidth="1"/>
    <col min="4614" max="4614" width="47.44140625" style="2316" customWidth="1"/>
    <col min="4615" max="4615" width="13" style="2316" customWidth="1"/>
    <col min="4616" max="4617" width="8.88671875" style="2316"/>
    <col min="4618" max="4618" width="5.77734375" style="2316" customWidth="1"/>
    <col min="4619" max="4619" width="11.77734375" style="2316" customWidth="1"/>
    <col min="4620" max="4621" width="10.77734375" style="2316" customWidth="1"/>
    <col min="4622" max="4622" width="10" style="2316" customWidth="1"/>
    <col min="4623" max="4624" width="10.44140625" style="2316" customWidth="1"/>
    <col min="4625" max="4625" width="10" style="2316" customWidth="1"/>
    <col min="4626" max="4626" width="10.109375" style="2316" customWidth="1"/>
    <col min="4627" max="4627" width="10" style="2316" customWidth="1"/>
    <col min="4628" max="4628" width="26.109375" style="2316" customWidth="1"/>
    <col min="4629" max="4864" width="8.88671875" style="2316"/>
    <col min="4865" max="4865" width="9.44140625" style="2316" customWidth="1"/>
    <col min="4866" max="4866" width="8.88671875" style="2316"/>
    <col min="4867" max="4869" width="12.88671875" style="2316" customWidth="1"/>
    <col min="4870" max="4870" width="47.44140625" style="2316" customWidth="1"/>
    <col min="4871" max="4871" width="13" style="2316" customWidth="1"/>
    <col min="4872" max="4873" width="8.88671875" style="2316"/>
    <col min="4874" max="4874" width="5.77734375" style="2316" customWidth="1"/>
    <col min="4875" max="4875" width="11.77734375" style="2316" customWidth="1"/>
    <col min="4876" max="4877" width="10.77734375" style="2316" customWidth="1"/>
    <col min="4878" max="4878" width="10" style="2316" customWidth="1"/>
    <col min="4879" max="4880" width="10.44140625" style="2316" customWidth="1"/>
    <col min="4881" max="4881" width="10" style="2316" customWidth="1"/>
    <col min="4882" max="4882" width="10.109375" style="2316" customWidth="1"/>
    <col min="4883" max="4883" width="10" style="2316" customWidth="1"/>
    <col min="4884" max="4884" width="26.109375" style="2316" customWidth="1"/>
    <col min="4885" max="5120" width="8.88671875" style="2316"/>
    <col min="5121" max="5121" width="9.44140625" style="2316" customWidth="1"/>
    <col min="5122" max="5122" width="8.88671875" style="2316"/>
    <col min="5123" max="5125" width="12.88671875" style="2316" customWidth="1"/>
    <col min="5126" max="5126" width="47.44140625" style="2316" customWidth="1"/>
    <col min="5127" max="5127" width="13" style="2316" customWidth="1"/>
    <col min="5128" max="5129" width="8.88671875" style="2316"/>
    <col min="5130" max="5130" width="5.77734375" style="2316" customWidth="1"/>
    <col min="5131" max="5131" width="11.77734375" style="2316" customWidth="1"/>
    <col min="5132" max="5133" width="10.77734375" style="2316" customWidth="1"/>
    <col min="5134" max="5134" width="10" style="2316" customWidth="1"/>
    <col min="5135" max="5136" width="10.44140625" style="2316" customWidth="1"/>
    <col min="5137" max="5137" width="10" style="2316" customWidth="1"/>
    <col min="5138" max="5138" width="10.109375" style="2316" customWidth="1"/>
    <col min="5139" max="5139" width="10" style="2316" customWidth="1"/>
    <col min="5140" max="5140" width="26.109375" style="2316" customWidth="1"/>
    <col min="5141" max="5376" width="8.88671875" style="2316"/>
    <col min="5377" max="5377" width="9.44140625" style="2316" customWidth="1"/>
    <col min="5378" max="5378" width="8.88671875" style="2316"/>
    <col min="5379" max="5381" width="12.88671875" style="2316" customWidth="1"/>
    <col min="5382" max="5382" width="47.44140625" style="2316" customWidth="1"/>
    <col min="5383" max="5383" width="13" style="2316" customWidth="1"/>
    <col min="5384" max="5385" width="8.88671875" style="2316"/>
    <col min="5386" max="5386" width="5.77734375" style="2316" customWidth="1"/>
    <col min="5387" max="5387" width="11.77734375" style="2316" customWidth="1"/>
    <col min="5388" max="5389" width="10.77734375" style="2316" customWidth="1"/>
    <col min="5390" max="5390" width="10" style="2316" customWidth="1"/>
    <col min="5391" max="5392" width="10.44140625" style="2316" customWidth="1"/>
    <col min="5393" max="5393" width="10" style="2316" customWidth="1"/>
    <col min="5394" max="5394" width="10.109375" style="2316" customWidth="1"/>
    <col min="5395" max="5395" width="10" style="2316" customWidth="1"/>
    <col min="5396" max="5396" width="26.109375" style="2316" customWidth="1"/>
    <col min="5397" max="5632" width="8.88671875" style="2316"/>
    <col min="5633" max="5633" width="9.44140625" style="2316" customWidth="1"/>
    <col min="5634" max="5634" width="8.88671875" style="2316"/>
    <col min="5635" max="5637" width="12.88671875" style="2316" customWidth="1"/>
    <col min="5638" max="5638" width="47.44140625" style="2316" customWidth="1"/>
    <col min="5639" max="5639" width="13" style="2316" customWidth="1"/>
    <col min="5640" max="5641" width="8.88671875" style="2316"/>
    <col min="5642" max="5642" width="5.77734375" style="2316" customWidth="1"/>
    <col min="5643" max="5643" width="11.77734375" style="2316" customWidth="1"/>
    <col min="5644" max="5645" width="10.77734375" style="2316" customWidth="1"/>
    <col min="5646" max="5646" width="10" style="2316" customWidth="1"/>
    <col min="5647" max="5648" width="10.44140625" style="2316" customWidth="1"/>
    <col min="5649" max="5649" width="10" style="2316" customWidth="1"/>
    <col min="5650" max="5650" width="10.109375" style="2316" customWidth="1"/>
    <col min="5651" max="5651" width="10" style="2316" customWidth="1"/>
    <col min="5652" max="5652" width="26.109375" style="2316" customWidth="1"/>
    <col min="5653" max="5888" width="8.88671875" style="2316"/>
    <col min="5889" max="5889" width="9.44140625" style="2316" customWidth="1"/>
    <col min="5890" max="5890" width="8.88671875" style="2316"/>
    <col min="5891" max="5893" width="12.88671875" style="2316" customWidth="1"/>
    <col min="5894" max="5894" width="47.44140625" style="2316" customWidth="1"/>
    <col min="5895" max="5895" width="13" style="2316" customWidth="1"/>
    <col min="5896" max="5897" width="8.88671875" style="2316"/>
    <col min="5898" max="5898" width="5.77734375" style="2316" customWidth="1"/>
    <col min="5899" max="5899" width="11.77734375" style="2316" customWidth="1"/>
    <col min="5900" max="5901" width="10.77734375" style="2316" customWidth="1"/>
    <col min="5902" max="5902" width="10" style="2316" customWidth="1"/>
    <col min="5903" max="5904" width="10.44140625" style="2316" customWidth="1"/>
    <col min="5905" max="5905" width="10" style="2316" customWidth="1"/>
    <col min="5906" max="5906" width="10.109375" style="2316" customWidth="1"/>
    <col min="5907" max="5907" width="10" style="2316" customWidth="1"/>
    <col min="5908" max="5908" width="26.109375" style="2316" customWidth="1"/>
    <col min="5909" max="6144" width="8.88671875" style="2316"/>
    <col min="6145" max="6145" width="9.44140625" style="2316" customWidth="1"/>
    <col min="6146" max="6146" width="8.88671875" style="2316"/>
    <col min="6147" max="6149" width="12.88671875" style="2316" customWidth="1"/>
    <col min="6150" max="6150" width="47.44140625" style="2316" customWidth="1"/>
    <col min="6151" max="6151" width="13" style="2316" customWidth="1"/>
    <col min="6152" max="6153" width="8.88671875" style="2316"/>
    <col min="6154" max="6154" width="5.77734375" style="2316" customWidth="1"/>
    <col min="6155" max="6155" width="11.77734375" style="2316" customWidth="1"/>
    <col min="6156" max="6157" width="10.77734375" style="2316" customWidth="1"/>
    <col min="6158" max="6158" width="10" style="2316" customWidth="1"/>
    <col min="6159" max="6160" width="10.44140625" style="2316" customWidth="1"/>
    <col min="6161" max="6161" width="10" style="2316" customWidth="1"/>
    <col min="6162" max="6162" width="10.109375" style="2316" customWidth="1"/>
    <col min="6163" max="6163" width="10" style="2316" customWidth="1"/>
    <col min="6164" max="6164" width="26.109375" style="2316" customWidth="1"/>
    <col min="6165" max="6400" width="8.88671875" style="2316"/>
    <col min="6401" max="6401" width="9.44140625" style="2316" customWidth="1"/>
    <col min="6402" max="6402" width="8.88671875" style="2316"/>
    <col min="6403" max="6405" width="12.88671875" style="2316" customWidth="1"/>
    <col min="6406" max="6406" width="47.44140625" style="2316" customWidth="1"/>
    <col min="6407" max="6407" width="13" style="2316" customWidth="1"/>
    <col min="6408" max="6409" width="8.88671875" style="2316"/>
    <col min="6410" max="6410" width="5.77734375" style="2316" customWidth="1"/>
    <col min="6411" max="6411" width="11.77734375" style="2316" customWidth="1"/>
    <col min="6412" max="6413" width="10.77734375" style="2316" customWidth="1"/>
    <col min="6414" max="6414" width="10" style="2316" customWidth="1"/>
    <col min="6415" max="6416" width="10.44140625" style="2316" customWidth="1"/>
    <col min="6417" max="6417" width="10" style="2316" customWidth="1"/>
    <col min="6418" max="6418" width="10.109375" style="2316" customWidth="1"/>
    <col min="6419" max="6419" width="10" style="2316" customWidth="1"/>
    <col min="6420" max="6420" width="26.109375" style="2316" customWidth="1"/>
    <col min="6421" max="6656" width="8.88671875" style="2316"/>
    <col min="6657" max="6657" width="9.44140625" style="2316" customWidth="1"/>
    <col min="6658" max="6658" width="8.88671875" style="2316"/>
    <col min="6659" max="6661" width="12.88671875" style="2316" customWidth="1"/>
    <col min="6662" max="6662" width="47.44140625" style="2316" customWidth="1"/>
    <col min="6663" max="6663" width="13" style="2316" customWidth="1"/>
    <col min="6664" max="6665" width="8.88671875" style="2316"/>
    <col min="6666" max="6666" width="5.77734375" style="2316" customWidth="1"/>
    <col min="6667" max="6667" width="11.77734375" style="2316" customWidth="1"/>
    <col min="6668" max="6669" width="10.77734375" style="2316" customWidth="1"/>
    <col min="6670" max="6670" width="10" style="2316" customWidth="1"/>
    <col min="6671" max="6672" width="10.44140625" style="2316" customWidth="1"/>
    <col min="6673" max="6673" width="10" style="2316" customWidth="1"/>
    <col min="6674" max="6674" width="10.109375" style="2316" customWidth="1"/>
    <col min="6675" max="6675" width="10" style="2316" customWidth="1"/>
    <col min="6676" max="6676" width="26.109375" style="2316" customWidth="1"/>
    <col min="6677" max="6912" width="8.88671875" style="2316"/>
    <col min="6913" max="6913" width="9.44140625" style="2316" customWidth="1"/>
    <col min="6914" max="6914" width="8.88671875" style="2316"/>
    <col min="6915" max="6917" width="12.88671875" style="2316" customWidth="1"/>
    <col min="6918" max="6918" width="47.44140625" style="2316" customWidth="1"/>
    <col min="6919" max="6919" width="13" style="2316" customWidth="1"/>
    <col min="6920" max="6921" width="8.88671875" style="2316"/>
    <col min="6922" max="6922" width="5.77734375" style="2316" customWidth="1"/>
    <col min="6923" max="6923" width="11.77734375" style="2316" customWidth="1"/>
    <col min="6924" max="6925" width="10.77734375" style="2316" customWidth="1"/>
    <col min="6926" max="6926" width="10" style="2316" customWidth="1"/>
    <col min="6927" max="6928" width="10.44140625" style="2316" customWidth="1"/>
    <col min="6929" max="6929" width="10" style="2316" customWidth="1"/>
    <col min="6930" max="6930" width="10.109375" style="2316" customWidth="1"/>
    <col min="6931" max="6931" width="10" style="2316" customWidth="1"/>
    <col min="6932" max="6932" width="26.109375" style="2316" customWidth="1"/>
    <col min="6933" max="7168" width="8.88671875" style="2316"/>
    <col min="7169" max="7169" width="9.44140625" style="2316" customWidth="1"/>
    <col min="7170" max="7170" width="8.88671875" style="2316"/>
    <col min="7171" max="7173" width="12.88671875" style="2316" customWidth="1"/>
    <col min="7174" max="7174" width="47.44140625" style="2316" customWidth="1"/>
    <col min="7175" max="7175" width="13" style="2316" customWidth="1"/>
    <col min="7176" max="7177" width="8.88671875" style="2316"/>
    <col min="7178" max="7178" width="5.77734375" style="2316" customWidth="1"/>
    <col min="7179" max="7179" width="11.77734375" style="2316" customWidth="1"/>
    <col min="7180" max="7181" width="10.77734375" style="2316" customWidth="1"/>
    <col min="7182" max="7182" width="10" style="2316" customWidth="1"/>
    <col min="7183" max="7184" width="10.44140625" style="2316" customWidth="1"/>
    <col min="7185" max="7185" width="10" style="2316" customWidth="1"/>
    <col min="7186" max="7186" width="10.109375" style="2316" customWidth="1"/>
    <col min="7187" max="7187" width="10" style="2316" customWidth="1"/>
    <col min="7188" max="7188" width="26.109375" style="2316" customWidth="1"/>
    <col min="7189" max="7424" width="8.88671875" style="2316"/>
    <col min="7425" max="7425" width="9.44140625" style="2316" customWidth="1"/>
    <col min="7426" max="7426" width="8.88671875" style="2316"/>
    <col min="7427" max="7429" width="12.88671875" style="2316" customWidth="1"/>
    <col min="7430" max="7430" width="47.44140625" style="2316" customWidth="1"/>
    <col min="7431" max="7431" width="13" style="2316" customWidth="1"/>
    <col min="7432" max="7433" width="8.88671875" style="2316"/>
    <col min="7434" max="7434" width="5.77734375" style="2316" customWidth="1"/>
    <col min="7435" max="7435" width="11.77734375" style="2316" customWidth="1"/>
    <col min="7436" max="7437" width="10.77734375" style="2316" customWidth="1"/>
    <col min="7438" max="7438" width="10" style="2316" customWidth="1"/>
    <col min="7439" max="7440" width="10.44140625" style="2316" customWidth="1"/>
    <col min="7441" max="7441" width="10" style="2316" customWidth="1"/>
    <col min="7442" max="7442" width="10.109375" style="2316" customWidth="1"/>
    <col min="7443" max="7443" width="10" style="2316" customWidth="1"/>
    <col min="7444" max="7444" width="26.109375" style="2316" customWidth="1"/>
    <col min="7445" max="7680" width="8.88671875" style="2316"/>
    <col min="7681" max="7681" width="9.44140625" style="2316" customWidth="1"/>
    <col min="7682" max="7682" width="8.88671875" style="2316"/>
    <col min="7683" max="7685" width="12.88671875" style="2316" customWidth="1"/>
    <col min="7686" max="7686" width="47.44140625" style="2316" customWidth="1"/>
    <col min="7687" max="7687" width="13" style="2316" customWidth="1"/>
    <col min="7688" max="7689" width="8.88671875" style="2316"/>
    <col min="7690" max="7690" width="5.77734375" style="2316" customWidth="1"/>
    <col min="7691" max="7691" width="11.77734375" style="2316" customWidth="1"/>
    <col min="7692" max="7693" width="10.77734375" style="2316" customWidth="1"/>
    <col min="7694" max="7694" width="10" style="2316" customWidth="1"/>
    <col min="7695" max="7696" width="10.44140625" style="2316" customWidth="1"/>
    <col min="7697" max="7697" width="10" style="2316" customWidth="1"/>
    <col min="7698" max="7698" width="10.109375" style="2316" customWidth="1"/>
    <col min="7699" max="7699" width="10" style="2316" customWidth="1"/>
    <col min="7700" max="7700" width="26.109375" style="2316" customWidth="1"/>
    <col min="7701" max="7936" width="8.88671875" style="2316"/>
    <col min="7937" max="7937" width="9.44140625" style="2316" customWidth="1"/>
    <col min="7938" max="7938" width="8.88671875" style="2316"/>
    <col min="7939" max="7941" width="12.88671875" style="2316" customWidth="1"/>
    <col min="7942" max="7942" width="47.44140625" style="2316" customWidth="1"/>
    <col min="7943" max="7943" width="13" style="2316" customWidth="1"/>
    <col min="7944" max="7945" width="8.88671875" style="2316"/>
    <col min="7946" max="7946" width="5.77734375" style="2316" customWidth="1"/>
    <col min="7947" max="7947" width="11.77734375" style="2316" customWidth="1"/>
    <col min="7948" max="7949" width="10.77734375" style="2316" customWidth="1"/>
    <col min="7950" max="7950" width="10" style="2316" customWidth="1"/>
    <col min="7951" max="7952" width="10.44140625" style="2316" customWidth="1"/>
    <col min="7953" max="7953" width="10" style="2316" customWidth="1"/>
    <col min="7954" max="7954" width="10.109375" style="2316" customWidth="1"/>
    <col min="7955" max="7955" width="10" style="2316" customWidth="1"/>
    <col min="7956" max="7956" width="26.109375" style="2316" customWidth="1"/>
    <col min="7957" max="8192" width="8.88671875" style="2316"/>
    <col min="8193" max="8193" width="9.44140625" style="2316" customWidth="1"/>
    <col min="8194" max="8194" width="8.88671875" style="2316"/>
    <col min="8195" max="8197" width="12.88671875" style="2316" customWidth="1"/>
    <col min="8198" max="8198" width="47.44140625" style="2316" customWidth="1"/>
    <col min="8199" max="8199" width="13" style="2316" customWidth="1"/>
    <col min="8200" max="8201" width="8.88671875" style="2316"/>
    <col min="8202" max="8202" width="5.77734375" style="2316" customWidth="1"/>
    <col min="8203" max="8203" width="11.77734375" style="2316" customWidth="1"/>
    <col min="8204" max="8205" width="10.77734375" style="2316" customWidth="1"/>
    <col min="8206" max="8206" width="10" style="2316" customWidth="1"/>
    <col min="8207" max="8208" width="10.44140625" style="2316" customWidth="1"/>
    <col min="8209" max="8209" width="10" style="2316" customWidth="1"/>
    <col min="8210" max="8210" width="10.109375" style="2316" customWidth="1"/>
    <col min="8211" max="8211" width="10" style="2316" customWidth="1"/>
    <col min="8212" max="8212" width="26.109375" style="2316" customWidth="1"/>
    <col min="8213" max="8448" width="8.88671875" style="2316"/>
    <col min="8449" max="8449" width="9.44140625" style="2316" customWidth="1"/>
    <col min="8450" max="8450" width="8.88671875" style="2316"/>
    <col min="8451" max="8453" width="12.88671875" style="2316" customWidth="1"/>
    <col min="8454" max="8454" width="47.44140625" style="2316" customWidth="1"/>
    <col min="8455" max="8455" width="13" style="2316" customWidth="1"/>
    <col min="8456" max="8457" width="8.88671875" style="2316"/>
    <col min="8458" max="8458" width="5.77734375" style="2316" customWidth="1"/>
    <col min="8459" max="8459" width="11.77734375" style="2316" customWidth="1"/>
    <col min="8460" max="8461" width="10.77734375" style="2316" customWidth="1"/>
    <col min="8462" max="8462" width="10" style="2316" customWidth="1"/>
    <col min="8463" max="8464" width="10.44140625" style="2316" customWidth="1"/>
    <col min="8465" max="8465" width="10" style="2316" customWidth="1"/>
    <col min="8466" max="8466" width="10.109375" style="2316" customWidth="1"/>
    <col min="8467" max="8467" width="10" style="2316" customWidth="1"/>
    <col min="8468" max="8468" width="26.109375" style="2316" customWidth="1"/>
    <col min="8469" max="8704" width="8.88671875" style="2316"/>
    <col min="8705" max="8705" width="9.44140625" style="2316" customWidth="1"/>
    <col min="8706" max="8706" width="8.88671875" style="2316"/>
    <col min="8707" max="8709" width="12.88671875" style="2316" customWidth="1"/>
    <col min="8710" max="8710" width="47.44140625" style="2316" customWidth="1"/>
    <col min="8711" max="8711" width="13" style="2316" customWidth="1"/>
    <col min="8712" max="8713" width="8.88671875" style="2316"/>
    <col min="8714" max="8714" width="5.77734375" style="2316" customWidth="1"/>
    <col min="8715" max="8715" width="11.77734375" style="2316" customWidth="1"/>
    <col min="8716" max="8717" width="10.77734375" style="2316" customWidth="1"/>
    <col min="8718" max="8718" width="10" style="2316" customWidth="1"/>
    <col min="8719" max="8720" width="10.44140625" style="2316" customWidth="1"/>
    <col min="8721" max="8721" width="10" style="2316" customWidth="1"/>
    <col min="8722" max="8722" width="10.109375" style="2316" customWidth="1"/>
    <col min="8723" max="8723" width="10" style="2316" customWidth="1"/>
    <col min="8724" max="8724" width="26.109375" style="2316" customWidth="1"/>
    <col min="8725" max="8960" width="8.88671875" style="2316"/>
    <col min="8961" max="8961" width="9.44140625" style="2316" customWidth="1"/>
    <col min="8962" max="8962" width="8.88671875" style="2316"/>
    <col min="8963" max="8965" width="12.88671875" style="2316" customWidth="1"/>
    <col min="8966" max="8966" width="47.44140625" style="2316" customWidth="1"/>
    <col min="8967" max="8967" width="13" style="2316" customWidth="1"/>
    <col min="8968" max="8969" width="8.88671875" style="2316"/>
    <col min="8970" max="8970" width="5.77734375" style="2316" customWidth="1"/>
    <col min="8971" max="8971" width="11.77734375" style="2316" customWidth="1"/>
    <col min="8972" max="8973" width="10.77734375" style="2316" customWidth="1"/>
    <col min="8974" max="8974" width="10" style="2316" customWidth="1"/>
    <col min="8975" max="8976" width="10.44140625" style="2316" customWidth="1"/>
    <col min="8977" max="8977" width="10" style="2316" customWidth="1"/>
    <col min="8978" max="8978" width="10.109375" style="2316" customWidth="1"/>
    <col min="8979" max="8979" width="10" style="2316" customWidth="1"/>
    <col min="8980" max="8980" width="26.109375" style="2316" customWidth="1"/>
    <col min="8981" max="9216" width="8.88671875" style="2316"/>
    <col min="9217" max="9217" width="9.44140625" style="2316" customWidth="1"/>
    <col min="9218" max="9218" width="8.88671875" style="2316"/>
    <col min="9219" max="9221" width="12.88671875" style="2316" customWidth="1"/>
    <col min="9222" max="9222" width="47.44140625" style="2316" customWidth="1"/>
    <col min="9223" max="9223" width="13" style="2316" customWidth="1"/>
    <col min="9224" max="9225" width="8.88671875" style="2316"/>
    <col min="9226" max="9226" width="5.77734375" style="2316" customWidth="1"/>
    <col min="9227" max="9227" width="11.77734375" style="2316" customWidth="1"/>
    <col min="9228" max="9229" width="10.77734375" style="2316" customWidth="1"/>
    <col min="9230" max="9230" width="10" style="2316" customWidth="1"/>
    <col min="9231" max="9232" width="10.44140625" style="2316" customWidth="1"/>
    <col min="9233" max="9233" width="10" style="2316" customWidth="1"/>
    <col min="9234" max="9234" width="10.109375" style="2316" customWidth="1"/>
    <col min="9235" max="9235" width="10" style="2316" customWidth="1"/>
    <col min="9236" max="9236" width="26.109375" style="2316" customWidth="1"/>
    <col min="9237" max="9472" width="8.88671875" style="2316"/>
    <col min="9473" max="9473" width="9.44140625" style="2316" customWidth="1"/>
    <col min="9474" max="9474" width="8.88671875" style="2316"/>
    <col min="9475" max="9477" width="12.88671875" style="2316" customWidth="1"/>
    <col min="9478" max="9478" width="47.44140625" style="2316" customWidth="1"/>
    <col min="9479" max="9479" width="13" style="2316" customWidth="1"/>
    <col min="9480" max="9481" width="8.88671875" style="2316"/>
    <col min="9482" max="9482" width="5.77734375" style="2316" customWidth="1"/>
    <col min="9483" max="9483" width="11.77734375" style="2316" customWidth="1"/>
    <col min="9484" max="9485" width="10.77734375" style="2316" customWidth="1"/>
    <col min="9486" max="9486" width="10" style="2316" customWidth="1"/>
    <col min="9487" max="9488" width="10.44140625" style="2316" customWidth="1"/>
    <col min="9489" max="9489" width="10" style="2316" customWidth="1"/>
    <col min="9490" max="9490" width="10.109375" style="2316" customWidth="1"/>
    <col min="9491" max="9491" width="10" style="2316" customWidth="1"/>
    <col min="9492" max="9492" width="26.109375" style="2316" customWidth="1"/>
    <col min="9493" max="9728" width="8.88671875" style="2316"/>
    <col min="9729" max="9729" width="9.44140625" style="2316" customWidth="1"/>
    <col min="9730" max="9730" width="8.88671875" style="2316"/>
    <col min="9731" max="9733" width="12.88671875" style="2316" customWidth="1"/>
    <col min="9734" max="9734" width="47.44140625" style="2316" customWidth="1"/>
    <col min="9735" max="9735" width="13" style="2316" customWidth="1"/>
    <col min="9736" max="9737" width="8.88671875" style="2316"/>
    <col min="9738" max="9738" width="5.77734375" style="2316" customWidth="1"/>
    <col min="9739" max="9739" width="11.77734375" style="2316" customWidth="1"/>
    <col min="9740" max="9741" width="10.77734375" style="2316" customWidth="1"/>
    <col min="9742" max="9742" width="10" style="2316" customWidth="1"/>
    <col min="9743" max="9744" width="10.44140625" style="2316" customWidth="1"/>
    <col min="9745" max="9745" width="10" style="2316" customWidth="1"/>
    <col min="9746" max="9746" width="10.109375" style="2316" customWidth="1"/>
    <col min="9747" max="9747" width="10" style="2316" customWidth="1"/>
    <col min="9748" max="9748" width="26.109375" style="2316" customWidth="1"/>
    <col min="9749" max="9984" width="8.88671875" style="2316"/>
    <col min="9985" max="9985" width="9.44140625" style="2316" customWidth="1"/>
    <col min="9986" max="9986" width="8.88671875" style="2316"/>
    <col min="9987" max="9989" width="12.88671875" style="2316" customWidth="1"/>
    <col min="9990" max="9990" width="47.44140625" style="2316" customWidth="1"/>
    <col min="9991" max="9991" width="13" style="2316" customWidth="1"/>
    <col min="9992" max="9993" width="8.88671875" style="2316"/>
    <col min="9994" max="9994" width="5.77734375" style="2316" customWidth="1"/>
    <col min="9995" max="9995" width="11.77734375" style="2316" customWidth="1"/>
    <col min="9996" max="9997" width="10.77734375" style="2316" customWidth="1"/>
    <col min="9998" max="9998" width="10" style="2316" customWidth="1"/>
    <col min="9999" max="10000" width="10.44140625" style="2316" customWidth="1"/>
    <col min="10001" max="10001" width="10" style="2316" customWidth="1"/>
    <col min="10002" max="10002" width="10.109375" style="2316" customWidth="1"/>
    <col min="10003" max="10003" width="10" style="2316" customWidth="1"/>
    <col min="10004" max="10004" width="26.109375" style="2316" customWidth="1"/>
    <col min="10005" max="10240" width="8.88671875" style="2316"/>
    <col min="10241" max="10241" width="9.44140625" style="2316" customWidth="1"/>
    <col min="10242" max="10242" width="8.88671875" style="2316"/>
    <col min="10243" max="10245" width="12.88671875" style="2316" customWidth="1"/>
    <col min="10246" max="10246" width="47.44140625" style="2316" customWidth="1"/>
    <col min="10247" max="10247" width="13" style="2316" customWidth="1"/>
    <col min="10248" max="10249" width="8.88671875" style="2316"/>
    <col min="10250" max="10250" width="5.77734375" style="2316" customWidth="1"/>
    <col min="10251" max="10251" width="11.77734375" style="2316" customWidth="1"/>
    <col min="10252" max="10253" width="10.77734375" style="2316" customWidth="1"/>
    <col min="10254" max="10254" width="10" style="2316" customWidth="1"/>
    <col min="10255" max="10256" width="10.44140625" style="2316" customWidth="1"/>
    <col min="10257" max="10257" width="10" style="2316" customWidth="1"/>
    <col min="10258" max="10258" width="10.109375" style="2316" customWidth="1"/>
    <col min="10259" max="10259" width="10" style="2316" customWidth="1"/>
    <col min="10260" max="10260" width="26.109375" style="2316" customWidth="1"/>
    <col min="10261" max="10496" width="8.88671875" style="2316"/>
    <col min="10497" max="10497" width="9.44140625" style="2316" customWidth="1"/>
    <col min="10498" max="10498" width="8.88671875" style="2316"/>
    <col min="10499" max="10501" width="12.88671875" style="2316" customWidth="1"/>
    <col min="10502" max="10502" width="47.44140625" style="2316" customWidth="1"/>
    <col min="10503" max="10503" width="13" style="2316" customWidth="1"/>
    <col min="10504" max="10505" width="8.88671875" style="2316"/>
    <col min="10506" max="10506" width="5.77734375" style="2316" customWidth="1"/>
    <col min="10507" max="10507" width="11.77734375" style="2316" customWidth="1"/>
    <col min="10508" max="10509" width="10.77734375" style="2316" customWidth="1"/>
    <col min="10510" max="10510" width="10" style="2316" customWidth="1"/>
    <col min="10511" max="10512" width="10.44140625" style="2316" customWidth="1"/>
    <col min="10513" max="10513" width="10" style="2316" customWidth="1"/>
    <col min="10514" max="10514" width="10.109375" style="2316" customWidth="1"/>
    <col min="10515" max="10515" width="10" style="2316" customWidth="1"/>
    <col min="10516" max="10516" width="26.109375" style="2316" customWidth="1"/>
    <col min="10517" max="10752" width="8.88671875" style="2316"/>
    <col min="10753" max="10753" width="9.44140625" style="2316" customWidth="1"/>
    <col min="10754" max="10754" width="8.88671875" style="2316"/>
    <col min="10755" max="10757" width="12.88671875" style="2316" customWidth="1"/>
    <col min="10758" max="10758" width="47.44140625" style="2316" customWidth="1"/>
    <col min="10759" max="10759" width="13" style="2316" customWidth="1"/>
    <col min="10760" max="10761" width="8.88671875" style="2316"/>
    <col min="10762" max="10762" width="5.77734375" style="2316" customWidth="1"/>
    <col min="10763" max="10763" width="11.77734375" style="2316" customWidth="1"/>
    <col min="10764" max="10765" width="10.77734375" style="2316" customWidth="1"/>
    <col min="10766" max="10766" width="10" style="2316" customWidth="1"/>
    <col min="10767" max="10768" width="10.44140625" style="2316" customWidth="1"/>
    <col min="10769" max="10769" width="10" style="2316" customWidth="1"/>
    <col min="10770" max="10770" width="10.109375" style="2316" customWidth="1"/>
    <col min="10771" max="10771" width="10" style="2316" customWidth="1"/>
    <col min="10772" max="10772" width="26.109375" style="2316" customWidth="1"/>
    <col min="10773" max="11008" width="8.88671875" style="2316"/>
    <col min="11009" max="11009" width="9.44140625" style="2316" customWidth="1"/>
    <col min="11010" max="11010" width="8.88671875" style="2316"/>
    <col min="11011" max="11013" width="12.88671875" style="2316" customWidth="1"/>
    <col min="11014" max="11014" width="47.44140625" style="2316" customWidth="1"/>
    <col min="11015" max="11015" width="13" style="2316" customWidth="1"/>
    <col min="11016" max="11017" width="8.88671875" style="2316"/>
    <col min="11018" max="11018" width="5.77734375" style="2316" customWidth="1"/>
    <col min="11019" max="11019" width="11.77734375" style="2316" customWidth="1"/>
    <col min="11020" max="11021" width="10.77734375" style="2316" customWidth="1"/>
    <col min="11022" max="11022" width="10" style="2316" customWidth="1"/>
    <col min="11023" max="11024" width="10.44140625" style="2316" customWidth="1"/>
    <col min="11025" max="11025" width="10" style="2316" customWidth="1"/>
    <col min="11026" max="11026" width="10.109375" style="2316" customWidth="1"/>
    <col min="11027" max="11027" width="10" style="2316" customWidth="1"/>
    <col min="11028" max="11028" width="26.109375" style="2316" customWidth="1"/>
    <col min="11029" max="11264" width="8.88671875" style="2316"/>
    <col min="11265" max="11265" width="9.44140625" style="2316" customWidth="1"/>
    <col min="11266" max="11266" width="8.88671875" style="2316"/>
    <col min="11267" max="11269" width="12.88671875" style="2316" customWidth="1"/>
    <col min="11270" max="11270" width="47.44140625" style="2316" customWidth="1"/>
    <col min="11271" max="11271" width="13" style="2316" customWidth="1"/>
    <col min="11272" max="11273" width="8.88671875" style="2316"/>
    <col min="11274" max="11274" width="5.77734375" style="2316" customWidth="1"/>
    <col min="11275" max="11275" width="11.77734375" style="2316" customWidth="1"/>
    <col min="11276" max="11277" width="10.77734375" style="2316" customWidth="1"/>
    <col min="11278" max="11278" width="10" style="2316" customWidth="1"/>
    <col min="11279" max="11280" width="10.44140625" style="2316" customWidth="1"/>
    <col min="11281" max="11281" width="10" style="2316" customWidth="1"/>
    <col min="11282" max="11282" width="10.109375" style="2316" customWidth="1"/>
    <col min="11283" max="11283" width="10" style="2316" customWidth="1"/>
    <col min="11284" max="11284" width="26.109375" style="2316" customWidth="1"/>
    <col min="11285" max="11520" width="8.88671875" style="2316"/>
    <col min="11521" max="11521" width="9.44140625" style="2316" customWidth="1"/>
    <col min="11522" max="11522" width="8.88671875" style="2316"/>
    <col min="11523" max="11525" width="12.88671875" style="2316" customWidth="1"/>
    <col min="11526" max="11526" width="47.44140625" style="2316" customWidth="1"/>
    <col min="11527" max="11527" width="13" style="2316" customWidth="1"/>
    <col min="11528" max="11529" width="8.88671875" style="2316"/>
    <col min="11530" max="11530" width="5.77734375" style="2316" customWidth="1"/>
    <col min="11531" max="11531" width="11.77734375" style="2316" customWidth="1"/>
    <col min="11532" max="11533" width="10.77734375" style="2316" customWidth="1"/>
    <col min="11534" max="11534" width="10" style="2316" customWidth="1"/>
    <col min="11535" max="11536" width="10.44140625" style="2316" customWidth="1"/>
    <col min="11537" max="11537" width="10" style="2316" customWidth="1"/>
    <col min="11538" max="11538" width="10.109375" style="2316" customWidth="1"/>
    <col min="11539" max="11539" width="10" style="2316" customWidth="1"/>
    <col min="11540" max="11540" width="26.109375" style="2316" customWidth="1"/>
    <col min="11541" max="11776" width="8.88671875" style="2316"/>
    <col min="11777" max="11777" width="9.44140625" style="2316" customWidth="1"/>
    <col min="11778" max="11778" width="8.88671875" style="2316"/>
    <col min="11779" max="11781" width="12.88671875" style="2316" customWidth="1"/>
    <col min="11782" max="11782" width="47.44140625" style="2316" customWidth="1"/>
    <col min="11783" max="11783" width="13" style="2316" customWidth="1"/>
    <col min="11784" max="11785" width="8.88671875" style="2316"/>
    <col min="11786" max="11786" width="5.77734375" style="2316" customWidth="1"/>
    <col min="11787" max="11787" width="11.77734375" style="2316" customWidth="1"/>
    <col min="11788" max="11789" width="10.77734375" style="2316" customWidth="1"/>
    <col min="11790" max="11790" width="10" style="2316" customWidth="1"/>
    <col min="11791" max="11792" width="10.44140625" style="2316" customWidth="1"/>
    <col min="11793" max="11793" width="10" style="2316" customWidth="1"/>
    <col min="11794" max="11794" width="10.109375" style="2316" customWidth="1"/>
    <col min="11795" max="11795" width="10" style="2316" customWidth="1"/>
    <col min="11796" max="11796" width="26.109375" style="2316" customWidth="1"/>
    <col min="11797" max="12032" width="8.88671875" style="2316"/>
    <col min="12033" max="12033" width="9.44140625" style="2316" customWidth="1"/>
    <col min="12034" max="12034" width="8.88671875" style="2316"/>
    <col min="12035" max="12037" width="12.88671875" style="2316" customWidth="1"/>
    <col min="12038" max="12038" width="47.44140625" style="2316" customWidth="1"/>
    <col min="12039" max="12039" width="13" style="2316" customWidth="1"/>
    <col min="12040" max="12041" width="8.88671875" style="2316"/>
    <col min="12042" max="12042" width="5.77734375" style="2316" customWidth="1"/>
    <col min="12043" max="12043" width="11.77734375" style="2316" customWidth="1"/>
    <col min="12044" max="12045" width="10.77734375" style="2316" customWidth="1"/>
    <col min="12046" max="12046" width="10" style="2316" customWidth="1"/>
    <col min="12047" max="12048" width="10.44140625" style="2316" customWidth="1"/>
    <col min="12049" max="12049" width="10" style="2316" customWidth="1"/>
    <col min="12050" max="12050" width="10.109375" style="2316" customWidth="1"/>
    <col min="12051" max="12051" width="10" style="2316" customWidth="1"/>
    <col min="12052" max="12052" width="26.109375" style="2316" customWidth="1"/>
    <col min="12053" max="12288" width="8.88671875" style="2316"/>
    <col min="12289" max="12289" width="9.44140625" style="2316" customWidth="1"/>
    <col min="12290" max="12290" width="8.88671875" style="2316"/>
    <col min="12291" max="12293" width="12.88671875" style="2316" customWidth="1"/>
    <col min="12294" max="12294" width="47.44140625" style="2316" customWidth="1"/>
    <col min="12295" max="12295" width="13" style="2316" customWidth="1"/>
    <col min="12296" max="12297" width="8.88671875" style="2316"/>
    <col min="12298" max="12298" width="5.77734375" style="2316" customWidth="1"/>
    <col min="12299" max="12299" width="11.77734375" style="2316" customWidth="1"/>
    <col min="12300" max="12301" width="10.77734375" style="2316" customWidth="1"/>
    <col min="12302" max="12302" width="10" style="2316" customWidth="1"/>
    <col min="12303" max="12304" width="10.44140625" style="2316" customWidth="1"/>
    <col min="12305" max="12305" width="10" style="2316" customWidth="1"/>
    <col min="12306" max="12306" width="10.109375" style="2316" customWidth="1"/>
    <col min="12307" max="12307" width="10" style="2316" customWidth="1"/>
    <col min="12308" max="12308" width="26.109375" style="2316" customWidth="1"/>
    <col min="12309" max="12544" width="8.88671875" style="2316"/>
    <col min="12545" max="12545" width="9.44140625" style="2316" customWidth="1"/>
    <col min="12546" max="12546" width="8.88671875" style="2316"/>
    <col min="12547" max="12549" width="12.88671875" style="2316" customWidth="1"/>
    <col min="12550" max="12550" width="47.44140625" style="2316" customWidth="1"/>
    <col min="12551" max="12551" width="13" style="2316" customWidth="1"/>
    <col min="12552" max="12553" width="8.88671875" style="2316"/>
    <col min="12554" max="12554" width="5.77734375" style="2316" customWidth="1"/>
    <col min="12555" max="12555" width="11.77734375" style="2316" customWidth="1"/>
    <col min="12556" max="12557" width="10.77734375" style="2316" customWidth="1"/>
    <col min="12558" max="12558" width="10" style="2316" customWidth="1"/>
    <col min="12559" max="12560" width="10.44140625" style="2316" customWidth="1"/>
    <col min="12561" max="12561" width="10" style="2316" customWidth="1"/>
    <col min="12562" max="12562" width="10.109375" style="2316" customWidth="1"/>
    <col min="12563" max="12563" width="10" style="2316" customWidth="1"/>
    <col min="12564" max="12564" width="26.109375" style="2316" customWidth="1"/>
    <col min="12565" max="12800" width="8.88671875" style="2316"/>
    <col min="12801" max="12801" width="9.44140625" style="2316" customWidth="1"/>
    <col min="12802" max="12802" width="8.88671875" style="2316"/>
    <col min="12803" max="12805" width="12.88671875" style="2316" customWidth="1"/>
    <col min="12806" max="12806" width="47.44140625" style="2316" customWidth="1"/>
    <col min="12807" max="12807" width="13" style="2316" customWidth="1"/>
    <col min="12808" max="12809" width="8.88671875" style="2316"/>
    <col min="12810" max="12810" width="5.77734375" style="2316" customWidth="1"/>
    <col min="12811" max="12811" width="11.77734375" style="2316" customWidth="1"/>
    <col min="12812" max="12813" width="10.77734375" style="2316" customWidth="1"/>
    <col min="12814" max="12814" width="10" style="2316" customWidth="1"/>
    <col min="12815" max="12816" width="10.44140625" style="2316" customWidth="1"/>
    <col min="12817" max="12817" width="10" style="2316" customWidth="1"/>
    <col min="12818" max="12818" width="10.109375" style="2316" customWidth="1"/>
    <col min="12819" max="12819" width="10" style="2316" customWidth="1"/>
    <col min="12820" max="12820" width="26.109375" style="2316" customWidth="1"/>
    <col min="12821" max="13056" width="8.88671875" style="2316"/>
    <col min="13057" max="13057" width="9.44140625" style="2316" customWidth="1"/>
    <col min="13058" max="13058" width="8.88671875" style="2316"/>
    <col min="13059" max="13061" width="12.88671875" style="2316" customWidth="1"/>
    <col min="13062" max="13062" width="47.44140625" style="2316" customWidth="1"/>
    <col min="13063" max="13063" width="13" style="2316" customWidth="1"/>
    <col min="13064" max="13065" width="8.88671875" style="2316"/>
    <col min="13066" max="13066" width="5.77734375" style="2316" customWidth="1"/>
    <col min="13067" max="13067" width="11.77734375" style="2316" customWidth="1"/>
    <col min="13068" max="13069" width="10.77734375" style="2316" customWidth="1"/>
    <col min="13070" max="13070" width="10" style="2316" customWidth="1"/>
    <col min="13071" max="13072" width="10.44140625" style="2316" customWidth="1"/>
    <col min="13073" max="13073" width="10" style="2316" customWidth="1"/>
    <col min="13074" max="13074" width="10.109375" style="2316" customWidth="1"/>
    <col min="13075" max="13075" width="10" style="2316" customWidth="1"/>
    <col min="13076" max="13076" width="26.109375" style="2316" customWidth="1"/>
    <col min="13077" max="13312" width="8.88671875" style="2316"/>
    <col min="13313" max="13313" width="9.44140625" style="2316" customWidth="1"/>
    <col min="13314" max="13314" width="8.88671875" style="2316"/>
    <col min="13315" max="13317" width="12.88671875" style="2316" customWidth="1"/>
    <col min="13318" max="13318" width="47.44140625" style="2316" customWidth="1"/>
    <col min="13319" max="13319" width="13" style="2316" customWidth="1"/>
    <col min="13320" max="13321" width="8.88671875" style="2316"/>
    <col min="13322" max="13322" width="5.77734375" style="2316" customWidth="1"/>
    <col min="13323" max="13323" width="11.77734375" style="2316" customWidth="1"/>
    <col min="13324" max="13325" width="10.77734375" style="2316" customWidth="1"/>
    <col min="13326" max="13326" width="10" style="2316" customWidth="1"/>
    <col min="13327" max="13328" width="10.44140625" style="2316" customWidth="1"/>
    <col min="13329" max="13329" width="10" style="2316" customWidth="1"/>
    <col min="13330" max="13330" width="10.109375" style="2316" customWidth="1"/>
    <col min="13331" max="13331" width="10" style="2316" customWidth="1"/>
    <col min="13332" max="13332" width="26.109375" style="2316" customWidth="1"/>
    <col min="13333" max="13568" width="8.88671875" style="2316"/>
    <col min="13569" max="13569" width="9.44140625" style="2316" customWidth="1"/>
    <col min="13570" max="13570" width="8.88671875" style="2316"/>
    <col min="13571" max="13573" width="12.88671875" style="2316" customWidth="1"/>
    <col min="13574" max="13574" width="47.44140625" style="2316" customWidth="1"/>
    <col min="13575" max="13575" width="13" style="2316" customWidth="1"/>
    <col min="13576" max="13577" width="8.88671875" style="2316"/>
    <col min="13578" max="13578" width="5.77734375" style="2316" customWidth="1"/>
    <col min="13579" max="13579" width="11.77734375" style="2316" customWidth="1"/>
    <col min="13580" max="13581" width="10.77734375" style="2316" customWidth="1"/>
    <col min="13582" max="13582" width="10" style="2316" customWidth="1"/>
    <col min="13583" max="13584" width="10.44140625" style="2316" customWidth="1"/>
    <col min="13585" max="13585" width="10" style="2316" customWidth="1"/>
    <col min="13586" max="13586" width="10.109375" style="2316" customWidth="1"/>
    <col min="13587" max="13587" width="10" style="2316" customWidth="1"/>
    <col min="13588" max="13588" width="26.109375" style="2316" customWidth="1"/>
    <col min="13589" max="13824" width="8.88671875" style="2316"/>
    <col min="13825" max="13825" width="9.44140625" style="2316" customWidth="1"/>
    <col min="13826" max="13826" width="8.88671875" style="2316"/>
    <col min="13827" max="13829" width="12.88671875" style="2316" customWidth="1"/>
    <col min="13830" max="13830" width="47.44140625" style="2316" customWidth="1"/>
    <col min="13831" max="13831" width="13" style="2316" customWidth="1"/>
    <col min="13832" max="13833" width="8.88671875" style="2316"/>
    <col min="13834" max="13834" width="5.77734375" style="2316" customWidth="1"/>
    <col min="13835" max="13835" width="11.77734375" style="2316" customWidth="1"/>
    <col min="13836" max="13837" width="10.77734375" style="2316" customWidth="1"/>
    <col min="13838" max="13838" width="10" style="2316" customWidth="1"/>
    <col min="13839" max="13840" width="10.44140625" style="2316" customWidth="1"/>
    <col min="13841" max="13841" width="10" style="2316" customWidth="1"/>
    <col min="13842" max="13842" width="10.109375" style="2316" customWidth="1"/>
    <col min="13843" max="13843" width="10" style="2316" customWidth="1"/>
    <col min="13844" max="13844" width="26.109375" style="2316" customWidth="1"/>
    <col min="13845" max="14080" width="8.88671875" style="2316"/>
    <col min="14081" max="14081" width="9.44140625" style="2316" customWidth="1"/>
    <col min="14082" max="14082" width="8.88671875" style="2316"/>
    <col min="14083" max="14085" width="12.88671875" style="2316" customWidth="1"/>
    <col min="14086" max="14086" width="47.44140625" style="2316" customWidth="1"/>
    <col min="14087" max="14087" width="13" style="2316" customWidth="1"/>
    <col min="14088" max="14089" width="8.88671875" style="2316"/>
    <col min="14090" max="14090" width="5.77734375" style="2316" customWidth="1"/>
    <col min="14091" max="14091" width="11.77734375" style="2316" customWidth="1"/>
    <col min="14092" max="14093" width="10.77734375" style="2316" customWidth="1"/>
    <col min="14094" max="14094" width="10" style="2316" customWidth="1"/>
    <col min="14095" max="14096" width="10.44140625" style="2316" customWidth="1"/>
    <col min="14097" max="14097" width="10" style="2316" customWidth="1"/>
    <col min="14098" max="14098" width="10.109375" style="2316" customWidth="1"/>
    <col min="14099" max="14099" width="10" style="2316" customWidth="1"/>
    <col min="14100" max="14100" width="26.109375" style="2316" customWidth="1"/>
    <col min="14101" max="14336" width="8.88671875" style="2316"/>
    <col min="14337" max="14337" width="9.44140625" style="2316" customWidth="1"/>
    <col min="14338" max="14338" width="8.88671875" style="2316"/>
    <col min="14339" max="14341" width="12.88671875" style="2316" customWidth="1"/>
    <col min="14342" max="14342" width="47.44140625" style="2316" customWidth="1"/>
    <col min="14343" max="14343" width="13" style="2316" customWidth="1"/>
    <col min="14344" max="14345" width="8.88671875" style="2316"/>
    <col min="14346" max="14346" width="5.77734375" style="2316" customWidth="1"/>
    <col min="14347" max="14347" width="11.77734375" style="2316" customWidth="1"/>
    <col min="14348" max="14349" width="10.77734375" style="2316" customWidth="1"/>
    <col min="14350" max="14350" width="10" style="2316" customWidth="1"/>
    <col min="14351" max="14352" width="10.44140625" style="2316" customWidth="1"/>
    <col min="14353" max="14353" width="10" style="2316" customWidth="1"/>
    <col min="14354" max="14354" width="10.109375" style="2316" customWidth="1"/>
    <col min="14355" max="14355" width="10" style="2316" customWidth="1"/>
    <col min="14356" max="14356" width="26.109375" style="2316" customWidth="1"/>
    <col min="14357" max="14592" width="8.88671875" style="2316"/>
    <col min="14593" max="14593" width="9.44140625" style="2316" customWidth="1"/>
    <col min="14594" max="14594" width="8.88671875" style="2316"/>
    <col min="14595" max="14597" width="12.88671875" style="2316" customWidth="1"/>
    <col min="14598" max="14598" width="47.44140625" style="2316" customWidth="1"/>
    <col min="14599" max="14599" width="13" style="2316" customWidth="1"/>
    <col min="14600" max="14601" width="8.88671875" style="2316"/>
    <col min="14602" max="14602" width="5.77734375" style="2316" customWidth="1"/>
    <col min="14603" max="14603" width="11.77734375" style="2316" customWidth="1"/>
    <col min="14604" max="14605" width="10.77734375" style="2316" customWidth="1"/>
    <col min="14606" max="14606" width="10" style="2316" customWidth="1"/>
    <col min="14607" max="14608" width="10.44140625" style="2316" customWidth="1"/>
    <col min="14609" max="14609" width="10" style="2316" customWidth="1"/>
    <col min="14610" max="14610" width="10.109375" style="2316" customWidth="1"/>
    <col min="14611" max="14611" width="10" style="2316" customWidth="1"/>
    <col min="14612" max="14612" width="26.109375" style="2316" customWidth="1"/>
    <col min="14613" max="14848" width="8.88671875" style="2316"/>
    <col min="14849" max="14849" width="9.44140625" style="2316" customWidth="1"/>
    <col min="14850" max="14850" width="8.88671875" style="2316"/>
    <col min="14851" max="14853" width="12.88671875" style="2316" customWidth="1"/>
    <col min="14854" max="14854" width="47.44140625" style="2316" customWidth="1"/>
    <col min="14855" max="14855" width="13" style="2316" customWidth="1"/>
    <col min="14856" max="14857" width="8.88671875" style="2316"/>
    <col min="14858" max="14858" width="5.77734375" style="2316" customWidth="1"/>
    <col min="14859" max="14859" width="11.77734375" style="2316" customWidth="1"/>
    <col min="14860" max="14861" width="10.77734375" style="2316" customWidth="1"/>
    <col min="14862" max="14862" width="10" style="2316" customWidth="1"/>
    <col min="14863" max="14864" width="10.44140625" style="2316" customWidth="1"/>
    <col min="14865" max="14865" width="10" style="2316" customWidth="1"/>
    <col min="14866" max="14866" width="10.109375" style="2316" customWidth="1"/>
    <col min="14867" max="14867" width="10" style="2316" customWidth="1"/>
    <col min="14868" max="14868" width="26.109375" style="2316" customWidth="1"/>
    <col min="14869" max="15104" width="8.88671875" style="2316"/>
    <col min="15105" max="15105" width="9.44140625" style="2316" customWidth="1"/>
    <col min="15106" max="15106" width="8.88671875" style="2316"/>
    <col min="15107" max="15109" width="12.88671875" style="2316" customWidth="1"/>
    <col min="15110" max="15110" width="47.44140625" style="2316" customWidth="1"/>
    <col min="15111" max="15111" width="13" style="2316" customWidth="1"/>
    <col min="15112" max="15113" width="8.88671875" style="2316"/>
    <col min="15114" max="15114" width="5.77734375" style="2316" customWidth="1"/>
    <col min="15115" max="15115" width="11.77734375" style="2316" customWidth="1"/>
    <col min="15116" max="15117" width="10.77734375" style="2316" customWidth="1"/>
    <col min="15118" max="15118" width="10" style="2316" customWidth="1"/>
    <col min="15119" max="15120" width="10.44140625" style="2316" customWidth="1"/>
    <col min="15121" max="15121" width="10" style="2316" customWidth="1"/>
    <col min="15122" max="15122" width="10.109375" style="2316" customWidth="1"/>
    <col min="15123" max="15123" width="10" style="2316" customWidth="1"/>
    <col min="15124" max="15124" width="26.109375" style="2316" customWidth="1"/>
    <col min="15125" max="15360" width="8.88671875" style="2316"/>
    <col min="15361" max="15361" width="9.44140625" style="2316" customWidth="1"/>
    <col min="15362" max="15362" width="8.88671875" style="2316"/>
    <col min="15363" max="15365" width="12.88671875" style="2316" customWidth="1"/>
    <col min="15366" max="15366" width="47.44140625" style="2316" customWidth="1"/>
    <col min="15367" max="15367" width="13" style="2316" customWidth="1"/>
    <col min="15368" max="15369" width="8.88671875" style="2316"/>
    <col min="15370" max="15370" width="5.77734375" style="2316" customWidth="1"/>
    <col min="15371" max="15371" width="11.77734375" style="2316" customWidth="1"/>
    <col min="15372" max="15373" width="10.77734375" style="2316" customWidth="1"/>
    <col min="15374" max="15374" width="10" style="2316" customWidth="1"/>
    <col min="15375" max="15376" width="10.44140625" style="2316" customWidth="1"/>
    <col min="15377" max="15377" width="10" style="2316" customWidth="1"/>
    <col min="15378" max="15378" width="10.109375" style="2316" customWidth="1"/>
    <col min="15379" max="15379" width="10" style="2316" customWidth="1"/>
    <col min="15380" max="15380" width="26.109375" style="2316" customWidth="1"/>
    <col min="15381" max="15616" width="8.88671875" style="2316"/>
    <col min="15617" max="15617" width="9.44140625" style="2316" customWidth="1"/>
    <col min="15618" max="15618" width="8.88671875" style="2316"/>
    <col min="15619" max="15621" width="12.88671875" style="2316" customWidth="1"/>
    <col min="15622" max="15622" width="47.44140625" style="2316" customWidth="1"/>
    <col min="15623" max="15623" width="13" style="2316" customWidth="1"/>
    <col min="15624" max="15625" width="8.88671875" style="2316"/>
    <col min="15626" max="15626" width="5.77734375" style="2316" customWidth="1"/>
    <col min="15627" max="15627" width="11.77734375" style="2316" customWidth="1"/>
    <col min="15628" max="15629" width="10.77734375" style="2316" customWidth="1"/>
    <col min="15630" max="15630" width="10" style="2316" customWidth="1"/>
    <col min="15631" max="15632" width="10.44140625" style="2316" customWidth="1"/>
    <col min="15633" max="15633" width="10" style="2316" customWidth="1"/>
    <col min="15634" max="15634" width="10.109375" style="2316" customWidth="1"/>
    <col min="15635" max="15635" width="10" style="2316" customWidth="1"/>
    <col min="15636" max="15636" width="26.109375" style="2316" customWidth="1"/>
    <col min="15637" max="15872" width="8.88671875" style="2316"/>
    <col min="15873" max="15873" width="9.44140625" style="2316" customWidth="1"/>
    <col min="15874" max="15874" width="8.88671875" style="2316"/>
    <col min="15875" max="15877" width="12.88671875" style="2316" customWidth="1"/>
    <col min="15878" max="15878" width="47.44140625" style="2316" customWidth="1"/>
    <col min="15879" max="15879" width="13" style="2316" customWidth="1"/>
    <col min="15880" max="15881" width="8.88671875" style="2316"/>
    <col min="15882" max="15882" width="5.77734375" style="2316" customWidth="1"/>
    <col min="15883" max="15883" width="11.77734375" style="2316" customWidth="1"/>
    <col min="15884" max="15885" width="10.77734375" style="2316" customWidth="1"/>
    <col min="15886" max="15886" width="10" style="2316" customWidth="1"/>
    <col min="15887" max="15888" width="10.44140625" style="2316" customWidth="1"/>
    <col min="15889" max="15889" width="10" style="2316" customWidth="1"/>
    <col min="15890" max="15890" width="10.109375" style="2316" customWidth="1"/>
    <col min="15891" max="15891" width="10" style="2316" customWidth="1"/>
    <col min="15892" max="15892" width="26.109375" style="2316" customWidth="1"/>
    <col min="15893" max="16128" width="8.88671875" style="2316"/>
    <col min="16129" max="16129" width="9.44140625" style="2316" customWidth="1"/>
    <col min="16130" max="16130" width="8.88671875" style="2316"/>
    <col min="16131" max="16133" width="12.88671875" style="2316" customWidth="1"/>
    <col min="16134" max="16134" width="47.44140625" style="2316" customWidth="1"/>
    <col min="16135" max="16135" width="13" style="2316" customWidth="1"/>
    <col min="16136" max="16137" width="8.88671875" style="2316"/>
    <col min="16138" max="16138" width="5.77734375" style="2316" customWidth="1"/>
    <col min="16139" max="16139" width="11.77734375" style="2316" customWidth="1"/>
    <col min="16140" max="16141" width="10.77734375" style="2316" customWidth="1"/>
    <col min="16142" max="16142" width="10" style="2316" customWidth="1"/>
    <col min="16143" max="16144" width="10.44140625" style="2316" customWidth="1"/>
    <col min="16145" max="16145" width="10" style="2316" customWidth="1"/>
    <col min="16146" max="16146" width="10.109375" style="2316" customWidth="1"/>
    <col min="16147" max="16147" width="10" style="2316" customWidth="1"/>
    <col min="16148" max="16148" width="26.109375" style="2316" customWidth="1"/>
    <col min="16149" max="16384" width="8.88671875" style="2316"/>
  </cols>
  <sheetData>
    <row r="1" spans="1:22" ht="21" customHeight="1">
      <c r="A1" s="2321" t="s">
        <v>3331</v>
      </c>
      <c r="B1" s="2322"/>
      <c r="C1" s="2323"/>
      <c r="D1" s="2323"/>
      <c r="E1" s="2324"/>
      <c r="F1" s="2325"/>
      <c r="G1" s="2326"/>
      <c r="J1" s="2427" t="s">
        <v>3332</v>
      </c>
      <c r="K1" s="2428"/>
      <c r="L1" s="2428"/>
      <c r="M1" s="2428"/>
      <c r="N1" s="2428"/>
      <c r="O1" s="2428"/>
      <c r="P1" s="2428"/>
      <c r="Q1" s="2428"/>
      <c r="R1" s="2467"/>
      <c r="S1" s="2468"/>
      <c r="T1" s="2468"/>
      <c r="U1" s="2468"/>
    </row>
    <row r="2" spans="1:22" s="2314" customFormat="1" ht="13.2" customHeight="1">
      <c r="A2" s="677" t="s">
        <v>3076</v>
      </c>
      <c r="B2" s="2327" t="e">
        <f>IF(D2="——",C40,C40+E2)</f>
        <v>#DIV/0!</v>
      </c>
      <c r="C2" s="2323" t="s">
        <v>3077</v>
      </c>
      <c r="D2" s="2328" t="s">
        <v>3333</v>
      </c>
      <c r="E2" s="2329"/>
      <c r="F2" s="2330"/>
      <c r="G2" s="2331"/>
      <c r="H2" s="2332"/>
      <c r="I2" s="2429"/>
      <c r="J2" s="3716" t="s">
        <v>3334</v>
      </c>
      <c r="K2" s="3717"/>
      <c r="L2" s="2430" t="s">
        <v>3335</v>
      </c>
      <c r="M2" s="2430" t="s">
        <v>3336</v>
      </c>
      <c r="N2" s="2430" t="s">
        <v>3337</v>
      </c>
      <c r="O2" s="2430" t="s">
        <v>3338</v>
      </c>
      <c r="P2" s="2430" t="s">
        <v>3339</v>
      </c>
      <c r="Q2" s="2469" t="s">
        <v>3340</v>
      </c>
      <c r="R2" s="2470" t="s">
        <v>3341</v>
      </c>
      <c r="S2" s="2468"/>
      <c r="T2" s="2468"/>
      <c r="U2" s="2468"/>
      <c r="V2" s="2429"/>
    </row>
    <row r="3" spans="1:22" s="2314" customFormat="1" ht="13.2" customHeight="1">
      <c r="A3" s="2333" t="s">
        <v>3078</v>
      </c>
      <c r="B3" s="2334" t="e">
        <f>ROUND(B2*10000/B4,0)</f>
        <v>#DIV/0!</v>
      </c>
      <c r="C3" s="2323" t="s">
        <v>3079</v>
      </c>
      <c r="D3" s="2323"/>
      <c r="E3" s="2335"/>
      <c r="F3" s="2330"/>
      <c r="G3" s="2331"/>
      <c r="H3" s="2332"/>
      <c r="I3" s="2429"/>
      <c r="J3" s="3710" t="s">
        <v>3342</v>
      </c>
      <c r="K3" s="3711"/>
      <c r="L3" s="2431"/>
      <c r="M3" s="2431"/>
      <c r="N3" s="2431"/>
      <c r="O3" s="2431"/>
      <c r="P3" s="2431"/>
      <c r="Q3" s="2471"/>
      <c r="R3" s="2472">
        <f>SUM(L3:Q3)</f>
        <v>0</v>
      </c>
      <c r="S3" s="2468"/>
      <c r="T3" s="2468"/>
      <c r="U3" s="2468"/>
      <c r="V3" s="2429"/>
    </row>
    <row r="4" spans="1:22" s="2314" customFormat="1" ht="13.2" customHeight="1">
      <c r="A4" s="2336" t="s">
        <v>3343</v>
      </c>
      <c r="B4" s="2337"/>
      <c r="C4" s="2323"/>
      <c r="D4" s="2323"/>
      <c r="E4" s="2335"/>
      <c r="F4" s="2330"/>
      <c r="G4" s="2331"/>
      <c r="H4" s="2332"/>
      <c r="I4" s="2429"/>
      <c r="J4" s="3710" t="s">
        <v>3344</v>
      </c>
      <c r="K4" s="3711"/>
      <c r="L4" s="2432"/>
      <c r="M4" s="2432"/>
      <c r="N4" s="2432"/>
      <c r="O4" s="2432"/>
      <c r="P4" s="2432"/>
      <c r="Q4" s="2473"/>
      <c r="R4" s="2474">
        <f>SUM(L4:Q4)</f>
        <v>0</v>
      </c>
      <c r="S4" s="2468"/>
      <c r="T4" s="2468"/>
      <c r="U4" s="2468"/>
      <c r="V4" s="2429"/>
    </row>
    <row r="5" spans="1:22" s="2314" customFormat="1" ht="13.2" customHeight="1">
      <c r="A5" s="2338" t="s">
        <v>3345</v>
      </c>
      <c r="B5" s="2339"/>
      <c r="C5" s="2323"/>
      <c r="D5" s="2340"/>
      <c r="E5" s="2330"/>
      <c r="F5" s="2330"/>
      <c r="G5" s="2331"/>
      <c r="H5" s="2332"/>
      <c r="I5" s="2429"/>
      <c r="J5" s="2433" t="s">
        <v>3346</v>
      </c>
      <c r="K5" s="2434"/>
      <c r="L5" s="2434"/>
      <c r="M5" s="2435"/>
      <c r="N5" s="2435"/>
      <c r="O5" s="2435"/>
      <c r="P5" s="2435"/>
      <c r="Q5" s="2435"/>
      <c r="R5" s="2470">
        <f>SUM(R14,R19,R24,R25,R27,R28)</f>
        <v>0</v>
      </c>
      <c r="S5" s="2468"/>
      <c r="T5" s="2468" t="s">
        <v>3347</v>
      </c>
      <c r="U5" s="2468" t="e">
        <f>ROUND(R5*10000/365/R3,1)</f>
        <v>#DIV/0!</v>
      </c>
      <c r="V5" s="2429"/>
    </row>
    <row r="6" spans="1:22" s="2314" customFormat="1" ht="13.2" customHeight="1">
      <c r="A6" s="3720" t="s">
        <v>3348</v>
      </c>
      <c r="B6" s="3721"/>
      <c r="C6" s="3722"/>
      <c r="D6" s="2341"/>
      <c r="E6" s="2342"/>
      <c r="F6" s="2343"/>
      <c r="G6" s="2344"/>
      <c r="H6" s="2332"/>
      <c r="I6" s="2429"/>
      <c r="J6" s="3704">
        <v>1</v>
      </c>
      <c r="K6" s="3707" t="s">
        <v>3349</v>
      </c>
      <c r="L6" s="2437" t="s">
        <v>3350</v>
      </c>
      <c r="M6" s="2438" t="s">
        <v>3351</v>
      </c>
      <c r="N6" s="2438" t="s">
        <v>3352</v>
      </c>
      <c r="O6" s="2438" t="s">
        <v>3353</v>
      </c>
      <c r="P6" s="2438" t="s">
        <v>3354</v>
      </c>
      <c r="Q6" s="2438" t="s">
        <v>3355</v>
      </c>
      <c r="R6" s="2472" t="s">
        <v>3356</v>
      </c>
      <c r="S6" s="2468"/>
      <c r="T6" s="2468" t="s">
        <v>3357</v>
      </c>
      <c r="U6" s="2468"/>
      <c r="V6" s="2429"/>
    </row>
    <row r="7" spans="1:22" s="2314" customFormat="1" ht="13.2" customHeight="1">
      <c r="A7" s="2345" t="s">
        <v>3358</v>
      </c>
      <c r="B7" s="2346"/>
      <c r="C7" s="2347"/>
      <c r="D7" s="2348">
        <f>SUM(D9,D10,D11,D17,0)</f>
        <v>0</v>
      </c>
      <c r="E7" s="2349" t="e">
        <f>E9+E10+E11+E17</f>
        <v>#DIV/0!</v>
      </c>
      <c r="F7" s="2350"/>
      <c r="G7" s="2351"/>
      <c r="H7" s="2332"/>
      <c r="I7" s="2429"/>
      <c r="J7" s="3704"/>
      <c r="K7" s="3708"/>
      <c r="L7" s="2439" t="s">
        <v>3359</v>
      </c>
      <c r="M7" s="2440"/>
      <c r="N7" s="2337"/>
      <c r="O7" s="2441"/>
      <c r="P7" s="2441"/>
      <c r="Q7" s="2370">
        <v>365</v>
      </c>
      <c r="R7" s="2475">
        <f>ROUND(M7*N7*O7*P7*Q7/10000,0)</f>
        <v>0</v>
      </c>
      <c r="S7" s="2468"/>
      <c r="T7" s="2468" t="s">
        <v>3360</v>
      </c>
      <c r="U7" s="2468"/>
      <c r="V7" s="2429"/>
    </row>
    <row r="8" spans="1:22" s="2314" customFormat="1" ht="13.2" customHeight="1">
      <c r="A8" s="2352" t="s">
        <v>3361</v>
      </c>
      <c r="B8" s="3718" t="s">
        <v>3362</v>
      </c>
      <c r="C8" s="3719"/>
      <c r="D8" s="2355" t="s">
        <v>3363</v>
      </c>
      <c r="E8" s="2356" t="s">
        <v>3364</v>
      </c>
      <c r="F8" s="2357" t="s">
        <v>3365</v>
      </c>
      <c r="G8" s="2358"/>
      <c r="H8" s="2332"/>
      <c r="I8" s="2429"/>
      <c r="J8" s="3704"/>
      <c r="K8" s="3708"/>
      <c r="L8" s="2439" t="s">
        <v>3366</v>
      </c>
      <c r="M8" s="2440"/>
      <c r="N8" s="2337"/>
      <c r="O8" s="2441"/>
      <c r="P8" s="2441"/>
      <c r="Q8" s="2370">
        <v>365</v>
      </c>
      <c r="R8" s="2475">
        <f t="shared" ref="R8:R13" si="0">ROUND(M8*N8*O8*P8*Q8/10000,0)</f>
        <v>0</v>
      </c>
      <c r="S8" s="2468"/>
      <c r="T8" s="2468" t="s">
        <v>3367</v>
      </c>
      <c r="U8" s="2468"/>
      <c r="V8" s="2429"/>
    </row>
    <row r="9" spans="1:22" s="2314" customFormat="1" ht="13.2" customHeight="1">
      <c r="A9" s="2352">
        <v>1</v>
      </c>
      <c r="B9" s="3718" t="s">
        <v>3368</v>
      </c>
      <c r="C9" s="3719"/>
      <c r="D9" s="2355">
        <f>ROUND(D6*E9,0)</f>
        <v>0</v>
      </c>
      <c r="E9" s="2359"/>
      <c r="F9" s="2360" t="s">
        <v>3369</v>
      </c>
      <c r="G9" s="2344"/>
      <c r="H9" s="2332"/>
      <c r="I9" s="2429"/>
      <c r="J9" s="3704"/>
      <c r="K9" s="3708"/>
      <c r="L9" s="2439" t="s">
        <v>3370</v>
      </c>
      <c r="M9" s="2440"/>
      <c r="N9" s="2337"/>
      <c r="O9" s="2441"/>
      <c r="P9" s="2441"/>
      <c r="Q9" s="2370">
        <v>365</v>
      </c>
      <c r="R9" s="2475">
        <f t="shared" si="0"/>
        <v>0</v>
      </c>
      <c r="S9" s="2468"/>
      <c r="T9" s="2468"/>
      <c r="U9" s="2468"/>
      <c r="V9" s="2429"/>
    </row>
    <row r="10" spans="1:22" s="2314" customFormat="1" ht="13.2" customHeight="1">
      <c r="A10" s="2352">
        <v>2</v>
      </c>
      <c r="B10" s="3718" t="s">
        <v>3371</v>
      </c>
      <c r="C10" s="3719"/>
      <c r="D10" s="2355">
        <f>ROUND(D6*E10,0)</f>
        <v>0</v>
      </c>
      <c r="E10" s="2359"/>
      <c r="F10" s="2360" t="s">
        <v>3372</v>
      </c>
      <c r="G10" s="2344"/>
      <c r="H10" s="2332"/>
      <c r="I10" s="2429"/>
      <c r="J10" s="3704"/>
      <c r="K10" s="3708"/>
      <c r="L10" s="2439" t="s">
        <v>3373</v>
      </c>
      <c r="M10" s="2440"/>
      <c r="N10" s="2337"/>
      <c r="O10" s="2441"/>
      <c r="P10" s="2441"/>
      <c r="Q10" s="2370">
        <v>365</v>
      </c>
      <c r="R10" s="2475">
        <f t="shared" si="0"/>
        <v>0</v>
      </c>
      <c r="S10" s="2468"/>
      <c r="T10" s="2468"/>
      <c r="U10" s="2468"/>
      <c r="V10" s="2429"/>
    </row>
    <row r="11" spans="1:22" s="2314" customFormat="1" ht="13.2" customHeight="1">
      <c r="A11" s="2352">
        <v>3</v>
      </c>
      <c r="B11" s="3718" t="s">
        <v>3374</v>
      </c>
      <c r="C11" s="3719"/>
      <c r="D11" s="2355">
        <f>D12+D14+D15+D16</f>
        <v>0</v>
      </c>
      <c r="E11" s="2361" t="e">
        <f>D11/D6</f>
        <v>#DIV/0!</v>
      </c>
      <c r="F11" s="2357"/>
      <c r="G11" s="2358"/>
      <c r="H11" s="2332"/>
      <c r="I11" s="2429"/>
      <c r="J11" s="3704"/>
      <c r="K11" s="3708"/>
      <c r="L11" s="2439" t="s">
        <v>3375</v>
      </c>
      <c r="M11" s="2440"/>
      <c r="N11" s="2337"/>
      <c r="O11" s="2441"/>
      <c r="P11" s="2441"/>
      <c r="Q11" s="2370">
        <v>365</v>
      </c>
      <c r="R11" s="2475">
        <f t="shared" si="0"/>
        <v>0</v>
      </c>
      <c r="S11" s="2468"/>
      <c r="T11" s="2468"/>
      <c r="U11" s="2468"/>
      <c r="V11" s="2429"/>
    </row>
    <row r="12" spans="1:22" s="2314" customFormat="1" ht="13.2" customHeight="1">
      <c r="A12" s="2362" t="s">
        <v>3376</v>
      </c>
      <c r="B12" s="3712" t="s">
        <v>3377</v>
      </c>
      <c r="C12" s="3713"/>
      <c r="D12" s="2365">
        <f>ROUND(D13*1.2%*(1-30%),0)</f>
        <v>0</v>
      </c>
      <c r="E12" s="2366">
        <v>1.2E-2</v>
      </c>
      <c r="F12" s="2357" t="s">
        <v>3378</v>
      </c>
      <c r="G12" s="2358"/>
      <c r="H12" s="2332"/>
      <c r="I12" s="2429"/>
      <c r="J12" s="3704"/>
      <c r="K12" s="3708"/>
      <c r="L12" s="2439" t="s">
        <v>3379</v>
      </c>
      <c r="M12" s="2440"/>
      <c r="N12" s="2337"/>
      <c r="O12" s="2441"/>
      <c r="P12" s="2441"/>
      <c r="Q12" s="2370">
        <v>365</v>
      </c>
      <c r="R12" s="2475">
        <f t="shared" si="0"/>
        <v>0</v>
      </c>
      <c r="S12" s="2468"/>
      <c r="T12" s="2468"/>
      <c r="U12" s="2468"/>
      <c r="V12" s="2429"/>
    </row>
    <row r="13" spans="1:22" s="2314" customFormat="1" ht="13.2" customHeight="1">
      <c r="A13" s="2362"/>
      <c r="B13" s="2363"/>
      <c r="C13" s="2367" t="s">
        <v>3380</v>
      </c>
      <c r="D13" s="2368"/>
      <c r="E13" s="2369"/>
      <c r="F13" s="2357"/>
      <c r="G13" s="2358"/>
      <c r="H13" s="2332"/>
      <c r="I13" s="2429"/>
      <c r="J13" s="3704"/>
      <c r="K13" s="3708"/>
      <c r="L13" s="2439" t="s">
        <v>3381</v>
      </c>
      <c r="M13" s="2440"/>
      <c r="N13" s="2337"/>
      <c r="O13" s="2441"/>
      <c r="P13" s="2441"/>
      <c r="Q13" s="2370">
        <v>365</v>
      </c>
      <c r="R13" s="2475">
        <f t="shared" si="0"/>
        <v>0</v>
      </c>
      <c r="S13" s="2468"/>
      <c r="T13" s="2468"/>
      <c r="U13" s="2468"/>
      <c r="V13" s="2429"/>
    </row>
    <row r="14" spans="1:22" s="2314" customFormat="1" ht="13.2" customHeight="1">
      <c r="A14" s="2362" t="s">
        <v>3382</v>
      </c>
      <c r="B14" s="3712" t="s">
        <v>3383</v>
      </c>
      <c r="C14" s="3713"/>
      <c r="D14" s="2365">
        <f>ROUND(E14*B5/10000,0)</f>
        <v>0</v>
      </c>
      <c r="E14" s="2370"/>
      <c r="F14" s="2357" t="s">
        <v>3384</v>
      </c>
      <c r="G14" s="2358"/>
      <c r="H14" s="2332"/>
      <c r="I14" s="2429"/>
      <c r="J14" s="3704"/>
      <c r="K14" s="3709"/>
      <c r="L14" s="2442" t="s">
        <v>3385</v>
      </c>
      <c r="M14" s="2443">
        <f>SUM(M7:M13)</f>
        <v>0</v>
      </c>
      <c r="N14" s="2443" t="e">
        <f>ROUND((N7*M7+N8*M8+N9*M9+N10*M10+N11*M11+N12*M12+N13*M13)/M14,0)</f>
        <v>#DIV/0!</v>
      </c>
      <c r="O14" s="2444"/>
      <c r="P14" s="2444"/>
      <c r="Q14" s="2476"/>
      <c r="R14" s="2470">
        <f>SUM(R7:R13)</f>
        <v>0</v>
      </c>
      <c r="S14" s="2468"/>
      <c r="T14" s="2468"/>
      <c r="U14" s="2468"/>
      <c r="V14" s="2429"/>
    </row>
    <row r="15" spans="1:22" s="2314" customFormat="1" ht="13.2" customHeight="1">
      <c r="A15" s="2362" t="s">
        <v>3386</v>
      </c>
      <c r="B15" s="3712" t="s">
        <v>3387</v>
      </c>
      <c r="C15" s="3713"/>
      <c r="D15" s="2365">
        <f>ROUND(D6*E15,0)</f>
        <v>0</v>
      </c>
      <c r="E15" s="2366">
        <v>5.5E-2</v>
      </c>
      <c r="F15" s="2357" t="s">
        <v>3388</v>
      </c>
      <c r="G15" s="2344"/>
      <c r="H15" s="2332"/>
      <c r="I15" s="2429"/>
      <c r="J15" s="3704">
        <v>2</v>
      </c>
      <c r="K15" s="3707" t="s">
        <v>3389</v>
      </c>
      <c r="L15" s="2439" t="s">
        <v>3390</v>
      </c>
      <c r="M15" s="2440" t="s">
        <v>3391</v>
      </c>
      <c r="N15" s="2440" t="s">
        <v>3392</v>
      </c>
      <c r="O15" s="2441" t="s">
        <v>3393</v>
      </c>
      <c r="P15" s="2441" t="s">
        <v>3355</v>
      </c>
      <c r="Q15" s="2337" t="s">
        <v>124</v>
      </c>
      <c r="R15" s="2477" t="s">
        <v>3356</v>
      </c>
      <c r="S15" s="2468"/>
      <c r="T15" s="2468"/>
      <c r="U15" s="2468"/>
      <c r="V15" s="2429"/>
    </row>
    <row r="16" spans="1:22" s="2314" customFormat="1" ht="13.2" customHeight="1">
      <c r="A16" s="2362" t="s">
        <v>3394</v>
      </c>
      <c r="B16" s="3712" t="s">
        <v>3395</v>
      </c>
      <c r="C16" s="3713"/>
      <c r="D16" s="2371">
        <f>D6*E16</f>
        <v>0</v>
      </c>
      <c r="E16" s="2372"/>
      <c r="F16" s="2360" t="s">
        <v>3396</v>
      </c>
      <c r="G16" s="2344"/>
      <c r="H16" s="2332"/>
      <c r="I16" s="2429"/>
      <c r="J16" s="3704"/>
      <c r="K16" s="3708"/>
      <c r="L16" s="2439" t="s">
        <v>3397</v>
      </c>
      <c r="M16" s="2440"/>
      <c r="N16" s="2440"/>
      <c r="O16" s="2441"/>
      <c r="P16" s="2370">
        <v>365</v>
      </c>
      <c r="Q16" s="2337"/>
      <c r="R16" s="2477">
        <f>ROUND(M16*N16*O16*P16/10000,0)</f>
        <v>0</v>
      </c>
      <c r="S16" s="2468"/>
      <c r="T16" s="2468"/>
      <c r="U16" s="2468"/>
      <c r="V16" s="2429"/>
    </row>
    <row r="17" spans="1:22" s="2314" customFormat="1" ht="13.2" customHeight="1">
      <c r="A17" s="2373">
        <v>4</v>
      </c>
      <c r="B17" s="3714" t="s">
        <v>3398</v>
      </c>
      <c r="C17" s="3715"/>
      <c r="D17" s="2374">
        <f>ROUND(D6*E17,0)</f>
        <v>0</v>
      </c>
      <c r="E17" s="2375"/>
      <c r="F17" s="2376" t="s">
        <v>3399</v>
      </c>
      <c r="G17" s="2344"/>
      <c r="H17" s="2332"/>
      <c r="I17" s="2429"/>
      <c r="J17" s="3704"/>
      <c r="K17" s="3708"/>
      <c r="L17" s="2439" t="s">
        <v>3400</v>
      </c>
      <c r="M17" s="2440"/>
      <c r="N17" s="2440"/>
      <c r="O17" s="2441"/>
      <c r="P17" s="2370">
        <v>365</v>
      </c>
      <c r="Q17" s="2337"/>
      <c r="R17" s="2477">
        <f>ROUND(M17*N17*O17*P17/10000,0)</f>
        <v>0</v>
      </c>
      <c r="S17" s="2468"/>
      <c r="T17" s="2468"/>
      <c r="U17" s="2468"/>
      <c r="V17" s="2429"/>
    </row>
    <row r="18" spans="1:22" s="2314" customFormat="1" ht="13.2" customHeight="1">
      <c r="A18" s="2345" t="s">
        <v>3401</v>
      </c>
      <c r="B18" s="2346"/>
      <c r="C18" s="2346"/>
      <c r="D18" s="2377">
        <f>ROUND(D6*E18,0)</f>
        <v>0</v>
      </c>
      <c r="E18" s="2378"/>
      <c r="F18" s="2379" t="s">
        <v>3402</v>
      </c>
      <c r="G18" s="2344"/>
      <c r="H18" s="2332"/>
      <c r="I18" s="2429"/>
      <c r="J18" s="3704"/>
      <c r="K18" s="3708"/>
      <c r="L18" s="2439" t="s">
        <v>3403</v>
      </c>
      <c r="M18" s="2440"/>
      <c r="N18" s="2440"/>
      <c r="O18" s="2441"/>
      <c r="P18" s="2370">
        <v>365</v>
      </c>
      <c r="Q18" s="2337"/>
      <c r="R18" s="2477">
        <f>ROUND(M18*N18*O18*P18/10000,0)</f>
        <v>0</v>
      </c>
      <c r="S18" s="2468"/>
      <c r="T18" s="2468"/>
      <c r="U18" s="2468"/>
      <c r="V18" s="2429"/>
    </row>
    <row r="19" spans="1:22" s="2314" customFormat="1" ht="13.2" customHeight="1">
      <c r="A19" s="2380" t="s">
        <v>3404</v>
      </c>
      <c r="B19" s="2342"/>
      <c r="C19" s="2342"/>
      <c r="D19" s="2342"/>
      <c r="E19" s="2342"/>
      <c r="F19" s="2343"/>
      <c r="G19" s="2358"/>
      <c r="H19" s="2332"/>
      <c r="I19" s="2429"/>
      <c r="J19" s="3704"/>
      <c r="K19" s="3709"/>
      <c r="L19" s="2442" t="s">
        <v>3385</v>
      </c>
      <c r="M19" s="2443"/>
      <c r="N19" s="2443">
        <f>SUM(N16:N18)</f>
        <v>0</v>
      </c>
      <c r="O19" s="2444"/>
      <c r="P19" s="2445" t="s">
        <v>3405</v>
      </c>
      <c r="Q19" s="2441">
        <v>0</v>
      </c>
      <c r="R19" s="2478">
        <f>ROUND(IF(P19="按比例",R14*Q19,SUM(R16:R18)),0)</f>
        <v>0</v>
      </c>
      <c r="S19" s="2468"/>
      <c r="T19" s="2468"/>
      <c r="U19" s="2468"/>
      <c r="V19" s="2429"/>
    </row>
    <row r="20" spans="1:22" s="2314" customFormat="1" ht="13.2" customHeight="1">
      <c r="A20" s="2345"/>
      <c r="B20" s="2346"/>
      <c r="C20" s="2346"/>
      <c r="D20" s="2346"/>
      <c r="E20" s="2346"/>
      <c r="F20" s="2381"/>
      <c r="G20" s="2358"/>
      <c r="H20" s="2332"/>
      <c r="I20" s="2429"/>
      <c r="J20" s="3704">
        <v>3</v>
      </c>
      <c r="K20" s="3707" t="s">
        <v>3406</v>
      </c>
      <c r="L20" s="2439" t="s">
        <v>3407</v>
      </c>
      <c r="M20" s="2440" t="s">
        <v>3408</v>
      </c>
      <c r="N20" s="2446" t="s">
        <v>3409</v>
      </c>
      <c r="O20" s="2441" t="s">
        <v>3410</v>
      </c>
      <c r="P20" s="2370" t="s">
        <v>3355</v>
      </c>
      <c r="Q20" s="2337" t="s">
        <v>124</v>
      </c>
      <c r="R20" s="2477" t="s">
        <v>3356</v>
      </c>
      <c r="S20" s="2465"/>
      <c r="T20" s="2465"/>
      <c r="U20" s="2465"/>
      <c r="V20" s="2429"/>
    </row>
    <row r="21" spans="1:22" s="2314" customFormat="1" ht="13.2" customHeight="1">
      <c r="A21" s="2345"/>
      <c r="B21" s="2346"/>
      <c r="C21" s="2353" t="s">
        <v>3411</v>
      </c>
      <c r="D21" s="2382" t="s">
        <v>3412</v>
      </c>
      <c r="E21" s="2354" t="s">
        <v>3413</v>
      </c>
      <c r="F21" s="2381"/>
      <c r="G21" s="2358"/>
      <c r="H21" s="2332"/>
      <c r="I21" s="2429"/>
      <c r="J21" s="3704"/>
      <c r="K21" s="3708"/>
      <c r="L21" s="2439" t="s">
        <v>3414</v>
      </c>
      <c r="M21" s="2440"/>
      <c r="N21" s="2440"/>
      <c r="O21" s="2441"/>
      <c r="P21" s="2370">
        <v>365</v>
      </c>
      <c r="Q21" s="2337"/>
      <c r="R21" s="2479">
        <f>ROUND(M21*N21*O21*P21/10000,0)</f>
        <v>0</v>
      </c>
      <c r="S21" s="2465"/>
      <c r="T21" s="2465"/>
      <c r="U21" s="2465"/>
      <c r="V21" s="2429"/>
    </row>
    <row r="22" spans="1:22" s="2314" customFormat="1" ht="13.2" customHeight="1">
      <c r="A22" s="2345"/>
      <c r="B22" s="2346"/>
      <c r="C22" s="2383" t="s">
        <v>3415</v>
      </c>
      <c r="D22" s="2384" t="s">
        <v>3416</v>
      </c>
      <c r="E22" s="2385" t="s">
        <v>3417</v>
      </c>
      <c r="F22" s="2381"/>
      <c r="G22" s="2386"/>
      <c r="H22" s="2332"/>
      <c r="I22" s="2429"/>
      <c r="J22" s="3704"/>
      <c r="K22" s="3708"/>
      <c r="L22" s="2439" t="s">
        <v>3418</v>
      </c>
      <c r="M22" s="2440"/>
      <c r="N22" s="2440"/>
      <c r="O22" s="2441"/>
      <c r="P22" s="2370">
        <v>365</v>
      </c>
      <c r="Q22" s="2337"/>
      <c r="R22" s="2479">
        <f>ROUND(M22*N22*O22*P22/10000,0)</f>
        <v>0</v>
      </c>
      <c r="S22" s="2465"/>
      <c r="T22" s="2465"/>
      <c r="U22" s="2465"/>
      <c r="V22" s="2429"/>
    </row>
    <row r="23" spans="1:22" s="2314" customFormat="1" ht="13.2" customHeight="1">
      <c r="A23" s="2387">
        <v>1</v>
      </c>
      <c r="B23" s="2388" t="s">
        <v>3419</v>
      </c>
      <c r="C23" s="2389">
        <f>D6</f>
        <v>0</v>
      </c>
      <c r="D23" s="2390">
        <f>C23*(1+D24)</f>
        <v>0</v>
      </c>
      <c r="E23" s="2391">
        <f>D23*(1+E24)</f>
        <v>0</v>
      </c>
      <c r="F23" s="2392"/>
      <c r="G23" s="2393"/>
      <c r="H23" s="2332"/>
      <c r="I23" s="2429"/>
      <c r="J23" s="3704"/>
      <c r="K23" s="3708"/>
      <c r="L23" s="2439" t="s">
        <v>3420</v>
      </c>
      <c r="M23" s="2440"/>
      <c r="N23" s="2440"/>
      <c r="O23" s="2441"/>
      <c r="P23" s="2370">
        <v>365</v>
      </c>
      <c r="Q23" s="2337"/>
      <c r="R23" s="2479">
        <f>ROUND(M23*N23*O23*P23/10000,0)</f>
        <v>0</v>
      </c>
      <c r="S23" s="2468"/>
      <c r="T23" s="2468"/>
      <c r="U23" s="2468"/>
      <c r="V23" s="2429"/>
    </row>
    <row r="24" spans="1:22" s="2314" customFormat="1" ht="13.2" customHeight="1">
      <c r="A24" s="2394"/>
      <c r="B24" s="2395" t="s">
        <v>3421</v>
      </c>
      <c r="C24" s="2396"/>
      <c r="D24" s="2397"/>
      <c r="E24" s="2398"/>
      <c r="F24" s="2399"/>
      <c r="G24" s="2393"/>
      <c r="H24" s="2332"/>
      <c r="I24" s="2429"/>
      <c r="J24" s="3704"/>
      <c r="K24" s="3709"/>
      <c r="L24" s="2442" t="s">
        <v>3385</v>
      </c>
      <c r="M24" s="2443">
        <f>SUM(M21:M23)</f>
        <v>0</v>
      </c>
      <c r="N24" s="2443"/>
      <c r="O24" s="2444"/>
      <c r="P24" s="2445" t="s">
        <v>3405</v>
      </c>
      <c r="Q24" s="2441">
        <v>0</v>
      </c>
      <c r="R24" s="2478">
        <f>ROUND(IF(P24="按比例",R14*Q24,SUM(R21:R23)),0)</f>
        <v>0</v>
      </c>
      <c r="S24" s="2468"/>
      <c r="T24" s="2468"/>
      <c r="U24" s="2468"/>
      <c r="V24" s="2429"/>
    </row>
    <row r="25" spans="1:22" s="2315" customFormat="1" ht="13.2" customHeight="1">
      <c r="A25" s="2394"/>
      <c r="B25" s="2395"/>
      <c r="C25" s="2396"/>
      <c r="D25" s="2397"/>
      <c r="E25" s="2398"/>
      <c r="F25" s="2399"/>
      <c r="G25" s="2386"/>
      <c r="H25" s="2332"/>
      <c r="I25" s="2429"/>
      <c r="J25" s="2436">
        <v>4</v>
      </c>
      <c r="K25" s="2447" t="s">
        <v>3422</v>
      </c>
      <c r="L25" s="2448"/>
      <c r="M25" s="2448"/>
      <c r="N25" s="2448"/>
      <c r="O25" s="2448"/>
      <c r="P25" s="2449"/>
      <c r="Q25" s="2480">
        <v>0</v>
      </c>
      <c r="R25" s="2478">
        <f>ROUND(R14*Q25,0)</f>
        <v>0</v>
      </c>
      <c r="S25" s="2468"/>
      <c r="T25" s="2468"/>
      <c r="U25" s="2468"/>
      <c r="V25" s="2455"/>
    </row>
    <row r="26" spans="1:22" s="2315" customFormat="1" ht="13.2" customHeight="1">
      <c r="A26" s="2387">
        <v>2</v>
      </c>
      <c r="B26" s="2388" t="s">
        <v>3423</v>
      </c>
      <c r="C26" s="2389">
        <f>D7</f>
        <v>0</v>
      </c>
      <c r="D26" s="2390">
        <f>D23*D27</f>
        <v>0</v>
      </c>
      <c r="E26" s="2391">
        <f>E23*E27</f>
        <v>0</v>
      </c>
      <c r="F26" s="2392"/>
      <c r="G26" s="2393"/>
      <c r="H26" s="2332"/>
      <c r="I26" s="2429"/>
      <c r="J26" s="3705">
        <v>5</v>
      </c>
      <c r="K26" s="2450" t="s">
        <v>3424</v>
      </c>
      <c r="L26" s="2451"/>
      <c r="M26" s="2452"/>
      <c r="N26" s="2453" t="s">
        <v>458</v>
      </c>
      <c r="O26" s="2453" t="s">
        <v>3425</v>
      </c>
      <c r="P26" s="2454" t="s">
        <v>3426</v>
      </c>
      <c r="Q26" s="2454" t="s">
        <v>3427</v>
      </c>
      <c r="R26" s="2472" t="s">
        <v>3356</v>
      </c>
      <c r="S26" s="2481"/>
      <c r="T26" s="2481"/>
      <c r="U26" s="2481"/>
      <c r="V26" s="2455"/>
    </row>
    <row r="27" spans="1:22" s="2314" customFormat="1" ht="13.2" customHeight="1">
      <c r="A27" s="2394"/>
      <c r="B27" s="2395" t="s">
        <v>3428</v>
      </c>
      <c r="C27" s="2400" t="e">
        <f>E7</f>
        <v>#DIV/0!</v>
      </c>
      <c r="D27" s="2397"/>
      <c r="E27" s="2398"/>
      <c r="F27" s="2399"/>
      <c r="G27" s="2393"/>
      <c r="H27" s="2401"/>
      <c r="I27" s="2455"/>
      <c r="J27" s="3706"/>
      <c r="K27" s="2456"/>
      <c r="L27" s="2457"/>
      <c r="M27" s="2458"/>
      <c r="N27" s="2459"/>
      <c r="O27" s="2459"/>
      <c r="P27" s="2459"/>
      <c r="Q27" s="2482"/>
      <c r="R27" s="2478">
        <f>ROUND(O27*N27*P27*(1-Q27)/10000,0)</f>
        <v>0</v>
      </c>
      <c r="S27" s="2468"/>
      <c r="T27" s="2468"/>
      <c r="U27" s="2468"/>
      <c r="V27" s="2429"/>
    </row>
    <row r="28" spans="1:22" s="2315" customFormat="1" ht="13.2" customHeight="1">
      <c r="A28" s="2394"/>
      <c r="B28" s="2395"/>
      <c r="C28" s="2400"/>
      <c r="D28" s="2397"/>
      <c r="E28" s="2398" t="s">
        <v>3429</v>
      </c>
      <c r="F28" s="2399"/>
      <c r="G28" s="2386"/>
      <c r="H28" s="2401"/>
      <c r="I28" s="2455"/>
      <c r="J28" s="2460">
        <v>6</v>
      </c>
      <c r="K28" s="2461" t="s">
        <v>3430</v>
      </c>
      <c r="L28" s="2462" t="s">
        <v>3431</v>
      </c>
      <c r="M28" s="2463"/>
      <c r="N28" s="2462" t="s">
        <v>3432</v>
      </c>
      <c r="O28" s="2464"/>
      <c r="P28" s="2462" t="s">
        <v>3433</v>
      </c>
      <c r="Q28" s="2483">
        <v>1.4999999999999999E-2</v>
      </c>
      <c r="R28" s="2484"/>
      <c r="S28" s="2465"/>
      <c r="T28" s="2465"/>
      <c r="U28" s="2465"/>
      <c r="V28" s="2455"/>
    </row>
    <row r="29" spans="1:22" s="2315" customFormat="1" ht="13.2" customHeight="1">
      <c r="A29" s="2387">
        <v>3</v>
      </c>
      <c r="B29" s="2388" t="s">
        <v>3434</v>
      </c>
      <c r="C29" s="2389">
        <f>C23*C30</f>
        <v>0</v>
      </c>
      <c r="D29" s="2390">
        <f>D23*C30</f>
        <v>0</v>
      </c>
      <c r="E29" s="2391">
        <f>E23*C30</f>
        <v>0</v>
      </c>
      <c r="F29" s="2392"/>
      <c r="G29" s="2393"/>
      <c r="H29" s="2332"/>
      <c r="I29" s="2429"/>
      <c r="J29" s="2465"/>
      <c r="K29" s="2465"/>
      <c r="L29" s="2465"/>
      <c r="M29" s="2465"/>
      <c r="N29" s="2465"/>
      <c r="O29" s="2465"/>
      <c r="P29" s="2465"/>
      <c r="Q29" s="2465"/>
      <c r="R29" s="2465"/>
      <c r="S29" s="2465"/>
      <c r="T29" s="2465"/>
      <c r="U29" s="2465"/>
      <c r="V29" s="2455"/>
    </row>
    <row r="30" spans="1:22" s="2314" customFormat="1" ht="13.2" customHeight="1">
      <c r="A30" s="2394"/>
      <c r="B30" s="2395" t="s">
        <v>3428</v>
      </c>
      <c r="C30" s="2400">
        <f>E18</f>
        <v>0</v>
      </c>
      <c r="D30" s="2402"/>
      <c r="E30" s="2369"/>
      <c r="F30" s="2399"/>
      <c r="G30" s="2393"/>
      <c r="H30" s="2401"/>
      <c r="I30" s="2455"/>
      <c r="J30" s="2465"/>
      <c r="K30" s="2465"/>
      <c r="L30" s="2465"/>
      <c r="M30" s="2465"/>
      <c r="N30" s="2465"/>
      <c r="O30" s="2465"/>
      <c r="P30" s="2465"/>
      <c r="Q30" s="2465"/>
      <c r="R30" s="2465"/>
      <c r="S30" s="2465"/>
      <c r="T30" s="2465"/>
      <c r="U30" s="2468"/>
      <c r="V30" s="2429"/>
    </row>
    <row r="31" spans="1:22" s="2315" customFormat="1" ht="13.2" customHeight="1">
      <c r="A31" s="2394"/>
      <c r="B31" s="2395"/>
      <c r="C31" s="2403"/>
      <c r="D31" s="2402"/>
      <c r="E31" s="2369"/>
      <c r="F31" s="2399"/>
      <c r="G31" s="2386"/>
      <c r="H31" s="2401"/>
      <c r="I31" s="2455"/>
      <c r="J31" s="2427" t="s">
        <v>3435</v>
      </c>
      <c r="K31" s="2428"/>
      <c r="L31" s="2428"/>
      <c r="M31" s="2428"/>
      <c r="N31" s="2428"/>
      <c r="O31" s="2428"/>
      <c r="P31" s="2428"/>
      <c r="Q31" s="2428"/>
      <c r="R31" s="2467"/>
      <c r="S31" s="2465"/>
      <c r="T31" s="2468"/>
      <c r="U31" s="2468"/>
      <c r="V31" s="2455"/>
    </row>
    <row r="32" spans="1:22" s="2315" customFormat="1" ht="13.2" customHeight="1">
      <c r="A32" s="2387">
        <v>4</v>
      </c>
      <c r="B32" s="2388" t="s">
        <v>3436</v>
      </c>
      <c r="C32" s="2389">
        <f>C23-C26-C29</f>
        <v>0</v>
      </c>
      <c r="D32" s="2390">
        <f>D23-D26-D29</f>
        <v>0</v>
      </c>
      <c r="E32" s="2391">
        <f>E23-E26-E29</f>
        <v>0</v>
      </c>
      <c r="F32" s="2392"/>
      <c r="G32" s="2386"/>
      <c r="H32" s="2332"/>
      <c r="I32" s="2429"/>
      <c r="J32" s="3716" t="s">
        <v>3334</v>
      </c>
      <c r="K32" s="3717"/>
      <c r="L32" s="2430" t="s">
        <v>3335</v>
      </c>
      <c r="M32" s="2430" t="s">
        <v>3336</v>
      </c>
      <c r="N32" s="2430" t="s">
        <v>3337</v>
      </c>
      <c r="O32" s="2430" t="s">
        <v>3338</v>
      </c>
      <c r="P32" s="2430" t="s">
        <v>3339</v>
      </c>
      <c r="Q32" s="2469" t="s">
        <v>3340</v>
      </c>
      <c r="R32" s="2485" t="s">
        <v>3341</v>
      </c>
      <c r="S32" s="2465"/>
      <c r="T32" s="2468"/>
      <c r="U32" s="2468"/>
      <c r="V32" s="2455"/>
    </row>
    <row r="33" spans="1:23" s="2314" customFormat="1" ht="13.2" customHeight="1">
      <c r="A33" s="2387"/>
      <c r="B33" s="2388"/>
      <c r="C33" s="2389"/>
      <c r="D33" s="2404"/>
      <c r="E33" s="2364"/>
      <c r="F33" s="2392"/>
      <c r="G33" s="2386"/>
      <c r="H33" s="2401"/>
      <c r="I33" s="2455"/>
      <c r="J33" s="3710" t="s">
        <v>3342</v>
      </c>
      <c r="K33" s="3711"/>
      <c r="L33" s="2431"/>
      <c r="M33" s="2431"/>
      <c r="N33" s="2431"/>
      <c r="O33" s="2431"/>
      <c r="P33" s="2431"/>
      <c r="Q33" s="2471"/>
      <c r="R33" s="2486">
        <f>SUM(L33:Q33)</f>
        <v>0</v>
      </c>
      <c r="S33" s="2465"/>
      <c r="T33" s="2468"/>
      <c r="U33" s="2468"/>
      <c r="V33" s="2429"/>
    </row>
    <row r="34" spans="1:23" s="2314" customFormat="1" ht="13.2" customHeight="1">
      <c r="A34" s="2387">
        <v>5</v>
      </c>
      <c r="B34" s="2388" t="s">
        <v>3437</v>
      </c>
      <c r="C34" s="2405"/>
      <c r="D34" s="2406"/>
      <c r="E34" s="2407"/>
      <c r="F34" s="2392"/>
      <c r="G34" s="2386"/>
      <c r="H34" s="2401"/>
      <c r="I34" s="2455"/>
      <c r="J34" s="3710" t="s">
        <v>3344</v>
      </c>
      <c r="K34" s="3711"/>
      <c r="L34" s="2432"/>
      <c r="M34" s="2432"/>
      <c r="N34" s="2432"/>
      <c r="O34" s="2432"/>
      <c r="P34" s="2432"/>
      <c r="Q34" s="2473"/>
      <c r="R34" s="2487">
        <f>SUM(L34:Q34)</f>
        <v>0</v>
      </c>
      <c r="S34" s="2465"/>
      <c r="T34" s="2468"/>
      <c r="U34" s="2468" t="e">
        <f>ROUND(R35*10000/365/R33,1)</f>
        <v>#DIV/0!</v>
      </c>
      <c r="V34" s="2429"/>
    </row>
    <row r="35" spans="1:23" s="2314" customFormat="1" ht="13.2" customHeight="1">
      <c r="A35" s="2387">
        <v>6</v>
      </c>
      <c r="B35" s="2388" t="s">
        <v>3438</v>
      </c>
      <c r="C35" s="2408"/>
      <c r="D35" s="2409"/>
      <c r="E35" s="2410"/>
      <c r="F35" s="2392"/>
      <c r="G35" s="2411"/>
      <c r="H35" s="2332"/>
      <c r="I35" s="2455"/>
      <c r="J35" s="2433" t="s">
        <v>3346</v>
      </c>
      <c r="K35" s="2434"/>
      <c r="L35" s="2434"/>
      <c r="M35" s="2435"/>
      <c r="N35" s="2435"/>
      <c r="O35" s="2435"/>
      <c r="P35" s="2435"/>
      <c r="Q35" s="2435"/>
      <c r="R35" s="2488">
        <f>R40+R41+R43</f>
        <v>0</v>
      </c>
      <c r="S35" s="2465"/>
      <c r="T35" s="2468" t="s">
        <v>3347</v>
      </c>
      <c r="U35" s="2468"/>
      <c r="V35" s="2429"/>
    </row>
    <row r="36" spans="1:23" s="2314" customFormat="1" ht="13.2" customHeight="1">
      <c r="A36" s="2387">
        <v>7</v>
      </c>
      <c r="B36" s="2412" t="s">
        <v>3439</v>
      </c>
      <c r="C36" s="2413"/>
      <c r="D36" s="2414"/>
      <c r="E36" s="2415"/>
      <c r="F36" s="2416">
        <f>C36+D36+E36</f>
        <v>0</v>
      </c>
      <c r="G36" s="2386"/>
      <c r="H36" s="2332"/>
      <c r="I36" s="2429"/>
      <c r="J36" s="3704">
        <v>1</v>
      </c>
      <c r="K36" s="3707" t="s">
        <v>3440</v>
      </c>
      <c r="L36" s="2437"/>
      <c r="M36" s="2438"/>
      <c r="N36" s="2438"/>
      <c r="O36" s="2438"/>
      <c r="P36" s="2438"/>
      <c r="Q36" s="2438"/>
      <c r="R36" s="2472" t="s">
        <v>3356</v>
      </c>
      <c r="S36" s="2465"/>
      <c r="T36" s="2468" t="s">
        <v>3357</v>
      </c>
      <c r="U36" s="2468"/>
      <c r="V36" s="2429"/>
    </row>
    <row r="37" spans="1:23" s="2314" customFormat="1" ht="13.2" customHeight="1">
      <c r="A37" s="2387"/>
      <c r="B37" s="2388"/>
      <c r="C37" s="2388"/>
      <c r="D37" s="2388"/>
      <c r="E37" s="2388"/>
      <c r="F37" s="2392"/>
      <c r="G37" s="2386"/>
      <c r="H37" s="2332"/>
      <c r="I37" s="2429"/>
      <c r="J37" s="3704"/>
      <c r="K37" s="3708"/>
      <c r="L37" s="2439"/>
      <c r="M37" s="2440"/>
      <c r="N37" s="2337"/>
      <c r="O37" s="2441"/>
      <c r="P37" s="2441"/>
      <c r="Q37" s="2370"/>
      <c r="R37" s="2475"/>
      <c r="S37" s="2465"/>
      <c r="T37" s="2468" t="s">
        <v>3360</v>
      </c>
      <c r="U37" s="2468"/>
      <c r="V37" s="2429"/>
    </row>
    <row r="38" spans="1:23" s="2314" customFormat="1" ht="13.2" customHeight="1">
      <c r="A38" s="2387">
        <v>8</v>
      </c>
      <c r="B38" s="2388"/>
      <c r="C38" s="2355" t="e">
        <f>ROUND(C32*(1-((1+C35)/(1+C34))^C36)/(C34-C35),0)</f>
        <v>#DIV/0!</v>
      </c>
      <c r="D38" s="2355">
        <f>IF(D23=0,0,ROUND(D32*(1-((1+D35)/(1+D34))^D36)/(D34-D35),0))</f>
        <v>0</v>
      </c>
      <c r="E38" s="2355">
        <f>IF(E23=0,0,ROUND(E32*(1-((1+E35)/(1+E34))^E36)/(E34-E35),0))</f>
        <v>0</v>
      </c>
      <c r="F38" s="2392"/>
      <c r="G38" s="2386"/>
      <c r="H38" s="2332"/>
      <c r="I38" s="2429"/>
      <c r="J38" s="3704"/>
      <c r="K38" s="3708"/>
      <c r="L38" s="2439"/>
      <c r="M38" s="2440"/>
      <c r="N38" s="2337"/>
      <c r="O38" s="2441"/>
      <c r="P38" s="2441"/>
      <c r="Q38" s="2370"/>
      <c r="R38" s="2475"/>
      <c r="S38" s="2465"/>
      <c r="T38" s="2468" t="s">
        <v>3367</v>
      </c>
      <c r="U38" s="2468"/>
      <c r="V38" s="2429"/>
    </row>
    <row r="39" spans="1:23" s="2314" customFormat="1" ht="13.2" customHeight="1">
      <c r="A39" s="2387">
        <v>9</v>
      </c>
      <c r="B39" s="2388" t="s">
        <v>3441</v>
      </c>
      <c r="C39" s="2365" t="e">
        <f>C38</f>
        <v>#DIV/0!</v>
      </c>
      <c r="D39" s="2388">
        <f>D38/(1+D34)^C36</f>
        <v>0</v>
      </c>
      <c r="E39" s="2388">
        <f>E38/(1+E34)^(C36+D36)</f>
        <v>0</v>
      </c>
      <c r="F39" s="2392"/>
      <c r="G39" s="2417"/>
      <c r="H39" s="2332"/>
      <c r="I39" s="2429"/>
      <c r="J39" s="3704"/>
      <c r="K39" s="3708"/>
      <c r="L39" s="2439"/>
      <c r="M39" s="2440"/>
      <c r="N39" s="2337"/>
      <c r="O39" s="2441"/>
      <c r="P39" s="2441"/>
      <c r="Q39" s="2370"/>
      <c r="R39" s="2475"/>
      <c r="S39" s="2465"/>
      <c r="T39" s="2468"/>
      <c r="U39" s="2468"/>
      <c r="V39" s="2429"/>
    </row>
    <row r="40" spans="1:23" s="2314" customFormat="1" ht="13.2" customHeight="1">
      <c r="A40" s="2418">
        <v>10</v>
      </c>
      <c r="B40" s="2388" t="s">
        <v>3442</v>
      </c>
      <c r="C40" s="2419" t="e">
        <f>C39+D39+E39</f>
        <v>#DIV/0!</v>
      </c>
      <c r="D40" s="2420"/>
      <c r="E40" s="2420"/>
      <c r="F40" s="2421"/>
      <c r="G40" s="2386"/>
      <c r="H40" s="2332"/>
      <c r="I40" s="2429"/>
      <c r="J40" s="3704"/>
      <c r="K40" s="3709"/>
      <c r="L40" s="2442" t="s">
        <v>3385</v>
      </c>
      <c r="M40" s="2443"/>
      <c r="N40" s="2443"/>
      <c r="O40" s="2444"/>
      <c r="P40" s="2444"/>
      <c r="Q40" s="2476"/>
      <c r="R40" s="2470">
        <f>SUM(R37:R39)</f>
        <v>0</v>
      </c>
      <c r="S40" s="2465"/>
      <c r="T40" s="2468"/>
      <c r="U40" s="2468"/>
      <c r="V40" s="2429"/>
    </row>
    <row r="41" spans="1:23" s="2314" customFormat="1" ht="13.2" customHeight="1">
      <c r="A41" s="2422">
        <v>11</v>
      </c>
      <c r="B41" s="2423" t="s">
        <v>3443</v>
      </c>
      <c r="C41" s="2423" t="e">
        <f>ROUND(C40*10000/B4,0)</f>
        <v>#DIV/0!</v>
      </c>
      <c r="D41" s="2424"/>
      <c r="E41" s="2424"/>
      <c r="F41" s="2425"/>
      <c r="G41" s="2426"/>
      <c r="H41" s="2332"/>
      <c r="I41" s="2429"/>
      <c r="J41" s="2436">
        <v>2</v>
      </c>
      <c r="K41" s="2447" t="s">
        <v>3422</v>
      </c>
      <c r="L41" s="2448"/>
      <c r="M41" s="2448"/>
      <c r="N41" s="2448"/>
      <c r="O41" s="2448"/>
      <c r="P41" s="2449"/>
      <c r="Q41" s="2480"/>
      <c r="R41" s="2478">
        <f>ROUND(R40*Q41,0)</f>
        <v>0</v>
      </c>
      <c r="S41" s="2465"/>
      <c r="T41" s="2468"/>
      <c r="U41" s="2481"/>
      <c r="V41" s="2429"/>
    </row>
    <row r="42" spans="1:23" s="2314" customFormat="1" ht="13.2" customHeight="1">
      <c r="G42" s="2426"/>
      <c r="H42" s="2332"/>
      <c r="I42" s="2429"/>
      <c r="J42" s="3705">
        <v>3</v>
      </c>
      <c r="K42" s="2450" t="s">
        <v>3424</v>
      </c>
      <c r="L42" s="2451"/>
      <c r="M42" s="2452"/>
      <c r="N42" s="2453" t="s">
        <v>458</v>
      </c>
      <c r="O42" s="2453" t="s">
        <v>3425</v>
      </c>
      <c r="P42" s="2454" t="s">
        <v>3426</v>
      </c>
      <c r="Q42" s="2454" t="s">
        <v>3427</v>
      </c>
      <c r="R42" s="2472" t="s">
        <v>3356</v>
      </c>
      <c r="S42" s="2481"/>
      <c r="T42" s="2481"/>
      <c r="U42" s="2468"/>
      <c r="V42" s="2429"/>
    </row>
    <row r="43" spans="1:23" ht="13.2" customHeight="1">
      <c r="A43" s="2314"/>
      <c r="B43" s="2314"/>
      <c r="C43" s="2314"/>
      <c r="D43" s="2314"/>
      <c r="E43" s="2314"/>
      <c r="F43" s="2314"/>
      <c r="I43" s="2318"/>
      <c r="J43" s="3706"/>
      <c r="K43" s="2456"/>
      <c r="L43" s="2457"/>
      <c r="M43" s="2458"/>
      <c r="N43" s="2440"/>
      <c r="O43" s="2440"/>
      <c r="P43" s="2440"/>
      <c r="Q43" s="2480"/>
      <c r="R43" s="2478">
        <f>ROUND(O43*N43*P43*(1-Q43)/10000,0)</f>
        <v>0</v>
      </c>
      <c r="S43" s="2465"/>
      <c r="T43" s="2468"/>
      <c r="V43" s="2320"/>
      <c r="W43" s="2489"/>
    </row>
    <row r="44" spans="1:23" ht="13.2" customHeight="1">
      <c r="J44" s="2460">
        <v>6</v>
      </c>
      <c r="K44" s="2461" t="s">
        <v>3430</v>
      </c>
      <c r="L44" s="2466" t="s">
        <v>3431</v>
      </c>
      <c r="M44" s="2463"/>
      <c r="N44" s="2466" t="s">
        <v>3432</v>
      </c>
      <c r="O44" s="2463"/>
      <c r="P44" s="2466" t="s">
        <v>3433</v>
      </c>
      <c r="Q44" s="2483">
        <v>1.4999999999999999E-2</v>
      </c>
      <c r="R44" s="2484"/>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3.8"/>
  <cols>
    <col min="1" max="1" width="23.6640625" style="1969" customWidth="1"/>
    <col min="2" max="2" width="12" style="1969" customWidth="1"/>
    <col min="3" max="3" width="9" style="1969"/>
    <col min="4" max="4" width="14.109375" style="1969" customWidth="1"/>
    <col min="5" max="5" width="9" style="1969"/>
    <col min="6" max="6" width="12.88671875" style="1969" customWidth="1"/>
    <col min="7" max="16384" width="9" style="1969"/>
  </cols>
  <sheetData>
    <row r="1" spans="1:22" ht="21.6">
      <c r="A1" s="1970" t="s">
        <v>3444</v>
      </c>
      <c r="B1" s="2291"/>
      <c r="C1" s="2291"/>
      <c r="D1" s="2291"/>
      <c r="E1" s="2292"/>
      <c r="F1" s="2293"/>
      <c r="G1" s="2294"/>
      <c r="H1" s="2294"/>
      <c r="I1" s="2294"/>
      <c r="J1" s="2294"/>
      <c r="K1" s="2294"/>
      <c r="L1" s="2294"/>
      <c r="M1" s="2294"/>
      <c r="N1" s="2294"/>
      <c r="O1" s="2294"/>
      <c r="P1" s="2294"/>
      <c r="Q1" s="2294"/>
      <c r="R1" s="2294"/>
      <c r="S1" s="2294"/>
    </row>
    <row r="2" spans="1:22" ht="15.6">
      <c r="A2" s="2295" t="s">
        <v>2864</v>
      </c>
      <c r="B2" s="2296">
        <f ca="1">SUMIF(B6:B13,"&lt;&gt;#ref!",B6:B13)</f>
        <v>1045.4854</v>
      </c>
      <c r="C2" s="2297" t="s">
        <v>3445</v>
      </c>
      <c r="D2" s="2298" t="s">
        <v>3446</v>
      </c>
      <c r="E2" s="2299">
        <f>SUM(E6:E13)</f>
        <v>1008.26</v>
      </c>
      <c r="F2" s="2293"/>
      <c r="G2" s="2294"/>
      <c r="H2" s="2294"/>
      <c r="I2" s="2294"/>
      <c r="J2" s="2294"/>
      <c r="K2" s="2294"/>
      <c r="L2" s="2294"/>
      <c r="M2" s="2294"/>
      <c r="N2" s="2294"/>
      <c r="O2" s="2294"/>
      <c r="P2" s="2294"/>
      <c r="Q2" s="2294"/>
      <c r="R2" s="2294"/>
      <c r="S2" s="2294"/>
    </row>
    <row r="3" spans="1:22" ht="15.6">
      <c r="A3" s="2295" t="s">
        <v>2866</v>
      </c>
      <c r="B3" s="2300">
        <f ca="1">ROUND(B2*10000/E2,0)</f>
        <v>10369</v>
      </c>
      <c r="C3" s="2297" t="s">
        <v>3447</v>
      </c>
      <c r="D3" s="2301"/>
      <c r="E3" s="2302"/>
      <c r="F3" s="2293"/>
      <c r="G3" s="2294"/>
      <c r="H3" s="2294"/>
      <c r="I3" s="2294"/>
      <c r="J3" s="2294"/>
      <c r="K3" s="2294"/>
      <c r="L3" s="2294"/>
      <c r="M3" s="2294"/>
      <c r="N3" s="2294"/>
      <c r="O3" s="2294"/>
      <c r="P3" s="2294"/>
      <c r="Q3" s="2294"/>
      <c r="R3" s="2294"/>
      <c r="S3" s="2294"/>
    </row>
    <row r="4" spans="1:22" ht="15.6">
      <c r="A4" s="2303"/>
      <c r="B4" s="2301"/>
      <c r="C4" s="2301"/>
      <c r="D4" s="2301"/>
      <c r="E4" s="2302"/>
      <c r="F4" s="2293"/>
      <c r="G4" s="2294"/>
      <c r="H4" s="2294"/>
      <c r="I4" s="2294"/>
      <c r="J4" s="2294"/>
      <c r="K4" s="2294"/>
      <c r="L4" s="2294"/>
      <c r="M4" s="2294"/>
      <c r="N4" s="2294"/>
      <c r="O4" s="2294"/>
      <c r="P4" s="2294"/>
      <c r="Q4" s="2294"/>
      <c r="R4" s="2294"/>
      <c r="S4" s="2294"/>
    </row>
    <row r="5" spans="1:22" ht="14.4">
      <c r="A5" s="2304" t="s">
        <v>3448</v>
      </c>
      <c r="B5" s="3723" t="s">
        <v>3449</v>
      </c>
      <c r="C5" s="3724"/>
      <c r="D5" s="2305"/>
      <c r="E5" s="2306" t="s">
        <v>3450</v>
      </c>
      <c r="F5" s="2307" t="s">
        <v>3451</v>
      </c>
      <c r="G5" s="2294"/>
      <c r="H5" s="2294"/>
      <c r="I5" s="2294"/>
      <c r="J5" s="2294"/>
      <c r="K5" s="2294"/>
      <c r="L5" s="2294"/>
      <c r="M5" s="2294"/>
      <c r="N5" s="2294"/>
      <c r="O5" s="2294"/>
      <c r="P5" s="2294"/>
      <c r="Q5" s="2294"/>
      <c r="R5" s="2294"/>
      <c r="S5" s="2294"/>
    </row>
    <row r="6" spans="1:22" ht="14.4">
      <c r="A6" s="2308">
        <f>'数据-取费表'!AN6</f>
        <v>0</v>
      </c>
      <c r="B6" s="1974" t="e">
        <f ca="1">IF(F6="是",'数据-取费表'!AO6,0)</f>
        <v>#REF!</v>
      </c>
      <c r="C6" s="2297" t="s">
        <v>3445</v>
      </c>
      <c r="D6" s="2301"/>
      <c r="E6" s="2309">
        <f>IF(OR(A6=0,F6="否"),0,'数据-取费表'!K6+'数据-取费表'!S6)</f>
        <v>0</v>
      </c>
      <c r="F6" s="2310" t="s">
        <v>3452</v>
      </c>
      <c r="G6" s="2294"/>
      <c r="H6" s="2294"/>
      <c r="I6" s="2294"/>
      <c r="J6" s="2294"/>
      <c r="K6" s="2294"/>
      <c r="L6" s="2294"/>
      <c r="M6" s="2294"/>
      <c r="N6" s="2294"/>
      <c r="O6" s="2294"/>
      <c r="P6" s="2294"/>
      <c r="Q6" s="2294"/>
      <c r="R6" s="2294"/>
      <c r="S6" s="2294"/>
    </row>
    <row r="7" spans="1:22" ht="14.4">
      <c r="A7" s="2308">
        <f>'数据-取费表'!AN7</f>
        <v>0</v>
      </c>
      <c r="B7" s="1974" t="e">
        <f ca="1">IF(F7="是",'数据-取费表'!AO7,0)</f>
        <v>#REF!</v>
      </c>
      <c r="C7" s="2297" t="s">
        <v>3445</v>
      </c>
      <c r="D7" s="2301"/>
      <c r="E7" s="2309">
        <f>IF(OR(A7=0,F7="否"),0,'数据-取费表'!K7+'数据-取费表'!S7)</f>
        <v>0</v>
      </c>
      <c r="F7" s="2310" t="s">
        <v>3452</v>
      </c>
      <c r="G7" s="2294"/>
      <c r="H7" s="2294"/>
      <c r="I7" s="2294"/>
      <c r="J7" s="2294"/>
      <c r="K7" s="2294"/>
      <c r="L7" s="2294"/>
      <c r="M7" s="2294"/>
      <c r="N7" s="2294"/>
      <c r="O7" s="2294"/>
      <c r="P7" s="2294"/>
      <c r="Q7" s="2294"/>
      <c r="R7" s="2294"/>
      <c r="S7" s="2294"/>
    </row>
    <row r="8" spans="1:22" ht="14.4">
      <c r="A8" s="2308" t="str">
        <f>'数据-取费表'!AN8</f>
        <v>收益法 (元)</v>
      </c>
      <c r="B8" s="1974">
        <f ca="1">IF(F8="是",'数据-取费表'!AO8,0)</f>
        <v>1045.4854</v>
      </c>
      <c r="C8" s="2297" t="s">
        <v>3445</v>
      </c>
      <c r="D8" s="2301"/>
      <c r="E8" s="2309">
        <f>IF(OR(A8=0,F8="否"),0,'数据-取费表'!K8+'数据-取费表'!S8)</f>
        <v>1008.26</v>
      </c>
      <c r="F8" s="2310" t="s">
        <v>3452</v>
      </c>
      <c r="G8" s="2294"/>
      <c r="H8" s="2294"/>
      <c r="I8" s="2294"/>
      <c r="J8" s="2294"/>
      <c r="K8" s="2294"/>
      <c r="L8" s="2294"/>
      <c r="M8" s="2294"/>
      <c r="N8" s="2294"/>
      <c r="O8" s="2294"/>
      <c r="P8" s="2294"/>
      <c r="Q8" s="2294"/>
      <c r="R8" s="2294"/>
      <c r="S8" s="2294"/>
    </row>
    <row r="9" spans="1:22" ht="14.4">
      <c r="A9" s="2308">
        <f>'数据-取费表'!AN9</f>
        <v>0</v>
      </c>
      <c r="B9" s="1974" t="e">
        <f ca="1">IF(F9="是",'数据-取费表'!AO9,0)</f>
        <v>#REF!</v>
      </c>
      <c r="C9" s="2297" t="s">
        <v>3445</v>
      </c>
      <c r="D9" s="2301"/>
      <c r="E9" s="2309">
        <f>IF(OR(A9=0,F9="否"),0,'数据-取费表'!K9+'数据-取费表'!S9)</f>
        <v>0</v>
      </c>
      <c r="F9" s="2310" t="s">
        <v>3452</v>
      </c>
      <c r="G9" s="2294"/>
      <c r="H9" s="2294"/>
      <c r="I9" s="2294"/>
      <c r="J9" s="2294"/>
      <c r="K9" s="2294"/>
      <c r="L9" s="2294"/>
      <c r="M9" s="2294"/>
      <c r="N9" s="2294"/>
      <c r="O9" s="2294"/>
      <c r="P9" s="2294"/>
      <c r="Q9" s="2294"/>
      <c r="R9" s="2294"/>
      <c r="S9" s="2294"/>
    </row>
    <row r="10" spans="1:22" ht="14.4">
      <c r="A10" s="2308">
        <f>'数据-取费表'!AN10</f>
        <v>0</v>
      </c>
      <c r="B10" s="1974" t="e">
        <f ca="1">IF(F10="是",'数据-取费表'!AO10,0)</f>
        <v>#REF!</v>
      </c>
      <c r="C10" s="2297" t="s">
        <v>3445</v>
      </c>
      <c r="D10" s="2301"/>
      <c r="E10" s="2309">
        <f>IF(OR(A10=0,F10="否"),0,'数据-取费表'!K10+'数据-取费表'!S10)</f>
        <v>0</v>
      </c>
      <c r="F10" s="2310" t="s">
        <v>3452</v>
      </c>
      <c r="G10" s="2294"/>
      <c r="H10" s="2294"/>
      <c r="I10" s="2294"/>
      <c r="J10" s="2294"/>
      <c r="K10" s="2294"/>
      <c r="L10" s="2294"/>
      <c r="M10" s="2294"/>
      <c r="N10" s="2294"/>
      <c r="O10" s="2294"/>
      <c r="P10" s="2294"/>
      <c r="Q10" s="2294"/>
      <c r="R10" s="2294"/>
      <c r="S10" s="2294"/>
    </row>
    <row r="11" spans="1:22" ht="14.4">
      <c r="A11" s="2308">
        <f>'数据-取费表'!AN11</f>
        <v>0</v>
      </c>
      <c r="B11" s="1974" t="e">
        <f ca="1">IF(F11="是",'数据-取费表'!AO11,0)</f>
        <v>#REF!</v>
      </c>
      <c r="C11" s="2297" t="s">
        <v>3445</v>
      </c>
      <c r="D11" s="2301"/>
      <c r="E11" s="2309">
        <f>IF(OR(A11=0,F11="否"),0,'数据-取费表'!K11+'数据-取费表'!S11)</f>
        <v>0</v>
      </c>
      <c r="F11" s="2310" t="s">
        <v>3452</v>
      </c>
      <c r="G11" s="2294"/>
      <c r="H11" s="2294"/>
      <c r="I11" s="2294"/>
      <c r="J11" s="2294"/>
      <c r="K11" s="2294"/>
      <c r="L11" s="2294"/>
      <c r="M11" s="2294"/>
      <c r="N11" s="2294"/>
      <c r="O11" s="2294"/>
      <c r="P11" s="2294"/>
      <c r="Q11" s="2294"/>
      <c r="R11" s="2294"/>
      <c r="S11" s="2294"/>
    </row>
    <row r="12" spans="1:22" ht="14.4">
      <c r="A12" s="2308">
        <f>'数据-取费表'!AN12</f>
        <v>0</v>
      </c>
      <c r="B12" s="1974" t="e">
        <f ca="1">IF(F12="是",'数据-取费表'!AO12,0)</f>
        <v>#REF!</v>
      </c>
      <c r="C12" s="2297" t="s">
        <v>3445</v>
      </c>
      <c r="D12" s="2301"/>
      <c r="E12" s="2309">
        <f>IF(OR(A12=0,F12="否"),0,'数据-取费表'!K12+'数据-取费表'!S12)</f>
        <v>0</v>
      </c>
      <c r="F12" s="2310" t="s">
        <v>3452</v>
      </c>
      <c r="G12" s="2294"/>
      <c r="H12" s="2294"/>
      <c r="I12" s="2294"/>
      <c r="J12" s="2294"/>
      <c r="K12" s="2294"/>
      <c r="L12" s="2294"/>
      <c r="M12" s="2294"/>
      <c r="N12" s="2294"/>
      <c r="O12" s="2294"/>
      <c r="P12" s="2294"/>
      <c r="Q12" s="2294"/>
      <c r="R12" s="2294"/>
      <c r="S12" s="2294"/>
    </row>
    <row r="13" spans="1:22" ht="14.4">
      <c r="A13" s="2311">
        <f>'数据-取费表'!AN13</f>
        <v>0</v>
      </c>
      <c r="B13" s="1974" t="e">
        <f ca="1">IF(F13="是",'数据-取费表'!AO13,0)</f>
        <v>#REF!</v>
      </c>
      <c r="C13" s="2312" t="s">
        <v>3445</v>
      </c>
      <c r="D13" s="2313"/>
      <c r="E13" s="2309">
        <f>IF(OR(A13=0,F13="否"),0,'数据-取费表'!K13+'数据-取费表'!S13)</f>
        <v>0</v>
      </c>
      <c r="F13" s="2310" t="s">
        <v>3452</v>
      </c>
      <c r="G13" s="2294"/>
      <c r="H13" s="2294"/>
      <c r="I13" s="2294"/>
      <c r="J13" s="2294"/>
      <c r="K13" s="2294"/>
      <c r="L13" s="2294"/>
      <c r="M13" s="2294"/>
      <c r="N13" s="2294"/>
      <c r="O13" s="2294"/>
      <c r="P13" s="2294"/>
      <c r="Q13" s="2294"/>
      <c r="R13" s="2294"/>
      <c r="S13" s="2294"/>
    </row>
    <row r="14" spans="1:22">
      <c r="A14" s="2294"/>
      <c r="B14" s="2294"/>
      <c r="C14" s="2294"/>
      <c r="D14" s="2294"/>
      <c r="E14" s="2294"/>
      <c r="F14" s="2294"/>
      <c r="G14" s="2294"/>
      <c r="H14" s="2294"/>
      <c r="I14" s="2294"/>
      <c r="J14" s="2294"/>
      <c r="K14" s="2294"/>
      <c r="L14" s="2294"/>
      <c r="M14" s="2294"/>
      <c r="N14" s="2294"/>
      <c r="O14" s="2294"/>
      <c r="P14" s="2294"/>
      <c r="Q14" s="2294"/>
      <c r="R14" s="2294"/>
      <c r="S14" s="2294"/>
      <c r="T14" s="2294"/>
      <c r="U14" s="2294"/>
      <c r="V14" s="2294"/>
    </row>
    <row r="15" spans="1:22">
      <c r="A15" s="2294"/>
      <c r="B15" s="2294"/>
      <c r="C15" s="2294"/>
      <c r="D15" s="2294"/>
      <c r="E15" s="2294"/>
      <c r="F15" s="2294"/>
      <c r="G15" s="2294"/>
      <c r="H15" s="2294"/>
      <c r="I15" s="2294"/>
      <c r="J15" s="2294"/>
      <c r="K15" s="2294"/>
      <c r="L15" s="2294"/>
      <c r="M15" s="2294"/>
      <c r="N15" s="2294"/>
      <c r="O15" s="2294"/>
      <c r="P15" s="2294"/>
      <c r="Q15" s="2294"/>
      <c r="R15" s="2294"/>
      <c r="S15" s="2294"/>
      <c r="T15" s="2294"/>
      <c r="U15" s="2294"/>
      <c r="V15" s="2294"/>
    </row>
    <row r="16" spans="1:22">
      <c r="A16" s="2294"/>
      <c r="B16" s="2294"/>
      <c r="C16" s="2294"/>
      <c r="D16" s="2294"/>
      <c r="E16" s="2294"/>
      <c r="F16" s="2294"/>
      <c r="G16" s="2294"/>
      <c r="H16" s="2294"/>
      <c r="I16" s="2294"/>
      <c r="J16" s="2294"/>
      <c r="K16" s="2294"/>
      <c r="L16" s="2294"/>
      <c r="M16" s="2294"/>
      <c r="N16" s="2294"/>
      <c r="O16" s="2294"/>
      <c r="P16" s="2294"/>
      <c r="Q16" s="2294"/>
      <c r="R16" s="2294"/>
      <c r="S16" s="2294"/>
      <c r="T16" s="2294"/>
      <c r="U16" s="2294"/>
      <c r="V16" s="2294"/>
    </row>
    <row r="17" spans="1:22">
      <c r="A17" s="2294"/>
      <c r="B17" s="2294"/>
      <c r="C17" s="2294"/>
      <c r="D17" s="2294"/>
      <c r="E17" s="2294"/>
      <c r="F17" s="2294"/>
      <c r="G17" s="2294"/>
      <c r="H17" s="2294"/>
      <c r="I17" s="2294"/>
      <c r="J17" s="2294"/>
      <c r="K17" s="2294"/>
      <c r="L17" s="2294"/>
      <c r="M17" s="2294"/>
      <c r="N17" s="2294"/>
      <c r="O17" s="2294"/>
      <c r="P17" s="2294"/>
      <c r="Q17" s="2294"/>
      <c r="R17" s="2294"/>
      <c r="S17" s="2294"/>
      <c r="T17" s="2294"/>
      <c r="U17" s="2294"/>
      <c r="V17" s="2294"/>
    </row>
    <row r="18" spans="1:22">
      <c r="A18" s="2294"/>
      <c r="B18" s="2294"/>
      <c r="C18" s="2294"/>
      <c r="D18" s="2294"/>
      <c r="E18" s="2294"/>
      <c r="F18" s="2294"/>
      <c r="G18" s="2294"/>
      <c r="H18" s="2294"/>
      <c r="I18" s="2294"/>
      <c r="J18" s="2294"/>
      <c r="K18" s="2294"/>
      <c r="L18" s="2294"/>
      <c r="M18" s="2294"/>
      <c r="N18" s="2294"/>
      <c r="O18" s="2294"/>
      <c r="P18" s="2294"/>
      <c r="Q18" s="2294"/>
      <c r="R18" s="2294"/>
      <c r="S18" s="2294"/>
      <c r="T18" s="2294"/>
      <c r="U18" s="2294"/>
      <c r="V18" s="2294"/>
    </row>
    <row r="19" spans="1:22">
      <c r="A19" s="2294"/>
      <c r="B19" s="2294"/>
      <c r="C19" s="2294"/>
      <c r="D19" s="2294"/>
      <c r="E19" s="2294"/>
      <c r="F19" s="2294"/>
      <c r="G19" s="2294"/>
      <c r="H19" s="2294"/>
      <c r="I19" s="2294"/>
      <c r="J19" s="2294"/>
      <c r="K19" s="2294"/>
      <c r="L19" s="2294"/>
      <c r="M19" s="2294"/>
      <c r="N19" s="2294"/>
      <c r="O19" s="2294"/>
      <c r="P19" s="2294"/>
      <c r="Q19" s="2294"/>
      <c r="R19" s="2294"/>
      <c r="S19" s="2294"/>
      <c r="T19" s="2294"/>
      <c r="U19" s="2294"/>
      <c r="V19" s="2294"/>
    </row>
    <row r="20" spans="1:22">
      <c r="A20" s="2294"/>
      <c r="B20" s="2294"/>
      <c r="C20" s="2294"/>
      <c r="D20" s="2294"/>
      <c r="E20" s="2294"/>
      <c r="F20" s="2294"/>
      <c r="G20" s="2294"/>
      <c r="H20" s="2294"/>
      <c r="I20" s="2294"/>
      <c r="J20" s="2294"/>
      <c r="K20" s="2294"/>
      <c r="L20" s="2294"/>
      <c r="M20" s="2294"/>
      <c r="N20" s="2294"/>
      <c r="O20" s="2294"/>
      <c r="P20" s="2294"/>
      <c r="Q20" s="2294"/>
      <c r="R20" s="2294"/>
      <c r="S20" s="2294"/>
      <c r="T20" s="2294"/>
      <c r="U20" s="2294"/>
      <c r="V20" s="2294"/>
    </row>
    <row r="21" spans="1:22">
      <c r="A21" s="2294"/>
      <c r="B21" s="2294"/>
      <c r="C21" s="2294"/>
      <c r="D21" s="2294"/>
      <c r="E21" s="2294"/>
      <c r="F21" s="2294"/>
      <c r="G21" s="2294"/>
      <c r="H21" s="2294"/>
      <c r="I21" s="2294"/>
      <c r="J21" s="2294"/>
      <c r="K21" s="2294"/>
      <c r="L21" s="2294"/>
      <c r="M21" s="2294"/>
      <c r="N21" s="2294"/>
      <c r="O21" s="2294"/>
      <c r="P21" s="2294"/>
      <c r="Q21" s="2294"/>
      <c r="R21" s="2294"/>
      <c r="S21" s="2294"/>
      <c r="T21" s="2294"/>
      <c r="U21" s="2294"/>
      <c r="V21" s="2294"/>
    </row>
    <row r="22" spans="1:22">
      <c r="A22" s="2294"/>
      <c r="B22" s="2294"/>
      <c r="C22" s="2294"/>
      <c r="D22" s="2294"/>
      <c r="E22" s="2294"/>
      <c r="F22" s="2294"/>
      <c r="G22" s="2294"/>
      <c r="H22" s="2294"/>
      <c r="I22" s="2294"/>
      <c r="J22" s="2294"/>
      <c r="K22" s="2294"/>
      <c r="L22" s="2294"/>
      <c r="M22" s="2294"/>
      <c r="N22" s="2294"/>
      <c r="O22" s="2294"/>
      <c r="P22" s="2294"/>
      <c r="Q22" s="2294"/>
      <c r="R22" s="2294"/>
      <c r="S22" s="2294"/>
      <c r="T22" s="2294"/>
      <c r="U22" s="2294"/>
      <c r="V22" s="2294"/>
    </row>
    <row r="23" spans="1:22">
      <c r="A23" s="2294"/>
      <c r="B23" s="2294"/>
      <c r="C23" s="2294"/>
      <c r="D23" s="2294"/>
      <c r="E23" s="2294"/>
      <c r="F23" s="2294"/>
      <c r="G23" s="2294"/>
      <c r="H23" s="2294"/>
      <c r="I23" s="2294"/>
      <c r="J23" s="2294"/>
      <c r="K23" s="2294"/>
      <c r="L23" s="2294"/>
      <c r="M23" s="2294"/>
      <c r="N23" s="2294"/>
      <c r="O23" s="2294"/>
      <c r="P23" s="2294"/>
      <c r="Q23" s="2294"/>
      <c r="R23" s="2294"/>
      <c r="S23" s="2294"/>
      <c r="T23" s="2294"/>
      <c r="U23" s="2294"/>
      <c r="V23" s="2294"/>
    </row>
    <row r="24" spans="1:22">
      <c r="A24" s="2294"/>
      <c r="B24" s="2294"/>
      <c r="C24" s="2294"/>
      <c r="D24" s="2294"/>
      <c r="E24" s="2294"/>
      <c r="F24" s="2294"/>
      <c r="G24" s="2294"/>
      <c r="H24" s="2294"/>
      <c r="I24" s="2294"/>
      <c r="J24" s="2294"/>
      <c r="K24" s="2294"/>
      <c r="L24" s="2294"/>
      <c r="M24" s="2294"/>
      <c r="N24" s="2294"/>
      <c r="O24" s="2294"/>
      <c r="P24" s="2294"/>
      <c r="Q24" s="2294"/>
      <c r="R24" s="2294"/>
      <c r="S24" s="2294"/>
      <c r="T24" s="2294"/>
      <c r="U24" s="2294"/>
      <c r="V24" s="2294"/>
    </row>
    <row r="25" spans="1:22">
      <c r="A25" s="2294"/>
      <c r="B25" s="2294"/>
      <c r="C25" s="2294"/>
      <c r="D25" s="2294"/>
      <c r="E25" s="2294"/>
      <c r="F25" s="2294"/>
      <c r="G25" s="2294"/>
      <c r="H25" s="2294"/>
      <c r="I25" s="2294"/>
      <c r="J25" s="2294"/>
      <c r="K25" s="2294"/>
      <c r="L25" s="2294"/>
      <c r="M25" s="2294"/>
      <c r="N25" s="2294"/>
      <c r="O25" s="2294"/>
      <c r="P25" s="2294"/>
      <c r="Q25" s="2294"/>
      <c r="R25" s="2294"/>
      <c r="S25" s="2294"/>
      <c r="T25" s="2294"/>
      <c r="U25" s="2294"/>
      <c r="V25" s="2294"/>
    </row>
    <row r="26" spans="1:22">
      <c r="A26" s="2294"/>
      <c r="B26" s="2294"/>
      <c r="C26" s="2294"/>
      <c r="D26" s="2294"/>
      <c r="E26" s="2294"/>
      <c r="F26" s="2294"/>
      <c r="G26" s="2294"/>
      <c r="H26" s="2294"/>
      <c r="I26" s="2294"/>
      <c r="J26" s="2294"/>
      <c r="K26" s="2294"/>
      <c r="L26" s="2294"/>
      <c r="M26" s="2294"/>
      <c r="N26" s="2294"/>
      <c r="O26" s="2294"/>
      <c r="P26" s="2294"/>
      <c r="Q26" s="2294"/>
      <c r="R26" s="2294"/>
      <c r="S26" s="2294"/>
      <c r="T26" s="2294"/>
      <c r="U26" s="2294"/>
      <c r="V26" s="2294"/>
    </row>
    <row r="27" spans="1:22">
      <c r="A27" s="2294"/>
      <c r="B27" s="2294"/>
      <c r="C27" s="2294"/>
      <c r="D27" s="2294"/>
      <c r="E27" s="2294"/>
      <c r="F27" s="2294"/>
      <c r="G27" s="2294"/>
      <c r="H27" s="2294"/>
      <c r="I27" s="2294"/>
      <c r="J27" s="2294"/>
      <c r="K27" s="2294"/>
      <c r="L27" s="2294"/>
      <c r="M27" s="2294"/>
      <c r="N27" s="2294"/>
      <c r="O27" s="2294"/>
      <c r="P27" s="2294"/>
      <c r="Q27" s="2294"/>
      <c r="R27" s="2294"/>
      <c r="S27" s="2294"/>
      <c r="T27" s="2294"/>
      <c r="U27" s="2294"/>
      <c r="V27" s="2294"/>
    </row>
    <row r="28" spans="1:22">
      <c r="A28" s="2294"/>
      <c r="B28" s="2294"/>
      <c r="C28" s="2294"/>
      <c r="D28" s="2294"/>
      <c r="E28" s="2294"/>
      <c r="F28" s="2294"/>
      <c r="G28" s="2294"/>
      <c r="H28" s="2294"/>
      <c r="I28" s="2294"/>
      <c r="J28" s="2294"/>
      <c r="K28" s="2294"/>
      <c r="L28" s="2294"/>
      <c r="M28" s="2294"/>
      <c r="N28" s="2294"/>
      <c r="O28" s="2294"/>
      <c r="P28" s="2294"/>
      <c r="Q28" s="2294"/>
      <c r="R28" s="2294"/>
      <c r="S28" s="2294"/>
      <c r="T28" s="2294"/>
      <c r="U28" s="2294"/>
      <c r="V28" s="2294"/>
    </row>
    <row r="29" spans="1:22">
      <c r="A29" s="2294"/>
      <c r="B29" s="2294"/>
      <c r="C29" s="2294"/>
      <c r="D29" s="2294"/>
      <c r="E29" s="2294"/>
      <c r="F29" s="2294"/>
      <c r="G29" s="2294"/>
      <c r="H29" s="2294"/>
      <c r="I29" s="2294"/>
      <c r="J29" s="2294"/>
      <c r="K29" s="2294"/>
      <c r="L29" s="2294"/>
      <c r="M29" s="2294"/>
      <c r="N29" s="2294"/>
      <c r="O29" s="2294"/>
      <c r="P29" s="2294"/>
      <c r="Q29" s="2294"/>
      <c r="R29" s="2294"/>
      <c r="S29" s="2294"/>
      <c r="T29" s="2294"/>
      <c r="U29" s="2294"/>
      <c r="V29" s="2294"/>
    </row>
    <row r="30" spans="1:22">
      <c r="A30" s="2294"/>
      <c r="B30" s="2294"/>
      <c r="C30" s="2294"/>
      <c r="D30" s="2294"/>
      <c r="E30" s="2294"/>
      <c r="F30" s="2294"/>
      <c r="G30" s="2294"/>
      <c r="H30" s="2294"/>
      <c r="I30" s="2294"/>
      <c r="J30" s="2294"/>
      <c r="K30" s="2294"/>
      <c r="L30" s="2294"/>
      <c r="M30" s="2294"/>
      <c r="N30" s="2294"/>
      <c r="O30" s="2294"/>
      <c r="P30" s="2294"/>
      <c r="Q30" s="2294"/>
      <c r="R30" s="2294"/>
      <c r="S30" s="2294"/>
      <c r="T30" s="2294"/>
      <c r="U30" s="2294"/>
      <c r="V30" s="2294"/>
    </row>
    <row r="31" spans="1:22">
      <c r="A31" s="2294"/>
      <c r="B31" s="2294"/>
      <c r="C31" s="2294"/>
      <c r="D31" s="2294"/>
      <c r="E31" s="2294"/>
      <c r="F31" s="2294"/>
      <c r="G31" s="2294"/>
      <c r="H31" s="2294"/>
      <c r="I31" s="2294"/>
      <c r="J31" s="2294"/>
      <c r="K31" s="2294"/>
      <c r="L31" s="2294"/>
      <c r="M31" s="2294"/>
      <c r="N31" s="2294"/>
      <c r="O31" s="2294"/>
      <c r="P31" s="2294"/>
      <c r="Q31" s="2294"/>
      <c r="R31" s="2294"/>
      <c r="S31" s="2294"/>
      <c r="T31" s="2294"/>
      <c r="U31" s="2294"/>
      <c r="V31" s="2294"/>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3.8"/>
  <cols>
    <col min="1" max="1" width="10.44140625" style="1358" customWidth="1"/>
    <col min="2" max="3" width="15.77734375" style="1358" customWidth="1"/>
    <col min="4" max="4" width="12.21875" style="1358" customWidth="1"/>
    <col min="5" max="5" width="17.109375" style="1358" customWidth="1"/>
    <col min="6" max="6" width="12.21875" style="1358" customWidth="1"/>
    <col min="7" max="7" width="16.44140625" style="1358" customWidth="1"/>
    <col min="8" max="8" width="12.21875" style="1358" customWidth="1"/>
    <col min="9" max="9" width="15.6640625" style="1358" customWidth="1"/>
    <col min="10" max="10" width="12.21875" style="1358" customWidth="1"/>
    <col min="11" max="11" width="12.21875" style="1359" customWidth="1"/>
    <col min="12" max="12" width="12.21875" style="1360" customWidth="1"/>
    <col min="13" max="15" width="12.21875" style="1358" customWidth="1"/>
    <col min="16" max="16" width="4.77734375" style="1361" customWidth="1"/>
    <col min="17" max="17" width="19.44140625" style="1358" customWidth="1"/>
    <col min="18" max="22" width="6.109375" style="1358" customWidth="1"/>
    <col min="23" max="23" width="5.77734375" style="1358" customWidth="1"/>
    <col min="24" max="24" width="4.21875" style="1358" customWidth="1"/>
    <col min="25" max="25" width="3.44140625" style="1358" customWidth="1"/>
    <col min="26" max="26" width="19.77734375" style="1358" customWidth="1"/>
    <col min="27" max="28" width="9.33203125" style="1358" customWidth="1"/>
    <col min="29" max="16384" width="9" style="1358"/>
  </cols>
  <sheetData>
    <row r="1" spans="1:29" s="1351" customFormat="1" ht="28.5" customHeight="1">
      <c r="A1" s="1362" t="s">
        <v>3453</v>
      </c>
      <c r="B1" s="1363" t="s">
        <v>3454</v>
      </c>
      <c r="C1" s="1364" t="s">
        <v>2860</v>
      </c>
      <c r="D1" s="1365"/>
      <c r="E1" s="1366"/>
      <c r="F1" s="1367"/>
      <c r="G1" s="1368" t="s">
        <v>2863</v>
      </c>
      <c r="H1" s="1369"/>
      <c r="I1" s="1369"/>
      <c r="J1" s="1369"/>
      <c r="K1" s="1519"/>
      <c r="L1" s="1520"/>
      <c r="M1" s="1364"/>
      <c r="N1" s="1364"/>
      <c r="O1" s="1364"/>
      <c r="P1" s="2222"/>
      <c r="Q1" s="2132"/>
      <c r="R1" s="2132"/>
      <c r="S1" s="2132"/>
      <c r="T1" s="2132"/>
      <c r="U1" s="2132"/>
      <c r="V1" s="2132"/>
      <c r="W1" s="2132"/>
      <c r="X1" s="2132"/>
      <c r="Y1" s="2132"/>
      <c r="Z1" s="2132"/>
      <c r="AA1" s="2132"/>
      <c r="AB1" s="2132"/>
      <c r="AC1" s="2172"/>
    </row>
    <row r="2" spans="1:29" s="2211" customFormat="1" ht="28.5" customHeight="1">
      <c r="A2" s="1370" t="s">
        <v>2864</v>
      </c>
      <c r="B2" s="2212" t="b">
        <f>IF(E1="项目模式",IF(C2="——",ROUND(C49*D3/10000,0),ROUND(C49*D3/10000,0)-D2),IF(E1="单套模式",IF(C2="——",ROUND(C49*D3/10000,4),ROUND(C49*D3/10000,4)-D2)))</f>
        <v>0</v>
      </c>
      <c r="C2" s="1372"/>
      <c r="D2" s="1373" t="e">
        <f ca="1">IF(E1="项目模式",SUMIF(INDIRECT("'"&amp;F2&amp;"'"&amp;"!A:A"),"承租人权益价值",INDIRECT("'"&amp;F2&amp;"'"&amp;"!c:c")),SUMIF(INDIRECT("'"&amp;F2&amp;"'"&amp;"!A:A"),"承租人权益价值（单套）",INDIRECT("'"&amp;F2&amp;"'"&amp;"!c:c")))</f>
        <v>#REF!</v>
      </c>
      <c r="E2" s="1374" t="s">
        <v>2865</v>
      </c>
      <c r="F2" s="1375"/>
      <c r="G2" s="2111"/>
      <c r="H2" s="2111"/>
      <c r="I2" s="2111"/>
      <c r="J2" s="2111"/>
      <c r="K2" s="2223"/>
      <c r="L2" s="2224"/>
      <c r="M2" s="2225"/>
      <c r="N2" s="2225"/>
      <c r="O2" s="2225"/>
      <c r="P2" s="2226"/>
      <c r="Q2" s="2245"/>
      <c r="R2" s="2245"/>
      <c r="S2" s="2245"/>
      <c r="T2" s="2245"/>
      <c r="U2" s="2245"/>
      <c r="V2" s="2245"/>
      <c r="W2" s="2245"/>
      <c r="X2" s="2245"/>
      <c r="Y2" s="2245"/>
      <c r="Z2" s="2245"/>
      <c r="AA2" s="2245"/>
      <c r="AB2" s="2245"/>
      <c r="AC2" s="2246"/>
    </row>
    <row r="3" spans="1:29" s="2211" customFormat="1" ht="28.5" customHeight="1">
      <c r="A3" s="380" t="s">
        <v>2866</v>
      </c>
      <c r="B3" s="1379">
        <f>IF(C2="——",C49,ROUND(B2*10000/D3,0))</f>
        <v>0</v>
      </c>
      <c r="C3" s="1378" t="s">
        <v>2867</v>
      </c>
      <c r="D3" s="1379">
        <f>IF(D1="",'数据-汇总表'!E3,SUMIF('数据-汇总表'!$C19:$C33,D1,'数据-汇总表'!$E19:$E33))</f>
        <v>8450.66</v>
      </c>
      <c r="E3" s="2111"/>
      <c r="F3" s="2213"/>
      <c r="G3" s="2111"/>
      <c r="H3" s="2111"/>
      <c r="I3" s="2111"/>
      <c r="J3" s="2111"/>
      <c r="K3" s="2223"/>
      <c r="L3" s="2224"/>
      <c r="M3" s="2225"/>
      <c r="N3" s="2225"/>
      <c r="O3" s="2225"/>
      <c r="P3" s="2226"/>
      <c r="Q3" s="2245"/>
      <c r="R3" s="2245"/>
      <c r="S3" s="2245"/>
      <c r="T3" s="2245"/>
      <c r="U3" s="2245"/>
      <c r="V3" s="2245"/>
      <c r="W3" s="2245"/>
      <c r="X3" s="2245"/>
      <c r="Y3" s="2245"/>
      <c r="Z3" s="2245"/>
      <c r="AA3" s="2245"/>
      <c r="AB3" s="2245"/>
      <c r="AC3" s="1341"/>
    </row>
    <row r="4" spans="1:29" ht="14.4">
      <c r="A4" s="1382" t="s">
        <v>2869</v>
      </c>
      <c r="B4" s="1383"/>
      <c r="C4" s="3681" t="s">
        <v>2870</v>
      </c>
      <c r="D4" s="3682"/>
      <c r="E4" s="3683" t="s">
        <v>2871</v>
      </c>
      <c r="F4" s="3684"/>
      <c r="G4" s="3681" t="s">
        <v>2872</v>
      </c>
      <c r="H4" s="3682"/>
      <c r="I4" s="3681" t="s">
        <v>2873</v>
      </c>
      <c r="J4" s="3682"/>
      <c r="K4" s="2227" t="s">
        <v>2874</v>
      </c>
      <c r="L4" s="1527"/>
      <c r="M4" s="1528"/>
      <c r="N4" s="1528"/>
      <c r="O4" s="1528"/>
      <c r="P4" s="3652" t="s">
        <v>2875</v>
      </c>
      <c r="Q4" s="3653"/>
      <c r="R4" s="3658" t="s">
        <v>2871</v>
      </c>
      <c r="S4" s="3659"/>
      <c r="T4" s="3658" t="s">
        <v>2872</v>
      </c>
      <c r="U4" s="3659"/>
      <c r="V4" s="3664" t="s">
        <v>2873</v>
      </c>
      <c r="W4" s="3664"/>
      <c r="X4" s="1575"/>
      <c r="Y4" s="3658" t="s">
        <v>2875</v>
      </c>
      <c r="Z4" s="3659"/>
      <c r="AA4" s="3649" t="s">
        <v>2871</v>
      </c>
      <c r="AB4" s="3649" t="s">
        <v>2872</v>
      </c>
      <c r="AC4" s="3649" t="s">
        <v>2873</v>
      </c>
    </row>
    <row r="5" spans="1:29">
      <c r="A5" s="1384"/>
      <c r="B5" s="1385"/>
      <c r="C5" s="3685" t="s">
        <v>2876</v>
      </c>
      <c r="D5" s="3686"/>
      <c r="E5" s="3733" t="s">
        <v>3455</v>
      </c>
      <c r="F5" s="3688"/>
      <c r="G5" s="3685" t="s">
        <v>3456</v>
      </c>
      <c r="H5" s="3686"/>
      <c r="I5" s="3685" t="s">
        <v>3457</v>
      </c>
      <c r="J5" s="3686"/>
      <c r="K5" s="2228"/>
      <c r="L5" s="1527"/>
      <c r="M5" s="1528"/>
      <c r="N5" s="1528"/>
      <c r="O5" s="1528"/>
      <c r="P5" s="3654"/>
      <c r="Q5" s="3655"/>
      <c r="R5" s="3660"/>
      <c r="S5" s="3661"/>
      <c r="T5" s="3660"/>
      <c r="U5" s="3661"/>
      <c r="V5" s="3664"/>
      <c r="W5" s="3664"/>
      <c r="X5" s="1575"/>
      <c r="Y5" s="3660"/>
      <c r="Z5" s="3661"/>
      <c r="AA5" s="3650"/>
      <c r="AB5" s="3650"/>
      <c r="AC5" s="3650"/>
    </row>
    <row r="6" spans="1:29" ht="14.4">
      <c r="A6" s="1386"/>
      <c r="B6" s="1387"/>
      <c r="C6" s="3676" t="s">
        <v>2880</v>
      </c>
      <c r="D6" s="3677"/>
      <c r="E6" s="3678" t="s">
        <v>2880</v>
      </c>
      <c r="F6" s="3679"/>
      <c r="G6" s="3676" t="s">
        <v>2880</v>
      </c>
      <c r="H6" s="3677"/>
      <c r="I6" s="3676" t="s">
        <v>2880</v>
      </c>
      <c r="J6" s="3677"/>
      <c r="K6" s="2228" t="s">
        <v>2881</v>
      </c>
      <c r="L6" s="1527"/>
      <c r="M6" s="1528"/>
      <c r="N6" s="1528"/>
      <c r="O6" s="1528"/>
      <c r="P6" s="3656"/>
      <c r="Q6" s="3657"/>
      <c r="R6" s="3660"/>
      <c r="S6" s="3661"/>
      <c r="T6" s="3662"/>
      <c r="U6" s="3663"/>
      <c r="V6" s="3664"/>
      <c r="W6" s="3664"/>
      <c r="X6" s="1575"/>
      <c r="Y6" s="3662"/>
      <c r="Z6" s="3663"/>
      <c r="AA6" s="3651"/>
      <c r="AB6" s="3651"/>
      <c r="AC6" s="3651"/>
    </row>
    <row r="7" spans="1:29" s="1353" customFormat="1" ht="14.4">
      <c r="A7" s="1388" t="s">
        <v>2882</v>
      </c>
      <c r="B7" s="1389"/>
      <c r="C7" s="1390">
        <f>'数据-取费表'!B2</f>
        <v>45311</v>
      </c>
      <c r="D7" s="1391">
        <v>100</v>
      </c>
      <c r="E7" s="1392"/>
      <c r="F7" s="1393">
        <f>SUMIF(58:58,YEAR(E7)&amp;"-"&amp;MONTH(E7),59:59)</f>
        <v>0</v>
      </c>
      <c r="G7" s="1392"/>
      <c r="H7" s="1391">
        <f>SUMIF(58:58,YEAR(G7)&amp;"-"&amp;MONTH(G7),59:59)</f>
        <v>0</v>
      </c>
      <c r="I7" s="1392"/>
      <c r="J7" s="1391">
        <f>SUMIF(58:58,YEAR(I7)&amp;"-"&amp;MONTH(I7),59:59)</f>
        <v>0</v>
      </c>
      <c r="K7" s="2229"/>
      <c r="L7" s="1530"/>
      <c r="M7" s="1531"/>
      <c r="N7" s="1531"/>
      <c r="O7" s="1531"/>
      <c r="P7" s="3670" t="s">
        <v>2883</v>
      </c>
      <c r="Q7" s="3680"/>
      <c r="R7" s="1576" t="s">
        <v>2884</v>
      </c>
      <c r="S7" s="1577">
        <f t="shared" ref="S7:S15" si="0">F7</f>
        <v>0</v>
      </c>
      <c r="T7" s="1576" t="s">
        <v>2884</v>
      </c>
      <c r="U7" s="1577">
        <f t="shared" ref="U7:U15" si="1">H7</f>
        <v>0</v>
      </c>
      <c r="V7" s="1576" t="s">
        <v>2884</v>
      </c>
      <c r="W7" s="1577">
        <f t="shared" ref="W7:W15" si="2">J7</f>
        <v>0</v>
      </c>
      <c r="X7" s="1578"/>
      <c r="Y7" s="3670" t="s">
        <v>2883</v>
      </c>
      <c r="Z7" s="3671"/>
      <c r="AA7" s="1593" t="e">
        <f>D7/F7</f>
        <v>#DIV/0!</v>
      </c>
      <c r="AB7" s="1593" t="e">
        <f>D7/H7</f>
        <v>#DIV/0!</v>
      </c>
      <c r="AC7" s="1593" t="e">
        <f>D7/J7</f>
        <v>#DIV/0!</v>
      </c>
    </row>
    <row r="8" spans="1:29" s="1353" customFormat="1" ht="14.4">
      <c r="A8" s="1388" t="s">
        <v>2885</v>
      </c>
      <c r="B8" s="1389"/>
      <c r="C8" s="1394"/>
      <c r="D8" s="1391">
        <v>100</v>
      </c>
      <c r="E8" s="2214"/>
      <c r="F8" s="1393">
        <f>SUMIF(61:61,E8,62:62)-SUMIF(61:61,C8,62:62)+100</f>
        <v>100</v>
      </c>
      <c r="G8" s="1394"/>
      <c r="H8" s="1391">
        <f>SUMIF(61:61,G8,62:62)-SUMIF(61:61,C8,62:62)+100</f>
        <v>100</v>
      </c>
      <c r="I8" s="2214"/>
      <c r="J8" s="1391">
        <f>SUMIF(61:61,I8,62:62)-SUMIF(61:61,C8,62:62)+100</f>
        <v>100</v>
      </c>
      <c r="K8" s="2229"/>
      <c r="L8" s="1530"/>
      <c r="M8" s="1531"/>
      <c r="N8" s="1531"/>
      <c r="O8" s="1531"/>
      <c r="P8" s="3670" t="s">
        <v>2887</v>
      </c>
      <c r="Q8" s="3671"/>
      <c r="R8" s="1576" t="s">
        <v>2884</v>
      </c>
      <c r="S8" s="1577">
        <f t="shared" si="0"/>
        <v>100</v>
      </c>
      <c r="T8" s="1576" t="s">
        <v>2884</v>
      </c>
      <c r="U8" s="1577">
        <f t="shared" si="1"/>
        <v>100</v>
      </c>
      <c r="V8" s="1576" t="s">
        <v>2884</v>
      </c>
      <c r="W8" s="1577">
        <f t="shared" si="2"/>
        <v>100</v>
      </c>
      <c r="X8" s="1578"/>
      <c r="Y8" s="3670" t="s">
        <v>2887</v>
      </c>
      <c r="Z8" s="3671"/>
      <c r="AA8" s="1593">
        <f t="shared" ref="AA8:AA19" si="3">D8/F8</f>
        <v>1</v>
      </c>
      <c r="AB8" s="1593">
        <f t="shared" ref="AB8:AB19" si="4">D8/H8</f>
        <v>1</v>
      </c>
      <c r="AC8" s="1593">
        <f t="shared" ref="AC8:AC19" si="5">D8/J8</f>
        <v>1</v>
      </c>
    </row>
    <row r="9" spans="1:29" s="1353" customFormat="1" ht="14.4">
      <c r="A9" s="1395" t="s">
        <v>2888</v>
      </c>
      <c r="B9" s="1396" t="s">
        <v>2889</v>
      </c>
      <c r="C9" s="2134"/>
      <c r="D9" s="1398">
        <v>100</v>
      </c>
      <c r="E9" s="1399"/>
      <c r="F9" s="1400">
        <f>SUMIF(63:63,E9,64:64)-SUMIF(63:63,C9,64:64)+100</f>
        <v>100</v>
      </c>
      <c r="G9" s="2135"/>
      <c r="H9" s="1398">
        <f>SUMIF(63:63,G9,64:64)-SUMIF(63:63,C9,64:64)+100</f>
        <v>100</v>
      </c>
      <c r="I9" s="2135"/>
      <c r="J9" s="1398">
        <f>SUMIF(63:63,I9,64:64)-SUMIF(63:63,C9,64:64)+100</f>
        <v>100</v>
      </c>
      <c r="K9" s="2229"/>
      <c r="L9" s="1530"/>
      <c r="M9" s="1531"/>
      <c r="N9" s="1531"/>
      <c r="O9" s="1531"/>
      <c r="P9" s="3726" t="s">
        <v>2891</v>
      </c>
      <c r="Q9" s="1580" t="str">
        <f t="shared" ref="Q9:Q15" si="6">B9</f>
        <v>用途</v>
      </c>
      <c r="R9" s="1576" t="s">
        <v>2884</v>
      </c>
      <c r="S9" s="1577">
        <f t="shared" si="0"/>
        <v>100</v>
      </c>
      <c r="T9" s="1576" t="s">
        <v>2884</v>
      </c>
      <c r="U9" s="1577">
        <f t="shared" si="1"/>
        <v>100</v>
      </c>
      <c r="V9" s="1576" t="s">
        <v>2884</v>
      </c>
      <c r="W9" s="1577">
        <f t="shared" si="2"/>
        <v>100</v>
      </c>
      <c r="X9" s="1578"/>
      <c r="Y9" s="3573" t="s">
        <v>2892</v>
      </c>
      <c r="Z9" s="1594" t="str">
        <f t="shared" ref="Z9:Z15" si="7">Q9</f>
        <v>用途</v>
      </c>
      <c r="AA9" s="1593">
        <f t="shared" si="3"/>
        <v>1</v>
      </c>
      <c r="AB9" s="1593">
        <f t="shared" si="4"/>
        <v>1</v>
      </c>
      <c r="AC9" s="1593">
        <f t="shared" si="5"/>
        <v>1</v>
      </c>
    </row>
    <row r="10" spans="1:29" s="1354" customFormat="1" ht="28.8">
      <c r="A10" s="1401"/>
      <c r="B10" s="1402" t="s">
        <v>2893</v>
      </c>
      <c r="C10" s="2136"/>
      <c r="D10" s="1404">
        <v>100</v>
      </c>
      <c r="E10" s="2137"/>
      <c r="F10" s="1405">
        <f>SUMIF(65:65,E10,66:66)-SUMIF(65:65,C10,66:66)+100</f>
        <v>100</v>
      </c>
      <c r="G10" s="2136"/>
      <c r="H10" s="1404">
        <f>SUMIF(65:65,G10,66:66)-SUMIF(65:65,C10,66:66)+100</f>
        <v>100</v>
      </c>
      <c r="I10" s="2136"/>
      <c r="J10" s="1404">
        <f>SUMIF(65:65,I10,66:66)-SUMIF(65:65,C10,66:66)+100</f>
        <v>100</v>
      </c>
      <c r="K10" s="2229"/>
      <c r="L10" s="1532"/>
      <c r="M10" s="1533"/>
      <c r="N10" s="1533"/>
      <c r="O10" s="1533"/>
      <c r="P10" s="3726"/>
      <c r="Q10" s="1580" t="str">
        <f t="shared" si="6"/>
        <v>土地使用年限（年）</v>
      </c>
      <c r="R10" s="1576" t="s">
        <v>2884</v>
      </c>
      <c r="S10" s="1577">
        <f t="shared" si="0"/>
        <v>100</v>
      </c>
      <c r="T10" s="1576" t="s">
        <v>2884</v>
      </c>
      <c r="U10" s="1577">
        <f t="shared" si="1"/>
        <v>100</v>
      </c>
      <c r="V10" s="1576" t="s">
        <v>2884</v>
      </c>
      <c r="W10" s="1577">
        <f t="shared" si="2"/>
        <v>100</v>
      </c>
      <c r="X10" s="1578"/>
      <c r="Y10" s="3573"/>
      <c r="Z10" s="1594" t="str">
        <f t="shared" si="7"/>
        <v>土地使用年限（年）</v>
      </c>
      <c r="AA10" s="1593">
        <f t="shared" si="3"/>
        <v>1</v>
      </c>
      <c r="AB10" s="1593">
        <f t="shared" si="4"/>
        <v>1</v>
      </c>
      <c r="AC10" s="1593">
        <f t="shared" si="5"/>
        <v>1</v>
      </c>
    </row>
    <row r="11" spans="1:29" ht="15">
      <c r="A11" s="1406"/>
      <c r="B11" s="1402" t="s">
        <v>3458</v>
      </c>
      <c r="C11" s="1407"/>
      <c r="D11" s="1404">
        <v>100</v>
      </c>
      <c r="E11" s="1408"/>
      <c r="F11" s="1405" t="e">
        <f>LOOKUP(E11,68:68,69:69)-LOOKUP(C11,68:68,69:69)+100</f>
        <v>#N/A</v>
      </c>
      <c r="G11" s="1407"/>
      <c r="H11" s="1404" t="e">
        <f>LOOKUP(G11,68:68,69:69)-LOOKUP(C11,68:68,69:69)+100</f>
        <v>#N/A</v>
      </c>
      <c r="I11" s="1407"/>
      <c r="J11" s="1404" t="e">
        <f>LOOKUP(I11,68:68,69:69)-LOOKUP(C11,68:68,69:69)+100</f>
        <v>#N/A</v>
      </c>
      <c r="K11" s="2230"/>
      <c r="L11" s="1535"/>
      <c r="M11" s="1528"/>
      <c r="N11" s="1528"/>
      <c r="O11" s="1528"/>
      <c r="P11" s="3726"/>
      <c r="Q11" s="1580" t="str">
        <f t="shared" si="6"/>
        <v>容积率</v>
      </c>
      <c r="R11" s="1576" t="s">
        <v>2884</v>
      </c>
      <c r="S11" s="1577" t="e">
        <f t="shared" si="0"/>
        <v>#N/A</v>
      </c>
      <c r="T11" s="1576" t="s">
        <v>2884</v>
      </c>
      <c r="U11" s="1577" t="e">
        <f t="shared" si="1"/>
        <v>#N/A</v>
      </c>
      <c r="V11" s="1576" t="s">
        <v>2884</v>
      </c>
      <c r="W11" s="1577" t="e">
        <f t="shared" si="2"/>
        <v>#N/A</v>
      </c>
      <c r="X11" s="1578"/>
      <c r="Y11" s="3573"/>
      <c r="Z11" s="1594" t="str">
        <f t="shared" si="7"/>
        <v>容积率</v>
      </c>
      <c r="AA11" s="1593" t="e">
        <f t="shared" si="3"/>
        <v>#N/A</v>
      </c>
      <c r="AB11" s="1593" t="e">
        <f t="shared" si="4"/>
        <v>#N/A</v>
      </c>
      <c r="AC11" s="1593" t="e">
        <f t="shared" si="5"/>
        <v>#N/A</v>
      </c>
    </row>
    <row r="12" spans="1:29" s="1353" customFormat="1" ht="15">
      <c r="A12" s="1409"/>
      <c r="B12" s="1410">
        <v>111</v>
      </c>
      <c r="C12" s="1411"/>
      <c r="D12" s="1412">
        <v>100</v>
      </c>
      <c r="E12" s="1411"/>
      <c r="F12" s="1405">
        <f>SUMIF(70:70,E12,71:71)-SUMIF(70:70,C12,71:71)+100</f>
        <v>100</v>
      </c>
      <c r="G12" s="1411"/>
      <c r="H12" s="1404">
        <f>SUMIF(70:70,G12,71:71)-SUMIF(70:70,C12,71:71)+100</f>
        <v>100</v>
      </c>
      <c r="I12" s="1411"/>
      <c r="J12" s="1404">
        <f>SUMIF(70:70,I12,71:71)-SUMIF(70:70,C12,71:71)+100</f>
        <v>100</v>
      </c>
      <c r="K12" s="2231"/>
      <c r="L12" s="1530"/>
      <c r="M12" s="1531"/>
      <c r="N12" s="1531"/>
      <c r="O12" s="1531"/>
      <c r="P12" s="3726"/>
      <c r="Q12" s="1580">
        <f t="shared" si="6"/>
        <v>111</v>
      </c>
      <c r="R12" s="1576" t="s">
        <v>2884</v>
      </c>
      <c r="S12" s="1577">
        <f t="shared" si="0"/>
        <v>100</v>
      </c>
      <c r="T12" s="1576" t="s">
        <v>2884</v>
      </c>
      <c r="U12" s="1577">
        <f t="shared" si="1"/>
        <v>100</v>
      </c>
      <c r="V12" s="1576" t="s">
        <v>2884</v>
      </c>
      <c r="W12" s="1577">
        <f t="shared" si="2"/>
        <v>100</v>
      </c>
      <c r="X12" s="1578"/>
      <c r="Y12" s="3573"/>
      <c r="Z12" s="1594">
        <f t="shared" si="7"/>
        <v>111</v>
      </c>
      <c r="AA12" s="1593">
        <f t="shared" si="3"/>
        <v>1</v>
      </c>
      <c r="AB12" s="1593">
        <f t="shared" si="4"/>
        <v>1</v>
      </c>
      <c r="AC12" s="1593">
        <f t="shared" si="5"/>
        <v>1</v>
      </c>
    </row>
    <row r="13" spans="1:29" ht="15">
      <c r="A13" s="1406"/>
      <c r="B13" s="1410">
        <v>111</v>
      </c>
      <c r="C13" s="1413"/>
      <c r="D13" s="1414">
        <v>100</v>
      </c>
      <c r="E13" s="1413"/>
      <c r="F13" s="1405">
        <f>SUMIF(72:72,E13,73:73)-SUMIF(72:72,C13,73:73)+100</f>
        <v>100</v>
      </c>
      <c r="G13" s="1413"/>
      <c r="H13" s="1414">
        <f>SUMIF(72:72,G13,73:73)-SUMIF(72:72,C13,73:73)+100</f>
        <v>100</v>
      </c>
      <c r="I13" s="1413"/>
      <c r="J13" s="1414">
        <f>SUMIF(72:72,I13,73:73)-SUMIF(72:72,C13,73:73)+100</f>
        <v>100</v>
      </c>
      <c r="K13" s="2231"/>
      <c r="L13" s="1537"/>
      <c r="M13" s="1528"/>
      <c r="N13" s="1528"/>
      <c r="O13" s="1528"/>
      <c r="P13" s="3726"/>
      <c r="Q13" s="1580">
        <f t="shared" si="6"/>
        <v>111</v>
      </c>
      <c r="R13" s="1576" t="s">
        <v>2884</v>
      </c>
      <c r="S13" s="1577">
        <f t="shared" si="0"/>
        <v>100</v>
      </c>
      <c r="T13" s="1576" t="s">
        <v>2884</v>
      </c>
      <c r="U13" s="1577">
        <f t="shared" si="1"/>
        <v>100</v>
      </c>
      <c r="V13" s="1576" t="s">
        <v>2884</v>
      </c>
      <c r="W13" s="1577">
        <f t="shared" si="2"/>
        <v>100</v>
      </c>
      <c r="X13" s="1578"/>
      <c r="Y13" s="3573"/>
      <c r="Z13" s="1594">
        <f t="shared" si="7"/>
        <v>111</v>
      </c>
      <c r="AA13" s="1593">
        <f t="shared" si="3"/>
        <v>1</v>
      </c>
      <c r="AB13" s="1593">
        <f t="shared" si="4"/>
        <v>1</v>
      </c>
      <c r="AC13" s="1593">
        <f t="shared" si="5"/>
        <v>1</v>
      </c>
    </row>
    <row r="14" spans="1:29" ht="15">
      <c r="A14" s="1415"/>
      <c r="B14" s="1416">
        <v>111</v>
      </c>
      <c r="C14" s="1417"/>
      <c r="D14" s="1418">
        <v>100</v>
      </c>
      <c r="E14" s="1417"/>
      <c r="F14" s="1419">
        <f>SUMIF(74:74,E14,75:75)-SUMIF(74:74,C14,75:75)+100</f>
        <v>100</v>
      </c>
      <c r="G14" s="1417"/>
      <c r="H14" s="1418">
        <f>SUMIF(74:74,G14,75:75)-SUMIF(74:74,C14,75:75)+100</f>
        <v>100</v>
      </c>
      <c r="I14" s="1417"/>
      <c r="J14" s="1418">
        <f>SUMIF(74:74,I14,75:75)-SUMIF(74:74,C14,75:75)+100</f>
        <v>100</v>
      </c>
      <c r="K14" s="2231"/>
      <c r="L14" s="1537"/>
      <c r="M14" s="1528"/>
      <c r="N14" s="1528"/>
      <c r="O14" s="1528"/>
      <c r="P14" s="3726"/>
      <c r="Q14" s="1580">
        <f t="shared" si="6"/>
        <v>111</v>
      </c>
      <c r="R14" s="1576" t="s">
        <v>2884</v>
      </c>
      <c r="S14" s="1577">
        <f t="shared" si="0"/>
        <v>100</v>
      </c>
      <c r="T14" s="1576" t="s">
        <v>2884</v>
      </c>
      <c r="U14" s="1577">
        <f t="shared" si="1"/>
        <v>100</v>
      </c>
      <c r="V14" s="1576" t="s">
        <v>2884</v>
      </c>
      <c r="W14" s="1577">
        <f t="shared" si="2"/>
        <v>100</v>
      </c>
      <c r="X14" s="1578"/>
      <c r="Y14" s="3573"/>
      <c r="Z14" s="1594">
        <f t="shared" si="7"/>
        <v>111</v>
      </c>
      <c r="AA14" s="1593">
        <f t="shared" si="3"/>
        <v>1</v>
      </c>
      <c r="AB14" s="1593">
        <f t="shared" si="4"/>
        <v>1</v>
      </c>
      <c r="AC14" s="1593">
        <f t="shared" si="5"/>
        <v>1</v>
      </c>
    </row>
    <row r="15" spans="1:29" ht="96.6">
      <c r="A15" s="1420" t="s">
        <v>2895</v>
      </c>
      <c r="B15" s="1421" t="s">
        <v>3459</v>
      </c>
      <c r="C15" s="1422" t="str">
        <f>估价对象房地状况!C3</f>
        <v>估价对象周边居住用地比例、居住小区规模和社区发展完善程度，综合评价居住社区成熟度一般</v>
      </c>
      <c r="D15" s="1423">
        <v>100</v>
      </c>
      <c r="E15" s="1426"/>
      <c r="F15" s="1423">
        <f>SUMIF(76:76,E16,77:77)-SUMIF(76:76,C16,77:77)+100</f>
        <v>100</v>
      </c>
      <c r="G15" s="1424"/>
      <c r="H15" s="1423">
        <f>SUMIF(76:76,G16,77:77)-SUMIF(76:76,C16,77:77)+100</f>
        <v>100</v>
      </c>
      <c r="I15" s="1424"/>
      <c r="J15" s="1423">
        <f>SUMIF(76:76,I16,77:77)-SUMIF(76:76,C16,77:77)+100</f>
        <v>100</v>
      </c>
      <c r="K15" s="2232"/>
      <c r="L15" s="1537"/>
      <c r="M15" s="1528"/>
      <c r="N15" s="1528"/>
      <c r="O15" s="1528"/>
      <c r="P15" s="3727" t="s">
        <v>2897</v>
      </c>
      <c r="Q15" s="1076" t="str">
        <f t="shared" si="6"/>
        <v>居住社区成熟度</v>
      </c>
      <c r="R15" s="1581" t="s">
        <v>2884</v>
      </c>
      <c r="S15" s="1582">
        <f t="shared" si="0"/>
        <v>100</v>
      </c>
      <c r="T15" s="1581" t="s">
        <v>2884</v>
      </c>
      <c r="U15" s="1582">
        <f t="shared" si="1"/>
        <v>100</v>
      </c>
      <c r="V15" s="1581" t="s">
        <v>2884</v>
      </c>
      <c r="W15" s="1582">
        <f t="shared" si="2"/>
        <v>100</v>
      </c>
      <c r="X15" s="1575"/>
      <c r="Y15" s="3672" t="s">
        <v>2897</v>
      </c>
      <c r="Z15" s="1574" t="str">
        <f t="shared" si="7"/>
        <v>居住社区成熟度</v>
      </c>
      <c r="AA15" s="1587">
        <f t="shared" si="3"/>
        <v>1</v>
      </c>
      <c r="AB15" s="1587">
        <f t="shared" si="4"/>
        <v>1</v>
      </c>
      <c r="AC15" s="1587">
        <f t="shared" si="5"/>
        <v>1</v>
      </c>
    </row>
    <row r="16" spans="1:29" ht="15">
      <c r="A16" s="1406"/>
      <c r="B16" s="1427"/>
      <c r="C16" s="1428"/>
      <c r="D16" s="1429"/>
      <c r="E16" s="1446"/>
      <c r="F16" s="1429"/>
      <c r="G16" s="1445"/>
      <c r="H16" s="1431"/>
      <c r="I16" s="1445"/>
      <c r="J16" s="1429"/>
      <c r="K16" s="2233"/>
      <c r="L16" s="1537"/>
      <c r="M16" s="1528"/>
      <c r="N16" s="1528"/>
      <c r="O16" s="1528"/>
      <c r="P16" s="3728"/>
      <c r="Q16" s="1076"/>
      <c r="R16" s="1581"/>
      <c r="S16" s="1582"/>
      <c r="T16" s="1581"/>
      <c r="U16" s="1582"/>
      <c r="V16" s="1581"/>
      <c r="W16" s="1582"/>
      <c r="X16" s="1575"/>
      <c r="Y16" s="3673"/>
      <c r="Z16" s="1574"/>
      <c r="AA16" s="1587">
        <v>1</v>
      </c>
      <c r="AB16" s="1587">
        <v>1</v>
      </c>
      <c r="AC16" s="1587">
        <v>1</v>
      </c>
    </row>
    <row r="17" spans="1:29" ht="82.8">
      <c r="A17" s="1406"/>
      <c r="B17" s="1432" t="s">
        <v>2896</v>
      </c>
      <c r="C17" s="1433" t="str">
        <f>估价对象房地状况!C6</f>
        <v>估价对象周边道路状况、公共交通通达情况、停车便捷程度，综合评价交通便捷度较好</v>
      </c>
      <c r="D17" s="1431">
        <v>100</v>
      </c>
      <c r="E17" s="1436"/>
      <c r="F17" s="1431">
        <f>SUMIF(78:78,E18,79:79)-SUMIF(78:78,C18,79:79)+100</f>
        <v>100</v>
      </c>
      <c r="G17" s="1434"/>
      <c r="H17" s="1437">
        <f>SUMIF(78:78,G18,79:79)-SUMIF(78:78,C18,79:79)+100</f>
        <v>100</v>
      </c>
      <c r="I17" s="1434"/>
      <c r="J17" s="1437">
        <f>SUMIF(78:78,I18,79:79)-SUMIF(78:78,C18,79:79)+100</f>
        <v>100</v>
      </c>
      <c r="K17" s="2232"/>
      <c r="L17" s="1537"/>
      <c r="M17" s="1528"/>
      <c r="N17" s="1528"/>
      <c r="O17" s="1528"/>
      <c r="P17" s="3728"/>
      <c r="Q17" s="1076" t="str">
        <f>B17</f>
        <v>交通便捷度</v>
      </c>
      <c r="R17" s="1581" t="s">
        <v>2884</v>
      </c>
      <c r="S17" s="1582">
        <f>F17</f>
        <v>100</v>
      </c>
      <c r="T17" s="1581" t="s">
        <v>2884</v>
      </c>
      <c r="U17" s="1582">
        <f>H17</f>
        <v>100</v>
      </c>
      <c r="V17" s="1581" t="s">
        <v>2884</v>
      </c>
      <c r="W17" s="1582">
        <f>J17</f>
        <v>100</v>
      </c>
      <c r="X17" s="1575"/>
      <c r="Y17" s="3673"/>
      <c r="Z17" s="1574" t="str">
        <f>Q17</f>
        <v>交通便捷度</v>
      </c>
      <c r="AA17" s="1587">
        <f t="shared" si="3"/>
        <v>1</v>
      </c>
      <c r="AB17" s="1587">
        <f t="shared" si="4"/>
        <v>1</v>
      </c>
      <c r="AC17" s="1587">
        <f t="shared" si="5"/>
        <v>1</v>
      </c>
    </row>
    <row r="18" spans="1:29" ht="15">
      <c r="A18" s="1406"/>
      <c r="B18" s="1438"/>
      <c r="C18" s="1439"/>
      <c r="D18" s="1431"/>
      <c r="E18" s="1441"/>
      <c r="F18" s="1431"/>
      <c r="G18" s="1440"/>
      <c r="H18" s="1429"/>
      <c r="I18" s="1440"/>
      <c r="J18" s="1429"/>
      <c r="K18" s="2233"/>
      <c r="L18" s="1537"/>
      <c r="M18" s="1528"/>
      <c r="N18" s="1528"/>
      <c r="O18" s="1528"/>
      <c r="P18" s="3728"/>
      <c r="Q18" s="1076"/>
      <c r="R18" s="1581"/>
      <c r="S18" s="1582"/>
      <c r="T18" s="1581"/>
      <c r="U18" s="1582"/>
      <c r="V18" s="1581"/>
      <c r="W18" s="1582"/>
      <c r="X18" s="1575"/>
      <c r="Y18" s="3673"/>
      <c r="Z18" s="1574"/>
      <c r="AA18" s="1587">
        <v>1</v>
      </c>
      <c r="AB18" s="1587">
        <v>1</v>
      </c>
      <c r="AC18" s="1587">
        <v>1</v>
      </c>
    </row>
    <row r="19" spans="1:29" ht="41.4">
      <c r="A19" s="1406"/>
      <c r="B19" s="1432" t="s">
        <v>2899</v>
      </c>
      <c r="C19" s="1433" t="str">
        <f>估价对象房地状况!C7</f>
        <v>估价对象所在区域公共配套设施齐备情况</v>
      </c>
      <c r="D19" s="1437">
        <v>100</v>
      </c>
      <c r="E19" s="1444"/>
      <c r="F19" s="1437">
        <f>SUMIF(80:80,E20,81:81)-SUMIF(80:80,C20,81:81)+100</f>
        <v>100</v>
      </c>
      <c r="G19" s="1442"/>
      <c r="H19" s="1431">
        <f>SUMIF(80:80,G20,81:81)-SUMIF(80:80,C20,81:81)+100</f>
        <v>100</v>
      </c>
      <c r="I19" s="1442"/>
      <c r="J19" s="1431">
        <f>SUMIF(80:80,I20,81:81)-SUMIF(80:80,C20,81:81)+100</f>
        <v>100</v>
      </c>
      <c r="K19" s="2232"/>
      <c r="L19" s="1537"/>
      <c r="M19" s="1528"/>
      <c r="N19" s="1528"/>
      <c r="O19" s="1528"/>
      <c r="P19" s="3728"/>
      <c r="Q19" s="1076" t="str">
        <f>B19</f>
        <v>公共配套设施</v>
      </c>
      <c r="R19" s="1581" t="s">
        <v>2884</v>
      </c>
      <c r="S19" s="1582">
        <f>F19</f>
        <v>100</v>
      </c>
      <c r="T19" s="1581" t="s">
        <v>2884</v>
      </c>
      <c r="U19" s="1582">
        <f>H19</f>
        <v>100</v>
      </c>
      <c r="V19" s="1581" t="s">
        <v>2884</v>
      </c>
      <c r="W19" s="1582">
        <f>J19</f>
        <v>100</v>
      </c>
      <c r="X19" s="1575"/>
      <c r="Y19" s="3673"/>
      <c r="Z19" s="1574" t="str">
        <f>Q19</f>
        <v>公共配套设施</v>
      </c>
      <c r="AA19" s="1587">
        <f t="shared" si="3"/>
        <v>1</v>
      </c>
      <c r="AB19" s="1587">
        <f t="shared" si="4"/>
        <v>1</v>
      </c>
      <c r="AC19" s="1587">
        <f t="shared" si="5"/>
        <v>1</v>
      </c>
    </row>
    <row r="20" spans="1:29" ht="15">
      <c r="A20" s="1406"/>
      <c r="B20" s="1438"/>
      <c r="C20" s="1428"/>
      <c r="D20" s="1429"/>
      <c r="E20" s="1446"/>
      <c r="F20" s="1429"/>
      <c r="G20" s="1445"/>
      <c r="H20" s="1429"/>
      <c r="I20" s="1445"/>
      <c r="J20" s="1429"/>
      <c r="K20" s="2233"/>
      <c r="L20" s="1537"/>
      <c r="M20" s="1528"/>
      <c r="N20" s="1528"/>
      <c r="O20" s="1528"/>
      <c r="P20" s="3728"/>
      <c r="Q20" s="1076"/>
      <c r="R20" s="1581"/>
      <c r="S20" s="1582"/>
      <c r="T20" s="1581"/>
      <c r="U20" s="1582"/>
      <c r="V20" s="1581"/>
      <c r="W20" s="1582"/>
      <c r="X20" s="1575"/>
      <c r="Y20" s="3673"/>
      <c r="Z20" s="1574"/>
      <c r="AA20" s="1587">
        <v>1</v>
      </c>
      <c r="AB20" s="1587">
        <v>1</v>
      </c>
      <c r="AC20" s="1587">
        <v>1</v>
      </c>
    </row>
    <row r="21" spans="1:29" ht="27.6">
      <c r="A21" s="1406"/>
      <c r="B21" s="1447" t="s">
        <v>2901</v>
      </c>
      <c r="C21" s="1433" t="str">
        <f>估价对象房地状况!C8</f>
        <v>估价对象所在区域基础设施水平</v>
      </c>
      <c r="D21" s="1431">
        <v>100</v>
      </c>
      <c r="E21" s="1444"/>
      <c r="F21" s="1437">
        <f>SUMIF(82:82,E22,83:83)-SUMIF(82:82,C22,83:83)+100</f>
        <v>100</v>
      </c>
      <c r="G21" s="1442"/>
      <c r="H21" s="1431">
        <f>SUMIF(82:82,G22,83:83)-SUMIF(82:82,C22,83:83)+100</f>
        <v>100</v>
      </c>
      <c r="I21" s="1442"/>
      <c r="J21" s="1431">
        <f>SUMIF(82:82,I22,83:83)-SUMIF(82:82,C22,83:83)+100</f>
        <v>100</v>
      </c>
      <c r="K21" s="2232"/>
      <c r="L21" s="1537"/>
      <c r="M21" s="1528"/>
      <c r="N21" s="1528"/>
      <c r="O21" s="1528"/>
      <c r="P21" s="3728"/>
      <c r="Q21" s="1076" t="str">
        <f>B21</f>
        <v>基础设施水平</v>
      </c>
      <c r="R21" s="1581" t="s">
        <v>2884</v>
      </c>
      <c r="S21" s="1582">
        <f>F21</f>
        <v>100</v>
      </c>
      <c r="T21" s="1581" t="s">
        <v>2884</v>
      </c>
      <c r="U21" s="1582">
        <f>H21</f>
        <v>100</v>
      </c>
      <c r="V21" s="1581" t="s">
        <v>2884</v>
      </c>
      <c r="W21" s="1582">
        <f>J21</f>
        <v>100</v>
      </c>
      <c r="X21" s="1575"/>
      <c r="Y21" s="3673"/>
      <c r="Z21" s="1574" t="str">
        <f>Q21</f>
        <v>基础设施水平</v>
      </c>
      <c r="AA21" s="1587">
        <f t="shared" ref="AA21" si="8">D21/F21</f>
        <v>1</v>
      </c>
      <c r="AB21" s="1587">
        <f t="shared" ref="AB21" si="9">D21/H21</f>
        <v>1</v>
      </c>
      <c r="AC21" s="1587">
        <f t="shared" ref="AC21" si="10">D21/J21</f>
        <v>1</v>
      </c>
    </row>
    <row r="22" spans="1:29" ht="15">
      <c r="A22" s="1406"/>
      <c r="B22" s="1447"/>
      <c r="C22" s="1439"/>
      <c r="D22" s="1429"/>
      <c r="E22" s="1428"/>
      <c r="F22" s="1429"/>
      <c r="G22" s="1996"/>
      <c r="H22" s="1429"/>
      <c r="I22" s="1428"/>
      <c r="J22" s="1429"/>
      <c r="K22" s="2234"/>
      <c r="L22" s="1537"/>
      <c r="M22" s="1528"/>
      <c r="N22" s="1528"/>
      <c r="O22" s="1528"/>
      <c r="P22" s="3728"/>
      <c r="Q22" s="1076"/>
      <c r="R22" s="1581"/>
      <c r="S22" s="1582"/>
      <c r="T22" s="1581"/>
      <c r="U22" s="1582"/>
      <c r="V22" s="1581"/>
      <c r="W22" s="1582"/>
      <c r="X22" s="1575"/>
      <c r="Y22" s="3673"/>
      <c r="Z22" s="1574"/>
      <c r="AA22" s="1587">
        <v>1</v>
      </c>
      <c r="AB22" s="1587">
        <v>1</v>
      </c>
      <c r="AC22" s="1587">
        <v>1</v>
      </c>
    </row>
    <row r="23" spans="1:29" ht="55.2">
      <c r="A23" s="1406"/>
      <c r="B23" s="1432" t="s">
        <v>2902</v>
      </c>
      <c r="C23" s="1433" t="str">
        <f>估价对象房地状况!C9</f>
        <v>区域自然环境：；人文环境；综合评价环境状况一般</v>
      </c>
      <c r="D23" s="1431">
        <v>100</v>
      </c>
      <c r="E23" s="1436"/>
      <c r="F23" s="1431">
        <f>SUMIF(84:84,E24,85:85)-SUMIF(84:84,C24,85:85)+100</f>
        <v>100</v>
      </c>
      <c r="G23" s="1434"/>
      <c r="H23" s="1431">
        <f>SUMIF(84:84,G24,85:85)-SUMIF(84:84,C24,85:85)+100</f>
        <v>100</v>
      </c>
      <c r="I23" s="1434"/>
      <c r="J23" s="1431">
        <f>SUMIF(84:84,I24,85:85)-SUMIF(84:84,C24,85:85)+100</f>
        <v>100</v>
      </c>
      <c r="K23" s="2232"/>
      <c r="L23" s="1537"/>
      <c r="M23" s="1528"/>
      <c r="N23" s="1528"/>
      <c r="O23" s="1528"/>
      <c r="P23" s="3728"/>
      <c r="Q23" s="1076" t="str">
        <f>B23</f>
        <v>自然及人文环境</v>
      </c>
      <c r="R23" s="1581" t="s">
        <v>2884</v>
      </c>
      <c r="S23" s="1582">
        <f>F23</f>
        <v>100</v>
      </c>
      <c r="T23" s="1581" t="s">
        <v>2884</v>
      </c>
      <c r="U23" s="1582">
        <f>H23</f>
        <v>100</v>
      </c>
      <c r="V23" s="1581" t="s">
        <v>2884</v>
      </c>
      <c r="W23" s="1582">
        <f>J23</f>
        <v>100</v>
      </c>
      <c r="X23" s="1575"/>
      <c r="Y23" s="3673"/>
      <c r="Z23" s="1574" t="str">
        <f>Q23</f>
        <v>自然及人文环境</v>
      </c>
      <c r="AA23" s="1587">
        <f>D23/F23</f>
        <v>1</v>
      </c>
      <c r="AB23" s="1587">
        <f>D23/H23</f>
        <v>1</v>
      </c>
      <c r="AC23" s="1587">
        <f>D23/J23</f>
        <v>1</v>
      </c>
    </row>
    <row r="24" spans="1:29" ht="15">
      <c r="A24" s="1406"/>
      <c r="B24" s="1438"/>
      <c r="C24" s="1428"/>
      <c r="D24" s="1429"/>
      <c r="E24" s="1446"/>
      <c r="F24" s="1429"/>
      <c r="G24" s="1445"/>
      <c r="H24" s="1429"/>
      <c r="I24" s="1445"/>
      <c r="J24" s="1429"/>
      <c r="K24" s="2233"/>
      <c r="L24" s="1537"/>
      <c r="M24" s="1528"/>
      <c r="N24" s="1528"/>
      <c r="O24" s="1528"/>
      <c r="P24" s="3728"/>
      <c r="Q24" s="1076"/>
      <c r="R24" s="1581"/>
      <c r="S24" s="1582"/>
      <c r="T24" s="1581"/>
      <c r="U24" s="1582"/>
      <c r="V24" s="1581"/>
      <c r="W24" s="1582"/>
      <c r="X24" s="1575"/>
      <c r="Y24" s="3673"/>
      <c r="Z24" s="1574"/>
      <c r="AA24" s="1587">
        <v>1</v>
      </c>
      <c r="AB24" s="1587">
        <v>1</v>
      </c>
      <c r="AC24" s="1587">
        <v>1</v>
      </c>
    </row>
    <row r="25" spans="1:29" ht="15">
      <c r="A25" s="1406"/>
      <c r="B25" s="1402" t="s">
        <v>3460</v>
      </c>
      <c r="C25" s="2141"/>
      <c r="D25" s="1414">
        <v>100</v>
      </c>
      <c r="E25" s="1460"/>
      <c r="F25" s="1414">
        <f>SUMIF(86:86,E25,87:87)-SUMIF(86:86,C25,87:87)+100</f>
        <v>100</v>
      </c>
      <c r="G25" s="2215"/>
      <c r="H25" s="1414">
        <f>SUMIF(86:86,G25,87:87)-SUMIF(86:86,C25,87:87)+100</f>
        <v>100</v>
      </c>
      <c r="I25" s="2215"/>
      <c r="J25" s="1414">
        <f>SUMIF(86:86,I25,87:87)-SUMIF(86:86,C25,87:87)+100</f>
        <v>100</v>
      </c>
      <c r="K25" s="2230"/>
      <c r="L25" s="1537"/>
      <c r="M25" s="1528"/>
      <c r="N25" s="1528"/>
      <c r="O25" s="1528"/>
      <c r="P25" s="3728"/>
      <c r="Q25" s="1076" t="str">
        <f t="shared" ref="Q25:Q46" si="11">B25</f>
        <v>楼层-1</v>
      </c>
      <c r="R25" s="1581" t="s">
        <v>2884</v>
      </c>
      <c r="S25" s="1582">
        <f t="shared" ref="S25:S46" si="12">F25</f>
        <v>100</v>
      </c>
      <c r="T25" s="1581" t="s">
        <v>2884</v>
      </c>
      <c r="U25" s="1582">
        <f t="shared" ref="U25:U46" si="13">H25</f>
        <v>100</v>
      </c>
      <c r="V25" s="1581" t="s">
        <v>2884</v>
      </c>
      <c r="W25" s="1582">
        <f t="shared" ref="W25:W46" si="14">J25</f>
        <v>100</v>
      </c>
      <c r="X25" s="1575"/>
      <c r="Y25" s="3673"/>
      <c r="Z25" s="1574" t="str">
        <f>Q25</f>
        <v>楼层-1</v>
      </c>
      <c r="AA25" s="1587">
        <f t="shared" ref="AA25:AA46" si="15">D25/F25</f>
        <v>1</v>
      </c>
      <c r="AB25" s="1587">
        <f t="shared" ref="AB25:AB46" si="16">D25/H25</f>
        <v>1</v>
      </c>
      <c r="AC25" s="1587">
        <f t="shared" ref="AC25:AC46" si="17">D25/J25</f>
        <v>1</v>
      </c>
    </row>
    <row r="26" spans="1:29" ht="15">
      <c r="A26" s="1406"/>
      <c r="B26" s="1402" t="s">
        <v>3461</v>
      </c>
      <c r="C26" s="2141"/>
      <c r="D26" s="1414">
        <v>100</v>
      </c>
      <c r="E26" s="1460"/>
      <c r="F26" s="1414">
        <f>SUMIF(88:88,E26,89:89)-SUMIF(88:88,C26,89:89)+100</f>
        <v>100</v>
      </c>
      <c r="G26" s="2215"/>
      <c r="H26" s="1414">
        <f>SUMIF(88:88,G26,89:89)-SUMIF(88:88,C26,89:89)+100</f>
        <v>100</v>
      </c>
      <c r="I26" s="2215"/>
      <c r="J26" s="1414">
        <f>SUMIF(88:88,I26,89:89)-SUMIF(88:88,C26,89:89)+100</f>
        <v>100</v>
      </c>
      <c r="K26" s="2230"/>
      <c r="L26" s="1537"/>
      <c r="M26" s="1528"/>
      <c r="N26" s="1528"/>
      <c r="O26" s="1528"/>
      <c r="P26" s="3728"/>
      <c r="Q26" s="1076" t="str">
        <f t="shared" si="11"/>
        <v>朝向</v>
      </c>
      <c r="R26" s="1581" t="s">
        <v>2884</v>
      </c>
      <c r="S26" s="1582">
        <f t="shared" si="12"/>
        <v>100</v>
      </c>
      <c r="T26" s="1581" t="s">
        <v>2884</v>
      </c>
      <c r="U26" s="1582">
        <f t="shared" si="13"/>
        <v>100</v>
      </c>
      <c r="V26" s="1581" t="s">
        <v>2884</v>
      </c>
      <c r="W26" s="1582">
        <f t="shared" si="14"/>
        <v>100</v>
      </c>
      <c r="X26" s="1575"/>
      <c r="Y26" s="3673"/>
      <c r="Z26" s="1574" t="str">
        <f>Q26</f>
        <v>朝向</v>
      </c>
      <c r="AA26" s="1587">
        <f t="shared" si="15"/>
        <v>1</v>
      </c>
      <c r="AB26" s="1587">
        <f t="shared" si="16"/>
        <v>1</v>
      </c>
      <c r="AC26" s="1587">
        <f t="shared" si="17"/>
        <v>1</v>
      </c>
    </row>
    <row r="27" spans="1:29" s="1353" customFormat="1" ht="15">
      <c r="A27" s="1409"/>
      <c r="B27" s="1450">
        <v>111</v>
      </c>
      <c r="C27" s="1411"/>
      <c r="D27" s="1452">
        <v>100</v>
      </c>
      <c r="E27" s="2112"/>
      <c r="F27" s="1452">
        <f>SUMIF(90:90,E27,91:91)-SUMIF(90:90,C27,91:91)+100</f>
        <v>100</v>
      </c>
      <c r="G27" s="2113"/>
      <c r="H27" s="1452">
        <f>SUMIF(90:90,G27,91:91)-SUMIF(90:90,C27,91:91)+100</f>
        <v>100</v>
      </c>
      <c r="I27" s="2113"/>
      <c r="J27" s="1452">
        <f>SUMIF(90:90,I27,91:91)-SUMIF(90:90,C27,91:91)+100</f>
        <v>100</v>
      </c>
      <c r="K27" s="2231"/>
      <c r="L27" s="1530"/>
      <c r="M27" s="1531"/>
      <c r="N27" s="1531"/>
      <c r="O27" s="1531"/>
      <c r="P27" s="3728"/>
      <c r="Q27" s="1580">
        <f t="shared" si="11"/>
        <v>111</v>
      </c>
      <c r="R27" s="1576" t="s">
        <v>2884</v>
      </c>
      <c r="S27" s="1577">
        <f t="shared" si="12"/>
        <v>100</v>
      </c>
      <c r="T27" s="1576" t="s">
        <v>2884</v>
      </c>
      <c r="U27" s="1577">
        <f t="shared" si="13"/>
        <v>100</v>
      </c>
      <c r="V27" s="1576" t="s">
        <v>2884</v>
      </c>
      <c r="W27" s="1577">
        <f t="shared" si="14"/>
        <v>100</v>
      </c>
      <c r="X27" s="1578"/>
      <c r="Y27" s="3673"/>
      <c r="Z27" s="1594">
        <f>Q27</f>
        <v>111</v>
      </c>
      <c r="AA27" s="1587">
        <f t="shared" si="15"/>
        <v>1</v>
      </c>
      <c r="AB27" s="1587">
        <f t="shared" si="16"/>
        <v>1</v>
      </c>
      <c r="AC27" s="1587">
        <f t="shared" si="17"/>
        <v>1</v>
      </c>
    </row>
    <row r="28" spans="1:29" ht="15">
      <c r="A28" s="1406"/>
      <c r="B28" s="1450">
        <v>111</v>
      </c>
      <c r="C28" s="1413"/>
      <c r="D28" s="1414">
        <v>100</v>
      </c>
      <c r="E28" s="1413"/>
      <c r="F28" s="1414">
        <f>SUMIF(92:92,E28,93:93)-SUMIF(92:92,C28,93:93)+100</f>
        <v>100</v>
      </c>
      <c r="G28" s="2186"/>
      <c r="H28" s="1414">
        <f>SUMIF(92:92,G28,93:93)-SUMIF(92:92,C28,93:93)+100</f>
        <v>100</v>
      </c>
      <c r="I28" s="1413"/>
      <c r="J28" s="1414">
        <f>SUMIF(92:92,I28,93:93)-SUMIF(92:92,C28,93:93)+100</f>
        <v>100</v>
      </c>
      <c r="K28" s="2231"/>
      <c r="L28" s="1537"/>
      <c r="M28" s="1528"/>
      <c r="N28" s="1528"/>
      <c r="O28" s="1528"/>
      <c r="P28" s="3728"/>
      <c r="Q28" s="1076">
        <f t="shared" si="11"/>
        <v>111</v>
      </c>
      <c r="R28" s="1581" t="s">
        <v>2884</v>
      </c>
      <c r="S28" s="1582">
        <f t="shared" si="12"/>
        <v>100</v>
      </c>
      <c r="T28" s="1581" t="s">
        <v>2884</v>
      </c>
      <c r="U28" s="1582">
        <f t="shared" si="13"/>
        <v>100</v>
      </c>
      <c r="V28" s="1581" t="s">
        <v>2884</v>
      </c>
      <c r="W28" s="1582">
        <f t="shared" si="14"/>
        <v>100</v>
      </c>
      <c r="X28" s="1575"/>
      <c r="Y28" s="3673"/>
      <c r="Z28" s="1574">
        <f t="shared" ref="Z28:Z46" si="18">Q28</f>
        <v>111</v>
      </c>
      <c r="AA28" s="1587">
        <f t="shared" si="15"/>
        <v>1</v>
      </c>
      <c r="AB28" s="1587">
        <f t="shared" si="16"/>
        <v>1</v>
      </c>
      <c r="AC28" s="1587">
        <f t="shared" si="17"/>
        <v>1</v>
      </c>
    </row>
    <row r="29" spans="1:29" ht="15">
      <c r="A29" s="1406"/>
      <c r="B29" s="1450">
        <v>111</v>
      </c>
      <c r="C29" s="1413"/>
      <c r="D29" s="1414">
        <v>100</v>
      </c>
      <c r="E29" s="1413"/>
      <c r="F29" s="1414">
        <f>SUMIF(94:94,E29,95:95)-SUMIF(94:94,C29,95:95)+100</f>
        <v>100</v>
      </c>
      <c r="G29" s="2186"/>
      <c r="H29" s="1414">
        <f>SUMIF(94:94,G29,95:95)-SUMIF(94:94,C29,95:95)+100</f>
        <v>100</v>
      </c>
      <c r="I29" s="1413"/>
      <c r="J29" s="1414">
        <f>SUMIF(94:94,I29,95:95)-SUMIF(94:94,C29,95:95)+100</f>
        <v>100</v>
      </c>
      <c r="K29" s="2231"/>
      <c r="L29" s="1537"/>
      <c r="M29" s="1528"/>
      <c r="N29" s="1528"/>
      <c r="O29" s="1528"/>
      <c r="P29" s="3728"/>
      <c r="Q29" s="1076">
        <f t="shared" si="11"/>
        <v>111</v>
      </c>
      <c r="R29" s="1581" t="s">
        <v>2884</v>
      </c>
      <c r="S29" s="1582">
        <f t="shared" si="12"/>
        <v>100</v>
      </c>
      <c r="T29" s="1581" t="s">
        <v>2884</v>
      </c>
      <c r="U29" s="1582">
        <f t="shared" si="13"/>
        <v>100</v>
      </c>
      <c r="V29" s="1581" t="s">
        <v>2884</v>
      </c>
      <c r="W29" s="1582">
        <f t="shared" si="14"/>
        <v>100</v>
      </c>
      <c r="X29" s="1575"/>
      <c r="Y29" s="3673"/>
      <c r="Z29" s="1574">
        <f t="shared" si="18"/>
        <v>111</v>
      </c>
      <c r="AA29" s="1587">
        <f t="shared" si="15"/>
        <v>1</v>
      </c>
      <c r="AB29" s="1587">
        <f t="shared" si="16"/>
        <v>1</v>
      </c>
      <c r="AC29" s="1587">
        <f t="shared" si="17"/>
        <v>1</v>
      </c>
    </row>
    <row r="30" spans="1:29" ht="15">
      <c r="A30" s="1406"/>
      <c r="B30" s="1450">
        <v>111</v>
      </c>
      <c r="C30" s="1413"/>
      <c r="D30" s="1414">
        <v>100</v>
      </c>
      <c r="E30" s="1413"/>
      <c r="F30" s="1414">
        <f>SUMIF(96:96,E30,97:97)-SUMIF(96:96,C30,97:97)+100</f>
        <v>100</v>
      </c>
      <c r="G30" s="2186"/>
      <c r="H30" s="1414">
        <f>SUMIF(96:96,G30,97:97)-SUMIF(96:96,C30,97:97)+100</f>
        <v>100</v>
      </c>
      <c r="I30" s="1413"/>
      <c r="J30" s="1414">
        <f>SUMIF(96:96,I30,97:97)-SUMIF(96:96,C30,97:97)+100</f>
        <v>100</v>
      </c>
      <c r="K30" s="2231"/>
      <c r="L30" s="1537"/>
      <c r="M30" s="1528"/>
      <c r="N30" s="1528"/>
      <c r="O30" s="1528"/>
      <c r="P30" s="3728"/>
      <c r="Q30" s="1076">
        <f t="shared" si="11"/>
        <v>111</v>
      </c>
      <c r="R30" s="1581" t="s">
        <v>2884</v>
      </c>
      <c r="S30" s="1582">
        <f t="shared" si="12"/>
        <v>100</v>
      </c>
      <c r="T30" s="1581" t="s">
        <v>2884</v>
      </c>
      <c r="U30" s="1582">
        <f t="shared" si="13"/>
        <v>100</v>
      </c>
      <c r="V30" s="1581" t="s">
        <v>2884</v>
      </c>
      <c r="W30" s="1582">
        <f t="shared" si="14"/>
        <v>100</v>
      </c>
      <c r="X30" s="1575"/>
      <c r="Y30" s="3673"/>
      <c r="Z30" s="1574">
        <f t="shared" si="18"/>
        <v>111</v>
      </c>
      <c r="AA30" s="1587">
        <f t="shared" si="15"/>
        <v>1</v>
      </c>
      <c r="AB30" s="1587">
        <f t="shared" si="16"/>
        <v>1</v>
      </c>
      <c r="AC30" s="1587">
        <f t="shared" si="17"/>
        <v>1</v>
      </c>
    </row>
    <row r="31" spans="1:29" ht="15">
      <c r="A31" s="1415"/>
      <c r="B31" s="1450">
        <v>111</v>
      </c>
      <c r="C31" s="1417"/>
      <c r="D31" s="1418">
        <v>100</v>
      </c>
      <c r="E31" s="1417"/>
      <c r="F31" s="1418">
        <f>SUMIF(98:98,E31,99:99)-SUMIF(98:98,C31,99:99)+100</f>
        <v>100</v>
      </c>
      <c r="G31" s="2189"/>
      <c r="H31" s="1418">
        <f>SUMIF(98:98,G31,99:99)-SUMIF(98:98,C31,99:99)+100</f>
        <v>100</v>
      </c>
      <c r="I31" s="1417"/>
      <c r="J31" s="1418">
        <f>SUMIF(98:98,I31,99:99)-SUMIF(98:98,C31,99:99)+100</f>
        <v>100</v>
      </c>
      <c r="K31" s="2231"/>
      <c r="L31" s="1537"/>
      <c r="M31" s="1528"/>
      <c r="N31" s="1528"/>
      <c r="O31" s="1528"/>
      <c r="P31" s="3728"/>
      <c r="Q31" s="1076">
        <f t="shared" si="11"/>
        <v>111</v>
      </c>
      <c r="R31" s="1581" t="s">
        <v>2884</v>
      </c>
      <c r="S31" s="1582">
        <f t="shared" si="12"/>
        <v>100</v>
      </c>
      <c r="T31" s="1581" t="s">
        <v>2884</v>
      </c>
      <c r="U31" s="1582">
        <f t="shared" si="13"/>
        <v>100</v>
      </c>
      <c r="V31" s="1581" t="s">
        <v>2884</v>
      </c>
      <c r="W31" s="1582">
        <f t="shared" si="14"/>
        <v>100</v>
      </c>
      <c r="X31" s="1575"/>
      <c r="Y31" s="3673"/>
      <c r="Z31" s="1574">
        <f t="shared" si="18"/>
        <v>111</v>
      </c>
      <c r="AA31" s="1587">
        <f t="shared" si="15"/>
        <v>1</v>
      </c>
      <c r="AB31" s="1587">
        <f t="shared" si="16"/>
        <v>1</v>
      </c>
      <c r="AC31" s="1587">
        <f t="shared" si="17"/>
        <v>1</v>
      </c>
    </row>
    <row r="32" spans="1:29" ht="15">
      <c r="A32" s="1420" t="s">
        <v>2904</v>
      </c>
      <c r="B32" s="1396" t="s">
        <v>3462</v>
      </c>
      <c r="C32" s="1454"/>
      <c r="D32" s="1455">
        <v>100</v>
      </c>
      <c r="E32" s="2216"/>
      <c r="F32" s="1449">
        <f>SUMIF(100:100,E32,101:101)-SUMIF(100:100,C32,101:101)+100</f>
        <v>100</v>
      </c>
      <c r="G32" s="1454"/>
      <c r="H32" s="1455">
        <f>SUMIF(100:100,G32,101:101)-SUMIF(100:100,C32,101:101)+100</f>
        <v>100</v>
      </c>
      <c r="I32" s="2216"/>
      <c r="J32" s="1414">
        <f>SUMIF(100:100,I32,101:101)-SUMIF(100:100,C32,101:101)+100</f>
        <v>100</v>
      </c>
      <c r="K32" s="2230"/>
      <c r="L32" s="1537"/>
      <c r="M32" s="1528"/>
      <c r="N32" s="1528"/>
      <c r="O32" s="1528"/>
      <c r="P32" s="3729" t="s">
        <v>2906</v>
      </c>
      <c r="Q32" s="1076" t="str">
        <f t="shared" si="11"/>
        <v>建筑类型</v>
      </c>
      <c r="R32" s="1581" t="s">
        <v>2884</v>
      </c>
      <c r="S32" s="1582">
        <f t="shared" si="12"/>
        <v>100</v>
      </c>
      <c r="T32" s="1581" t="s">
        <v>2884</v>
      </c>
      <c r="U32" s="1582">
        <f t="shared" si="13"/>
        <v>100</v>
      </c>
      <c r="V32" s="1581" t="s">
        <v>2884</v>
      </c>
      <c r="W32" s="1582">
        <f t="shared" si="14"/>
        <v>100</v>
      </c>
      <c r="X32" s="1575"/>
      <c r="Y32" s="3675" t="s">
        <v>2906</v>
      </c>
      <c r="Z32" s="1574" t="str">
        <f t="shared" si="18"/>
        <v>建筑类型</v>
      </c>
      <c r="AA32" s="1587">
        <f t="shared" si="15"/>
        <v>1</v>
      </c>
      <c r="AB32" s="1587">
        <f t="shared" si="16"/>
        <v>1</v>
      </c>
      <c r="AC32" s="1587">
        <f t="shared" si="17"/>
        <v>1</v>
      </c>
    </row>
    <row r="33" spans="1:29" s="1355" customFormat="1" ht="15">
      <c r="A33" s="1456"/>
      <c r="B33" s="1402" t="s">
        <v>3463</v>
      </c>
      <c r="C33" s="1457"/>
      <c r="D33" s="1404">
        <v>100</v>
      </c>
      <c r="E33" s="1408"/>
      <c r="F33" s="1405" t="e">
        <f>LOOKUP(E33,103:103,104:104)-LOOKUP(C33,103:103,104:104)+100</f>
        <v>#N/A</v>
      </c>
      <c r="G33" s="1407"/>
      <c r="H33" s="1404" t="e">
        <f>LOOKUP(G33,103:103,104:104)-LOOKUP(C33,103:103,104:104)+100</f>
        <v>#N/A</v>
      </c>
      <c r="I33" s="1408"/>
      <c r="J33" s="1404" t="e">
        <f>LOOKUP(I33,103:103,104:104)-LOOKUP(C33,103:103,104:104)+100</f>
        <v>#N/A</v>
      </c>
      <c r="K33" s="2231"/>
      <c r="L33" s="1535"/>
      <c r="M33" s="1541"/>
      <c r="N33" s="1541"/>
      <c r="O33" s="1541"/>
      <c r="P33" s="3730"/>
      <c r="Q33" s="1583" t="str">
        <f t="shared" si="11"/>
        <v>项目建筑规模</v>
      </c>
      <c r="R33" s="1584" t="s">
        <v>2884</v>
      </c>
      <c r="S33" s="1585" t="e">
        <f t="shared" si="12"/>
        <v>#N/A</v>
      </c>
      <c r="T33" s="1584" t="s">
        <v>2884</v>
      </c>
      <c r="U33" s="1585" t="e">
        <f t="shared" si="13"/>
        <v>#N/A</v>
      </c>
      <c r="V33" s="1584" t="s">
        <v>2884</v>
      </c>
      <c r="W33" s="1585" t="e">
        <f t="shared" si="14"/>
        <v>#N/A</v>
      </c>
      <c r="X33" s="1586"/>
      <c r="Y33" s="3675"/>
      <c r="Z33" s="1595" t="str">
        <f t="shared" si="18"/>
        <v>项目建筑规模</v>
      </c>
      <c r="AA33" s="1587" t="e">
        <f t="shared" si="15"/>
        <v>#N/A</v>
      </c>
      <c r="AB33" s="1587" t="e">
        <f t="shared" si="16"/>
        <v>#N/A</v>
      </c>
      <c r="AC33" s="1587" t="e">
        <f t="shared" si="17"/>
        <v>#N/A</v>
      </c>
    </row>
    <row r="34" spans="1:29" ht="15">
      <c r="A34" s="1458"/>
      <c r="B34" s="1402" t="s">
        <v>3464</v>
      </c>
      <c r="C34" s="1459"/>
      <c r="D34" s="1414">
        <v>100</v>
      </c>
      <c r="E34" s="2217"/>
      <c r="F34" s="1449">
        <f>SUMIF(105:105,E34,106:106)-SUMIF(105:105,C34,106:106)+100</f>
        <v>100</v>
      </c>
      <c r="G34" s="1459"/>
      <c r="H34" s="1414">
        <f>SUMIF(105:105,G34,106:106)-SUMIF(105:105,C34,106:106)+100</f>
        <v>100</v>
      </c>
      <c r="I34" s="2217"/>
      <c r="J34" s="1414">
        <f>SUMIF(105:105,I34,106:106)-SUMIF(105:105,C34,106:106)+100</f>
        <v>100</v>
      </c>
      <c r="K34" s="2230"/>
      <c r="L34" s="1537"/>
      <c r="M34" s="1528"/>
      <c r="N34" s="1528"/>
      <c r="O34" s="1528"/>
      <c r="P34" s="3730"/>
      <c r="Q34" s="1076" t="str">
        <f t="shared" si="11"/>
        <v>建筑结构</v>
      </c>
      <c r="R34" s="1581" t="s">
        <v>2884</v>
      </c>
      <c r="S34" s="1582">
        <f t="shared" si="12"/>
        <v>100</v>
      </c>
      <c r="T34" s="1581" t="s">
        <v>2884</v>
      </c>
      <c r="U34" s="1582">
        <f t="shared" si="13"/>
        <v>100</v>
      </c>
      <c r="V34" s="1581" t="s">
        <v>2884</v>
      </c>
      <c r="W34" s="1582">
        <f t="shared" si="14"/>
        <v>100</v>
      </c>
      <c r="X34" s="1575"/>
      <c r="Y34" s="3675"/>
      <c r="Z34" s="1574" t="str">
        <f t="shared" si="18"/>
        <v>建筑结构</v>
      </c>
      <c r="AA34" s="1587">
        <f t="shared" si="15"/>
        <v>1</v>
      </c>
      <c r="AB34" s="1587">
        <f t="shared" si="16"/>
        <v>1</v>
      </c>
      <c r="AC34" s="1587">
        <f t="shared" si="17"/>
        <v>1</v>
      </c>
    </row>
    <row r="35" spans="1:29" ht="15">
      <c r="A35" s="1458"/>
      <c r="B35" s="1402" t="s">
        <v>3465</v>
      </c>
      <c r="C35" s="1460"/>
      <c r="D35" s="1414">
        <v>100</v>
      </c>
      <c r="E35" s="2215"/>
      <c r="F35" s="1449">
        <f>SUMIF(107:107,E35,108:108)-SUMIF(107:107,C35,108:108)+100</f>
        <v>100</v>
      </c>
      <c r="G35" s="1460"/>
      <c r="H35" s="1414">
        <f>SUMIF(107:107,G35,108:108)-SUMIF(107:107,C35,108:108)+100</f>
        <v>100</v>
      </c>
      <c r="I35" s="2215"/>
      <c r="J35" s="1414">
        <f>SUMIF(107:107,I35,108:108)-SUMIF(107:107,C35,108:108)+100</f>
        <v>100</v>
      </c>
      <c r="K35" s="2230"/>
      <c r="L35" s="1537"/>
      <c r="M35" s="1528"/>
      <c r="N35" s="1528"/>
      <c r="O35" s="1528"/>
      <c r="P35" s="3730"/>
      <c r="Q35" s="1076" t="str">
        <f t="shared" si="11"/>
        <v>建筑品质</v>
      </c>
      <c r="R35" s="1581" t="s">
        <v>2884</v>
      </c>
      <c r="S35" s="1582">
        <f t="shared" si="12"/>
        <v>100</v>
      </c>
      <c r="T35" s="1581" t="s">
        <v>2884</v>
      </c>
      <c r="U35" s="1582">
        <f t="shared" si="13"/>
        <v>100</v>
      </c>
      <c r="V35" s="1581" t="s">
        <v>2884</v>
      </c>
      <c r="W35" s="1582">
        <f t="shared" si="14"/>
        <v>100</v>
      </c>
      <c r="X35" s="1575"/>
      <c r="Y35" s="3675"/>
      <c r="Z35" s="1574" t="str">
        <f t="shared" si="18"/>
        <v>建筑品质</v>
      </c>
      <c r="AA35" s="1587">
        <f t="shared" si="15"/>
        <v>1</v>
      </c>
      <c r="AB35" s="1587">
        <f t="shared" si="16"/>
        <v>1</v>
      </c>
      <c r="AC35" s="1587">
        <f t="shared" si="17"/>
        <v>1</v>
      </c>
    </row>
    <row r="36" spans="1:29" ht="15">
      <c r="A36" s="1458"/>
      <c r="B36" s="1402" t="s">
        <v>2912</v>
      </c>
      <c r="C36" s="1460"/>
      <c r="D36" s="1414">
        <v>100</v>
      </c>
      <c r="E36" s="2215"/>
      <c r="F36" s="1449">
        <f>SUMIF(109:109,E36,110:110)-SUMIF(109:109,C36,110:110)+100</f>
        <v>100</v>
      </c>
      <c r="G36" s="1460"/>
      <c r="H36" s="1414">
        <f>SUMIF(109:109,G36,110:110)-SUMIF(109:109,C36,110:110)+100</f>
        <v>100</v>
      </c>
      <c r="I36" s="2215"/>
      <c r="J36" s="1414">
        <f>SUMIF(109:109,I36,110:110)-SUMIF(109:109,C36,110:110)+100</f>
        <v>100</v>
      </c>
      <c r="K36" s="2230"/>
      <c r="L36" s="1537"/>
      <c r="M36" s="1528"/>
      <c r="N36" s="1528"/>
      <c r="O36" s="1528"/>
      <c r="P36" s="3730"/>
      <c r="Q36" s="1076" t="str">
        <f t="shared" si="11"/>
        <v>公共部分装修</v>
      </c>
      <c r="R36" s="1581" t="s">
        <v>2884</v>
      </c>
      <c r="S36" s="1582">
        <f t="shared" si="12"/>
        <v>100</v>
      </c>
      <c r="T36" s="1581" t="s">
        <v>2884</v>
      </c>
      <c r="U36" s="1582">
        <f t="shared" si="13"/>
        <v>100</v>
      </c>
      <c r="V36" s="1581" t="s">
        <v>2884</v>
      </c>
      <c r="W36" s="1582">
        <f t="shared" si="14"/>
        <v>100</v>
      </c>
      <c r="X36" s="1575"/>
      <c r="Y36" s="3675"/>
      <c r="Z36" s="1574" t="str">
        <f t="shared" si="18"/>
        <v>公共部分装修</v>
      </c>
      <c r="AA36" s="1587">
        <f t="shared" si="15"/>
        <v>1</v>
      </c>
      <c r="AB36" s="1587">
        <f t="shared" si="16"/>
        <v>1</v>
      </c>
      <c r="AC36" s="1587">
        <f t="shared" si="17"/>
        <v>1</v>
      </c>
    </row>
    <row r="37" spans="1:29" s="1353" customFormat="1" ht="15">
      <c r="A37" s="1462"/>
      <c r="B37" s="1402" t="s">
        <v>2507</v>
      </c>
      <c r="C37" s="1461"/>
      <c r="D37" s="1404">
        <v>100</v>
      </c>
      <c r="E37" s="1461"/>
      <c r="F37" s="1405" t="e">
        <f>LOOKUP(E37,112:112,113:113)-LOOKUP(C37,112:112,113:113)+100</f>
        <v>#N/A</v>
      </c>
      <c r="G37" s="2218"/>
      <c r="H37" s="1404" t="e">
        <f>LOOKUP(G37,112:112,113:113)-LOOKUP(C37,112:112,113:113)+100</f>
        <v>#N/A</v>
      </c>
      <c r="I37" s="2235"/>
      <c r="J37" s="1404" t="e">
        <f>LOOKUP(I37,112:112,113:113)-LOOKUP(C37,112:112,113:113)+100</f>
        <v>#N/A</v>
      </c>
      <c r="K37" s="2230"/>
      <c r="L37" s="1530"/>
      <c r="M37" s="1531"/>
      <c r="N37" s="1531"/>
      <c r="O37" s="1531"/>
      <c r="P37" s="3730"/>
      <c r="Q37" s="1580" t="str">
        <f t="shared" si="11"/>
        <v>成新度</v>
      </c>
      <c r="R37" s="1576" t="s">
        <v>2884</v>
      </c>
      <c r="S37" s="1577" t="e">
        <f t="shared" si="12"/>
        <v>#N/A</v>
      </c>
      <c r="T37" s="1576" t="s">
        <v>2884</v>
      </c>
      <c r="U37" s="1577" t="e">
        <f t="shared" si="13"/>
        <v>#N/A</v>
      </c>
      <c r="V37" s="1576" t="s">
        <v>2884</v>
      </c>
      <c r="W37" s="1577" t="e">
        <f t="shared" si="14"/>
        <v>#N/A</v>
      </c>
      <c r="X37" s="1578"/>
      <c r="Y37" s="3675"/>
      <c r="Z37" s="1594" t="str">
        <f t="shared" si="18"/>
        <v>成新度</v>
      </c>
      <c r="AA37" s="1593" t="e">
        <f t="shared" si="15"/>
        <v>#N/A</v>
      </c>
      <c r="AB37" s="1593" t="e">
        <f t="shared" si="16"/>
        <v>#N/A</v>
      </c>
      <c r="AC37" s="1593" t="e">
        <f t="shared" si="17"/>
        <v>#N/A</v>
      </c>
    </row>
    <row r="38" spans="1:29" ht="15">
      <c r="A38" s="1458"/>
      <c r="B38" s="1402" t="s">
        <v>3466</v>
      </c>
      <c r="C38" s="1460"/>
      <c r="D38" s="1414">
        <v>100</v>
      </c>
      <c r="E38" s="2215"/>
      <c r="F38" s="1449">
        <f>SUMIF(114:114,E38,115:115)-SUMIF(114:114,C38,115:115)+100</f>
        <v>100</v>
      </c>
      <c r="G38" s="1460"/>
      <c r="H38" s="1414">
        <f>SUMIF(114:114,G38,115:115)-SUMIF(114:114,C38,115:115)+100</f>
        <v>100</v>
      </c>
      <c r="I38" s="2215"/>
      <c r="J38" s="1414">
        <f>SUMIF(114:114,I38,115:115)-SUMIF(114:114,C38,115:115)+100</f>
        <v>100</v>
      </c>
      <c r="K38" s="2230"/>
      <c r="L38" s="1537"/>
      <c r="M38" s="1528"/>
      <c r="N38" s="1528"/>
      <c r="O38" s="1528"/>
      <c r="P38" s="3730" t="s">
        <v>2906</v>
      </c>
      <c r="Q38" s="1076" t="str">
        <f t="shared" si="11"/>
        <v>物业管理</v>
      </c>
      <c r="R38" s="1581" t="s">
        <v>2884</v>
      </c>
      <c r="S38" s="1582">
        <f t="shared" si="12"/>
        <v>100</v>
      </c>
      <c r="T38" s="1581" t="s">
        <v>2884</v>
      </c>
      <c r="U38" s="1582">
        <f t="shared" si="13"/>
        <v>100</v>
      </c>
      <c r="V38" s="1581" t="s">
        <v>2884</v>
      </c>
      <c r="W38" s="1582">
        <f t="shared" si="14"/>
        <v>100</v>
      </c>
      <c r="X38" s="1575"/>
      <c r="Y38" s="3675" t="s">
        <v>2906</v>
      </c>
      <c r="Z38" s="1574" t="str">
        <f t="shared" si="18"/>
        <v>物业管理</v>
      </c>
      <c r="AA38" s="1587">
        <f t="shared" si="15"/>
        <v>1</v>
      </c>
      <c r="AB38" s="1587">
        <f t="shared" si="16"/>
        <v>1</v>
      </c>
      <c r="AC38" s="1587">
        <f t="shared" si="17"/>
        <v>1</v>
      </c>
    </row>
    <row r="39" spans="1:29" ht="15">
      <c r="A39" s="1458"/>
      <c r="B39" s="1402" t="s">
        <v>3467</v>
      </c>
      <c r="C39" s="1460"/>
      <c r="D39" s="1414">
        <v>100</v>
      </c>
      <c r="E39" s="2215"/>
      <c r="F39" s="1449">
        <f>SUMIF(116:116,E39,117:117)-SUMIF(116:116,C39,117:117)+100</f>
        <v>100</v>
      </c>
      <c r="G39" s="1460"/>
      <c r="H39" s="1414">
        <f>SUMIF(116:116,G39,117:117)-SUMIF(116:116,C39,117:117)+100</f>
        <v>100</v>
      </c>
      <c r="I39" s="2215"/>
      <c r="J39" s="1414">
        <f>SUMIF(116:116,I39,117:117)-SUMIF(116:116,C39,117:117)+100</f>
        <v>100</v>
      </c>
      <c r="K39" s="2230"/>
      <c r="L39" s="1537"/>
      <c r="M39" s="1528"/>
      <c r="N39" s="1528"/>
      <c r="O39" s="1528"/>
      <c r="P39" s="3730"/>
      <c r="Q39" s="1076" t="str">
        <f t="shared" si="11"/>
        <v>市政基础设施</v>
      </c>
      <c r="R39" s="1581" t="s">
        <v>2884</v>
      </c>
      <c r="S39" s="1582">
        <f t="shared" si="12"/>
        <v>100</v>
      </c>
      <c r="T39" s="1581" t="s">
        <v>2884</v>
      </c>
      <c r="U39" s="1582">
        <f t="shared" si="13"/>
        <v>100</v>
      </c>
      <c r="V39" s="1581" t="s">
        <v>2884</v>
      </c>
      <c r="W39" s="1582">
        <f t="shared" si="14"/>
        <v>100</v>
      </c>
      <c r="X39" s="1575"/>
      <c r="Y39" s="3675"/>
      <c r="Z39" s="1574" t="str">
        <f t="shared" si="18"/>
        <v>市政基础设施</v>
      </c>
      <c r="AA39" s="1587">
        <f t="shared" si="15"/>
        <v>1</v>
      </c>
      <c r="AB39" s="1587">
        <f t="shared" si="16"/>
        <v>1</v>
      </c>
      <c r="AC39" s="1587">
        <f t="shared" si="17"/>
        <v>1</v>
      </c>
    </row>
    <row r="40" spans="1:29" ht="15">
      <c r="A40" s="1458"/>
      <c r="B40" s="1402" t="s">
        <v>3468</v>
      </c>
      <c r="C40" s="1460"/>
      <c r="D40" s="1414">
        <v>100</v>
      </c>
      <c r="E40" s="2215"/>
      <c r="F40" s="1449">
        <f>SUMIF(118:118,E40,119:119)-SUMIF(118:118,C40,119:119)+100</f>
        <v>100</v>
      </c>
      <c r="G40" s="1460"/>
      <c r="H40" s="1414">
        <f>SUMIF(118:118,G40,119:119)-SUMIF(118:118,C40,119:119)+100</f>
        <v>100</v>
      </c>
      <c r="I40" s="2215"/>
      <c r="J40" s="1414">
        <f>SUMIF(118:118,I40,119:119)-SUMIF(118:118,C40,119:119)+100</f>
        <v>100</v>
      </c>
      <c r="K40" s="2230"/>
      <c r="L40" s="1537"/>
      <c r="M40" s="1528"/>
      <c r="N40" s="1528"/>
      <c r="O40" s="1528"/>
      <c r="P40" s="3730"/>
      <c r="Q40" s="1076" t="str">
        <f t="shared" si="11"/>
        <v>房型</v>
      </c>
      <c r="R40" s="1581" t="s">
        <v>2884</v>
      </c>
      <c r="S40" s="1582">
        <f t="shared" si="12"/>
        <v>100</v>
      </c>
      <c r="T40" s="1581" t="s">
        <v>2884</v>
      </c>
      <c r="U40" s="1582">
        <f t="shared" si="13"/>
        <v>100</v>
      </c>
      <c r="V40" s="1581" t="s">
        <v>2884</v>
      </c>
      <c r="W40" s="1582">
        <f t="shared" si="14"/>
        <v>100</v>
      </c>
      <c r="X40" s="1575"/>
      <c r="Y40" s="3675"/>
      <c r="Z40" s="1574" t="str">
        <f t="shared" si="18"/>
        <v>房型</v>
      </c>
      <c r="AA40" s="1587">
        <f t="shared" si="15"/>
        <v>1</v>
      </c>
      <c r="AB40" s="1587">
        <f t="shared" si="16"/>
        <v>1</v>
      </c>
      <c r="AC40" s="1587">
        <f t="shared" si="17"/>
        <v>1</v>
      </c>
    </row>
    <row r="41" spans="1:29" s="1355" customFormat="1" ht="28.8">
      <c r="A41" s="1456"/>
      <c r="B41" s="1402" t="s">
        <v>3469</v>
      </c>
      <c r="C41" s="1457"/>
      <c r="D41" s="1404">
        <v>100</v>
      </c>
      <c r="E41" s="1408"/>
      <c r="F41" s="1405">
        <f>SUMIF(120:120,E41,121:121)-SUMIF(120:120,C41,121:121)+100</f>
        <v>100</v>
      </c>
      <c r="G41" s="1407"/>
      <c r="H41" s="1404">
        <f>SUMIF(120:120,G41,121:121)-SUMIF(120:120,C41,121:121)+100</f>
        <v>100</v>
      </c>
      <c r="I41" s="2008"/>
      <c r="J41" s="1414">
        <f>SUMIF(120:120,I41,121:121)-SUMIF(120:120,C41,121:121)+100</f>
        <v>100</v>
      </c>
      <c r="K41" s="2231"/>
      <c r="L41" s="1535"/>
      <c r="M41" s="1541"/>
      <c r="N41" s="1541"/>
      <c r="O41" s="1541"/>
      <c r="P41" s="3730"/>
      <c r="Q41" s="1583" t="str">
        <f t="shared" si="11"/>
        <v>单套/主力户型建筑面积</v>
      </c>
      <c r="R41" s="1584" t="s">
        <v>2884</v>
      </c>
      <c r="S41" s="1585">
        <f t="shared" si="12"/>
        <v>100</v>
      </c>
      <c r="T41" s="1584" t="s">
        <v>2884</v>
      </c>
      <c r="U41" s="1585">
        <f t="shared" si="13"/>
        <v>100</v>
      </c>
      <c r="V41" s="1584" t="s">
        <v>2884</v>
      </c>
      <c r="W41" s="1585">
        <f t="shared" si="14"/>
        <v>100</v>
      </c>
      <c r="X41" s="1586"/>
      <c r="Y41" s="3675"/>
      <c r="Z41" s="1595" t="str">
        <f t="shared" si="18"/>
        <v>单套/主力户型建筑面积</v>
      </c>
      <c r="AA41" s="1587">
        <f t="shared" si="15"/>
        <v>1</v>
      </c>
      <c r="AB41" s="1587">
        <f t="shared" si="16"/>
        <v>1</v>
      </c>
      <c r="AC41" s="1587">
        <f t="shared" si="17"/>
        <v>1</v>
      </c>
    </row>
    <row r="42" spans="1:29" ht="15">
      <c r="A42" s="1458"/>
      <c r="B42" s="1402" t="s">
        <v>3470</v>
      </c>
      <c r="C42" s="1460"/>
      <c r="D42" s="1414">
        <v>100</v>
      </c>
      <c r="E42" s="2215"/>
      <c r="F42" s="1449">
        <f>SUMIF(122:122,E42,123:123)-SUMIF(122:122,C42,123:123)+100</f>
        <v>100</v>
      </c>
      <c r="G42" s="1460"/>
      <c r="H42" s="1414">
        <f>SUMIF(122:122,G42,123:123)-SUMIF(122:122,C42,123:123)+100</f>
        <v>100</v>
      </c>
      <c r="I42" s="2215"/>
      <c r="J42" s="1414">
        <f>SUMIF(122:122,I42,123:123)-SUMIF(122:122,C42,123:123)+100</f>
        <v>100</v>
      </c>
      <c r="K42" s="2230"/>
      <c r="L42" s="1537"/>
      <c r="M42" s="1528"/>
      <c r="N42" s="1528"/>
      <c r="O42" s="1528"/>
      <c r="P42" s="3730"/>
      <c r="Q42" s="1076" t="str">
        <f t="shared" si="11"/>
        <v>内部装修</v>
      </c>
      <c r="R42" s="1581" t="s">
        <v>2884</v>
      </c>
      <c r="S42" s="1582">
        <f t="shared" si="12"/>
        <v>100</v>
      </c>
      <c r="T42" s="1581" t="s">
        <v>2884</v>
      </c>
      <c r="U42" s="1582">
        <f t="shared" si="13"/>
        <v>100</v>
      </c>
      <c r="V42" s="1581" t="s">
        <v>2884</v>
      </c>
      <c r="W42" s="1582">
        <f t="shared" si="14"/>
        <v>100</v>
      </c>
      <c r="X42" s="1575"/>
      <c r="Y42" s="3675"/>
      <c r="Z42" s="1574" t="str">
        <f t="shared" si="18"/>
        <v>内部装修</v>
      </c>
      <c r="AA42" s="1587">
        <f t="shared" si="15"/>
        <v>1</v>
      </c>
      <c r="AB42" s="1587">
        <f t="shared" si="16"/>
        <v>1</v>
      </c>
      <c r="AC42" s="1587">
        <f t="shared" si="17"/>
        <v>1</v>
      </c>
    </row>
    <row r="43" spans="1:29" ht="28.8">
      <c r="A43" s="1458"/>
      <c r="B43" s="1402" t="s">
        <v>3471</v>
      </c>
      <c r="C43" s="1460"/>
      <c r="D43" s="1414">
        <v>100</v>
      </c>
      <c r="E43" s="2215"/>
      <c r="F43" s="1449">
        <f>SUMIF(124:124,E43,125:125)-SUMIF(124:124,C43,125:125)+100</f>
        <v>100</v>
      </c>
      <c r="G43" s="1460"/>
      <c r="H43" s="1414">
        <f>SUMIF(124:124,G43,125:125)-SUMIF(124:124,C43,125:125)+100</f>
        <v>100</v>
      </c>
      <c r="I43" s="2215"/>
      <c r="J43" s="1414">
        <f>SUMIF(124:124,I43,125:125)-SUMIF(124:124,C43,125:125)+100</f>
        <v>100</v>
      </c>
      <c r="K43" s="2230"/>
      <c r="L43" s="1537"/>
      <c r="M43" s="1528"/>
      <c r="N43" s="1528"/>
      <c r="O43" s="1528"/>
      <c r="P43" s="3730"/>
      <c r="Q43" s="1076" t="str">
        <f t="shared" si="11"/>
        <v>内部装修维护情况</v>
      </c>
      <c r="R43" s="1581" t="s">
        <v>2884</v>
      </c>
      <c r="S43" s="1582">
        <f t="shared" si="12"/>
        <v>100</v>
      </c>
      <c r="T43" s="1581" t="s">
        <v>2884</v>
      </c>
      <c r="U43" s="1582">
        <f t="shared" si="13"/>
        <v>100</v>
      </c>
      <c r="V43" s="1581" t="s">
        <v>2884</v>
      </c>
      <c r="W43" s="1582">
        <f t="shared" si="14"/>
        <v>100</v>
      </c>
      <c r="X43" s="1575"/>
      <c r="Y43" s="3675"/>
      <c r="Z43" s="1574" t="str">
        <f t="shared" si="18"/>
        <v>内部装修维护情况</v>
      </c>
      <c r="AA43" s="1587">
        <f t="shared" si="15"/>
        <v>1</v>
      </c>
      <c r="AB43" s="1587">
        <f t="shared" si="16"/>
        <v>1</v>
      </c>
      <c r="AC43" s="1587">
        <f t="shared" si="17"/>
        <v>1</v>
      </c>
    </row>
    <row r="44" spans="1:29" s="1353" customFormat="1" ht="15">
      <c r="A44" s="1462"/>
      <c r="B44" s="1450">
        <v>111</v>
      </c>
      <c r="C44" s="1457"/>
      <c r="D44" s="1404">
        <v>100</v>
      </c>
      <c r="E44" s="1457"/>
      <c r="F44" s="1405">
        <f>SUMIF(126:126,E44,127:127)-SUMIF(126:126,C44,127:127)+100</f>
        <v>100</v>
      </c>
      <c r="G44" s="1457"/>
      <c r="H44" s="1404">
        <f>SUMIF(126:126,G44,127:127)-SUMIF(126:126,C44,127:127)+100</f>
        <v>100</v>
      </c>
      <c r="I44" s="1457"/>
      <c r="J44" s="1404">
        <f>SUMIF(126:126,I44,127:127)-SUMIF(126:126,C44,127:127)+100</f>
        <v>100</v>
      </c>
      <c r="K44" s="2231"/>
      <c r="L44" s="1530"/>
      <c r="M44" s="1531"/>
      <c r="N44" s="1531"/>
      <c r="O44" s="1531"/>
      <c r="P44" s="3730"/>
      <c r="Q44" s="1580">
        <f t="shared" si="11"/>
        <v>111</v>
      </c>
      <c r="R44" s="1576" t="s">
        <v>2884</v>
      </c>
      <c r="S44" s="1577">
        <f t="shared" si="12"/>
        <v>100</v>
      </c>
      <c r="T44" s="1576" t="s">
        <v>2884</v>
      </c>
      <c r="U44" s="1577">
        <f t="shared" si="13"/>
        <v>100</v>
      </c>
      <c r="V44" s="1576" t="s">
        <v>2884</v>
      </c>
      <c r="W44" s="1577">
        <f t="shared" si="14"/>
        <v>100</v>
      </c>
      <c r="X44" s="1578"/>
      <c r="Y44" s="3675"/>
      <c r="Z44" s="1594">
        <f t="shared" si="18"/>
        <v>111</v>
      </c>
      <c r="AA44" s="1593">
        <f t="shared" si="15"/>
        <v>1</v>
      </c>
      <c r="AB44" s="1593">
        <f t="shared" si="16"/>
        <v>1</v>
      </c>
      <c r="AC44" s="1593">
        <f t="shared" si="17"/>
        <v>1</v>
      </c>
    </row>
    <row r="45" spans="1:29" ht="15">
      <c r="A45" s="1458"/>
      <c r="B45" s="1450">
        <v>111</v>
      </c>
      <c r="C45" s="1413"/>
      <c r="D45" s="1414">
        <v>100</v>
      </c>
      <c r="E45" s="1413"/>
      <c r="F45" s="1449">
        <f>SUMIF(128:128,E45,129:129)-SUMIF(128:128,C45,129:129)+100</f>
        <v>100</v>
      </c>
      <c r="G45" s="1413"/>
      <c r="H45" s="1414">
        <f>SUMIF(128:128,G45,129:129)-SUMIF(128:128,C45,129:129)+100</f>
        <v>100</v>
      </c>
      <c r="I45" s="1413"/>
      <c r="J45" s="1414">
        <f>SUMIF(128:128,I45,129:129)-SUMIF(128:128,C45,129:129)+100</f>
        <v>100</v>
      </c>
      <c r="K45" s="2231"/>
      <c r="L45" s="1537"/>
      <c r="M45" s="1528"/>
      <c r="N45" s="1528"/>
      <c r="O45" s="1528"/>
      <c r="P45" s="3730"/>
      <c r="Q45" s="1076">
        <f t="shared" si="11"/>
        <v>111</v>
      </c>
      <c r="R45" s="1581" t="s">
        <v>2884</v>
      </c>
      <c r="S45" s="1582">
        <f t="shared" si="12"/>
        <v>100</v>
      </c>
      <c r="T45" s="1581" t="s">
        <v>2884</v>
      </c>
      <c r="U45" s="1582">
        <f t="shared" si="13"/>
        <v>100</v>
      </c>
      <c r="V45" s="1581" t="s">
        <v>2884</v>
      </c>
      <c r="W45" s="1582">
        <f t="shared" si="14"/>
        <v>100</v>
      </c>
      <c r="X45" s="1575"/>
      <c r="Y45" s="3675"/>
      <c r="Z45" s="1574">
        <f t="shared" si="18"/>
        <v>111</v>
      </c>
      <c r="AA45" s="1587">
        <f t="shared" si="15"/>
        <v>1</v>
      </c>
      <c r="AB45" s="1587">
        <f t="shared" si="16"/>
        <v>1</v>
      </c>
      <c r="AC45" s="1587">
        <f t="shared" si="17"/>
        <v>1</v>
      </c>
    </row>
    <row r="46" spans="1:29" ht="15">
      <c r="A46" s="1466"/>
      <c r="B46" s="1416">
        <v>111</v>
      </c>
      <c r="C46" s="1417"/>
      <c r="D46" s="1418">
        <v>100</v>
      </c>
      <c r="E46" s="1417"/>
      <c r="F46" s="1419">
        <f>SUMIF(130:130,E46,131:131)-SUMIF(130:130,C46,131:131)+100</f>
        <v>100</v>
      </c>
      <c r="G46" s="1417"/>
      <c r="H46" s="1418">
        <f>SUMIF(130:130,G46,131:131)-SUMIF(130:130,C46,131:131)+100</f>
        <v>100</v>
      </c>
      <c r="I46" s="1417"/>
      <c r="J46" s="1418">
        <f>SUMIF(130:130,I46,131:131)-SUMIF(130:130,C46,131:131)+100</f>
        <v>100</v>
      </c>
      <c r="K46" s="2231"/>
      <c r="L46" s="1537"/>
      <c r="M46" s="1528"/>
      <c r="N46" s="1528"/>
      <c r="O46" s="1528"/>
      <c r="P46" s="3731"/>
      <c r="Q46" s="1076">
        <f t="shared" si="11"/>
        <v>111</v>
      </c>
      <c r="R46" s="1581" t="s">
        <v>2884</v>
      </c>
      <c r="S46" s="1582">
        <f t="shared" si="12"/>
        <v>100</v>
      </c>
      <c r="T46" s="1581" t="s">
        <v>2884</v>
      </c>
      <c r="U46" s="1582">
        <f t="shared" si="13"/>
        <v>100</v>
      </c>
      <c r="V46" s="1581" t="s">
        <v>2884</v>
      </c>
      <c r="W46" s="1582">
        <f t="shared" si="14"/>
        <v>100</v>
      </c>
      <c r="X46" s="1575"/>
      <c r="Y46" s="3732"/>
      <c r="Z46" s="1574">
        <f t="shared" si="18"/>
        <v>111</v>
      </c>
      <c r="AA46" s="1587">
        <f t="shared" si="15"/>
        <v>1</v>
      </c>
      <c r="AB46" s="1587">
        <f t="shared" si="16"/>
        <v>1</v>
      </c>
      <c r="AC46" s="1587">
        <f t="shared" si="17"/>
        <v>1</v>
      </c>
    </row>
    <row r="47" spans="1:29" ht="14.4">
      <c r="A47" s="1467" t="s">
        <v>3324</v>
      </c>
      <c r="B47" s="1468"/>
      <c r="C47" s="1469" t="s">
        <v>124</v>
      </c>
      <c r="D47" s="1470"/>
      <c r="E47" s="1471"/>
      <c r="F47" s="1472"/>
      <c r="G47" s="1473"/>
      <c r="H47" s="1474"/>
      <c r="I47" s="1471"/>
      <c r="J47" s="1474"/>
      <c r="K47" s="2236"/>
      <c r="L47" s="1543"/>
      <c r="M47" s="1484"/>
      <c r="N47" s="1528"/>
      <c r="O47" s="1484"/>
      <c r="P47" s="3665" t="str">
        <f>A47</f>
        <v>成交单价（元/平方米）</v>
      </c>
      <c r="Q47" s="3665"/>
      <c r="R47" s="3666">
        <f>E47</f>
        <v>0</v>
      </c>
      <c r="S47" s="3666"/>
      <c r="T47" s="3666">
        <f>G47</f>
        <v>0</v>
      </c>
      <c r="U47" s="3666"/>
      <c r="V47" s="3666">
        <f>I47</f>
        <v>0</v>
      </c>
      <c r="W47" s="3666"/>
      <c r="X47" s="1493"/>
      <c r="Y47" s="1596"/>
      <c r="Z47" s="1493"/>
      <c r="AA47" s="1493"/>
      <c r="AB47" s="1493"/>
      <c r="AC47" s="1493"/>
    </row>
    <row r="48" spans="1:29" ht="14.4">
      <c r="A48" s="1475" t="s">
        <v>2922</v>
      </c>
      <c r="B48" s="1476"/>
      <c r="C48" s="1477" t="e">
        <f>R49</f>
        <v>#DIV/0!</v>
      </c>
      <c r="D48" s="1478" t="s">
        <v>2923</v>
      </c>
      <c r="E48" s="1479" t="e">
        <f>R48</f>
        <v>#DIV/0!</v>
      </c>
      <c r="F48" s="1480"/>
      <c r="G48" s="1477" t="e">
        <f>T48</f>
        <v>#DIV/0!</v>
      </c>
      <c r="H48" s="1480"/>
      <c r="I48" s="1479" t="e">
        <f>V48</f>
        <v>#DIV/0!</v>
      </c>
      <c r="J48" s="1480"/>
      <c r="K48" s="2237">
        <f>F48+H48+J48</f>
        <v>0</v>
      </c>
      <c r="L48" s="1543"/>
      <c r="M48" s="1484"/>
      <c r="N48" s="1484"/>
      <c r="O48" s="1484"/>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1493"/>
      <c r="Y48" s="1493"/>
      <c r="Z48" s="1493"/>
      <c r="AA48" s="1493"/>
      <c r="AB48" s="1493"/>
      <c r="AC48" s="1493"/>
    </row>
    <row r="49" spans="1:29" ht="14.4">
      <c r="A49" s="1481" t="s">
        <v>3325</v>
      </c>
      <c r="B49" s="1482"/>
      <c r="C49" s="2219" t="e">
        <f>R49</f>
        <v>#DIV/0!</v>
      </c>
      <c r="D49" s="1483"/>
      <c r="E49" s="1483"/>
      <c r="F49" s="1483"/>
      <c r="G49" s="1483"/>
      <c r="H49" s="1483"/>
      <c r="I49" s="1483"/>
      <c r="J49" s="1483"/>
      <c r="K49" s="2238"/>
      <c r="L49" s="1543"/>
      <c r="M49" s="1484"/>
      <c r="N49" s="1484"/>
      <c r="O49" s="1484"/>
      <c r="P49" s="3667" t="str">
        <f>A49</f>
        <v>估价对象XX用房的比较价值（楼面单价，元/平方米）</v>
      </c>
      <c r="Q49" s="3668"/>
      <c r="R49" s="3725" t="e">
        <f>IF(F1="售价",ROUND(IF(D48="简单平均",AVERAGE(R48:V48),R48*F48+T48*H48+V48*J48),0),ROUND(IF(D48="简单平均",AVERAGE(R48:V48),R48*F48+T48*H48+V48*J48),1))</f>
        <v>#DIV/0!</v>
      </c>
      <c r="S49" s="3725"/>
      <c r="T49" s="3725"/>
      <c r="U49" s="3725"/>
      <c r="V49" s="3725"/>
      <c r="W49" s="3725"/>
      <c r="X49" s="1493"/>
      <c r="Y49" s="1493"/>
      <c r="Z49" s="1493"/>
      <c r="AA49" s="1493"/>
      <c r="AB49" s="1493"/>
      <c r="AC49" s="1493"/>
    </row>
    <row r="50" spans="1:29">
      <c r="A50" s="1484"/>
      <c r="B50" s="1484"/>
      <c r="C50" s="1484"/>
      <c r="D50" s="1484"/>
      <c r="E50" s="1484"/>
      <c r="F50" s="1484"/>
      <c r="G50" s="1485"/>
      <c r="H50" s="1484"/>
      <c r="I50" s="1484"/>
      <c r="J50" s="1484"/>
      <c r="K50" s="1546"/>
      <c r="L50" s="1547"/>
      <c r="M50" s="1484"/>
      <c r="N50" s="1484"/>
      <c r="O50" s="1484"/>
    </row>
    <row r="51" spans="1:29">
      <c r="A51" s="1484"/>
      <c r="B51" s="1484"/>
      <c r="C51" s="1484"/>
      <c r="D51" s="1484"/>
      <c r="E51" s="1484"/>
      <c r="F51" s="1484"/>
      <c r="G51" s="1484"/>
      <c r="H51" s="1484"/>
      <c r="I51" s="1484"/>
      <c r="J51" s="1484"/>
      <c r="K51" s="1546"/>
      <c r="L51" s="1547"/>
      <c r="M51" s="1484"/>
      <c r="N51" s="1484"/>
      <c r="O51" s="1484"/>
    </row>
    <row r="52" spans="1:29" ht="13.5" customHeight="1">
      <c r="A52" s="1484"/>
      <c r="B52" s="1484"/>
      <c r="C52" s="1486" t="s">
        <v>2925</v>
      </c>
      <c r="D52" s="1120"/>
      <c r="E52" s="1487" t="e">
        <f>IF(E47&lt;E48,E48/E47-1,E47/E48-1)</f>
        <v>#DIV/0!</v>
      </c>
      <c r="F52" s="1488" t="e">
        <f>IF(OR(E52&gt;=0.3,E52&lt;=-0.3),"超过30%","")</f>
        <v>#DIV/0!</v>
      </c>
      <c r="G52" s="1487" t="e">
        <f>IF(G47&lt;G48,G48/G47-1,G47/G48-1)</f>
        <v>#DIV/0!</v>
      </c>
      <c r="H52" s="1488" t="e">
        <f>IF(OR(G52&gt;=0.3,G52&lt;=-0.3),"超过30%","")</f>
        <v>#DIV/0!</v>
      </c>
      <c r="I52" s="1487" t="e">
        <f>IF(I47&lt;I48,I48/I47-1,I47/I48-1)</f>
        <v>#DIV/0!</v>
      </c>
      <c r="J52" s="1488" t="e">
        <f>IF(OR(I52&gt;=0.3,I52&lt;=-0.3),"超过30%","")</f>
        <v>#DIV/0!</v>
      </c>
      <c r="K52" s="1546"/>
      <c r="L52" s="1547"/>
      <c r="M52" s="1484"/>
      <c r="N52" s="1484"/>
      <c r="O52" s="1484"/>
    </row>
    <row r="53" spans="1:29" ht="13.5" customHeight="1">
      <c r="A53" s="1484"/>
      <c r="B53" s="1484"/>
      <c r="C53" s="1486" t="s">
        <v>2926</v>
      </c>
      <c r="D53" s="1119"/>
      <c r="E53" s="1487" t="e">
        <f>IF(E48&lt;G48,G48/E48-1,E48/G48-1)</f>
        <v>#DIV/0!</v>
      </c>
      <c r="F53" s="1488" t="e">
        <f>IF(OR(E53&gt;=0.2,E53&lt;=-0.2),"超过20%","")</f>
        <v>#DIV/0!</v>
      </c>
      <c r="G53" s="1487" t="e">
        <f>IF(G48&lt;I48,I48/G48-1,G48/I48-1)</f>
        <v>#DIV/0!</v>
      </c>
      <c r="H53" s="1488" t="e">
        <f>IF(OR(G53&gt;=0.2,G53&lt;=-0.2),"超过20%","")</f>
        <v>#DIV/0!</v>
      </c>
      <c r="I53" s="1487" t="e">
        <f>IF(I48&lt;E48,E48/I48-1,I48/E48-1)</f>
        <v>#DIV/0!</v>
      </c>
      <c r="J53" s="1488" t="e">
        <f>IF(OR(I53&gt;=0.2,I53&lt;=-0.2),"超过20%","")</f>
        <v>#DIV/0!</v>
      </c>
      <c r="K53" s="1546"/>
      <c r="L53" s="1547"/>
      <c r="M53" s="1484"/>
      <c r="N53" s="1484"/>
      <c r="O53" s="1484"/>
    </row>
    <row r="54" spans="1:29" s="1356" customFormat="1" ht="13.5" customHeight="1">
      <c r="A54" s="1489"/>
      <c r="B54" s="1489"/>
      <c r="C54" s="1486" t="s">
        <v>2927</v>
      </c>
      <c r="D54" s="1119"/>
      <c r="E54" s="1487" t="e">
        <f>IF(E47&lt;G47,G47/E47-1,E47/G47-1)</f>
        <v>#DIV/0!</v>
      </c>
      <c r="F54" s="1488" t="e">
        <f>IF(OR(E54&gt;=0.3,E54&lt;=-0.3),"超过30%","")</f>
        <v>#DIV/0!</v>
      </c>
      <c r="G54" s="1487" t="e">
        <f>IF(G47&lt;I47,I47/G47-1,G47/I47-1)</f>
        <v>#DIV/0!</v>
      </c>
      <c r="H54" s="1488" t="e">
        <f>IF(OR(G54&gt;=0.3,G54&lt;=-0.3),"超过30%","")</f>
        <v>#DIV/0!</v>
      </c>
      <c r="I54" s="1487" t="e">
        <f>IF(I47&lt;E47,E47/I47-1,I47/E47-1)</f>
        <v>#DIV/0!</v>
      </c>
      <c r="J54" s="1488" t="e">
        <f>IF(OR(I54&gt;=0.3,I54&lt;=-0.3),"超过30%","")</f>
        <v>#DIV/0!</v>
      </c>
      <c r="K54" s="1549"/>
      <c r="L54" s="1550"/>
      <c r="M54" s="1489"/>
      <c r="N54" s="1489"/>
      <c r="O54" s="1489"/>
      <c r="P54" s="2239"/>
    </row>
    <row r="55" spans="1:29" s="1356" customFormat="1">
      <c r="A55" s="1489"/>
      <c r="B55" s="1490"/>
      <c r="C55" s="1491"/>
      <c r="D55" s="1489"/>
      <c r="E55" s="1489"/>
      <c r="F55" s="1489"/>
      <c r="G55" s="1489"/>
      <c r="H55" s="1489"/>
      <c r="I55" s="1489"/>
      <c r="J55" s="1489"/>
      <c r="K55" s="1549"/>
      <c r="L55" s="1550"/>
      <c r="M55" s="1489"/>
      <c r="N55" s="1489"/>
      <c r="O55" s="1489"/>
      <c r="P55" s="2239"/>
    </row>
    <row r="56" spans="1:29">
      <c r="A56" s="1484"/>
      <c r="B56" s="1490"/>
      <c r="C56" s="1491"/>
      <c r="D56" s="1484"/>
      <c r="E56" s="1484"/>
      <c r="F56" s="1484"/>
      <c r="G56" s="1484"/>
      <c r="H56" s="1484"/>
      <c r="I56" s="1484"/>
      <c r="J56" s="1484"/>
      <c r="K56" s="1546"/>
      <c r="L56" s="1547"/>
      <c r="M56" s="1484"/>
      <c r="N56" s="1484"/>
      <c r="O56" s="1484"/>
    </row>
    <row r="57" spans="1:29" ht="21.6">
      <c r="A57" s="1492" t="s">
        <v>2928</v>
      </c>
      <c r="B57" s="1493"/>
      <c r="C57" s="1494"/>
      <c r="D57" s="1494"/>
      <c r="E57" s="1494"/>
      <c r="F57" s="1495"/>
      <c r="G57" s="1495"/>
      <c r="H57" s="1494"/>
      <c r="I57" s="1494"/>
      <c r="J57" s="1494"/>
      <c r="K57" s="2128"/>
      <c r="L57" s="1553"/>
      <c r="M57" s="1554"/>
      <c r="N57" s="1554"/>
      <c r="O57" s="1554"/>
      <c r="P57" s="2240"/>
      <c r="Q57" s="2161"/>
    </row>
    <row r="58" spans="1:29" s="1357" customFormat="1" ht="14.4">
      <c r="A58" s="1496" t="s">
        <v>2882</v>
      </c>
      <c r="B58" s="1497"/>
      <c r="C58" s="2220" t="str">
        <f>YEAR(C7)&amp;"-"&amp;MONTH(C7)</f>
        <v>2024-1</v>
      </c>
      <c r="D58" s="1499">
        <f>EDATE(C58,-1)</f>
        <v>45261</v>
      </c>
      <c r="E58" s="1499">
        <f>EDATE(D58,-1)</f>
        <v>45231</v>
      </c>
      <c r="F58" s="1499">
        <f t="shared" ref="F58:O58" si="19">EDATE(E58,-1)</f>
        <v>45200</v>
      </c>
      <c r="G58" s="1499">
        <f t="shared" si="19"/>
        <v>45170</v>
      </c>
      <c r="H58" s="1499">
        <f t="shared" si="19"/>
        <v>45139</v>
      </c>
      <c r="I58" s="1499">
        <f t="shared" si="19"/>
        <v>45108</v>
      </c>
      <c r="J58" s="1499">
        <f t="shared" si="19"/>
        <v>45078</v>
      </c>
      <c r="K58" s="1499">
        <f t="shared" si="19"/>
        <v>45047</v>
      </c>
      <c r="L58" s="1499">
        <f t="shared" si="19"/>
        <v>45017</v>
      </c>
      <c r="M58" s="1499">
        <f t="shared" si="19"/>
        <v>44986</v>
      </c>
      <c r="N58" s="1499">
        <f t="shared" si="19"/>
        <v>44958</v>
      </c>
      <c r="O58" s="1499">
        <f t="shared" si="19"/>
        <v>44927</v>
      </c>
      <c r="P58" s="2241"/>
    </row>
    <row r="59" spans="1:29" s="1353" customFormat="1">
      <c r="A59" s="1500"/>
      <c r="B59" s="2221"/>
      <c r="C59" s="1502">
        <v>100</v>
      </c>
      <c r="D59" s="1511"/>
      <c r="E59" s="1503"/>
      <c r="F59" s="1503"/>
      <c r="G59" s="1503"/>
      <c r="H59" s="1503"/>
      <c r="I59" s="1503"/>
      <c r="J59" s="1503"/>
      <c r="K59" s="1503"/>
      <c r="L59" s="1503"/>
      <c r="M59" s="1557"/>
      <c r="N59" s="1503"/>
      <c r="O59" s="1557"/>
      <c r="P59" s="2242"/>
    </row>
    <row r="60" spans="1:29" s="1353" customFormat="1" ht="14.4">
      <c r="A60" s="1504" t="s">
        <v>2929</v>
      </c>
      <c r="B60" s="1505"/>
      <c r="C60" s="1506"/>
      <c r="D60" s="1507"/>
      <c r="E60" s="1507"/>
      <c r="F60" s="1507"/>
      <c r="G60" s="1507"/>
      <c r="H60" s="1507"/>
      <c r="I60" s="1507"/>
      <c r="J60" s="1507"/>
      <c r="K60" s="1507"/>
      <c r="L60" s="1507"/>
      <c r="M60" s="1559"/>
      <c r="N60" s="1507"/>
      <c r="O60" s="1559"/>
      <c r="P60" s="2242"/>
      <c r="Q60" s="2161"/>
    </row>
    <row r="61" spans="1:29" s="1353" customFormat="1" ht="14.4">
      <c r="A61" s="1508" t="s">
        <v>2885</v>
      </c>
      <c r="B61" s="1501"/>
      <c r="C61" s="1509" t="s">
        <v>2930</v>
      </c>
      <c r="D61" s="1510"/>
      <c r="E61" s="1510"/>
      <c r="F61" s="1510"/>
      <c r="G61" s="1510"/>
      <c r="H61" s="1510"/>
      <c r="I61" s="1510"/>
      <c r="J61" s="1510"/>
      <c r="K61" s="1510"/>
      <c r="L61" s="1560"/>
      <c r="M61" s="1561"/>
      <c r="N61" s="2164"/>
      <c r="O61" s="2164"/>
      <c r="P61" s="2243"/>
      <c r="Q61" s="2161"/>
    </row>
    <row r="62" spans="1:29" s="1353" customFormat="1">
      <c r="A62" s="1508"/>
      <c r="B62" s="1501"/>
      <c r="C62" s="1511">
        <v>100</v>
      </c>
      <c r="D62" s="1503"/>
      <c r="E62" s="1503"/>
      <c r="F62" s="1503"/>
      <c r="G62" s="1503"/>
      <c r="H62" s="1503"/>
      <c r="I62" s="1503"/>
      <c r="J62" s="1503"/>
      <c r="K62" s="1503"/>
      <c r="L62" s="1503"/>
      <c r="M62" s="1564"/>
      <c r="N62" s="2164"/>
      <c r="O62" s="2164"/>
      <c r="P62" s="2242"/>
      <c r="Q62" s="2161"/>
    </row>
    <row r="63" spans="1:29" ht="14.4">
      <c r="A63" s="1512" t="s">
        <v>2931</v>
      </c>
      <c r="B63" s="1513" t="s">
        <v>2889</v>
      </c>
      <c r="C63" s="1514">
        <f>C9</f>
        <v>0</v>
      </c>
      <c r="D63" s="1515"/>
      <c r="E63" s="1515"/>
      <c r="F63" s="1515"/>
      <c r="G63" s="1515"/>
      <c r="H63" s="1515"/>
      <c r="I63" s="1515"/>
      <c r="J63" s="1515"/>
      <c r="K63" s="1565"/>
      <c r="L63" s="1566"/>
      <c r="M63" s="1567"/>
      <c r="N63" s="2166"/>
      <c r="O63" s="2166"/>
      <c r="P63" s="2244"/>
      <c r="Q63" s="2161"/>
    </row>
    <row r="64" spans="1:29">
      <c r="A64" s="1516"/>
      <c r="B64" s="1517"/>
      <c r="C64" s="1518">
        <v>100</v>
      </c>
      <c r="D64" s="1518"/>
      <c r="E64" s="1518"/>
      <c r="F64" s="1518"/>
      <c r="G64" s="1518"/>
      <c r="H64" s="1518"/>
      <c r="I64" s="1518"/>
      <c r="J64" s="1518"/>
      <c r="K64" s="1518"/>
      <c r="L64" s="1518"/>
      <c r="M64" s="1570"/>
      <c r="N64" s="2168"/>
      <c r="O64" s="2168"/>
      <c r="P64" s="2244"/>
      <c r="Q64" s="2161"/>
    </row>
    <row r="65" spans="1:17" ht="28.8">
      <c r="A65" s="1516"/>
      <c r="B65" s="1597" t="s">
        <v>2893</v>
      </c>
      <c r="C65" s="1598"/>
      <c r="D65" s="1598"/>
      <c r="E65" s="1598"/>
      <c r="F65" s="1598"/>
      <c r="G65" s="1598"/>
      <c r="H65" s="1598"/>
      <c r="I65" s="1598"/>
      <c r="J65" s="1598"/>
      <c r="K65" s="1598"/>
      <c r="L65" s="1598"/>
      <c r="M65" s="1598"/>
      <c r="N65" s="2168"/>
      <c r="O65" s="2168"/>
      <c r="P65" s="2244"/>
      <c r="Q65" s="2161"/>
    </row>
    <row r="66" spans="1:17">
      <c r="A66" s="1516"/>
      <c r="B66" s="1599"/>
      <c r="C66" s="1518"/>
      <c r="D66" s="1518"/>
      <c r="E66" s="1518"/>
      <c r="F66" s="1518"/>
      <c r="G66" s="1518"/>
      <c r="H66" s="1518"/>
      <c r="I66" s="1518"/>
      <c r="J66" s="1518"/>
      <c r="K66" s="1518"/>
      <c r="L66" s="1518"/>
      <c r="M66" s="1570"/>
      <c r="N66" s="2168"/>
      <c r="O66" s="2168"/>
      <c r="P66" s="2244"/>
      <c r="Q66" s="2161"/>
    </row>
    <row r="67" spans="1:17" ht="14.4">
      <c r="A67" s="1516"/>
      <c r="B67" s="1600" t="s">
        <v>3458</v>
      </c>
      <c r="C67" s="1601" t="str">
        <f>C68&amp;"（含）"&amp;"-"&amp;D68</f>
        <v>（含）-</v>
      </c>
      <c r="D67" s="1601" t="str">
        <f t="shared" ref="D67:L67" si="20">D68&amp;"（含）"&amp;"-"&amp;E68</f>
        <v>（含）-</v>
      </c>
      <c r="E67" s="1601" t="str">
        <f t="shared" si="20"/>
        <v>（含）-</v>
      </c>
      <c r="F67" s="1601" t="str">
        <f t="shared" si="20"/>
        <v>（含）-</v>
      </c>
      <c r="G67" s="1601" t="str">
        <f t="shared" si="20"/>
        <v>（含）-</v>
      </c>
      <c r="H67" s="1601" t="str">
        <f t="shared" si="20"/>
        <v>（含）-</v>
      </c>
      <c r="I67" s="1601" t="str">
        <f t="shared" si="20"/>
        <v>（含）-</v>
      </c>
      <c r="J67" s="1601" t="str">
        <f t="shared" si="20"/>
        <v>（含）-</v>
      </c>
      <c r="K67" s="1601" t="str">
        <f t="shared" si="20"/>
        <v>（含）-</v>
      </c>
      <c r="L67" s="1601" t="str">
        <f t="shared" si="20"/>
        <v>（含）-</v>
      </c>
      <c r="M67" s="1429" t="str">
        <f>M68&amp;"（含）"&amp;"-"&amp;P68</f>
        <v>（含）-</v>
      </c>
      <c r="N67" s="2168"/>
      <c r="O67" s="2168"/>
      <c r="P67" s="2244"/>
      <c r="Q67" s="2161"/>
    </row>
    <row r="68" spans="1:17">
      <c r="A68" s="1516"/>
      <c r="B68" s="1602"/>
      <c r="C68" s="1603"/>
      <c r="D68" s="1603"/>
      <c r="E68" s="1603"/>
      <c r="F68" s="1603"/>
      <c r="G68" s="1603"/>
      <c r="H68" s="1603"/>
      <c r="I68" s="1603"/>
      <c r="J68" s="1603"/>
      <c r="K68" s="1635"/>
      <c r="L68" s="1636"/>
      <c r="M68" s="1637"/>
      <c r="N68" s="2166"/>
      <c r="O68" s="2166"/>
      <c r="P68" s="2244"/>
      <c r="Q68" s="2161"/>
    </row>
    <row r="69" spans="1:17">
      <c r="A69" s="1516"/>
      <c r="B69" s="1517"/>
      <c r="C69" s="1604">
        <v>100</v>
      </c>
      <c r="D69" s="1604">
        <f t="shared" ref="D69:M69" si="21">C69-$K11</f>
        <v>100</v>
      </c>
      <c r="E69" s="1604">
        <f t="shared" si="21"/>
        <v>100</v>
      </c>
      <c r="F69" s="1604">
        <f t="shared" si="21"/>
        <v>100</v>
      </c>
      <c r="G69" s="1604">
        <f t="shared" si="21"/>
        <v>100</v>
      </c>
      <c r="H69" s="1604">
        <f t="shared" si="21"/>
        <v>100</v>
      </c>
      <c r="I69" s="1604">
        <f t="shared" si="21"/>
        <v>100</v>
      </c>
      <c r="J69" s="1604">
        <f t="shared" si="21"/>
        <v>100</v>
      </c>
      <c r="K69" s="1604">
        <f t="shared" si="21"/>
        <v>100</v>
      </c>
      <c r="L69" s="1604">
        <f t="shared" si="21"/>
        <v>100</v>
      </c>
      <c r="M69" s="1638">
        <f t="shared" si="21"/>
        <v>100</v>
      </c>
      <c r="N69" s="2168"/>
      <c r="O69" s="2168"/>
      <c r="P69" s="2244"/>
      <c r="Q69" s="2161"/>
    </row>
    <row r="70" spans="1:17" s="1355" customFormat="1">
      <c r="A70" s="1605"/>
      <c r="B70" s="1597">
        <f>B12</f>
        <v>111</v>
      </c>
      <c r="C70" s="1606"/>
      <c r="D70" s="1606"/>
      <c r="E70" s="1606"/>
      <c r="F70" s="1606"/>
      <c r="G70" s="1606"/>
      <c r="H70" s="1607"/>
      <c r="I70" s="1607"/>
      <c r="J70" s="1607"/>
      <c r="K70" s="1607"/>
      <c r="L70" s="1639"/>
      <c r="M70" s="1640"/>
      <c r="N70" s="2169"/>
      <c r="O70" s="2169"/>
      <c r="P70" s="2247"/>
      <c r="Q70" s="2171"/>
    </row>
    <row r="71" spans="1:17" s="1355" customFormat="1">
      <c r="A71" s="1605"/>
      <c r="B71" s="1599"/>
      <c r="C71" s="1608"/>
      <c r="D71" s="1518"/>
      <c r="E71" s="1518"/>
      <c r="F71" s="1518"/>
      <c r="G71" s="1518"/>
      <c r="H71" s="1518"/>
      <c r="I71" s="1518"/>
      <c r="J71" s="1518"/>
      <c r="K71" s="1518"/>
      <c r="L71" s="1518"/>
      <c r="M71" s="1570"/>
      <c r="N71" s="2168"/>
      <c r="O71" s="2168"/>
      <c r="P71" s="2247"/>
      <c r="Q71" s="2171"/>
    </row>
    <row r="72" spans="1:17" s="1355" customFormat="1">
      <c r="A72" s="1605"/>
      <c r="B72" s="1597">
        <f>B13</f>
        <v>111</v>
      </c>
      <c r="C72" s="1606"/>
      <c r="D72" s="1606"/>
      <c r="E72" s="1606"/>
      <c r="F72" s="1606"/>
      <c r="G72" s="1606"/>
      <c r="H72" s="1607"/>
      <c r="I72" s="1607"/>
      <c r="J72" s="1607"/>
      <c r="K72" s="1607"/>
      <c r="L72" s="1639"/>
      <c r="M72" s="1640"/>
      <c r="N72" s="2169"/>
      <c r="O72" s="2169"/>
      <c r="P72" s="2248"/>
      <c r="Q72" s="2178"/>
    </row>
    <row r="73" spans="1:17" s="1355" customFormat="1">
      <c r="A73" s="1605"/>
      <c r="B73" s="1599"/>
      <c r="C73" s="1608"/>
      <c r="D73" s="1608"/>
      <c r="E73" s="1608"/>
      <c r="F73" s="1608"/>
      <c r="G73" s="1608"/>
      <c r="H73" s="1609"/>
      <c r="I73" s="1609"/>
      <c r="J73" s="1609"/>
      <c r="K73" s="1609"/>
      <c r="L73" s="1609"/>
      <c r="M73" s="1644"/>
      <c r="N73" s="2169"/>
      <c r="O73" s="2169"/>
      <c r="P73" s="2247"/>
      <c r="Q73" s="2171"/>
    </row>
    <row r="74" spans="1:17" s="1355" customFormat="1">
      <c r="A74" s="1605"/>
      <c r="B74" s="1600">
        <f>B14</f>
        <v>111</v>
      </c>
      <c r="C74" s="1606"/>
      <c r="D74" s="1606"/>
      <c r="E74" s="1606"/>
      <c r="F74" s="1606"/>
      <c r="G74" s="1510"/>
      <c r="H74" s="1610"/>
      <c r="I74" s="1610"/>
      <c r="J74" s="1610"/>
      <c r="K74" s="1610"/>
      <c r="L74" s="1645"/>
      <c r="M74" s="1646"/>
      <c r="N74" s="2169"/>
      <c r="O74" s="2169"/>
      <c r="P74" s="2249"/>
      <c r="Q74" s="2171"/>
    </row>
    <row r="75" spans="1:17" s="1355" customFormat="1">
      <c r="A75" s="1611"/>
      <c r="B75" s="1612"/>
      <c r="C75" s="1613"/>
      <c r="D75" s="1613"/>
      <c r="E75" s="1613"/>
      <c r="F75" s="1613"/>
      <c r="G75" s="1613"/>
      <c r="H75" s="1614"/>
      <c r="I75" s="1614"/>
      <c r="J75" s="1614"/>
      <c r="K75" s="1614"/>
      <c r="L75" s="1614"/>
      <c r="M75" s="1648"/>
      <c r="N75" s="2169"/>
      <c r="O75" s="2169"/>
      <c r="P75" s="2247"/>
      <c r="Q75" s="2171"/>
    </row>
    <row r="76" spans="1:17" ht="14.4">
      <c r="A76" s="1512" t="s">
        <v>2895</v>
      </c>
      <c r="B76" s="1513" t="s">
        <v>3459</v>
      </c>
      <c r="C76" s="1615" t="s">
        <v>2933</v>
      </c>
      <c r="D76" s="1615" t="s">
        <v>2934</v>
      </c>
      <c r="E76" s="1615" t="s">
        <v>2935</v>
      </c>
      <c r="F76" s="1615" t="s">
        <v>2936</v>
      </c>
      <c r="G76" s="1615" t="s">
        <v>2937</v>
      </c>
      <c r="H76" s="1514"/>
      <c r="I76" s="1514"/>
      <c r="J76" s="1514"/>
      <c r="K76" s="1649"/>
      <c r="L76" s="1650"/>
      <c r="M76" s="1651"/>
      <c r="N76" s="2166"/>
      <c r="O76" s="2166"/>
      <c r="P76" s="2250"/>
      <c r="Q76" s="2161"/>
    </row>
    <row r="77" spans="1:17">
      <c r="A77" s="1516"/>
      <c r="B77" s="1599"/>
      <c r="C77" s="1604">
        <v>100</v>
      </c>
      <c r="D77" s="1604">
        <f>C77-$K15</f>
        <v>100</v>
      </c>
      <c r="E77" s="1604">
        <f>D77-$K15</f>
        <v>100</v>
      </c>
      <c r="F77" s="1604">
        <f>E77-$K15</f>
        <v>100</v>
      </c>
      <c r="G77" s="1604">
        <f>F77-$K15</f>
        <v>100</v>
      </c>
      <c r="H77" s="1604"/>
      <c r="I77" s="1604"/>
      <c r="J77" s="1604"/>
      <c r="K77" s="1604"/>
      <c r="L77" s="1604"/>
      <c r="M77" s="1638"/>
      <c r="N77" s="2168"/>
      <c r="O77" s="2168"/>
      <c r="P77" s="2244"/>
      <c r="Q77" s="2161"/>
    </row>
    <row r="78" spans="1:17" ht="14.4">
      <c r="A78" s="1516"/>
      <c r="B78" s="1597" t="s">
        <v>2896</v>
      </c>
      <c r="C78" s="1616" t="s">
        <v>2933</v>
      </c>
      <c r="D78" s="1616" t="s">
        <v>2934</v>
      </c>
      <c r="E78" s="1616" t="s">
        <v>2935</v>
      </c>
      <c r="F78" s="1616" t="s">
        <v>2936</v>
      </c>
      <c r="G78" s="1616" t="s">
        <v>2937</v>
      </c>
      <c r="H78" s="1617"/>
      <c r="I78" s="1617"/>
      <c r="J78" s="1617"/>
      <c r="K78" s="1653"/>
      <c r="L78" s="1654"/>
      <c r="M78" s="1655"/>
      <c r="N78" s="2166"/>
      <c r="O78" s="2166"/>
      <c r="P78" s="2244"/>
      <c r="Q78" s="2161"/>
    </row>
    <row r="79" spans="1:17">
      <c r="A79" s="1516"/>
      <c r="B79" s="1599"/>
      <c r="C79" s="1604">
        <v>100</v>
      </c>
      <c r="D79" s="1604">
        <f>C79-$K17</f>
        <v>100</v>
      </c>
      <c r="E79" s="1604">
        <f>D79-$K17</f>
        <v>100</v>
      </c>
      <c r="F79" s="1604">
        <f>E79-$K17</f>
        <v>100</v>
      </c>
      <c r="G79" s="1604">
        <f>F79-$K17</f>
        <v>100</v>
      </c>
      <c r="H79" s="1604"/>
      <c r="I79" s="1604"/>
      <c r="J79" s="1604"/>
      <c r="K79" s="1604"/>
      <c r="L79" s="1604"/>
      <c r="M79" s="1638"/>
      <c r="N79" s="2168"/>
      <c r="O79" s="2168"/>
      <c r="P79" s="2244"/>
      <c r="Q79" s="2161"/>
    </row>
    <row r="80" spans="1:17" ht="14.4">
      <c r="A80" s="1516"/>
      <c r="B80" s="1597" t="s">
        <v>2899</v>
      </c>
      <c r="C80" s="1616" t="s">
        <v>2933</v>
      </c>
      <c r="D80" s="1616" t="s">
        <v>2934</v>
      </c>
      <c r="E80" s="1616" t="s">
        <v>2935</v>
      </c>
      <c r="F80" s="1616" t="s">
        <v>2936</v>
      </c>
      <c r="G80" s="1616" t="s">
        <v>2937</v>
      </c>
      <c r="H80" s="1617"/>
      <c r="I80" s="1617"/>
      <c r="J80" s="1617"/>
      <c r="K80" s="1653"/>
      <c r="L80" s="1654"/>
      <c r="M80" s="1655"/>
      <c r="N80" s="2166"/>
      <c r="O80" s="2166"/>
      <c r="P80" s="2244"/>
      <c r="Q80" s="2161"/>
    </row>
    <row r="81" spans="1:17">
      <c r="A81" s="1516"/>
      <c r="B81" s="1599"/>
      <c r="C81" s="1604">
        <v>100</v>
      </c>
      <c r="D81" s="1604">
        <f>C81-$K19</f>
        <v>100</v>
      </c>
      <c r="E81" s="1604">
        <f>D81-$K19</f>
        <v>100</v>
      </c>
      <c r="F81" s="1604">
        <f>E81-$K19</f>
        <v>100</v>
      </c>
      <c r="G81" s="1604">
        <f>F81-$K19</f>
        <v>100</v>
      </c>
      <c r="H81" s="1604"/>
      <c r="I81" s="1604"/>
      <c r="J81" s="1604"/>
      <c r="K81" s="1604"/>
      <c r="L81" s="1604"/>
      <c r="M81" s="1638"/>
      <c r="N81" s="2168"/>
      <c r="O81" s="2168"/>
      <c r="P81" s="2244"/>
      <c r="Q81" s="2161"/>
    </row>
    <row r="82" spans="1:17" ht="14.4">
      <c r="A82" s="1516"/>
      <c r="B82" s="1600" t="s">
        <v>2901</v>
      </c>
      <c r="C82" s="1617" t="s">
        <v>2938</v>
      </c>
      <c r="D82" s="1617" t="s">
        <v>2939</v>
      </c>
      <c r="E82" s="1617" t="s">
        <v>2940</v>
      </c>
      <c r="F82" s="1617" t="s">
        <v>2941</v>
      </c>
      <c r="G82" s="1617" t="s">
        <v>2942</v>
      </c>
      <c r="H82" s="1617"/>
      <c r="I82" s="1617"/>
      <c r="J82" s="1617"/>
      <c r="K82" s="1617"/>
      <c r="L82" s="1617"/>
      <c r="M82" s="1656"/>
      <c r="N82" s="2168"/>
      <c r="O82" s="2168"/>
      <c r="P82" s="2244"/>
      <c r="Q82" s="2161"/>
    </row>
    <row r="83" spans="1:17">
      <c r="A83" s="1516"/>
      <c r="B83" s="1600"/>
      <c r="C83" s="1618">
        <v>100</v>
      </c>
      <c r="D83" s="1618">
        <f>C83-$K21</f>
        <v>100</v>
      </c>
      <c r="E83" s="1618">
        <f t="shared" ref="E83:G83" si="22">D83-$K21</f>
        <v>100</v>
      </c>
      <c r="F83" s="1618">
        <f t="shared" si="22"/>
        <v>100</v>
      </c>
      <c r="G83" s="1618">
        <f t="shared" si="22"/>
        <v>100</v>
      </c>
      <c r="H83" s="1618"/>
      <c r="I83" s="1618"/>
      <c r="J83" s="1618"/>
      <c r="K83" s="1618"/>
      <c r="L83" s="1618"/>
      <c r="M83" s="1431"/>
      <c r="N83" s="2168"/>
      <c r="O83" s="2168"/>
      <c r="P83" s="2244"/>
      <c r="Q83" s="2161"/>
    </row>
    <row r="84" spans="1:17" ht="14.4">
      <c r="A84" s="1516"/>
      <c r="B84" s="1597" t="s">
        <v>2902</v>
      </c>
      <c r="C84" s="1616" t="s">
        <v>2933</v>
      </c>
      <c r="D84" s="1616" t="s">
        <v>2934</v>
      </c>
      <c r="E84" s="1616" t="s">
        <v>2935</v>
      </c>
      <c r="F84" s="1616" t="s">
        <v>2936</v>
      </c>
      <c r="G84" s="1616" t="s">
        <v>2937</v>
      </c>
      <c r="H84" s="1617"/>
      <c r="I84" s="1617"/>
      <c r="J84" s="1617"/>
      <c r="K84" s="1653"/>
      <c r="L84" s="1654"/>
      <c r="M84" s="1655"/>
      <c r="N84" s="2166"/>
      <c r="O84" s="2166"/>
      <c r="P84" s="2244"/>
      <c r="Q84" s="2161"/>
    </row>
    <row r="85" spans="1:17">
      <c r="A85" s="1516"/>
      <c r="B85" s="1599"/>
      <c r="C85" s="1604">
        <v>100</v>
      </c>
      <c r="D85" s="1604">
        <f>C85-$K23</f>
        <v>100</v>
      </c>
      <c r="E85" s="1604">
        <f>D85-$K23</f>
        <v>100</v>
      </c>
      <c r="F85" s="1604">
        <f>E85-$K23</f>
        <v>100</v>
      </c>
      <c r="G85" s="1604">
        <f>F85-$K23</f>
        <v>100</v>
      </c>
      <c r="H85" s="1604"/>
      <c r="I85" s="1604"/>
      <c r="J85" s="1604"/>
      <c r="K85" s="1604"/>
      <c r="L85" s="1604"/>
      <c r="M85" s="1638"/>
      <c r="N85" s="2168"/>
      <c r="O85" s="2168"/>
      <c r="P85" s="2244"/>
      <c r="Q85" s="2161"/>
    </row>
    <row r="86" spans="1:17" s="1353" customFormat="1" ht="14.4">
      <c r="A86" s="1619"/>
      <c r="B86" s="1597" t="s">
        <v>3460</v>
      </c>
      <c r="C86" s="1606"/>
      <c r="D86" s="1606"/>
      <c r="E86" s="1606"/>
      <c r="F86" s="1606"/>
      <c r="G86" s="1606"/>
      <c r="H86" s="1606"/>
      <c r="I86" s="1606"/>
      <c r="J86" s="1606"/>
      <c r="K86" s="1606"/>
      <c r="L86" s="1657"/>
      <c r="M86" s="1658"/>
      <c r="N86" s="2164"/>
      <c r="O86" s="2164"/>
      <c r="P86" s="2244"/>
      <c r="Q86" s="2161"/>
    </row>
    <row r="87" spans="1:17" s="1353" customFormat="1">
      <c r="A87" s="1619"/>
      <c r="B87" s="1599"/>
      <c r="C87" s="1620">
        <v>100</v>
      </c>
      <c r="D87" s="1604">
        <f t="shared" ref="D87:M87" si="23">$C$87-($C$86-D86)*$K$25</f>
        <v>100</v>
      </c>
      <c r="E87" s="1604">
        <f t="shared" si="23"/>
        <v>100</v>
      </c>
      <c r="F87" s="1604">
        <f t="shared" si="23"/>
        <v>100</v>
      </c>
      <c r="G87" s="1604">
        <f t="shared" si="23"/>
        <v>100</v>
      </c>
      <c r="H87" s="1604">
        <f t="shared" si="23"/>
        <v>100</v>
      </c>
      <c r="I87" s="1604">
        <f t="shared" si="23"/>
        <v>100</v>
      </c>
      <c r="J87" s="1604">
        <f t="shared" si="23"/>
        <v>100</v>
      </c>
      <c r="K87" s="1604">
        <f t="shared" si="23"/>
        <v>100</v>
      </c>
      <c r="L87" s="1604">
        <f t="shared" si="23"/>
        <v>100</v>
      </c>
      <c r="M87" s="1604">
        <f t="shared" si="23"/>
        <v>100</v>
      </c>
      <c r="N87" s="2168"/>
      <c r="O87" s="2168"/>
      <c r="P87" s="2244"/>
      <c r="Q87" s="2161"/>
    </row>
    <row r="88" spans="1:17" s="1353" customFormat="1" ht="14.4">
      <c r="A88" s="1619"/>
      <c r="B88" s="1597" t="s">
        <v>3461</v>
      </c>
      <c r="C88" s="1606"/>
      <c r="D88" s="1606"/>
      <c r="E88" s="1606"/>
      <c r="F88" s="1621"/>
      <c r="G88" s="1606"/>
      <c r="H88" s="1606"/>
      <c r="I88" s="1606"/>
      <c r="J88" s="1606"/>
      <c r="K88" s="1606"/>
      <c r="L88" s="1606"/>
      <c r="M88" s="1658"/>
      <c r="N88" s="2164"/>
      <c r="O88" s="2164"/>
      <c r="P88" s="2244"/>
      <c r="Q88" s="2161"/>
    </row>
    <row r="89" spans="1:17" s="1353" customFormat="1">
      <c r="A89" s="1619"/>
      <c r="B89" s="1599"/>
      <c r="C89" s="1620">
        <v>100</v>
      </c>
      <c r="D89" s="1604">
        <f t="shared" ref="D89:M89" si="24">C89-$K26</f>
        <v>100</v>
      </c>
      <c r="E89" s="1604">
        <f t="shared" si="24"/>
        <v>100</v>
      </c>
      <c r="F89" s="1604">
        <f t="shared" si="24"/>
        <v>100</v>
      </c>
      <c r="G89" s="1604">
        <f t="shared" si="24"/>
        <v>100</v>
      </c>
      <c r="H89" s="1604">
        <f t="shared" si="24"/>
        <v>100</v>
      </c>
      <c r="I89" s="1604">
        <f t="shared" si="24"/>
        <v>100</v>
      </c>
      <c r="J89" s="1604">
        <f t="shared" si="24"/>
        <v>100</v>
      </c>
      <c r="K89" s="1604">
        <f t="shared" si="24"/>
        <v>100</v>
      </c>
      <c r="L89" s="1604">
        <f t="shared" si="24"/>
        <v>100</v>
      </c>
      <c r="M89" s="1604">
        <f t="shared" si="24"/>
        <v>100</v>
      </c>
      <c r="N89" s="2168"/>
      <c r="O89" s="2168"/>
      <c r="P89" s="2244"/>
      <c r="Q89" s="2161"/>
    </row>
    <row r="90" spans="1:17" s="1355" customFormat="1">
      <c r="A90" s="1605"/>
      <c r="B90" s="1597">
        <f>B27</f>
        <v>111</v>
      </c>
      <c r="C90" s="1606"/>
      <c r="D90" s="1606"/>
      <c r="E90" s="1606"/>
      <c r="F90" s="1606"/>
      <c r="G90" s="1606"/>
      <c r="H90" s="1607"/>
      <c r="I90" s="1607"/>
      <c r="J90" s="1607"/>
      <c r="K90" s="1607"/>
      <c r="L90" s="1639"/>
      <c r="M90" s="1640"/>
      <c r="N90" s="2169"/>
      <c r="O90" s="2169"/>
      <c r="P90" s="2247"/>
      <c r="Q90" s="2171"/>
    </row>
    <row r="91" spans="1:17" s="1355" customFormat="1">
      <c r="A91" s="1605"/>
      <c r="B91" s="1599"/>
      <c r="C91" s="1608"/>
      <c r="D91" s="1608"/>
      <c r="E91" s="1608"/>
      <c r="F91" s="1608"/>
      <c r="G91" s="1608"/>
      <c r="H91" s="1609"/>
      <c r="I91" s="1609"/>
      <c r="J91" s="1609"/>
      <c r="K91" s="1609"/>
      <c r="L91" s="1609"/>
      <c r="M91" s="1644"/>
      <c r="N91" s="2169"/>
      <c r="O91" s="2169"/>
      <c r="P91" s="2247"/>
      <c r="Q91" s="2171"/>
    </row>
    <row r="92" spans="1:17">
      <c r="A92" s="1516"/>
      <c r="B92" s="1597">
        <f>B28</f>
        <v>111</v>
      </c>
      <c r="C92" s="1606"/>
      <c r="D92" s="1606"/>
      <c r="E92" s="1606"/>
      <c r="F92" s="1606"/>
      <c r="G92" s="1598"/>
      <c r="H92" s="1598"/>
      <c r="I92" s="1598"/>
      <c r="J92" s="1598"/>
      <c r="K92" s="1632"/>
      <c r="L92" s="1633"/>
      <c r="M92" s="1634"/>
      <c r="N92" s="2166"/>
      <c r="O92" s="2166"/>
      <c r="P92" s="2244"/>
      <c r="Q92" s="2161"/>
    </row>
    <row r="93" spans="1:17">
      <c r="A93" s="1516"/>
      <c r="B93" s="1599"/>
      <c r="C93" s="1608"/>
      <c r="D93" s="1518"/>
      <c r="E93" s="1518"/>
      <c r="F93" s="1518"/>
      <c r="G93" s="1518"/>
      <c r="H93" s="1518"/>
      <c r="I93" s="1518"/>
      <c r="J93" s="1518"/>
      <c r="K93" s="1518"/>
      <c r="L93" s="1518"/>
      <c r="M93" s="1570"/>
      <c r="N93" s="2168"/>
      <c r="O93" s="2168"/>
      <c r="P93" s="2244"/>
      <c r="Q93" s="2161"/>
    </row>
    <row r="94" spans="1:17">
      <c r="A94" s="1516"/>
      <c r="B94" s="1597">
        <f>B29</f>
        <v>111</v>
      </c>
      <c r="C94" s="1606"/>
      <c r="D94" s="1606"/>
      <c r="E94" s="1606"/>
      <c r="F94" s="1606"/>
      <c r="G94" s="1598"/>
      <c r="H94" s="1598"/>
      <c r="I94" s="1598"/>
      <c r="J94" s="1598"/>
      <c r="K94" s="1632"/>
      <c r="L94" s="1633"/>
      <c r="M94" s="1634"/>
      <c r="N94" s="2166"/>
      <c r="O94" s="2166"/>
      <c r="P94" s="2244"/>
      <c r="Q94" s="2161"/>
    </row>
    <row r="95" spans="1:17">
      <c r="A95" s="1516"/>
      <c r="B95" s="1599"/>
      <c r="C95" s="1608"/>
      <c r="D95" s="1608"/>
      <c r="E95" s="1608"/>
      <c r="F95" s="1608"/>
      <c r="G95" s="1518"/>
      <c r="H95" s="1518"/>
      <c r="I95" s="1518"/>
      <c r="J95" s="1518"/>
      <c r="K95" s="1518"/>
      <c r="L95" s="1518"/>
      <c r="M95" s="1570"/>
      <c r="N95" s="2168"/>
      <c r="O95" s="2168"/>
      <c r="P95" s="2244"/>
      <c r="Q95" s="2161"/>
    </row>
    <row r="96" spans="1:17">
      <c r="A96" s="1516"/>
      <c r="B96" s="1597">
        <f>B30</f>
        <v>111</v>
      </c>
      <c r="C96" s="1606"/>
      <c r="D96" s="1606"/>
      <c r="E96" s="1606"/>
      <c r="F96" s="1606"/>
      <c r="G96" s="1598"/>
      <c r="H96" s="1598"/>
      <c r="I96" s="1598"/>
      <c r="J96" s="1598"/>
      <c r="K96" s="1632"/>
      <c r="L96" s="1633"/>
      <c r="M96" s="1634"/>
      <c r="N96" s="2166"/>
      <c r="O96" s="2166"/>
      <c r="P96" s="2244"/>
      <c r="Q96" s="2161"/>
    </row>
    <row r="97" spans="1:17">
      <c r="A97" s="1516"/>
      <c r="B97" s="1599"/>
      <c r="C97" s="1613"/>
      <c r="D97" s="1613"/>
      <c r="E97" s="1613"/>
      <c r="F97" s="1613"/>
      <c r="G97" s="1518"/>
      <c r="H97" s="1518"/>
      <c r="I97" s="1518"/>
      <c r="J97" s="1518"/>
      <c r="K97" s="1518"/>
      <c r="L97" s="1518"/>
      <c r="M97" s="1570"/>
      <c r="N97" s="2168"/>
      <c r="O97" s="2168"/>
      <c r="P97" s="2244"/>
      <c r="Q97" s="2161"/>
    </row>
    <row r="98" spans="1:17">
      <c r="A98" s="1516"/>
      <c r="B98" s="1600">
        <f>B31</f>
        <v>111</v>
      </c>
      <c r="C98" s="1622"/>
      <c r="D98" s="1622"/>
      <c r="E98" s="1622"/>
      <c r="F98" s="1622"/>
      <c r="G98" s="1622"/>
      <c r="H98" s="1622"/>
      <c r="I98" s="1622"/>
      <c r="J98" s="1622"/>
      <c r="K98" s="1659"/>
      <c r="L98" s="1660"/>
      <c r="M98" s="1661"/>
      <c r="N98" s="2166"/>
      <c r="O98" s="2166"/>
      <c r="P98" s="2244"/>
      <c r="Q98" s="2161"/>
    </row>
    <row r="99" spans="1:17">
      <c r="A99" s="1623"/>
      <c r="B99" s="1612"/>
      <c r="C99" s="1624"/>
      <c r="D99" s="1624"/>
      <c r="E99" s="1624"/>
      <c r="F99" s="1624"/>
      <c r="G99" s="1624"/>
      <c r="H99" s="1624"/>
      <c r="I99" s="1624"/>
      <c r="J99" s="1624"/>
      <c r="K99" s="1624"/>
      <c r="L99" s="1624"/>
      <c r="M99" s="1662"/>
      <c r="N99" s="2168"/>
      <c r="O99" s="2168"/>
      <c r="P99" s="2244"/>
      <c r="Q99" s="2161"/>
    </row>
    <row r="100" spans="1:17" ht="14.4">
      <c r="A100" s="1512" t="s">
        <v>2904</v>
      </c>
      <c r="B100" s="1513" t="s">
        <v>3462</v>
      </c>
      <c r="C100" s="1515"/>
      <c r="D100" s="1515"/>
      <c r="E100" s="1515"/>
      <c r="F100" s="1515"/>
      <c r="G100" s="1515"/>
      <c r="H100" s="1515"/>
      <c r="I100" s="1515"/>
      <c r="J100" s="1515"/>
      <c r="K100" s="1565"/>
      <c r="L100" s="1566"/>
      <c r="M100" s="1567"/>
      <c r="N100" s="2166"/>
      <c r="O100" s="2166"/>
      <c r="P100" s="2244"/>
      <c r="Q100" s="2161"/>
    </row>
    <row r="101" spans="1:17">
      <c r="A101" s="1516"/>
      <c r="B101" s="1599"/>
      <c r="C101" s="1604">
        <v>100</v>
      </c>
      <c r="D101" s="1604">
        <f t="shared" ref="D101:M101" si="25">C101-$K32</f>
        <v>100</v>
      </c>
      <c r="E101" s="1604">
        <f t="shared" si="25"/>
        <v>100</v>
      </c>
      <c r="F101" s="1604">
        <f t="shared" si="25"/>
        <v>100</v>
      </c>
      <c r="G101" s="1604">
        <f t="shared" si="25"/>
        <v>100</v>
      </c>
      <c r="H101" s="1604">
        <f t="shared" si="25"/>
        <v>100</v>
      </c>
      <c r="I101" s="1604">
        <f t="shared" si="25"/>
        <v>100</v>
      </c>
      <c r="J101" s="1604">
        <f t="shared" si="25"/>
        <v>100</v>
      </c>
      <c r="K101" s="1604">
        <f t="shared" si="25"/>
        <v>100</v>
      </c>
      <c r="L101" s="1604">
        <f t="shared" si="25"/>
        <v>100</v>
      </c>
      <c r="M101" s="1604">
        <f t="shared" si="25"/>
        <v>100</v>
      </c>
      <c r="N101" s="2168"/>
      <c r="O101" s="2168"/>
      <c r="P101" s="2244"/>
      <c r="Q101" s="2161"/>
    </row>
    <row r="102" spans="1:17" ht="14.4">
      <c r="A102" s="1516"/>
      <c r="B102" s="1597" t="s">
        <v>3463</v>
      </c>
      <c r="C102" s="1616" t="str">
        <f>C103&amp;"(含)"&amp;"-"&amp;D103</f>
        <v>(含)-</v>
      </c>
      <c r="D102" s="1616" t="str">
        <f t="shared" ref="D102:L102" si="26">D103&amp;"(含)"&amp;"-"&amp;E103</f>
        <v>(含)-</v>
      </c>
      <c r="E102" s="1616" t="str">
        <f t="shared" si="26"/>
        <v>(含)-</v>
      </c>
      <c r="F102" s="1616" t="str">
        <f t="shared" si="26"/>
        <v>(含)-</v>
      </c>
      <c r="G102" s="1616" t="str">
        <f t="shared" si="26"/>
        <v>(含)-</v>
      </c>
      <c r="H102" s="1616" t="str">
        <f t="shared" si="26"/>
        <v>(含)-</v>
      </c>
      <c r="I102" s="1616" t="str">
        <f t="shared" si="26"/>
        <v>(含)-</v>
      </c>
      <c r="J102" s="1616" t="str">
        <f t="shared" si="26"/>
        <v>(含)-</v>
      </c>
      <c r="K102" s="1616" t="str">
        <f t="shared" si="26"/>
        <v>(含)-</v>
      </c>
      <c r="L102" s="1616" t="str">
        <f t="shared" si="26"/>
        <v>(含)-</v>
      </c>
      <c r="M102" s="1616" t="str">
        <f>M103&amp;"(含)"&amp;"-"&amp;P103</f>
        <v>(含)-</v>
      </c>
      <c r="N102" s="2164"/>
      <c r="O102" s="2164"/>
      <c r="P102" s="2244"/>
      <c r="Q102" s="2161"/>
    </row>
    <row r="103" spans="1:17" s="1355" customFormat="1">
      <c r="A103" s="1626"/>
      <c r="B103" s="1627"/>
      <c r="C103" s="1628"/>
      <c r="D103" s="1628"/>
      <c r="E103" s="1628"/>
      <c r="F103" s="1628"/>
      <c r="G103" s="1628"/>
      <c r="H103" s="1628"/>
      <c r="I103" s="1628"/>
      <c r="J103" s="1664"/>
      <c r="K103" s="1664"/>
      <c r="L103" s="1665"/>
      <c r="M103" s="1666"/>
      <c r="N103" s="2169"/>
      <c r="O103" s="2169"/>
      <c r="P103" s="2247"/>
      <c r="Q103" s="2171"/>
    </row>
    <row r="104" spans="1:17" s="1355" customFormat="1">
      <c r="A104" s="1605"/>
      <c r="B104" s="1599"/>
      <c r="C104" s="1608"/>
      <c r="D104" s="1518"/>
      <c r="E104" s="1518"/>
      <c r="F104" s="1518"/>
      <c r="G104" s="1518"/>
      <c r="H104" s="1518"/>
      <c r="I104" s="1518"/>
      <c r="J104" s="1518"/>
      <c r="K104" s="1518"/>
      <c r="L104" s="1518"/>
      <c r="M104" s="1518"/>
      <c r="N104" s="2168"/>
      <c r="O104" s="2168"/>
      <c r="P104" s="2247"/>
      <c r="Q104" s="2171"/>
    </row>
    <row r="105" spans="1:17" ht="14.4">
      <c r="A105" s="1629"/>
      <c r="B105" s="1597" t="s">
        <v>3464</v>
      </c>
      <c r="C105" s="1606"/>
      <c r="D105" s="1606"/>
      <c r="E105" s="1598"/>
      <c r="F105" s="1598"/>
      <c r="G105" s="1598"/>
      <c r="H105" s="1598"/>
      <c r="I105" s="1598"/>
      <c r="J105" s="1598"/>
      <c r="K105" s="1632"/>
      <c r="L105" s="1633"/>
      <c r="M105" s="1634"/>
      <c r="N105" s="2166"/>
      <c r="O105" s="2166"/>
      <c r="P105" s="2244"/>
      <c r="Q105" s="2161"/>
    </row>
    <row r="106" spans="1:17">
      <c r="A106" s="1516"/>
      <c r="B106" s="1599"/>
      <c r="C106" s="1604">
        <v>100</v>
      </c>
      <c r="D106" s="1604">
        <f t="shared" ref="D106:M106" si="27">C106-$K34</f>
        <v>100</v>
      </c>
      <c r="E106" s="1604">
        <f t="shared" si="27"/>
        <v>100</v>
      </c>
      <c r="F106" s="1604">
        <f t="shared" si="27"/>
        <v>100</v>
      </c>
      <c r="G106" s="1604">
        <f t="shared" si="27"/>
        <v>100</v>
      </c>
      <c r="H106" s="1604">
        <f t="shared" si="27"/>
        <v>100</v>
      </c>
      <c r="I106" s="1604">
        <f t="shared" si="27"/>
        <v>100</v>
      </c>
      <c r="J106" s="1604">
        <f t="shared" si="27"/>
        <v>100</v>
      </c>
      <c r="K106" s="1604">
        <f t="shared" si="27"/>
        <v>100</v>
      </c>
      <c r="L106" s="1604">
        <f t="shared" si="27"/>
        <v>100</v>
      </c>
      <c r="M106" s="1604">
        <f t="shared" si="27"/>
        <v>100</v>
      </c>
      <c r="N106" s="2168"/>
      <c r="O106" s="2168"/>
      <c r="P106" s="2244"/>
      <c r="Q106" s="2161"/>
    </row>
    <row r="107" spans="1:17" ht="14.4">
      <c r="A107" s="1629"/>
      <c r="B107" s="1597" t="s">
        <v>3465</v>
      </c>
      <c r="C107" s="1598"/>
      <c r="D107" s="1598"/>
      <c r="E107" s="1598"/>
      <c r="F107" s="1598"/>
      <c r="G107" s="1598"/>
      <c r="H107" s="1598"/>
      <c r="I107" s="1598"/>
      <c r="J107" s="1598"/>
      <c r="K107" s="1632"/>
      <c r="L107" s="1633"/>
      <c r="M107" s="1634"/>
      <c r="N107" s="2166"/>
      <c r="O107" s="2166"/>
      <c r="P107" s="2244"/>
      <c r="Q107" s="2161"/>
    </row>
    <row r="108" spans="1:17">
      <c r="A108" s="1516"/>
      <c r="B108" s="1599"/>
      <c r="C108" s="1604">
        <v>100</v>
      </c>
      <c r="D108" s="1604">
        <f t="shared" ref="D108:M108" si="28">C108-$K35</f>
        <v>100</v>
      </c>
      <c r="E108" s="1604">
        <f t="shared" si="28"/>
        <v>100</v>
      </c>
      <c r="F108" s="1604">
        <f t="shared" si="28"/>
        <v>100</v>
      </c>
      <c r="G108" s="1604">
        <f t="shared" si="28"/>
        <v>100</v>
      </c>
      <c r="H108" s="1604">
        <f t="shared" si="28"/>
        <v>100</v>
      </c>
      <c r="I108" s="1604">
        <f t="shared" si="28"/>
        <v>100</v>
      </c>
      <c r="J108" s="1604">
        <f t="shared" si="28"/>
        <v>100</v>
      </c>
      <c r="K108" s="1604">
        <f t="shared" si="28"/>
        <v>100</v>
      </c>
      <c r="L108" s="1604">
        <f t="shared" si="28"/>
        <v>100</v>
      </c>
      <c r="M108" s="1604">
        <f t="shared" si="28"/>
        <v>100</v>
      </c>
      <c r="N108" s="2168"/>
      <c r="O108" s="2168"/>
      <c r="P108" s="2244"/>
      <c r="Q108" s="2161"/>
    </row>
    <row r="109" spans="1:17" ht="14.4">
      <c r="A109" s="1629"/>
      <c r="B109" s="1597" t="s">
        <v>2912</v>
      </c>
      <c r="C109" s="1606"/>
      <c r="D109" s="1606"/>
      <c r="E109" s="1606"/>
      <c r="F109" s="1598"/>
      <c r="G109" s="1598"/>
      <c r="H109" s="1598"/>
      <c r="I109" s="1598"/>
      <c r="J109" s="1598"/>
      <c r="K109" s="1632"/>
      <c r="L109" s="1633"/>
      <c r="M109" s="1634"/>
      <c r="N109" s="2166"/>
      <c r="O109" s="2166"/>
      <c r="P109" s="2244"/>
      <c r="Q109" s="2161"/>
    </row>
    <row r="110" spans="1:17">
      <c r="A110" s="1516"/>
      <c r="B110" s="1599"/>
      <c r="C110" s="1604">
        <v>100</v>
      </c>
      <c r="D110" s="1604">
        <f t="shared" ref="D110:M110" si="29">C110-$K36</f>
        <v>100</v>
      </c>
      <c r="E110" s="1604">
        <f t="shared" si="29"/>
        <v>100</v>
      </c>
      <c r="F110" s="1604">
        <f t="shared" si="29"/>
        <v>100</v>
      </c>
      <c r="G110" s="1604">
        <f t="shared" si="29"/>
        <v>100</v>
      </c>
      <c r="H110" s="1604">
        <f t="shared" si="29"/>
        <v>100</v>
      </c>
      <c r="I110" s="1604">
        <f t="shared" si="29"/>
        <v>100</v>
      </c>
      <c r="J110" s="1604">
        <f t="shared" si="29"/>
        <v>100</v>
      </c>
      <c r="K110" s="1604">
        <f t="shared" si="29"/>
        <v>100</v>
      </c>
      <c r="L110" s="1604">
        <f t="shared" si="29"/>
        <v>100</v>
      </c>
      <c r="M110" s="1604">
        <f t="shared" si="29"/>
        <v>100</v>
      </c>
      <c r="N110" s="2168"/>
      <c r="O110" s="2168"/>
      <c r="P110" s="2244"/>
      <c r="Q110" s="2161"/>
    </row>
    <row r="111" spans="1:17" s="1355" customFormat="1" ht="14.4">
      <c r="A111" s="1626"/>
      <c r="B111" s="1597" t="s">
        <v>2507</v>
      </c>
      <c r="C111" s="1616" t="str">
        <f>C112&amp;"(含)"&amp;"-"&amp;D112</f>
        <v>0.5(含)-0.6</v>
      </c>
      <c r="D111" s="1616" t="str">
        <f>D112&amp;"(含)"&amp;"-"&amp;E112</f>
        <v>0.6(含)-0.7</v>
      </c>
      <c r="E111" s="1616" t="str">
        <f>E112&amp;"(含)"&amp;"-"&amp;F112</f>
        <v>0.7(含)-0.8</v>
      </c>
      <c r="F111" s="1616" t="str">
        <f>F112&amp;"(含)"&amp;"-"&amp;G112</f>
        <v>0.8(含)-0.9</v>
      </c>
      <c r="G111" s="1616" t="str">
        <f>G112&amp;"(含)"&amp;"-"&amp;ROUND(H112,0)&amp;"(含)"</f>
        <v>0.9(含)-1(含)</v>
      </c>
      <c r="H111" s="1616" t="str">
        <f>ROUND(H112,0)&amp;"(含)"&amp;"-"&amp;I112</f>
        <v>1(含)-</v>
      </c>
      <c r="I111" s="1616"/>
      <c r="J111" s="2090"/>
      <c r="K111" s="2090"/>
      <c r="L111" s="2104"/>
      <c r="M111" s="2105"/>
      <c r="N111" s="2169"/>
      <c r="O111" s="2169"/>
      <c r="P111" s="2247"/>
      <c r="Q111" s="2171"/>
    </row>
    <row r="112" spans="1:17" s="1355" customFormat="1">
      <c r="A112" s="1626"/>
      <c r="B112" s="1600"/>
      <c r="C112" s="1251">
        <v>0.5</v>
      </c>
      <c r="D112" s="1251">
        <v>0.6</v>
      </c>
      <c r="E112" s="1251">
        <v>0.7</v>
      </c>
      <c r="F112" s="1251">
        <v>0.8</v>
      </c>
      <c r="G112" s="1251">
        <v>0.9</v>
      </c>
      <c r="H112" s="1251">
        <v>1.0001</v>
      </c>
      <c r="I112" s="1251"/>
      <c r="J112" s="2251"/>
      <c r="K112" s="2251"/>
      <c r="L112" s="2252"/>
      <c r="M112" s="2253"/>
      <c r="N112" s="2169"/>
      <c r="O112" s="2169"/>
      <c r="P112" s="2247"/>
      <c r="Q112" s="2171"/>
    </row>
    <row r="113" spans="1:17" s="1355" customFormat="1">
      <c r="A113" s="1605"/>
      <c r="B113" s="1599"/>
      <c r="C113" s="1620">
        <v>100</v>
      </c>
      <c r="D113" s="1604">
        <f>C113+$K37</f>
        <v>100</v>
      </c>
      <c r="E113" s="1604">
        <f>D113+$K37</f>
        <v>100</v>
      </c>
      <c r="F113" s="1604">
        <f>E113+$K37</f>
        <v>100</v>
      </c>
      <c r="G113" s="1604">
        <f>F113+$K37</f>
        <v>100</v>
      </c>
      <c r="H113" s="1604">
        <f>G113+$K37</f>
        <v>100</v>
      </c>
      <c r="I113" s="1620"/>
      <c r="J113" s="2091"/>
      <c r="K113" s="2091"/>
      <c r="L113" s="2091"/>
      <c r="M113" s="2106"/>
      <c r="N113" s="2169"/>
      <c r="O113" s="2169"/>
      <c r="P113" s="2247"/>
      <c r="Q113" s="2171"/>
    </row>
    <row r="114" spans="1:17" ht="14.4">
      <c r="A114" s="1629"/>
      <c r="B114" s="1597" t="s">
        <v>3466</v>
      </c>
      <c r="C114" s="1606"/>
      <c r="D114" s="1606"/>
      <c r="E114" s="1598"/>
      <c r="F114" s="1598"/>
      <c r="G114" s="1598"/>
      <c r="H114" s="1598"/>
      <c r="I114" s="1598"/>
      <c r="J114" s="1598"/>
      <c r="K114" s="1632"/>
      <c r="L114" s="1633"/>
      <c r="M114" s="1634"/>
      <c r="N114" s="2166"/>
      <c r="O114" s="2166"/>
      <c r="P114" s="2244"/>
      <c r="Q114" s="2161"/>
    </row>
    <row r="115" spans="1:17">
      <c r="A115" s="1516"/>
      <c r="B115" s="1599"/>
      <c r="C115" s="1604">
        <v>100</v>
      </c>
      <c r="D115" s="1604">
        <f t="shared" ref="D115:M115" si="30">C115-$K38</f>
        <v>100</v>
      </c>
      <c r="E115" s="1604">
        <f t="shared" si="30"/>
        <v>100</v>
      </c>
      <c r="F115" s="1604">
        <f t="shared" si="30"/>
        <v>100</v>
      </c>
      <c r="G115" s="1604">
        <f t="shared" si="30"/>
        <v>100</v>
      </c>
      <c r="H115" s="1604">
        <f t="shared" si="30"/>
        <v>100</v>
      </c>
      <c r="I115" s="1604">
        <f t="shared" si="30"/>
        <v>100</v>
      </c>
      <c r="J115" s="1604">
        <f t="shared" si="30"/>
        <v>100</v>
      </c>
      <c r="K115" s="1604">
        <f t="shared" si="30"/>
        <v>100</v>
      </c>
      <c r="L115" s="1604">
        <f t="shared" si="30"/>
        <v>100</v>
      </c>
      <c r="M115" s="1604">
        <f t="shared" si="30"/>
        <v>100</v>
      </c>
      <c r="N115" s="2168"/>
      <c r="O115" s="2168"/>
      <c r="P115" s="2244"/>
      <c r="Q115" s="2161"/>
    </row>
    <row r="116" spans="1:17" ht="14.4">
      <c r="A116" s="1629"/>
      <c r="B116" s="1597" t="s">
        <v>3467</v>
      </c>
      <c r="C116" s="1606"/>
      <c r="D116" s="1606"/>
      <c r="E116" s="1606"/>
      <c r="F116" s="1606"/>
      <c r="G116" s="1606"/>
      <c r="H116" s="1598"/>
      <c r="I116" s="1598"/>
      <c r="J116" s="1598"/>
      <c r="K116" s="1632"/>
      <c r="L116" s="1633"/>
      <c r="M116" s="1634"/>
      <c r="N116" s="2166"/>
      <c r="O116" s="2166"/>
      <c r="P116" s="2244"/>
      <c r="Q116" s="2161"/>
    </row>
    <row r="117" spans="1:17">
      <c r="A117" s="1516"/>
      <c r="B117" s="1599"/>
      <c r="C117" s="1604">
        <v>100</v>
      </c>
      <c r="D117" s="1604">
        <f>C117-$K39</f>
        <v>100</v>
      </c>
      <c r="E117" s="1604">
        <f>D117-$K39</f>
        <v>100</v>
      </c>
      <c r="F117" s="1604">
        <f>E117-$K39</f>
        <v>100</v>
      </c>
      <c r="G117" s="1604">
        <f>F117-$K39</f>
        <v>100</v>
      </c>
      <c r="H117" s="1604"/>
      <c r="I117" s="1604"/>
      <c r="J117" s="1604"/>
      <c r="K117" s="1604"/>
      <c r="L117" s="1604"/>
      <c r="M117" s="1638"/>
      <c r="N117" s="2168"/>
      <c r="O117" s="2168"/>
      <c r="P117" s="2244"/>
      <c r="Q117" s="2161"/>
    </row>
    <row r="118" spans="1:17" ht="14.4">
      <c r="A118" s="1629"/>
      <c r="B118" s="1597" t="s">
        <v>3468</v>
      </c>
      <c r="C118" s="1598"/>
      <c r="D118" s="1598"/>
      <c r="E118" s="1598"/>
      <c r="F118" s="1598"/>
      <c r="G118" s="1598"/>
      <c r="H118" s="1598"/>
      <c r="I118" s="1598"/>
      <c r="J118" s="1598"/>
      <c r="K118" s="1632"/>
      <c r="L118" s="1633"/>
      <c r="M118" s="1634"/>
      <c r="N118" s="2166"/>
      <c r="O118" s="2166"/>
      <c r="P118" s="2244"/>
      <c r="Q118" s="2161"/>
    </row>
    <row r="119" spans="1:17">
      <c r="A119" s="1516"/>
      <c r="B119" s="1599"/>
      <c r="C119" s="1604">
        <v>100</v>
      </c>
      <c r="D119" s="1604">
        <f t="shared" ref="D119:M119" si="31">C119-$K40</f>
        <v>100</v>
      </c>
      <c r="E119" s="1604">
        <f t="shared" si="31"/>
        <v>100</v>
      </c>
      <c r="F119" s="1604">
        <f t="shared" si="31"/>
        <v>100</v>
      </c>
      <c r="G119" s="1604">
        <f t="shared" si="31"/>
        <v>100</v>
      </c>
      <c r="H119" s="1604">
        <f t="shared" si="31"/>
        <v>100</v>
      </c>
      <c r="I119" s="1604">
        <f t="shared" si="31"/>
        <v>100</v>
      </c>
      <c r="J119" s="1604">
        <f t="shared" si="31"/>
        <v>100</v>
      </c>
      <c r="K119" s="1604">
        <f t="shared" si="31"/>
        <v>100</v>
      </c>
      <c r="L119" s="1604">
        <f t="shared" si="31"/>
        <v>100</v>
      </c>
      <c r="M119" s="1604">
        <f t="shared" si="31"/>
        <v>100</v>
      </c>
      <c r="N119" s="2168"/>
      <c r="O119" s="2168"/>
      <c r="P119" s="2244"/>
      <c r="Q119" s="2161"/>
    </row>
    <row r="120" spans="1:17" s="1355" customFormat="1" ht="28.8">
      <c r="A120" s="1626"/>
      <c r="B120" s="1597" t="s">
        <v>3469</v>
      </c>
      <c r="C120" s="1606"/>
      <c r="D120" s="1606"/>
      <c r="E120" s="1606"/>
      <c r="F120" s="1606"/>
      <c r="G120" s="1606"/>
      <c r="H120" s="1606"/>
      <c r="I120" s="1606"/>
      <c r="J120" s="1606"/>
      <c r="K120" s="1606"/>
      <c r="L120" s="1657"/>
      <c r="M120" s="1658"/>
      <c r="N120" s="2169"/>
      <c r="O120" s="2169"/>
      <c r="P120" s="2247"/>
      <c r="Q120" s="2171"/>
    </row>
    <row r="121" spans="1:17" s="1355" customFormat="1">
      <c r="A121" s="1605"/>
      <c r="B121" s="1517"/>
      <c r="C121" s="1608"/>
      <c r="D121" s="1518"/>
      <c r="E121" s="1518"/>
      <c r="F121" s="1518"/>
      <c r="G121" s="1518"/>
      <c r="H121" s="1518"/>
      <c r="I121" s="1518"/>
      <c r="J121" s="1518"/>
      <c r="K121" s="1518"/>
      <c r="L121" s="1518"/>
      <c r="M121" s="1518"/>
      <c r="N121" s="2169"/>
      <c r="O121" s="2169"/>
      <c r="P121" s="2247"/>
      <c r="Q121" s="2171"/>
    </row>
    <row r="122" spans="1:17" ht="14.4">
      <c r="A122" s="1629"/>
      <c r="B122" s="1597" t="s">
        <v>3470</v>
      </c>
      <c r="C122" s="1606"/>
      <c r="D122" s="1606"/>
      <c r="E122" s="1606"/>
      <c r="F122" s="1598"/>
      <c r="G122" s="1598"/>
      <c r="H122" s="1598"/>
      <c r="I122" s="1598"/>
      <c r="J122" s="1598"/>
      <c r="K122" s="1632"/>
      <c r="L122" s="1633"/>
      <c r="M122" s="1634"/>
      <c r="N122" s="2166"/>
      <c r="O122" s="2166"/>
      <c r="P122" s="2244"/>
      <c r="Q122" s="2161"/>
    </row>
    <row r="123" spans="1:17">
      <c r="A123" s="1516"/>
      <c r="B123" s="1599"/>
      <c r="C123" s="1604">
        <v>100</v>
      </c>
      <c r="D123" s="1604">
        <f t="shared" ref="D123:M123" si="32">C123-$K42</f>
        <v>100</v>
      </c>
      <c r="E123" s="1604">
        <f t="shared" si="32"/>
        <v>100</v>
      </c>
      <c r="F123" s="1604">
        <f t="shared" si="32"/>
        <v>100</v>
      </c>
      <c r="G123" s="1604">
        <f t="shared" si="32"/>
        <v>100</v>
      </c>
      <c r="H123" s="1604">
        <f t="shared" si="32"/>
        <v>100</v>
      </c>
      <c r="I123" s="1604">
        <f t="shared" si="32"/>
        <v>100</v>
      </c>
      <c r="J123" s="1604">
        <f t="shared" si="32"/>
        <v>100</v>
      </c>
      <c r="K123" s="1604">
        <f t="shared" si="32"/>
        <v>100</v>
      </c>
      <c r="L123" s="1604">
        <f t="shared" si="32"/>
        <v>100</v>
      </c>
      <c r="M123" s="1604">
        <f t="shared" si="32"/>
        <v>100</v>
      </c>
      <c r="N123" s="2168"/>
      <c r="O123" s="2168"/>
      <c r="P123" s="2244"/>
      <c r="Q123" s="2161"/>
    </row>
    <row r="124" spans="1:17" ht="28.8">
      <c r="A124" s="1629"/>
      <c r="B124" s="1597" t="s">
        <v>3471</v>
      </c>
      <c r="C124" s="1616" t="s">
        <v>2933</v>
      </c>
      <c r="D124" s="1616" t="s">
        <v>2934</v>
      </c>
      <c r="E124" s="1616" t="s">
        <v>2935</v>
      </c>
      <c r="F124" s="1616" t="s">
        <v>2936</v>
      </c>
      <c r="G124" s="1616" t="s">
        <v>2937</v>
      </c>
      <c r="H124" s="1617"/>
      <c r="I124" s="1617"/>
      <c r="J124" s="1617"/>
      <c r="K124" s="1653"/>
      <c r="L124" s="1654"/>
      <c r="M124" s="1655"/>
      <c r="N124" s="2166"/>
      <c r="O124" s="2166"/>
      <c r="P124" s="2247"/>
      <c r="Q124" s="2161"/>
    </row>
    <row r="125" spans="1:17">
      <c r="A125" s="1516"/>
      <c r="B125" s="1599"/>
      <c r="C125" s="1604">
        <v>100</v>
      </c>
      <c r="D125" s="1604">
        <f>C125-$K43</f>
        <v>100</v>
      </c>
      <c r="E125" s="1604">
        <f>D125-$K43</f>
        <v>100</v>
      </c>
      <c r="F125" s="1604">
        <f>E125-$K43</f>
        <v>100</v>
      </c>
      <c r="G125" s="1604">
        <f>F125-$K43</f>
        <v>100</v>
      </c>
      <c r="H125" s="1604"/>
      <c r="I125" s="1604"/>
      <c r="J125" s="1604"/>
      <c r="K125" s="1604"/>
      <c r="L125" s="1604"/>
      <c r="M125" s="1638"/>
      <c r="N125" s="2168"/>
      <c r="O125" s="2168"/>
      <c r="P125" s="2244"/>
      <c r="Q125" s="2161"/>
    </row>
    <row r="126" spans="1:17" s="1355" customFormat="1">
      <c r="A126" s="1626"/>
      <c r="B126" s="1597">
        <f>B44</f>
        <v>111</v>
      </c>
      <c r="C126" s="1606"/>
      <c r="D126" s="1606"/>
      <c r="E126" s="1606"/>
      <c r="F126" s="1606"/>
      <c r="G126" s="1606"/>
      <c r="H126" s="1607"/>
      <c r="I126" s="1607"/>
      <c r="J126" s="1607"/>
      <c r="K126" s="1607"/>
      <c r="L126" s="1639"/>
      <c r="M126" s="1640"/>
      <c r="N126" s="2169"/>
      <c r="O126" s="2169"/>
      <c r="P126" s="2247"/>
      <c r="Q126" s="2171"/>
    </row>
    <row r="127" spans="1:17" s="1355" customFormat="1">
      <c r="A127" s="1605"/>
      <c r="B127" s="1599"/>
      <c r="C127" s="1608"/>
      <c r="D127" s="1518"/>
      <c r="E127" s="1518"/>
      <c r="F127" s="1518"/>
      <c r="G127" s="1608"/>
      <c r="H127" s="1609"/>
      <c r="I127" s="1609"/>
      <c r="J127" s="1609"/>
      <c r="K127" s="1609"/>
      <c r="L127" s="1609"/>
      <c r="M127" s="1644"/>
      <c r="N127" s="2169"/>
      <c r="O127" s="2169"/>
      <c r="P127" s="2247"/>
      <c r="Q127" s="2171"/>
    </row>
    <row r="128" spans="1:17">
      <c r="A128" s="1629"/>
      <c r="B128" s="1597">
        <f>B45</f>
        <v>111</v>
      </c>
      <c r="C128" s="1606"/>
      <c r="D128" s="1606"/>
      <c r="E128" s="1606"/>
      <c r="F128" s="1606"/>
      <c r="G128" s="1598"/>
      <c r="H128" s="1598"/>
      <c r="I128" s="1598"/>
      <c r="J128" s="1598"/>
      <c r="K128" s="1632"/>
      <c r="L128" s="1633"/>
      <c r="M128" s="1634"/>
      <c r="N128" s="2166"/>
      <c r="O128" s="2166"/>
      <c r="P128" s="2244"/>
      <c r="Q128" s="2161"/>
    </row>
    <row r="129" spans="1:17">
      <c r="A129" s="1516"/>
      <c r="B129" s="1599"/>
      <c r="C129" s="1608"/>
      <c r="D129" s="1608"/>
      <c r="E129" s="1608"/>
      <c r="F129" s="1608"/>
      <c r="G129" s="1518"/>
      <c r="H129" s="1518"/>
      <c r="I129" s="1518"/>
      <c r="J129" s="1518"/>
      <c r="K129" s="1518"/>
      <c r="L129" s="1518"/>
      <c r="M129" s="1570"/>
      <c r="N129" s="2168"/>
      <c r="O129" s="2168"/>
      <c r="P129" s="2244"/>
      <c r="Q129" s="2161"/>
    </row>
    <row r="130" spans="1:17">
      <c r="A130" s="1629"/>
      <c r="B130" s="1600">
        <f>B46</f>
        <v>111</v>
      </c>
      <c r="C130" s="1606"/>
      <c r="D130" s="1606"/>
      <c r="E130" s="1606"/>
      <c r="F130" s="1606"/>
      <c r="G130" s="1622"/>
      <c r="H130" s="1622"/>
      <c r="I130" s="1622"/>
      <c r="J130" s="1622"/>
      <c r="K130" s="1510"/>
      <c r="L130" s="1560"/>
      <c r="M130" s="1661"/>
      <c r="N130" s="2166"/>
      <c r="O130" s="2166"/>
      <c r="P130" s="2244"/>
      <c r="Q130" s="2161"/>
    </row>
    <row r="131" spans="1:17">
      <c r="A131" s="1623"/>
      <c r="B131" s="1612"/>
      <c r="C131" s="1613"/>
      <c r="D131" s="1613"/>
      <c r="E131" s="1613"/>
      <c r="F131" s="1613"/>
      <c r="G131" s="1624"/>
      <c r="H131" s="1624"/>
      <c r="I131" s="1624"/>
      <c r="J131" s="1624"/>
      <c r="K131" s="1624"/>
      <c r="L131" s="1624"/>
      <c r="M131" s="1662"/>
      <c r="N131" s="2168"/>
      <c r="O131" s="2168"/>
      <c r="P131" s="2244"/>
      <c r="Q131" s="2161"/>
    </row>
    <row r="136" spans="1:17" ht="14.4">
      <c r="B136" s="2254" t="s">
        <v>3472</v>
      </c>
    </row>
    <row r="137" spans="1:17" ht="15">
      <c r="B137" s="2255" t="s">
        <v>3473</v>
      </c>
      <c r="C137" s="2256"/>
      <c r="D137" s="2256"/>
      <c r="E137" s="2256"/>
      <c r="F137" s="2256"/>
      <c r="G137" s="2257"/>
      <c r="H137" s="2258"/>
      <c r="I137" s="2279" t="s">
        <v>3474</v>
      </c>
      <c r="J137" s="2256"/>
      <c r="K137" s="2280"/>
    </row>
    <row r="138" spans="1:17" ht="15">
      <c r="B138" s="2259"/>
      <c r="C138" s="1707" t="s">
        <v>3475</v>
      </c>
      <c r="D138" s="1707" t="s">
        <v>3476</v>
      </c>
      <c r="E138" s="2260" t="s">
        <v>3477</v>
      </c>
      <c r="F138" s="2261" t="s">
        <v>3478</v>
      </c>
      <c r="G138" s="1707" t="s">
        <v>3476</v>
      </c>
      <c r="H138" s="1708" t="s">
        <v>3477</v>
      </c>
      <c r="I138" s="2281"/>
      <c r="J138" s="1707" t="s">
        <v>3479</v>
      </c>
      <c r="K138" s="1708" t="s">
        <v>3480</v>
      </c>
    </row>
    <row r="139" spans="1:17" ht="15">
      <c r="B139" s="2262">
        <v>6</v>
      </c>
      <c r="C139" s="2263">
        <v>96</v>
      </c>
      <c r="D139" s="2264" t="s">
        <v>3481</v>
      </c>
      <c r="E139" s="2265">
        <v>100</v>
      </c>
      <c r="F139" s="2266">
        <v>102.5</v>
      </c>
      <c r="G139" s="2264" t="s">
        <v>3481</v>
      </c>
      <c r="H139" s="2267">
        <v>105</v>
      </c>
      <c r="I139" s="2282" t="s">
        <v>3482</v>
      </c>
      <c r="J139" s="2263">
        <v>20</v>
      </c>
      <c r="K139" s="2283">
        <f>C145/(J139-2)</f>
        <v>4.0555555555555596E-3</v>
      </c>
    </row>
    <row r="140" spans="1:17" ht="15">
      <c r="B140" s="2268">
        <v>5</v>
      </c>
      <c r="C140" s="2269">
        <v>100</v>
      </c>
      <c r="D140" s="2269"/>
      <c r="E140" s="2270"/>
      <c r="F140" s="2271">
        <v>102</v>
      </c>
      <c r="G140" s="2269"/>
      <c r="H140" s="2272"/>
      <c r="I140" s="2284" t="s">
        <v>3483</v>
      </c>
      <c r="J140" s="454">
        <f>ROUNDUP((J139-1)/2,0)</f>
        <v>10</v>
      </c>
      <c r="K140" s="2285">
        <v>100</v>
      </c>
    </row>
    <row r="141" spans="1:17" ht="15">
      <c r="B141" s="2268">
        <v>4</v>
      </c>
      <c r="C141" s="2269">
        <v>102</v>
      </c>
      <c r="D141" s="2269"/>
      <c r="E141" s="2270"/>
      <c r="F141" s="2271">
        <v>101.5</v>
      </c>
      <c r="G141" s="2269"/>
      <c r="H141" s="2272"/>
      <c r="I141" s="2284" t="s">
        <v>3484</v>
      </c>
      <c r="J141" s="454">
        <v>1</v>
      </c>
      <c r="K141" s="2286">
        <f>ROUND(100+(J141-J140)*K139*100,1)</f>
        <v>96.4</v>
      </c>
    </row>
    <row r="142" spans="1:17" ht="15">
      <c r="B142" s="2268">
        <v>3</v>
      </c>
      <c r="C142" s="2269">
        <v>103</v>
      </c>
      <c r="D142" s="2269"/>
      <c r="E142" s="2270"/>
      <c r="F142" s="2271">
        <v>101</v>
      </c>
      <c r="G142" s="2269"/>
      <c r="H142" s="2272"/>
      <c r="I142" s="2284" t="s">
        <v>3485</v>
      </c>
      <c r="J142" s="454">
        <f>J139</f>
        <v>20</v>
      </c>
      <c r="K142" s="2287">
        <v>95</v>
      </c>
    </row>
    <row r="143" spans="1:17" ht="15">
      <c r="B143" s="2268">
        <v>2</v>
      </c>
      <c r="C143" s="2269">
        <v>100</v>
      </c>
      <c r="D143" s="2269"/>
      <c r="E143" s="2270"/>
      <c r="F143" s="2271">
        <v>100.5</v>
      </c>
      <c r="G143" s="2269"/>
      <c r="H143" s="2272"/>
      <c r="I143" s="2284" t="s">
        <v>3486</v>
      </c>
      <c r="J143" s="2269">
        <v>15</v>
      </c>
      <c r="K143" s="2286">
        <f>ROUND(100+(J143-J140)*K139*100,1)</f>
        <v>102</v>
      </c>
    </row>
    <row r="144" spans="1:17" ht="15">
      <c r="B144" s="2268">
        <v>1</v>
      </c>
      <c r="C144" s="2269">
        <v>98</v>
      </c>
      <c r="D144" s="2273" t="s">
        <v>3487</v>
      </c>
      <c r="E144" s="2270">
        <v>102</v>
      </c>
      <c r="F144" s="2274">
        <v>100</v>
      </c>
      <c r="G144" s="2273" t="s">
        <v>3487</v>
      </c>
      <c r="H144" s="2272">
        <v>105</v>
      </c>
      <c r="I144" s="2284" t="s">
        <v>3486</v>
      </c>
      <c r="J144" s="2269">
        <v>18</v>
      </c>
      <c r="K144" s="2286">
        <f>ROUND(100+(J144-J140)*K139*100,1)</f>
        <v>103.2</v>
      </c>
    </row>
    <row r="145" spans="2:11" ht="15.6">
      <c r="B145" s="2275" t="s">
        <v>3488</v>
      </c>
      <c r="C145" s="2276">
        <f>ROUND(MAX(C139:C144)/MIN(C139:C144)-1,3)</f>
        <v>7.2999999999999995E-2</v>
      </c>
      <c r="D145" s="2277"/>
      <c r="E145" s="2277"/>
      <c r="F145" s="2278" t="s">
        <v>3489</v>
      </c>
      <c r="G145" s="2198"/>
      <c r="H145" s="2202"/>
      <c r="I145" s="2288" t="s">
        <v>3486</v>
      </c>
      <c r="J145" s="2289">
        <v>8</v>
      </c>
      <c r="K145" s="2290">
        <f>ROUND(100+(J145-J140)*K139*100,1)</f>
        <v>99.2</v>
      </c>
    </row>
    <row r="147" spans="2:11" ht="14.4">
      <c r="B147" s="2254" t="s">
        <v>3490</v>
      </c>
    </row>
    <row r="148" spans="2:11" ht="14.4">
      <c r="B148" s="2254" t="s">
        <v>3491</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E52">
    <cfRule type="expression" dxfId="138" priority="14" stopIfTrue="1">
      <formula>$F$52="超过30%"</formula>
    </cfRule>
  </conditionalFormatting>
  <conditionalFormatting sqref="G52">
    <cfRule type="expression" dxfId="137" priority="9" stopIfTrue="1">
      <formula>$H$52="超过30%"</formula>
    </cfRule>
  </conditionalFormatting>
  <conditionalFormatting sqref="I52">
    <cfRule type="expression" dxfId="136" priority="7" stopIfTrue="1">
      <formula>$J$52="超过30%"</formula>
    </cfRule>
  </conditionalFormatting>
  <conditionalFormatting sqref="E53">
    <cfRule type="expression" dxfId="135" priority="11" stopIfTrue="1">
      <formula>$F$53="超过20%"</formula>
    </cfRule>
  </conditionalFormatting>
  <conditionalFormatting sqref="G53">
    <cfRule type="expression" dxfId="134" priority="8" stopIfTrue="1">
      <formula>$H$53="超过20%"</formula>
    </cfRule>
  </conditionalFormatting>
  <conditionalFormatting sqref="I53">
    <cfRule type="expression" dxfId="133" priority="6" stopIfTrue="1">
      <formula>$J$53="超过20%"</formula>
    </cfRule>
  </conditionalFormatting>
  <conditionalFormatting sqref="E54">
    <cfRule type="expression" dxfId="132" priority="10" stopIfTrue="1">
      <formula>$F$54="超过30%"</formula>
    </cfRule>
  </conditionalFormatting>
  <conditionalFormatting sqref="F54">
    <cfRule type="containsText" dxfId="131" priority="16" stopIfTrue="1" operator="containsText" text="超过">
      <formula>NOT(ISERROR(SEARCH("超过",F54)))</formula>
    </cfRule>
  </conditionalFormatting>
  <conditionalFormatting sqref="G54">
    <cfRule type="expression" dxfId="130" priority="12" stopIfTrue="1">
      <formula>$H$54="超过30%"</formula>
    </cfRule>
  </conditionalFormatting>
  <conditionalFormatting sqref="H54">
    <cfRule type="containsText" dxfId="129" priority="17"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18"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J52">
    <cfRule type="containsText" dxfId="125" priority="19" stopIfTrue="1" operator="containsText" text="超过">
      <formula>NOT(ISERROR(SEARCH("超过",F52)))</formula>
    </cfRule>
  </conditionalFormatting>
  <conditionalFormatting sqref="F53 H53 J53">
    <cfRule type="containsText" dxfId="124"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3.8"/>
  <cols>
    <col min="1" max="1" width="10.44140625" style="1358" customWidth="1"/>
    <col min="2" max="2" width="15.77734375" style="1358" customWidth="1"/>
    <col min="3" max="3" width="15.6640625" style="1358" customWidth="1"/>
    <col min="4" max="4" width="12.21875" style="1358" customWidth="1"/>
    <col min="5" max="5" width="14.33203125" style="1358" customWidth="1"/>
    <col min="6" max="6" width="12.21875" style="1358" customWidth="1"/>
    <col min="7" max="7" width="14.44140625" style="1358" customWidth="1"/>
    <col min="8" max="8" width="12.21875" style="1358" customWidth="1"/>
    <col min="9" max="9" width="14.44140625" style="1358" customWidth="1"/>
    <col min="10" max="10" width="12.21875" style="1358" customWidth="1"/>
    <col min="11" max="11" width="12.21875" style="1359" customWidth="1"/>
    <col min="12" max="12" width="12.21875" style="1360" customWidth="1"/>
    <col min="13" max="15" width="12.21875" style="1358" customWidth="1"/>
    <col min="16" max="16" width="4.77734375" style="2180" customWidth="1"/>
    <col min="17" max="17" width="19.44140625" style="1358" customWidth="1"/>
    <col min="18" max="22" width="6.109375" style="1358" customWidth="1"/>
    <col min="23" max="23" width="5.77734375" style="1358" customWidth="1"/>
    <col min="24" max="24" width="4.21875" style="1358" customWidth="1"/>
    <col min="25" max="25" width="3.44140625" style="1358" customWidth="1"/>
    <col min="26" max="26" width="19.77734375" style="1358" customWidth="1"/>
    <col min="27" max="28" width="9.33203125" style="1358" customWidth="1"/>
    <col min="29" max="16384" width="9" style="1358"/>
  </cols>
  <sheetData>
    <row r="1" spans="1:29" s="1351" customFormat="1" ht="28.5" customHeight="1">
      <c r="A1" s="1362" t="s">
        <v>3453</v>
      </c>
      <c r="B1" s="2131" t="s">
        <v>3492</v>
      </c>
      <c r="C1" s="2132" t="s">
        <v>2860</v>
      </c>
      <c r="D1" s="1365"/>
      <c r="E1" s="2133"/>
      <c r="F1" s="1367"/>
      <c r="G1" s="1368" t="s">
        <v>2863</v>
      </c>
      <c r="H1" s="1369"/>
      <c r="I1" s="1369"/>
      <c r="J1" s="1369"/>
      <c r="K1" s="1519"/>
      <c r="L1" s="1520"/>
      <c r="M1" s="1364"/>
      <c r="N1" s="1364"/>
      <c r="O1" s="1364"/>
      <c r="P1" s="2132"/>
      <c r="Q1" s="2132"/>
      <c r="R1" s="2132"/>
      <c r="S1" s="2132"/>
      <c r="T1" s="2132"/>
      <c r="U1" s="2132"/>
      <c r="V1" s="2132"/>
      <c r="W1" s="2132"/>
      <c r="X1" s="2132"/>
      <c r="Y1" s="2132"/>
      <c r="Z1" s="2132"/>
      <c r="AA1" s="2132"/>
      <c r="AB1" s="2132"/>
      <c r="AC1" s="2172"/>
    </row>
    <row r="2" spans="1:29" s="1352" customFormat="1" ht="28.5" customHeight="1">
      <c r="A2" s="1370" t="s">
        <v>2864</v>
      </c>
      <c r="B2" s="1371" t="b">
        <f>IF(E1="项目模式",IF(C2="——",ROUND(C50*D3/10000,0),ROUND(C50*D3/10000,0)-D2),IF(E1="单套模式",IF(C2="——",ROUND(C50*D3/10000,4),ROUND(C50*D3/10000,4)-D2)))</f>
        <v>0</v>
      </c>
      <c r="C2" s="1372"/>
      <c r="D2" s="1373" t="e">
        <f ca="1">IF(E1="项目模式",SUMIF(INDIRECT("'"&amp;F2&amp;"'"&amp;"!A:A"),"承租人权益价值",INDIRECT("'"&amp;F2&amp;"'"&amp;"!c:c")),SUMIF(INDIRECT("'"&amp;F2&amp;"'"&amp;"!A:A"),"承租人权益价值（单套）",INDIRECT("'"&amp;F2&amp;"'"&amp;"!c:c")))</f>
        <v>#REF!</v>
      </c>
      <c r="E2" s="1374" t="s">
        <v>2865</v>
      </c>
      <c r="F2" s="1375"/>
      <c r="G2" s="1376"/>
      <c r="H2" s="1376"/>
      <c r="I2" s="1376"/>
      <c r="J2" s="1376"/>
      <c r="K2" s="1376"/>
      <c r="L2" s="1522"/>
      <c r="M2" s="1523"/>
      <c r="N2" s="1523"/>
      <c r="O2" s="1523"/>
      <c r="P2" s="2066"/>
      <c r="Q2" s="2066"/>
      <c r="R2" s="2066"/>
      <c r="S2" s="2066"/>
      <c r="T2" s="2066"/>
      <c r="U2" s="2066"/>
      <c r="V2" s="2066"/>
      <c r="W2" s="2066"/>
      <c r="X2" s="2066"/>
      <c r="Y2" s="2066"/>
      <c r="Z2" s="2066"/>
      <c r="AA2" s="2066"/>
      <c r="AB2" s="2066"/>
      <c r="AC2" s="2082"/>
    </row>
    <row r="3" spans="1:29" s="1352" customFormat="1" ht="28.5" customHeight="1">
      <c r="A3" s="380" t="s">
        <v>2866</v>
      </c>
      <c r="B3" s="1377">
        <f>IF(C2="——",C50,ROUND(B2*10000/D3,0))</f>
        <v>0</v>
      </c>
      <c r="C3" s="1378" t="s">
        <v>2867</v>
      </c>
      <c r="D3" s="1379">
        <f>IF(D1="",'数据-汇总表'!E3,SUMIF('数据-汇总表'!$C19:$C33,D1,'数据-汇总表'!$E19:$E33))</f>
        <v>8450.66</v>
      </c>
      <c r="E3" s="1380"/>
      <c r="F3" s="1381"/>
      <c r="G3" s="1376"/>
      <c r="H3" s="1376"/>
      <c r="I3" s="1376"/>
      <c r="J3" s="1376"/>
      <c r="K3" s="1525"/>
      <c r="L3" s="1522"/>
      <c r="M3" s="1523"/>
      <c r="N3" s="1523"/>
      <c r="O3" s="1523"/>
      <c r="P3" s="2066"/>
      <c r="Q3" s="2066"/>
      <c r="R3" s="2066"/>
      <c r="S3" s="2066"/>
      <c r="T3" s="2066"/>
      <c r="U3" s="2066"/>
      <c r="V3" s="2066"/>
      <c r="W3" s="2066"/>
      <c r="X3" s="2066"/>
      <c r="Y3" s="2066"/>
      <c r="Z3" s="2066"/>
      <c r="AA3" s="2066"/>
      <c r="AB3" s="2066"/>
      <c r="AC3" s="2082"/>
    </row>
    <row r="4" spans="1:29" ht="14.4">
      <c r="A4" s="1382" t="s">
        <v>2869</v>
      </c>
      <c r="B4" s="1383"/>
      <c r="C4" s="3681" t="s">
        <v>2870</v>
      </c>
      <c r="D4" s="3682"/>
      <c r="E4" s="3683" t="s">
        <v>2871</v>
      </c>
      <c r="F4" s="3684"/>
      <c r="G4" s="3681" t="s">
        <v>2872</v>
      </c>
      <c r="H4" s="3682"/>
      <c r="I4" s="3681" t="s">
        <v>2873</v>
      </c>
      <c r="J4" s="3682"/>
      <c r="K4" s="1526" t="s">
        <v>2874</v>
      </c>
      <c r="L4" s="1527"/>
      <c r="M4" s="1528"/>
      <c r="N4" s="1528"/>
      <c r="O4" s="1528"/>
      <c r="P4" s="3738" t="s">
        <v>2875</v>
      </c>
      <c r="Q4" s="3739"/>
      <c r="R4" s="3742" t="s">
        <v>2871</v>
      </c>
      <c r="S4" s="3743"/>
      <c r="T4" s="3742" t="s">
        <v>2872</v>
      </c>
      <c r="U4" s="3743"/>
      <c r="V4" s="3744" t="s">
        <v>2873</v>
      </c>
      <c r="W4" s="3744"/>
      <c r="X4" s="2197"/>
      <c r="Y4" s="3742" t="s">
        <v>2875</v>
      </c>
      <c r="Z4" s="3743"/>
      <c r="AA4" s="3734" t="s">
        <v>2871</v>
      </c>
      <c r="AB4" s="3734" t="s">
        <v>2872</v>
      </c>
      <c r="AC4" s="3735" t="s">
        <v>2873</v>
      </c>
    </row>
    <row r="5" spans="1:29">
      <c r="A5" s="1384"/>
      <c r="B5" s="1385"/>
      <c r="C5" s="3685" t="s">
        <v>2876</v>
      </c>
      <c r="D5" s="3686"/>
      <c r="E5" s="3733" t="s">
        <v>3455</v>
      </c>
      <c r="F5" s="3688"/>
      <c r="G5" s="3685" t="s">
        <v>3456</v>
      </c>
      <c r="H5" s="3686"/>
      <c r="I5" s="3685" t="s">
        <v>3457</v>
      </c>
      <c r="J5" s="3686"/>
      <c r="K5" s="1526"/>
      <c r="L5" s="1527"/>
      <c r="M5" s="1528"/>
      <c r="N5" s="1528"/>
      <c r="O5" s="1528"/>
      <c r="P5" s="3740"/>
      <c r="Q5" s="3655"/>
      <c r="R5" s="3660"/>
      <c r="S5" s="3661"/>
      <c r="T5" s="3660"/>
      <c r="U5" s="3661"/>
      <c r="V5" s="3664"/>
      <c r="W5" s="3664"/>
      <c r="X5" s="1575"/>
      <c r="Y5" s="3660"/>
      <c r="Z5" s="3661"/>
      <c r="AA5" s="3650"/>
      <c r="AB5" s="3650"/>
      <c r="AC5" s="3736"/>
    </row>
    <row r="6" spans="1:29" ht="14.4">
      <c r="A6" s="1386"/>
      <c r="B6" s="1387"/>
      <c r="C6" s="3676" t="s">
        <v>2880</v>
      </c>
      <c r="D6" s="3677"/>
      <c r="E6" s="3678" t="s">
        <v>2880</v>
      </c>
      <c r="F6" s="3679"/>
      <c r="G6" s="3676" t="s">
        <v>2880</v>
      </c>
      <c r="H6" s="3677"/>
      <c r="I6" s="3676" t="s">
        <v>2880</v>
      </c>
      <c r="J6" s="3677"/>
      <c r="K6" s="1526" t="s">
        <v>2881</v>
      </c>
      <c r="L6" s="1527"/>
      <c r="M6" s="1528"/>
      <c r="N6" s="1528"/>
      <c r="O6" s="1528"/>
      <c r="P6" s="3741"/>
      <c r="Q6" s="3657"/>
      <c r="R6" s="3660"/>
      <c r="S6" s="3661"/>
      <c r="T6" s="3662"/>
      <c r="U6" s="3663"/>
      <c r="V6" s="3664"/>
      <c r="W6" s="3664"/>
      <c r="X6" s="1575"/>
      <c r="Y6" s="3662"/>
      <c r="Z6" s="3663"/>
      <c r="AA6" s="3651"/>
      <c r="AB6" s="3651"/>
      <c r="AC6" s="3737"/>
    </row>
    <row r="7" spans="1:29" s="1353" customFormat="1" ht="14.4">
      <c r="A7" s="1388" t="s">
        <v>2882</v>
      </c>
      <c r="B7" s="1389"/>
      <c r="C7" s="1390">
        <f>'数据-取费表'!B2</f>
        <v>45311</v>
      </c>
      <c r="D7" s="1391">
        <v>100</v>
      </c>
      <c r="E7" s="1392"/>
      <c r="F7" s="1393">
        <f>SUMIF(59:59,YEAR(E7)&amp;"-"&amp;MONTH(E7),60:60)</f>
        <v>0</v>
      </c>
      <c r="G7" s="1392"/>
      <c r="H7" s="1391">
        <f>SUMIF(59:59,YEAR(G7)&amp;"-"&amp;MONTH(G7),60:60)</f>
        <v>0</v>
      </c>
      <c r="I7" s="1392"/>
      <c r="J7" s="1391">
        <f>SUMIF(59:59,YEAR(I7)&amp;"-"&amp;MONTH(I7),60:60)</f>
        <v>0</v>
      </c>
      <c r="K7" s="1529"/>
      <c r="L7" s="1530"/>
      <c r="M7" s="1531"/>
      <c r="N7" s="1531"/>
      <c r="O7" s="1531"/>
      <c r="P7" s="3748" t="s">
        <v>2883</v>
      </c>
      <c r="Q7" s="3680"/>
      <c r="R7" s="1576" t="s">
        <v>2884</v>
      </c>
      <c r="S7" s="1577">
        <f t="shared" ref="S7:S15" si="0">F7</f>
        <v>0</v>
      </c>
      <c r="T7" s="1576" t="s">
        <v>2884</v>
      </c>
      <c r="U7" s="1577">
        <f t="shared" ref="U7:U15" si="1">H7</f>
        <v>0</v>
      </c>
      <c r="V7" s="1576" t="s">
        <v>2884</v>
      </c>
      <c r="W7" s="1577">
        <f t="shared" ref="W7:W15" si="2">J7</f>
        <v>0</v>
      </c>
      <c r="X7" s="1578"/>
      <c r="Y7" s="3670" t="s">
        <v>2883</v>
      </c>
      <c r="Z7" s="3671"/>
      <c r="AA7" s="1593" t="e">
        <f>D7/F7</f>
        <v>#DIV/0!</v>
      </c>
      <c r="AB7" s="1593" t="e">
        <f>D7/H7</f>
        <v>#DIV/0!</v>
      </c>
      <c r="AC7" s="2200" t="e">
        <f>D7/J7</f>
        <v>#DIV/0!</v>
      </c>
    </row>
    <row r="8" spans="1:29" s="1353" customFormat="1" ht="14.4">
      <c r="A8" s="1388" t="s">
        <v>2885</v>
      </c>
      <c r="B8" s="1389"/>
      <c r="C8" s="1394"/>
      <c r="D8" s="1391">
        <v>100</v>
      </c>
      <c r="E8" s="1394"/>
      <c r="F8" s="1393">
        <f>SUMIF(62:62,E8,63:63)-SUMIF(62:62,C8,63:63)+100</f>
        <v>100</v>
      </c>
      <c r="G8" s="1394"/>
      <c r="H8" s="1391">
        <f>SUMIF(62:62,G8,63:63)-SUMIF(62:62,C8,63:63)+100</f>
        <v>100</v>
      </c>
      <c r="I8" s="1394"/>
      <c r="J8" s="1391">
        <f>SUMIF(62:62,I8,63:63)-SUMIF(62:62,C8,63:63)+100</f>
        <v>100</v>
      </c>
      <c r="K8" s="1529"/>
      <c r="L8" s="1530"/>
      <c r="M8" s="1531"/>
      <c r="N8" s="1531"/>
      <c r="O8" s="1531"/>
      <c r="P8" s="3748" t="s">
        <v>2887</v>
      </c>
      <c r="Q8" s="3671"/>
      <c r="R8" s="1576" t="s">
        <v>2884</v>
      </c>
      <c r="S8" s="1577">
        <f t="shared" si="0"/>
        <v>100</v>
      </c>
      <c r="T8" s="1576" t="s">
        <v>2884</v>
      </c>
      <c r="U8" s="1577">
        <f t="shared" si="1"/>
        <v>100</v>
      </c>
      <c r="V8" s="1576" t="s">
        <v>2884</v>
      </c>
      <c r="W8" s="1577">
        <f t="shared" si="2"/>
        <v>100</v>
      </c>
      <c r="X8" s="1578"/>
      <c r="Y8" s="3670" t="s">
        <v>2887</v>
      </c>
      <c r="Z8" s="3671"/>
      <c r="AA8" s="1593">
        <f t="shared" ref="AA8:AA47" si="3">D8/F8</f>
        <v>1</v>
      </c>
      <c r="AB8" s="1593">
        <f t="shared" ref="AB8:AB47" si="4">D8/H8</f>
        <v>1</v>
      </c>
      <c r="AC8" s="2200">
        <f t="shared" ref="AC8:AC47" si="5">D8/J8</f>
        <v>1</v>
      </c>
    </row>
    <row r="9" spans="1:29" s="1353" customFormat="1" ht="14.4">
      <c r="A9" s="1395" t="s">
        <v>2888</v>
      </c>
      <c r="B9" s="1396" t="s">
        <v>2889</v>
      </c>
      <c r="C9" s="2134"/>
      <c r="D9" s="1398">
        <v>100</v>
      </c>
      <c r="E9" s="2135"/>
      <c r="F9" s="1398">
        <f>SUMIF(64:64,E9,65:65)-SUMIF(64:64,C9,65:65)+100</f>
        <v>100</v>
      </c>
      <c r="G9" s="1399"/>
      <c r="H9" s="1398">
        <f>SUMIF(64:64,G9,65:65)-SUMIF(64:64,C9,65:65)+100</f>
        <v>100</v>
      </c>
      <c r="I9" s="1399"/>
      <c r="J9" s="1398">
        <f>SUMIF(64:64,I9,65:65)-SUMIF(64:64,C9,65:65)+100</f>
        <v>100</v>
      </c>
      <c r="K9" s="1529"/>
      <c r="L9" s="1530"/>
      <c r="M9" s="1531"/>
      <c r="N9" s="1531"/>
      <c r="O9" s="1531"/>
      <c r="P9" s="3726" t="s">
        <v>2891</v>
      </c>
      <c r="Q9" s="1580" t="str">
        <f t="shared" ref="Q9:Q15" si="6">B9</f>
        <v>用途</v>
      </c>
      <c r="R9" s="1576" t="s">
        <v>2884</v>
      </c>
      <c r="S9" s="1577">
        <f t="shared" si="0"/>
        <v>100</v>
      </c>
      <c r="T9" s="1576" t="s">
        <v>2884</v>
      </c>
      <c r="U9" s="1577">
        <f t="shared" si="1"/>
        <v>100</v>
      </c>
      <c r="V9" s="1576" t="s">
        <v>2884</v>
      </c>
      <c r="W9" s="1577">
        <f t="shared" si="2"/>
        <v>100</v>
      </c>
      <c r="X9" s="1578"/>
      <c r="Y9" s="3573" t="s">
        <v>2892</v>
      </c>
      <c r="Z9" s="1594" t="str">
        <f t="shared" ref="Z9:Z15" si="7">Q9</f>
        <v>用途</v>
      </c>
      <c r="AA9" s="1593">
        <f t="shared" si="3"/>
        <v>1</v>
      </c>
      <c r="AB9" s="1593">
        <f t="shared" si="4"/>
        <v>1</v>
      </c>
      <c r="AC9" s="2200">
        <f t="shared" si="5"/>
        <v>1</v>
      </c>
    </row>
    <row r="10" spans="1:29" s="1354" customFormat="1" ht="28.8">
      <c r="A10" s="1401"/>
      <c r="B10" s="1402" t="s">
        <v>2893</v>
      </c>
      <c r="C10" s="2136"/>
      <c r="D10" s="1404">
        <v>100</v>
      </c>
      <c r="E10" s="2136"/>
      <c r="F10" s="1404">
        <f>SUMIF(66:66,E10,67:67)-SUMIF(66:66,C10,67:67)+100</f>
        <v>100</v>
      </c>
      <c r="G10" s="2137"/>
      <c r="H10" s="1404">
        <f>SUMIF(66:66,G10,67:67)-SUMIF(66:66,C10,67:67)+100</f>
        <v>100</v>
      </c>
      <c r="I10" s="2136"/>
      <c r="J10" s="1404">
        <f>SUMIF(66:66,I10,67:67)-SUMIF(66:66,C10,67:67)+100</f>
        <v>100</v>
      </c>
      <c r="K10" s="1529"/>
      <c r="L10" s="1532"/>
      <c r="M10" s="1533"/>
      <c r="N10" s="1533"/>
      <c r="O10" s="1533"/>
      <c r="P10" s="3726"/>
      <c r="Q10" s="1580" t="str">
        <f t="shared" si="6"/>
        <v>土地使用年限（年）</v>
      </c>
      <c r="R10" s="1576" t="s">
        <v>2884</v>
      </c>
      <c r="S10" s="1577">
        <f t="shared" si="0"/>
        <v>100</v>
      </c>
      <c r="T10" s="1576" t="s">
        <v>2884</v>
      </c>
      <c r="U10" s="1577">
        <f t="shared" si="1"/>
        <v>100</v>
      </c>
      <c r="V10" s="1576" t="s">
        <v>2884</v>
      </c>
      <c r="W10" s="1577">
        <f t="shared" si="2"/>
        <v>100</v>
      </c>
      <c r="X10" s="1578"/>
      <c r="Y10" s="3573"/>
      <c r="Z10" s="1594" t="str">
        <f t="shared" si="7"/>
        <v>土地使用年限（年）</v>
      </c>
      <c r="AA10" s="1593">
        <f t="shared" si="3"/>
        <v>1</v>
      </c>
      <c r="AB10" s="1593">
        <f t="shared" si="4"/>
        <v>1</v>
      </c>
      <c r="AC10" s="2200">
        <f t="shared" si="5"/>
        <v>1</v>
      </c>
    </row>
    <row r="11" spans="1:29" ht="15">
      <c r="A11" s="1406"/>
      <c r="B11" s="1402" t="s">
        <v>3458</v>
      </c>
      <c r="C11" s="1407"/>
      <c r="D11" s="1404">
        <v>100</v>
      </c>
      <c r="E11" s="1407"/>
      <c r="F11" s="1404">
        <f>LOOKUP(E11,69:69,70:70)-LOOKUP(C11,69:69,70:70)+100</f>
        <v>100</v>
      </c>
      <c r="G11" s="1408"/>
      <c r="H11" s="1404">
        <f>LOOKUP(G11,69:69,70:70)-LOOKUP(C11,69:69,70:70)+100</f>
        <v>100</v>
      </c>
      <c r="I11" s="1407"/>
      <c r="J11" s="1404">
        <f>LOOKUP(I11,69:69,70:70)-LOOKUP(C11,69:69,70:70)+100</f>
        <v>100</v>
      </c>
      <c r="K11" s="1534"/>
      <c r="L11" s="1535"/>
      <c r="M11" s="1528"/>
      <c r="N11" s="1528"/>
      <c r="O11" s="1528"/>
      <c r="P11" s="3726"/>
      <c r="Q11" s="1580" t="str">
        <f t="shared" si="6"/>
        <v>容积率</v>
      </c>
      <c r="R11" s="1576" t="s">
        <v>2884</v>
      </c>
      <c r="S11" s="1577">
        <f t="shared" si="0"/>
        <v>100</v>
      </c>
      <c r="T11" s="1576" t="s">
        <v>2884</v>
      </c>
      <c r="U11" s="1577">
        <f t="shared" si="1"/>
        <v>100</v>
      </c>
      <c r="V11" s="1576" t="s">
        <v>2884</v>
      </c>
      <c r="W11" s="1577">
        <f t="shared" si="2"/>
        <v>100</v>
      </c>
      <c r="X11" s="1578"/>
      <c r="Y11" s="3573"/>
      <c r="Z11" s="1594" t="str">
        <f t="shared" si="7"/>
        <v>容积率</v>
      </c>
      <c r="AA11" s="1593">
        <f t="shared" si="3"/>
        <v>1</v>
      </c>
      <c r="AB11" s="1593">
        <f t="shared" si="4"/>
        <v>1</v>
      </c>
      <c r="AC11" s="2200">
        <f t="shared" si="5"/>
        <v>1</v>
      </c>
    </row>
    <row r="12" spans="1:29" s="1353" customFormat="1" ht="15">
      <c r="A12" s="1409"/>
      <c r="B12" s="1410">
        <v>111</v>
      </c>
      <c r="C12" s="1411"/>
      <c r="D12" s="1412">
        <v>100</v>
      </c>
      <c r="E12" s="1411"/>
      <c r="F12" s="1404">
        <f>SUMIF(71:71,E12,72:72)-SUMIF(71:71,C12,72:72)+100</f>
        <v>100</v>
      </c>
      <c r="G12" s="2181"/>
      <c r="H12" s="1404">
        <f>SUMIF(71:71,G12,72:72)-SUMIF(71:71,C12,72:72)+100</f>
        <v>100</v>
      </c>
      <c r="I12" s="1411"/>
      <c r="J12" s="1404">
        <f>SUMIF(71:71,I12,72:72)-SUMIF(71:71,C12,72:72)+100</f>
        <v>100</v>
      </c>
      <c r="K12" s="1536"/>
      <c r="L12" s="1530"/>
      <c r="M12" s="1531"/>
      <c r="N12" s="1531"/>
      <c r="O12" s="1531"/>
      <c r="P12" s="3726"/>
      <c r="Q12" s="1580">
        <f t="shared" si="6"/>
        <v>111</v>
      </c>
      <c r="R12" s="1576" t="s">
        <v>2884</v>
      </c>
      <c r="S12" s="1577">
        <f t="shared" si="0"/>
        <v>100</v>
      </c>
      <c r="T12" s="1576" t="s">
        <v>2884</v>
      </c>
      <c r="U12" s="1577">
        <f t="shared" si="1"/>
        <v>100</v>
      </c>
      <c r="V12" s="1576" t="s">
        <v>2884</v>
      </c>
      <c r="W12" s="1577">
        <f t="shared" si="2"/>
        <v>100</v>
      </c>
      <c r="X12" s="1578"/>
      <c r="Y12" s="3573"/>
      <c r="Z12" s="1594">
        <f t="shared" si="7"/>
        <v>111</v>
      </c>
      <c r="AA12" s="1593">
        <f t="shared" si="3"/>
        <v>1</v>
      </c>
      <c r="AB12" s="1593">
        <f t="shared" si="4"/>
        <v>1</v>
      </c>
      <c r="AC12" s="2200">
        <f t="shared" si="5"/>
        <v>1</v>
      </c>
    </row>
    <row r="13" spans="1:29" ht="15">
      <c r="A13" s="1406"/>
      <c r="B13" s="1410">
        <v>111</v>
      </c>
      <c r="C13" s="1413"/>
      <c r="D13" s="1414">
        <v>100</v>
      </c>
      <c r="E13" s="1411"/>
      <c r="F13" s="1404">
        <f>SUMIF(73:73,E13,74:74)-SUMIF(73:73,C13,74:74)+100</f>
        <v>100</v>
      </c>
      <c r="G13" s="2181"/>
      <c r="H13" s="1414">
        <f>SUMIF(73:73,G13,74:74)-SUMIF(73:73,C13,74:74)+100</f>
        <v>100</v>
      </c>
      <c r="I13" s="1411"/>
      <c r="J13" s="1414">
        <f>SUMIF(73:73,I13,74:74)-SUMIF(73:73,C13,74:74)+100</f>
        <v>100</v>
      </c>
      <c r="K13" s="1536"/>
      <c r="L13" s="1537"/>
      <c r="M13" s="1528"/>
      <c r="N13" s="1528"/>
      <c r="O13" s="1528"/>
      <c r="P13" s="3726"/>
      <c r="Q13" s="1580">
        <f t="shared" si="6"/>
        <v>111</v>
      </c>
      <c r="R13" s="1576" t="s">
        <v>2884</v>
      </c>
      <c r="S13" s="1577">
        <f t="shared" si="0"/>
        <v>100</v>
      </c>
      <c r="T13" s="1576" t="s">
        <v>2884</v>
      </c>
      <c r="U13" s="1577">
        <f t="shared" si="1"/>
        <v>100</v>
      </c>
      <c r="V13" s="1576" t="s">
        <v>2884</v>
      </c>
      <c r="W13" s="1577">
        <f t="shared" si="2"/>
        <v>100</v>
      </c>
      <c r="X13" s="1578"/>
      <c r="Y13" s="3573"/>
      <c r="Z13" s="1594">
        <f t="shared" si="7"/>
        <v>111</v>
      </c>
      <c r="AA13" s="1593">
        <f t="shared" si="3"/>
        <v>1</v>
      </c>
      <c r="AB13" s="1593">
        <f t="shared" si="4"/>
        <v>1</v>
      </c>
      <c r="AC13" s="2200">
        <f t="shared" si="5"/>
        <v>1</v>
      </c>
    </row>
    <row r="14" spans="1:29" ht="15">
      <c r="A14" s="1415"/>
      <c r="B14" s="1416">
        <v>111</v>
      </c>
      <c r="C14" s="1417"/>
      <c r="D14" s="1418">
        <v>100</v>
      </c>
      <c r="E14" s="2182"/>
      <c r="F14" s="1418">
        <f>SUMIF(75:75,E14,76:76)-SUMIF(75:75,C14,76:76)+100</f>
        <v>100</v>
      </c>
      <c r="G14" s="2181"/>
      <c r="H14" s="1418">
        <f>SUMIF(75:75,G14,76:76)-SUMIF(75:75,C14,76:76)+100</f>
        <v>100</v>
      </c>
      <c r="I14" s="1411"/>
      <c r="J14" s="1418">
        <f>SUMIF(75:75,I14,76:76)-SUMIF(75:75,C14,76:76)+100</f>
        <v>100</v>
      </c>
      <c r="K14" s="1536"/>
      <c r="L14" s="1537"/>
      <c r="M14" s="1528"/>
      <c r="N14" s="1528"/>
      <c r="O14" s="1528"/>
      <c r="P14" s="3726"/>
      <c r="Q14" s="1580">
        <f t="shared" si="6"/>
        <v>111</v>
      </c>
      <c r="R14" s="1576" t="s">
        <v>2884</v>
      </c>
      <c r="S14" s="1577">
        <f t="shared" si="0"/>
        <v>100</v>
      </c>
      <c r="T14" s="1576" t="s">
        <v>2884</v>
      </c>
      <c r="U14" s="1577">
        <f t="shared" si="1"/>
        <v>100</v>
      </c>
      <c r="V14" s="1576" t="s">
        <v>2884</v>
      </c>
      <c r="W14" s="1577">
        <f t="shared" si="2"/>
        <v>100</v>
      </c>
      <c r="X14" s="1578"/>
      <c r="Y14" s="3573"/>
      <c r="Z14" s="1594">
        <f t="shared" si="7"/>
        <v>111</v>
      </c>
      <c r="AA14" s="1593">
        <f t="shared" si="3"/>
        <v>1</v>
      </c>
      <c r="AB14" s="1593">
        <f t="shared" si="4"/>
        <v>1</v>
      </c>
      <c r="AC14" s="2200">
        <f t="shared" si="5"/>
        <v>1</v>
      </c>
    </row>
    <row r="15" spans="1:29" ht="69">
      <c r="A15" s="1420" t="s">
        <v>2895</v>
      </c>
      <c r="B15" s="1993" t="s">
        <v>3493</v>
      </c>
      <c r="C15" s="2183" t="str">
        <f>估价对象房地状况!C5</f>
        <v>估价对象位于XX商圈，周边办公楼项目较多，入驻率高，办公集聚程度较好</v>
      </c>
      <c r="D15" s="1423">
        <v>100</v>
      </c>
      <c r="E15" s="1426"/>
      <c r="F15" s="1423">
        <f>SUMIF(77:77,E16,78:78)-SUMIF(77:77,C16,78:78)+100</f>
        <v>100</v>
      </c>
      <c r="G15" s="1424"/>
      <c r="H15" s="1423">
        <f>SUMIF(77:77,G16,78:78)-SUMIF(77:77,C16,78:78)+100</f>
        <v>100</v>
      </c>
      <c r="I15" s="1424"/>
      <c r="J15" s="1423">
        <f>SUMIF(77:77,I16,78:78)-SUMIF(77:77,C16,78:78)+100</f>
        <v>100</v>
      </c>
      <c r="K15" s="1538"/>
      <c r="L15" s="1537"/>
      <c r="M15" s="1528"/>
      <c r="N15" s="1528"/>
      <c r="O15" s="1528"/>
      <c r="P15" s="3727" t="s">
        <v>2897</v>
      </c>
      <c r="Q15" s="1076" t="str">
        <f t="shared" si="6"/>
        <v>办公集聚程度</v>
      </c>
      <c r="R15" s="1581" t="s">
        <v>2884</v>
      </c>
      <c r="S15" s="1582">
        <f t="shared" si="0"/>
        <v>100</v>
      </c>
      <c r="T15" s="1581" t="s">
        <v>2884</v>
      </c>
      <c r="U15" s="1582">
        <f t="shared" si="1"/>
        <v>100</v>
      </c>
      <c r="V15" s="1581" t="s">
        <v>2884</v>
      </c>
      <c r="W15" s="1582">
        <f t="shared" si="2"/>
        <v>100</v>
      </c>
      <c r="X15" s="1575"/>
      <c r="Y15" s="3672" t="s">
        <v>2897</v>
      </c>
      <c r="Z15" s="1574" t="str">
        <f t="shared" si="7"/>
        <v>办公集聚程度</v>
      </c>
      <c r="AA15" s="1587">
        <f t="shared" si="3"/>
        <v>1</v>
      </c>
      <c r="AB15" s="1587">
        <f t="shared" si="4"/>
        <v>1</v>
      </c>
      <c r="AC15" s="2201">
        <f t="shared" si="5"/>
        <v>1</v>
      </c>
    </row>
    <row r="16" spans="1:29" ht="15">
      <c r="A16" s="1406"/>
      <c r="B16" s="1995"/>
      <c r="C16" s="1996"/>
      <c r="D16" s="1429"/>
      <c r="E16" s="1428"/>
      <c r="F16" s="1429"/>
      <c r="G16" s="1996"/>
      <c r="H16" s="1431"/>
      <c r="I16" s="1428"/>
      <c r="J16" s="1429"/>
      <c r="K16" s="1539"/>
      <c r="L16" s="1537"/>
      <c r="M16" s="1528"/>
      <c r="N16" s="1528"/>
      <c r="O16" s="1528"/>
      <c r="P16" s="3728"/>
      <c r="Q16" s="1076"/>
      <c r="R16" s="1581"/>
      <c r="S16" s="1582"/>
      <c r="T16" s="1581"/>
      <c r="U16" s="1582"/>
      <c r="V16" s="1581"/>
      <c r="W16" s="1582"/>
      <c r="X16" s="1575"/>
      <c r="Y16" s="3673"/>
      <c r="Z16" s="1574"/>
      <c r="AA16" s="1587">
        <v>1</v>
      </c>
      <c r="AB16" s="1587">
        <v>1</v>
      </c>
      <c r="AC16" s="2201">
        <v>1</v>
      </c>
    </row>
    <row r="17" spans="1:29" ht="82.8">
      <c r="A17" s="1406"/>
      <c r="B17" s="1997" t="s">
        <v>2896</v>
      </c>
      <c r="C17" s="2184" t="str">
        <f>估价对象房地状况!C6</f>
        <v>估价对象周边道路状况、公共交通通达情况、停车便捷程度，综合评价交通便捷度较好</v>
      </c>
      <c r="D17" s="1431">
        <v>100</v>
      </c>
      <c r="E17" s="1436"/>
      <c r="F17" s="1431">
        <f>SUMIF(79:79,E18,80:80)-SUMIF(79:79,C18,80:80)+100</f>
        <v>100</v>
      </c>
      <c r="G17" s="1434"/>
      <c r="H17" s="1437">
        <f>SUMIF(79:79,G18,80:80)-SUMIF(79:79,C18,80:80)+100</f>
        <v>100</v>
      </c>
      <c r="I17" s="1434"/>
      <c r="J17" s="1437">
        <f>SUMIF(79:79,I18,80:80)-SUMIF(79:79,C18,80:80)+100</f>
        <v>100</v>
      </c>
      <c r="K17" s="1538"/>
      <c r="L17" s="1537"/>
      <c r="M17" s="1528"/>
      <c r="N17" s="1528"/>
      <c r="O17" s="1528"/>
      <c r="P17" s="3728"/>
      <c r="Q17" s="1076" t="str">
        <f>B17</f>
        <v>交通便捷度</v>
      </c>
      <c r="R17" s="1581" t="s">
        <v>2884</v>
      </c>
      <c r="S17" s="1582">
        <f>F17</f>
        <v>100</v>
      </c>
      <c r="T17" s="1581" t="s">
        <v>2884</v>
      </c>
      <c r="U17" s="1582">
        <f>H17</f>
        <v>100</v>
      </c>
      <c r="V17" s="1581" t="s">
        <v>2884</v>
      </c>
      <c r="W17" s="1582">
        <f>J17</f>
        <v>100</v>
      </c>
      <c r="X17" s="1575"/>
      <c r="Y17" s="3673"/>
      <c r="Z17" s="1574" t="str">
        <f>Q17</f>
        <v>交通便捷度</v>
      </c>
      <c r="AA17" s="1587">
        <f t="shared" si="3"/>
        <v>1</v>
      </c>
      <c r="AB17" s="1587">
        <f t="shared" si="4"/>
        <v>1</v>
      </c>
      <c r="AC17" s="2201">
        <f t="shared" si="5"/>
        <v>1</v>
      </c>
    </row>
    <row r="18" spans="1:29" ht="15">
      <c r="A18" s="1406"/>
      <c r="B18" s="1998"/>
      <c r="C18" s="2185"/>
      <c r="D18" s="1431"/>
      <c r="E18" s="1441"/>
      <c r="F18" s="1431"/>
      <c r="G18" s="1440"/>
      <c r="H18" s="1429"/>
      <c r="I18" s="1440"/>
      <c r="J18" s="1429"/>
      <c r="K18" s="1539"/>
      <c r="L18" s="1537"/>
      <c r="M18" s="1528"/>
      <c r="N18" s="1528"/>
      <c r="O18" s="1528"/>
      <c r="P18" s="3728"/>
      <c r="Q18" s="1076"/>
      <c r="R18" s="1581"/>
      <c r="S18" s="1582"/>
      <c r="T18" s="1581"/>
      <c r="U18" s="1582"/>
      <c r="V18" s="1581"/>
      <c r="W18" s="1582"/>
      <c r="X18" s="1575"/>
      <c r="Y18" s="3673"/>
      <c r="Z18" s="1574"/>
      <c r="AA18" s="1587">
        <v>1</v>
      </c>
      <c r="AB18" s="1587">
        <v>1</v>
      </c>
      <c r="AC18" s="2201">
        <v>1</v>
      </c>
    </row>
    <row r="19" spans="1:29" ht="41.4">
      <c r="A19" s="1406"/>
      <c r="B19" s="1997" t="s">
        <v>2899</v>
      </c>
      <c r="C19" s="2184" t="str">
        <f>估价对象房地状况!C7</f>
        <v>估价对象所在区域公共配套设施齐备情况</v>
      </c>
      <c r="D19" s="1437">
        <v>100</v>
      </c>
      <c r="E19" s="1444"/>
      <c r="F19" s="1437">
        <f>SUMIF(81:81,E20,82:82)-SUMIF(81:81,C20,82:82)+100</f>
        <v>100</v>
      </c>
      <c r="G19" s="1442"/>
      <c r="H19" s="1431">
        <f>SUMIF(81:81,G20,82:82)-SUMIF(81:81,C20,82:82)+100</f>
        <v>100</v>
      </c>
      <c r="I19" s="1442"/>
      <c r="J19" s="1431">
        <f>SUMIF(81:81,I20,82:82)-SUMIF(81:81,C20,82:82)+100</f>
        <v>100</v>
      </c>
      <c r="K19" s="1538"/>
      <c r="L19" s="1537"/>
      <c r="M19" s="1528"/>
      <c r="N19" s="1528"/>
      <c r="O19" s="1528"/>
      <c r="P19" s="3728"/>
      <c r="Q19" s="1076" t="str">
        <f>B19</f>
        <v>公共配套设施</v>
      </c>
      <c r="R19" s="1581" t="s">
        <v>2884</v>
      </c>
      <c r="S19" s="1582">
        <f>F19</f>
        <v>100</v>
      </c>
      <c r="T19" s="1581" t="s">
        <v>2884</v>
      </c>
      <c r="U19" s="1582">
        <f>H19</f>
        <v>100</v>
      </c>
      <c r="V19" s="1581" t="s">
        <v>2884</v>
      </c>
      <c r="W19" s="1582">
        <f>J19</f>
        <v>100</v>
      </c>
      <c r="X19" s="1575"/>
      <c r="Y19" s="3673"/>
      <c r="Z19" s="1574" t="str">
        <f>Q19</f>
        <v>公共配套设施</v>
      </c>
      <c r="AA19" s="1587">
        <f t="shared" si="3"/>
        <v>1</v>
      </c>
      <c r="AB19" s="1587">
        <f t="shared" si="4"/>
        <v>1</v>
      </c>
      <c r="AC19" s="2201">
        <f t="shared" si="5"/>
        <v>1</v>
      </c>
    </row>
    <row r="20" spans="1:29" ht="15">
      <c r="A20" s="1406"/>
      <c r="B20" s="1998"/>
      <c r="C20" s="1996"/>
      <c r="D20" s="1429"/>
      <c r="E20" s="1446"/>
      <c r="F20" s="1429"/>
      <c r="G20" s="1445"/>
      <c r="H20" s="1429"/>
      <c r="I20" s="1445"/>
      <c r="J20" s="1429"/>
      <c r="K20" s="1539"/>
      <c r="L20" s="1537"/>
      <c r="M20" s="1528"/>
      <c r="N20" s="1528"/>
      <c r="O20" s="1528"/>
      <c r="P20" s="3728"/>
      <c r="Q20" s="1076"/>
      <c r="R20" s="1581"/>
      <c r="S20" s="1582"/>
      <c r="T20" s="1581"/>
      <c r="U20" s="1582"/>
      <c r="V20" s="1581"/>
      <c r="W20" s="1582"/>
      <c r="X20" s="1575"/>
      <c r="Y20" s="3673"/>
      <c r="Z20" s="1574"/>
      <c r="AA20" s="1587">
        <v>1</v>
      </c>
      <c r="AB20" s="1587">
        <v>1</v>
      </c>
      <c r="AC20" s="2201">
        <v>1</v>
      </c>
    </row>
    <row r="21" spans="1:29" ht="27.6">
      <c r="A21" s="1406"/>
      <c r="B21" s="2000" t="s">
        <v>2901</v>
      </c>
      <c r="C21" s="2184" t="str">
        <f>估价对象房地状况!C8</f>
        <v>估价对象所在区域基础设施水平</v>
      </c>
      <c r="D21" s="1431">
        <v>100</v>
      </c>
      <c r="E21" s="1444"/>
      <c r="F21" s="1437">
        <f>SUMIF(83:83,E22,84:84)-SUMIF(83:83,C22,84:84)+100</f>
        <v>100</v>
      </c>
      <c r="G21" s="1442"/>
      <c r="H21" s="1431">
        <f>SUMIF(83:83,G22,84:84)-SUMIF(83:83,C22,84:84)+100</f>
        <v>100</v>
      </c>
      <c r="I21" s="1442"/>
      <c r="J21" s="1431">
        <f>SUMIF(83:83,I22,84:84)-SUMIF(83:83,C22,84:84)+100</f>
        <v>100</v>
      </c>
      <c r="K21" s="1538"/>
      <c r="L21" s="1537"/>
      <c r="M21" s="1528"/>
      <c r="N21" s="1528"/>
      <c r="O21" s="1528"/>
      <c r="P21" s="3728"/>
      <c r="Q21" s="1076" t="str">
        <f>B21</f>
        <v>基础设施水平</v>
      </c>
      <c r="R21" s="1581" t="s">
        <v>2884</v>
      </c>
      <c r="S21" s="1582">
        <f>F21</f>
        <v>100</v>
      </c>
      <c r="T21" s="1581" t="s">
        <v>2884</v>
      </c>
      <c r="U21" s="1582">
        <f>H21</f>
        <v>100</v>
      </c>
      <c r="V21" s="1581" t="s">
        <v>2884</v>
      </c>
      <c r="W21" s="1582">
        <f>J21</f>
        <v>100</v>
      </c>
      <c r="X21" s="1575"/>
      <c r="Y21" s="3673"/>
      <c r="Z21" s="1574" t="str">
        <f>Q21</f>
        <v>基础设施水平</v>
      </c>
      <c r="AA21" s="1587">
        <f t="shared" ref="AA21" si="8">D21/F21</f>
        <v>1</v>
      </c>
      <c r="AB21" s="1587">
        <f t="shared" ref="AB21" si="9">D21/H21</f>
        <v>1</v>
      </c>
      <c r="AC21" s="2201">
        <f t="shared" ref="AC21" si="10">D21/J21</f>
        <v>1</v>
      </c>
    </row>
    <row r="22" spans="1:29" ht="15">
      <c r="A22" s="1406"/>
      <c r="B22" s="2000"/>
      <c r="C22" s="2185"/>
      <c r="D22" s="1429"/>
      <c r="E22" s="1428"/>
      <c r="F22" s="1429"/>
      <c r="G22" s="1996"/>
      <c r="H22" s="1429"/>
      <c r="I22" s="1996"/>
      <c r="J22" s="1429"/>
      <c r="K22" s="1540"/>
      <c r="L22" s="1537"/>
      <c r="M22" s="1528"/>
      <c r="N22" s="1528"/>
      <c r="O22" s="1528"/>
      <c r="P22" s="3728"/>
      <c r="Q22" s="1076"/>
      <c r="R22" s="1581"/>
      <c r="S22" s="1582"/>
      <c r="T22" s="1581"/>
      <c r="U22" s="1582"/>
      <c r="V22" s="1581"/>
      <c r="W22" s="1582"/>
      <c r="X22" s="1575"/>
      <c r="Y22" s="3673"/>
      <c r="Z22" s="1574"/>
      <c r="AA22" s="1587">
        <v>1</v>
      </c>
      <c r="AB22" s="1587">
        <v>1</v>
      </c>
      <c r="AC22" s="2201">
        <v>1</v>
      </c>
    </row>
    <row r="23" spans="1:29" ht="55.2">
      <c r="A23" s="1406"/>
      <c r="B23" s="1997" t="s">
        <v>3494</v>
      </c>
      <c r="C23" s="2184" t="str">
        <f>估价对象房地状况!C9</f>
        <v>区域自然环境：；人文环境；综合评价环境状况一般</v>
      </c>
      <c r="D23" s="1431">
        <v>100</v>
      </c>
      <c r="E23" s="1436"/>
      <c r="F23" s="1431">
        <f>SUMIF(85:85,E24,86:86)-SUMIF(85:85,C24,86:86)+100</f>
        <v>100</v>
      </c>
      <c r="G23" s="1434"/>
      <c r="H23" s="1431">
        <f>SUMIF(85:85,G24,86:86)-SUMIF(85:85,C24,86:86)+100</f>
        <v>100</v>
      </c>
      <c r="I23" s="1434"/>
      <c r="J23" s="1431">
        <f>SUMIF(85:85,I24,86:86)-SUMIF(85:85,C24,86:86)+100</f>
        <v>100</v>
      </c>
      <c r="K23" s="1538"/>
      <c r="L23" s="1537"/>
      <c r="M23" s="1528"/>
      <c r="N23" s="1528"/>
      <c r="O23" s="1528"/>
      <c r="P23" s="3728"/>
      <c r="Q23" s="1076" t="str">
        <f>B23</f>
        <v>环境质量</v>
      </c>
      <c r="R23" s="1581" t="s">
        <v>2884</v>
      </c>
      <c r="S23" s="1582">
        <f>F23</f>
        <v>100</v>
      </c>
      <c r="T23" s="1581" t="s">
        <v>2884</v>
      </c>
      <c r="U23" s="1582">
        <f>H23</f>
        <v>100</v>
      </c>
      <c r="V23" s="1581" t="s">
        <v>2884</v>
      </c>
      <c r="W23" s="1582">
        <f>J23</f>
        <v>100</v>
      </c>
      <c r="X23" s="1575"/>
      <c r="Y23" s="3673"/>
      <c r="Z23" s="1574" t="str">
        <f>Q23</f>
        <v>环境质量</v>
      </c>
      <c r="AA23" s="1587">
        <f t="shared" si="3"/>
        <v>1</v>
      </c>
      <c r="AB23" s="1587">
        <f t="shared" si="4"/>
        <v>1</v>
      </c>
      <c r="AC23" s="2201">
        <f t="shared" si="5"/>
        <v>1</v>
      </c>
    </row>
    <row r="24" spans="1:29" ht="15">
      <c r="A24" s="1406"/>
      <c r="B24" s="2000"/>
      <c r="C24" s="1996"/>
      <c r="D24" s="1429"/>
      <c r="E24" s="1446"/>
      <c r="F24" s="1429"/>
      <c r="G24" s="1445"/>
      <c r="H24" s="1429"/>
      <c r="I24" s="1445"/>
      <c r="J24" s="1429"/>
      <c r="K24" s="1539"/>
      <c r="L24" s="1537"/>
      <c r="M24" s="1528"/>
      <c r="N24" s="1528"/>
      <c r="O24" s="1528"/>
      <c r="P24" s="3728"/>
      <c r="Q24" s="1076"/>
      <c r="R24" s="1581"/>
      <c r="S24" s="1582"/>
      <c r="T24" s="1581"/>
      <c r="U24" s="1582"/>
      <c r="V24" s="1581"/>
      <c r="W24" s="1582"/>
      <c r="X24" s="1575"/>
      <c r="Y24" s="3673"/>
      <c r="Z24" s="1574"/>
      <c r="AA24" s="1587">
        <v>1</v>
      </c>
      <c r="AB24" s="1587">
        <v>1</v>
      </c>
      <c r="AC24" s="2201">
        <v>1</v>
      </c>
    </row>
    <row r="25" spans="1:29" ht="28.8">
      <c r="A25" s="1384"/>
      <c r="B25" s="1997" t="s">
        <v>3495</v>
      </c>
      <c r="C25" s="2186"/>
      <c r="D25" s="1414">
        <v>100</v>
      </c>
      <c r="E25" s="1413"/>
      <c r="F25" s="1414">
        <f>SUMIF(87:87,E26,88:88)-SUMIF(87:87,C26,88:88)+100</f>
        <v>100</v>
      </c>
      <c r="G25" s="2186"/>
      <c r="H25" s="1414">
        <f>SUMIF(87:87,G26,88:88)-SUMIF(87:87,C26,88:88)+100</f>
        <v>100</v>
      </c>
      <c r="I25" s="1413"/>
      <c r="J25" s="1414">
        <f>SUMIF(87:87,I26,88:88)-SUMIF(87:87,C26,88:88)+100</f>
        <v>100</v>
      </c>
      <c r="K25" s="1538"/>
      <c r="L25" s="1537"/>
      <c r="M25" s="1528"/>
      <c r="N25" s="1528"/>
      <c r="O25" s="1528"/>
      <c r="P25" s="3728"/>
      <c r="Q25" s="1076" t="str">
        <f>B25</f>
        <v>毗邻道路的类型与等级</v>
      </c>
      <c r="R25" s="1581" t="s">
        <v>2884</v>
      </c>
      <c r="S25" s="1582">
        <f>F25</f>
        <v>100</v>
      </c>
      <c r="T25" s="1581" t="s">
        <v>2884</v>
      </c>
      <c r="U25" s="1582">
        <f>H25</f>
        <v>100</v>
      </c>
      <c r="V25" s="1581" t="s">
        <v>2884</v>
      </c>
      <c r="W25" s="1582">
        <f>J25</f>
        <v>100</v>
      </c>
      <c r="X25" s="1575"/>
      <c r="Y25" s="3673"/>
      <c r="Z25" s="1574" t="str">
        <f>Q25</f>
        <v>毗邻道路的类型与等级</v>
      </c>
      <c r="AA25" s="1587">
        <f t="shared" si="3"/>
        <v>1</v>
      </c>
      <c r="AB25" s="1587">
        <f t="shared" si="4"/>
        <v>1</v>
      </c>
      <c r="AC25" s="2201">
        <f t="shared" si="5"/>
        <v>1</v>
      </c>
    </row>
    <row r="26" spans="1:29" ht="15">
      <c r="A26" s="1384"/>
      <c r="B26" s="1998"/>
      <c r="C26" s="2003"/>
      <c r="D26" s="1414"/>
      <c r="E26" s="1448"/>
      <c r="F26" s="1414"/>
      <c r="G26" s="2003"/>
      <c r="H26" s="1414"/>
      <c r="I26" s="1448"/>
      <c r="J26" s="1414"/>
      <c r="K26" s="1539"/>
      <c r="L26" s="1537"/>
      <c r="M26" s="1528"/>
      <c r="N26" s="1528"/>
      <c r="O26" s="1528"/>
      <c r="P26" s="3728"/>
      <c r="Q26" s="1076"/>
      <c r="R26" s="1581"/>
      <c r="S26" s="1582"/>
      <c r="T26" s="1581"/>
      <c r="U26" s="1582"/>
      <c r="V26" s="1581"/>
      <c r="W26" s="1582"/>
      <c r="X26" s="1575"/>
      <c r="Y26" s="3673"/>
      <c r="Z26" s="1574"/>
      <c r="AA26" s="1587">
        <v>1</v>
      </c>
      <c r="AB26" s="1587">
        <v>1</v>
      </c>
      <c r="AC26" s="2201">
        <v>1</v>
      </c>
    </row>
    <row r="27" spans="1:29" ht="15">
      <c r="A27" s="1406"/>
      <c r="B27" s="1998" t="s">
        <v>2903</v>
      </c>
      <c r="C27" s="2003"/>
      <c r="D27" s="1414">
        <v>100</v>
      </c>
      <c r="E27" s="1448"/>
      <c r="F27" s="1414">
        <f>SUMIF(89:89,E27,90:90)-SUMIF(89:89,C27,90:90)+100</f>
        <v>100</v>
      </c>
      <c r="G27" s="2003"/>
      <c r="H27" s="1414">
        <f>SUMIF(89:89,G27,90:90)-SUMIF(89:89,C27,90:90)+100</f>
        <v>100</v>
      </c>
      <c r="I27" s="1448"/>
      <c r="J27" s="1414">
        <f>SUMIF(89:89,I27,90:90)-SUMIF(89:89,C27,90:90)+100</f>
        <v>100</v>
      </c>
      <c r="K27" s="1534"/>
      <c r="L27" s="1537"/>
      <c r="M27" s="1528"/>
      <c r="N27" s="1528"/>
      <c r="O27" s="1528"/>
      <c r="P27" s="3728"/>
      <c r="Q27" s="1076" t="str">
        <f t="shared" ref="Q27:Q47" si="11">B27</f>
        <v>楼层</v>
      </c>
      <c r="R27" s="1581" t="s">
        <v>2884</v>
      </c>
      <c r="S27" s="1582">
        <f>F27</f>
        <v>100</v>
      </c>
      <c r="T27" s="1581" t="s">
        <v>2884</v>
      </c>
      <c r="U27" s="1582">
        <f>H27</f>
        <v>100</v>
      </c>
      <c r="V27" s="1581" t="s">
        <v>2884</v>
      </c>
      <c r="W27" s="1582">
        <f>J27</f>
        <v>100</v>
      </c>
      <c r="X27" s="1575"/>
      <c r="Y27" s="3673"/>
      <c r="Z27" s="1574" t="str">
        <f>Q27</f>
        <v>楼层</v>
      </c>
      <c r="AA27" s="1587">
        <f t="shared" si="3"/>
        <v>1</v>
      </c>
      <c r="AB27" s="1587">
        <f t="shared" si="4"/>
        <v>1</v>
      </c>
      <c r="AC27" s="2201">
        <f t="shared" si="5"/>
        <v>1</v>
      </c>
    </row>
    <row r="28" spans="1:29" s="1353" customFormat="1" ht="15">
      <c r="A28" s="1409"/>
      <c r="B28" s="1997" t="s">
        <v>3461</v>
      </c>
      <c r="C28" s="2187"/>
      <c r="D28" s="1452">
        <v>100</v>
      </c>
      <c r="E28" s="1451"/>
      <c r="F28" s="1452">
        <f>SUMIF(91:91,E28,92:92)-SUMIF(91:91,C28,92:92)+100</f>
        <v>100</v>
      </c>
      <c r="G28" s="2187"/>
      <c r="H28" s="1452">
        <f>SUMIF(91:91,G28,92:92)-SUMIF(91:91,C28,92:92)+100</f>
        <v>100</v>
      </c>
      <c r="I28" s="1451"/>
      <c r="J28" s="1452">
        <f>SUMIF(91:91,I28,92:92)-SUMIF(91:91,C28,92:92)+100</f>
        <v>100</v>
      </c>
      <c r="K28" s="1534"/>
      <c r="L28" s="1530"/>
      <c r="M28" s="1531"/>
      <c r="N28" s="1531"/>
      <c r="O28" s="1531"/>
      <c r="P28" s="3728"/>
      <c r="Q28" s="1580" t="str">
        <f t="shared" si="11"/>
        <v>朝向</v>
      </c>
      <c r="R28" s="1576" t="s">
        <v>2884</v>
      </c>
      <c r="S28" s="1577">
        <f>F28</f>
        <v>100</v>
      </c>
      <c r="T28" s="1576" t="s">
        <v>2884</v>
      </c>
      <c r="U28" s="1577">
        <f>H28</f>
        <v>100</v>
      </c>
      <c r="V28" s="1576" t="s">
        <v>2884</v>
      </c>
      <c r="W28" s="1577">
        <f>J28</f>
        <v>100</v>
      </c>
      <c r="X28" s="1578"/>
      <c r="Y28" s="3673"/>
      <c r="Z28" s="1594" t="str">
        <f>Q28</f>
        <v>朝向</v>
      </c>
      <c r="AA28" s="1587">
        <f t="shared" si="3"/>
        <v>1</v>
      </c>
      <c r="AB28" s="1587">
        <f t="shared" si="4"/>
        <v>1</v>
      </c>
      <c r="AC28" s="2201">
        <f t="shared" si="5"/>
        <v>1</v>
      </c>
    </row>
    <row r="29" spans="1:29" ht="15">
      <c r="A29" s="1406"/>
      <c r="B29" s="2007">
        <v>111</v>
      </c>
      <c r="C29" s="2186"/>
      <c r="D29" s="1414">
        <v>100</v>
      </c>
      <c r="E29" s="1411"/>
      <c r="F29" s="1414">
        <f>SUMIF(93:93,E29,94:94)-SUMIF(93:93,C29,94:94)+100</f>
        <v>100</v>
      </c>
      <c r="G29" s="2181"/>
      <c r="H29" s="1414">
        <f>SUMIF(93:93,G29,94:94)-SUMIF(93:93,C29,94:94)+100</f>
        <v>100</v>
      </c>
      <c r="I29" s="1411"/>
      <c r="J29" s="1414">
        <f>SUMIF(93:93,I29,94:94)-SUMIF(93:93,C29,94:94)+100</f>
        <v>100</v>
      </c>
      <c r="K29" s="1536"/>
      <c r="L29" s="1537"/>
      <c r="M29" s="1528"/>
      <c r="N29" s="1528"/>
      <c r="O29" s="1528"/>
      <c r="P29" s="3728"/>
      <c r="Q29" s="1076">
        <f t="shared" si="11"/>
        <v>111</v>
      </c>
      <c r="R29" s="1581" t="s">
        <v>2884</v>
      </c>
      <c r="S29" s="1582">
        <f t="shared" ref="S29:S47" si="12">F29</f>
        <v>100</v>
      </c>
      <c r="T29" s="1581" t="s">
        <v>2884</v>
      </c>
      <c r="U29" s="1582">
        <f t="shared" ref="U29:U47" si="13">H29</f>
        <v>100</v>
      </c>
      <c r="V29" s="1581" t="s">
        <v>2884</v>
      </c>
      <c r="W29" s="1582">
        <f t="shared" ref="W29:W47" si="14">J29</f>
        <v>100</v>
      </c>
      <c r="X29" s="1575"/>
      <c r="Y29" s="3673"/>
      <c r="Z29" s="1574">
        <f t="shared" ref="Z29:Z47" si="15">Q29</f>
        <v>111</v>
      </c>
      <c r="AA29" s="1587">
        <f t="shared" si="3"/>
        <v>1</v>
      </c>
      <c r="AB29" s="1587">
        <f t="shared" si="4"/>
        <v>1</v>
      </c>
      <c r="AC29" s="2201">
        <f t="shared" si="5"/>
        <v>1</v>
      </c>
    </row>
    <row r="30" spans="1:29" ht="15">
      <c r="A30" s="1406"/>
      <c r="B30" s="2007">
        <v>111</v>
      </c>
      <c r="C30" s="2186"/>
      <c r="D30" s="1414">
        <v>100</v>
      </c>
      <c r="E30" s="1411"/>
      <c r="F30" s="1414">
        <f>SUMIF(95:95,E30,96:96)-SUMIF(95:95,C30,96:96)+100</f>
        <v>100</v>
      </c>
      <c r="G30" s="2181"/>
      <c r="H30" s="1414">
        <f>SUMIF(95:95,G30,96:96)-SUMIF(95:95,C30,96:96)+100</f>
        <v>100</v>
      </c>
      <c r="I30" s="1411"/>
      <c r="J30" s="1414">
        <f>SUMIF(95:95,I30,96:96)-SUMIF(95:95,C30,96:96)+100</f>
        <v>100</v>
      </c>
      <c r="K30" s="1536"/>
      <c r="L30" s="1537"/>
      <c r="M30" s="1528"/>
      <c r="N30" s="1528"/>
      <c r="O30" s="1528"/>
      <c r="P30" s="3728"/>
      <c r="Q30" s="1076">
        <f t="shared" si="11"/>
        <v>111</v>
      </c>
      <c r="R30" s="1581" t="s">
        <v>2884</v>
      </c>
      <c r="S30" s="1582">
        <f t="shared" si="12"/>
        <v>100</v>
      </c>
      <c r="T30" s="1581" t="s">
        <v>2884</v>
      </c>
      <c r="U30" s="1582">
        <f t="shared" si="13"/>
        <v>100</v>
      </c>
      <c r="V30" s="1581" t="s">
        <v>2884</v>
      </c>
      <c r="W30" s="1582">
        <f t="shared" si="14"/>
        <v>100</v>
      </c>
      <c r="X30" s="1575"/>
      <c r="Y30" s="3673"/>
      <c r="Z30" s="1574">
        <f t="shared" si="15"/>
        <v>111</v>
      </c>
      <c r="AA30" s="1587">
        <f t="shared" si="3"/>
        <v>1</v>
      </c>
      <c r="AB30" s="1587">
        <f t="shared" si="4"/>
        <v>1</v>
      </c>
      <c r="AC30" s="2201">
        <f t="shared" si="5"/>
        <v>1</v>
      </c>
    </row>
    <row r="31" spans="1:29" ht="15">
      <c r="A31" s="1406"/>
      <c r="B31" s="2007">
        <v>111</v>
      </c>
      <c r="C31" s="2186"/>
      <c r="D31" s="1414">
        <v>100</v>
      </c>
      <c r="E31" s="1411"/>
      <c r="F31" s="1414">
        <f>SUMIF(97:97,E31,98:98)-SUMIF(97:97,C31,98:98)+100</f>
        <v>100</v>
      </c>
      <c r="G31" s="2181"/>
      <c r="H31" s="1414">
        <f>SUMIF(97:97,G31,98:98)-SUMIF(97:97,C31,98:98)+100</f>
        <v>100</v>
      </c>
      <c r="I31" s="1411"/>
      <c r="J31" s="1414">
        <f>SUMIF(97:97,I31,98:98)-SUMIF(97:97,C31,98:98)+100</f>
        <v>100</v>
      </c>
      <c r="K31" s="1536"/>
      <c r="L31" s="1537"/>
      <c r="M31" s="1528"/>
      <c r="N31" s="1528"/>
      <c r="O31" s="1528"/>
      <c r="P31" s="3728"/>
      <c r="Q31" s="1076">
        <f t="shared" si="11"/>
        <v>111</v>
      </c>
      <c r="R31" s="1581" t="s">
        <v>2884</v>
      </c>
      <c r="S31" s="1582">
        <f t="shared" si="12"/>
        <v>100</v>
      </c>
      <c r="T31" s="1581" t="s">
        <v>2884</v>
      </c>
      <c r="U31" s="1582">
        <f t="shared" si="13"/>
        <v>100</v>
      </c>
      <c r="V31" s="1581" t="s">
        <v>2884</v>
      </c>
      <c r="W31" s="1582">
        <f t="shared" si="14"/>
        <v>100</v>
      </c>
      <c r="X31" s="1575"/>
      <c r="Y31" s="3673"/>
      <c r="Z31" s="1574">
        <f t="shared" si="15"/>
        <v>111</v>
      </c>
      <c r="AA31" s="1587">
        <f t="shared" si="3"/>
        <v>1</v>
      </c>
      <c r="AB31" s="1587">
        <f t="shared" si="4"/>
        <v>1</v>
      </c>
      <c r="AC31" s="2201">
        <f t="shared" si="5"/>
        <v>1</v>
      </c>
    </row>
    <row r="32" spans="1:29" ht="15">
      <c r="A32" s="1415"/>
      <c r="B32" s="2188">
        <v>111</v>
      </c>
      <c r="C32" s="2189"/>
      <c r="D32" s="1418">
        <v>100</v>
      </c>
      <c r="E32" s="2182"/>
      <c r="F32" s="1418">
        <f>SUMIF(99:99,E32,100:100)-SUMIF(99:99,C32,100:100)+100</f>
        <v>100</v>
      </c>
      <c r="G32" s="2181"/>
      <c r="H32" s="1418">
        <f>SUMIF(99:99,G32,100:100)-SUMIF(99:99,C32,100:100)+100</f>
        <v>100</v>
      </c>
      <c r="I32" s="1411"/>
      <c r="J32" s="1418">
        <f>SUMIF(99:99,I32,100:100)-SUMIF(99:99,C32,100:100)+100</f>
        <v>100</v>
      </c>
      <c r="K32" s="1536"/>
      <c r="L32" s="1537"/>
      <c r="M32" s="1528"/>
      <c r="N32" s="1528"/>
      <c r="O32" s="1528"/>
      <c r="P32" s="3728"/>
      <c r="Q32" s="1076">
        <f t="shared" si="11"/>
        <v>111</v>
      </c>
      <c r="R32" s="1581" t="s">
        <v>2884</v>
      </c>
      <c r="S32" s="1582">
        <f t="shared" si="12"/>
        <v>100</v>
      </c>
      <c r="T32" s="1581" t="s">
        <v>2884</v>
      </c>
      <c r="U32" s="1582">
        <f t="shared" si="13"/>
        <v>100</v>
      </c>
      <c r="V32" s="1581" t="s">
        <v>2884</v>
      </c>
      <c r="W32" s="1582">
        <f t="shared" si="14"/>
        <v>100</v>
      </c>
      <c r="X32" s="1575"/>
      <c r="Y32" s="3673"/>
      <c r="Z32" s="1574">
        <f t="shared" si="15"/>
        <v>111</v>
      </c>
      <c r="AA32" s="1587">
        <f t="shared" si="3"/>
        <v>1</v>
      </c>
      <c r="AB32" s="1587">
        <f t="shared" si="4"/>
        <v>1</v>
      </c>
      <c r="AC32" s="2201">
        <f t="shared" si="5"/>
        <v>1</v>
      </c>
    </row>
    <row r="33" spans="1:29" ht="15">
      <c r="A33" s="1420" t="s">
        <v>2904</v>
      </c>
      <c r="B33" s="1396" t="s">
        <v>3462</v>
      </c>
      <c r="C33" s="2140"/>
      <c r="D33" s="1455">
        <v>100</v>
      </c>
      <c r="E33" s="2140"/>
      <c r="F33" s="1449">
        <f>SUMIF(101:101,E33,102:102)-SUMIF(101:101,C33,102:102)+100</f>
        <v>100</v>
      </c>
      <c r="G33" s="2140"/>
      <c r="H33" s="1414">
        <f>SUMIF(101:101,G33,102:102)-SUMIF(101:101,C33,102:102)+100</f>
        <v>100</v>
      </c>
      <c r="I33" s="2140"/>
      <c r="J33" s="1455">
        <f>SUMIF(101:101,I33,102:102)-SUMIF(101:101,C33,102:102)+100</f>
        <v>100</v>
      </c>
      <c r="K33" s="1534"/>
      <c r="L33" s="1537"/>
      <c r="M33" s="1528"/>
      <c r="N33" s="1528"/>
      <c r="O33" s="1528"/>
      <c r="P33" s="3729" t="s">
        <v>2906</v>
      </c>
      <c r="Q33" s="1076" t="str">
        <f t="shared" si="11"/>
        <v>建筑类型</v>
      </c>
      <c r="R33" s="1581" t="s">
        <v>2884</v>
      </c>
      <c r="S33" s="1582">
        <f t="shared" si="12"/>
        <v>100</v>
      </c>
      <c r="T33" s="1581" t="s">
        <v>2884</v>
      </c>
      <c r="U33" s="1582">
        <f t="shared" si="13"/>
        <v>100</v>
      </c>
      <c r="V33" s="1581" t="s">
        <v>2884</v>
      </c>
      <c r="W33" s="1582">
        <f t="shared" si="14"/>
        <v>100</v>
      </c>
      <c r="X33" s="1575"/>
      <c r="Y33" s="3675" t="s">
        <v>2906</v>
      </c>
      <c r="Z33" s="1574" t="str">
        <f t="shared" si="15"/>
        <v>建筑类型</v>
      </c>
      <c r="AA33" s="1587">
        <f t="shared" si="3"/>
        <v>1</v>
      </c>
      <c r="AB33" s="1587">
        <f t="shared" si="4"/>
        <v>1</v>
      </c>
      <c r="AC33" s="2201">
        <f t="shared" si="5"/>
        <v>1</v>
      </c>
    </row>
    <row r="34" spans="1:29" s="1355" customFormat="1" ht="15">
      <c r="A34" s="1456"/>
      <c r="B34" s="1402" t="s">
        <v>3463</v>
      </c>
      <c r="C34" s="1457"/>
      <c r="D34" s="1404">
        <v>100</v>
      </c>
      <c r="E34" s="1408"/>
      <c r="F34" s="1405" t="e">
        <f>LOOKUP(E34,104:104,105:105)-LOOKUP(C34,104:104,105:105)+100</f>
        <v>#N/A</v>
      </c>
      <c r="G34" s="1407"/>
      <c r="H34" s="1404" t="e">
        <f>LOOKUP(G34,104:104,105:105)-LOOKUP(C34,104:104,105:105)+100</f>
        <v>#N/A</v>
      </c>
      <c r="I34" s="1407"/>
      <c r="J34" s="1404" t="e">
        <f>LOOKUP(I34,104:104,105:105)-LOOKUP(C34,104:104,105:105)+100</f>
        <v>#N/A</v>
      </c>
      <c r="K34" s="1536"/>
      <c r="L34" s="1535"/>
      <c r="M34" s="1541"/>
      <c r="N34" s="1541"/>
      <c r="O34" s="1541"/>
      <c r="P34" s="3730"/>
      <c r="Q34" s="1583" t="str">
        <f t="shared" si="11"/>
        <v>项目建筑规模</v>
      </c>
      <c r="R34" s="1584" t="s">
        <v>2884</v>
      </c>
      <c r="S34" s="1585" t="e">
        <f t="shared" si="12"/>
        <v>#N/A</v>
      </c>
      <c r="T34" s="1584" t="s">
        <v>2884</v>
      </c>
      <c r="U34" s="1585" t="e">
        <f t="shared" si="13"/>
        <v>#N/A</v>
      </c>
      <c r="V34" s="1584" t="s">
        <v>2884</v>
      </c>
      <c r="W34" s="1585" t="e">
        <f t="shared" si="14"/>
        <v>#N/A</v>
      </c>
      <c r="X34" s="1586"/>
      <c r="Y34" s="3675"/>
      <c r="Z34" s="1595" t="str">
        <f t="shared" si="15"/>
        <v>项目建筑规模</v>
      </c>
      <c r="AA34" s="1587" t="e">
        <f t="shared" si="3"/>
        <v>#N/A</v>
      </c>
      <c r="AB34" s="1587" t="e">
        <f t="shared" si="4"/>
        <v>#N/A</v>
      </c>
      <c r="AC34" s="2201" t="e">
        <f t="shared" si="5"/>
        <v>#N/A</v>
      </c>
    </row>
    <row r="35" spans="1:29" ht="15">
      <c r="A35" s="1458"/>
      <c r="B35" s="1402" t="s">
        <v>3464</v>
      </c>
      <c r="C35" s="2141"/>
      <c r="D35" s="1414">
        <v>100</v>
      </c>
      <c r="E35" s="2141"/>
      <c r="F35" s="1449">
        <f>SUMIF(106:106,E35,107:107)-SUMIF(106:106,C35,107:107)+100</f>
        <v>100</v>
      </c>
      <c r="G35" s="2141"/>
      <c r="H35" s="1414">
        <f>SUMIF(106:106,G35,107:107)-SUMIF(106:106,C35,107:107)+100</f>
        <v>100</v>
      </c>
      <c r="I35" s="2141"/>
      <c r="J35" s="1414">
        <f>SUMIF(106:106,I35,107:107)-SUMIF(106:106,C35,107:107)+100</f>
        <v>100</v>
      </c>
      <c r="K35" s="1534"/>
      <c r="L35" s="1537"/>
      <c r="M35" s="1528"/>
      <c r="N35" s="1528"/>
      <c r="O35" s="1528"/>
      <c r="P35" s="3730"/>
      <c r="Q35" s="1076" t="str">
        <f t="shared" si="11"/>
        <v>建筑结构</v>
      </c>
      <c r="R35" s="1581" t="s">
        <v>2884</v>
      </c>
      <c r="S35" s="1582">
        <f t="shared" si="12"/>
        <v>100</v>
      </c>
      <c r="T35" s="1581" t="s">
        <v>2884</v>
      </c>
      <c r="U35" s="1582">
        <f t="shared" si="13"/>
        <v>100</v>
      </c>
      <c r="V35" s="1581" t="s">
        <v>2884</v>
      </c>
      <c r="W35" s="1582">
        <f t="shared" si="14"/>
        <v>100</v>
      </c>
      <c r="X35" s="1575"/>
      <c r="Y35" s="3675"/>
      <c r="Z35" s="1574" t="str">
        <f t="shared" si="15"/>
        <v>建筑结构</v>
      </c>
      <c r="AA35" s="1587">
        <f t="shared" si="3"/>
        <v>1</v>
      </c>
      <c r="AB35" s="1587">
        <f t="shared" si="4"/>
        <v>1</v>
      </c>
      <c r="AC35" s="2201">
        <f t="shared" si="5"/>
        <v>1</v>
      </c>
    </row>
    <row r="36" spans="1:29" ht="15">
      <c r="A36" s="1458"/>
      <c r="B36" s="1402" t="s">
        <v>2912</v>
      </c>
      <c r="C36" s="2141"/>
      <c r="D36" s="1414">
        <v>100</v>
      </c>
      <c r="E36" s="2141"/>
      <c r="F36" s="1449">
        <f>SUMIF(108:108,E36,109:109)-SUMIF(108:108,C36,109:109)+100</f>
        <v>100</v>
      </c>
      <c r="G36" s="2141"/>
      <c r="H36" s="1414">
        <f>SUMIF(108:108,G36,109:109)-SUMIF(108:108,C36,109:109)+100</f>
        <v>100</v>
      </c>
      <c r="I36" s="2141"/>
      <c r="J36" s="1414">
        <f>SUMIF(108:108,I36,109:109)-SUMIF(108:108,C36,109:109)+100</f>
        <v>100</v>
      </c>
      <c r="K36" s="1534"/>
      <c r="L36" s="1537"/>
      <c r="M36" s="1528"/>
      <c r="N36" s="1528"/>
      <c r="O36" s="1528"/>
      <c r="P36" s="3730"/>
      <c r="Q36" s="1076" t="str">
        <f t="shared" si="11"/>
        <v>公共部分装修</v>
      </c>
      <c r="R36" s="1581" t="s">
        <v>2884</v>
      </c>
      <c r="S36" s="1582">
        <f t="shared" si="12"/>
        <v>100</v>
      </c>
      <c r="T36" s="1581" t="s">
        <v>2884</v>
      </c>
      <c r="U36" s="1582">
        <f t="shared" si="13"/>
        <v>100</v>
      </c>
      <c r="V36" s="1581" t="s">
        <v>2884</v>
      </c>
      <c r="W36" s="1582">
        <f t="shared" si="14"/>
        <v>100</v>
      </c>
      <c r="X36" s="1575"/>
      <c r="Y36" s="3675"/>
      <c r="Z36" s="1574" t="str">
        <f t="shared" si="15"/>
        <v>公共部分装修</v>
      </c>
      <c r="AA36" s="1587">
        <f t="shared" si="3"/>
        <v>1</v>
      </c>
      <c r="AB36" s="1587">
        <f t="shared" si="4"/>
        <v>1</v>
      </c>
      <c r="AC36" s="2201">
        <f t="shared" si="5"/>
        <v>1</v>
      </c>
    </row>
    <row r="37" spans="1:29" ht="15">
      <c r="A37" s="1458"/>
      <c r="B37" s="1402" t="s">
        <v>2507</v>
      </c>
      <c r="C37" s="1461"/>
      <c r="D37" s="1414">
        <v>100</v>
      </c>
      <c r="E37" s="1461"/>
      <c r="F37" s="1449" t="e">
        <f>LOOKUP(E37,111:111,112:112)-LOOKUP(C37,111:111,112:112)+100</f>
        <v>#N/A</v>
      </c>
      <c r="G37" s="1461"/>
      <c r="H37" s="1449" t="e">
        <f>LOOKUP(G37,111:111,112:112)-LOOKUP(C37,111:111,112:112)+100</f>
        <v>#N/A</v>
      </c>
      <c r="I37" s="1461"/>
      <c r="J37" s="1414" t="e">
        <f>LOOKUP(I37,111:111,112:112)-LOOKUP(C37,111:111,112:112)+100</f>
        <v>#N/A</v>
      </c>
      <c r="K37" s="1534"/>
      <c r="L37" s="1537"/>
      <c r="M37" s="1528"/>
      <c r="N37" s="1528"/>
      <c r="O37" s="1528"/>
      <c r="P37" s="3730"/>
      <c r="Q37" s="1076" t="str">
        <f t="shared" si="11"/>
        <v>成新度</v>
      </c>
      <c r="R37" s="1581" t="s">
        <v>2884</v>
      </c>
      <c r="S37" s="1582" t="e">
        <f t="shared" si="12"/>
        <v>#N/A</v>
      </c>
      <c r="T37" s="1581" t="s">
        <v>2884</v>
      </c>
      <c r="U37" s="1582" t="e">
        <f t="shared" si="13"/>
        <v>#N/A</v>
      </c>
      <c r="V37" s="1581" t="s">
        <v>2884</v>
      </c>
      <c r="W37" s="1582" t="e">
        <f t="shared" si="14"/>
        <v>#N/A</v>
      </c>
      <c r="X37" s="1575"/>
      <c r="Y37" s="3675"/>
      <c r="Z37" s="1574" t="str">
        <f t="shared" si="15"/>
        <v>成新度</v>
      </c>
      <c r="AA37" s="1587" t="e">
        <f t="shared" si="3"/>
        <v>#N/A</v>
      </c>
      <c r="AB37" s="1587" t="e">
        <f t="shared" si="4"/>
        <v>#N/A</v>
      </c>
      <c r="AC37" s="2201" t="e">
        <f t="shared" si="5"/>
        <v>#N/A</v>
      </c>
    </row>
    <row r="38" spans="1:29" s="1353" customFormat="1" ht="15">
      <c r="A38" s="1462"/>
      <c r="B38" s="1402" t="s">
        <v>3496</v>
      </c>
      <c r="C38" s="2141"/>
      <c r="D38" s="1404">
        <v>100</v>
      </c>
      <c r="E38" s="2141"/>
      <c r="F38" s="1449">
        <f>SUMIF(113:113,E38,114:114)-SUMIF(113:113,C38,114:114)+100</f>
        <v>100</v>
      </c>
      <c r="G38" s="2141"/>
      <c r="H38" s="1414">
        <f>SUMIF(113:113,G38,114:114)-SUMIF(113:113,C38,114:114)+100</f>
        <v>100</v>
      </c>
      <c r="I38" s="2141"/>
      <c r="J38" s="1414">
        <f>SUMIF(113:113,I38,114:114)-SUMIF(113:113,C38,114:114)+100</f>
        <v>100</v>
      </c>
      <c r="K38" s="1534"/>
      <c r="L38" s="1530"/>
      <c r="M38" s="1531"/>
      <c r="N38" s="1531"/>
      <c r="O38" s="1531"/>
      <c r="P38" s="3730"/>
      <c r="Q38" s="1580" t="str">
        <f t="shared" si="11"/>
        <v>写字楼等级</v>
      </c>
      <c r="R38" s="1576" t="s">
        <v>2884</v>
      </c>
      <c r="S38" s="1577">
        <f t="shared" si="12"/>
        <v>100</v>
      </c>
      <c r="T38" s="1576" t="s">
        <v>2884</v>
      </c>
      <c r="U38" s="1577">
        <f t="shared" si="13"/>
        <v>100</v>
      </c>
      <c r="V38" s="1576" t="s">
        <v>2884</v>
      </c>
      <c r="W38" s="1577">
        <f t="shared" si="14"/>
        <v>100</v>
      </c>
      <c r="X38" s="1578"/>
      <c r="Y38" s="3675"/>
      <c r="Z38" s="1594" t="str">
        <f t="shared" si="15"/>
        <v>写字楼等级</v>
      </c>
      <c r="AA38" s="1593">
        <f t="shared" si="3"/>
        <v>1</v>
      </c>
      <c r="AB38" s="1593">
        <f t="shared" si="4"/>
        <v>1</v>
      </c>
      <c r="AC38" s="2200">
        <f t="shared" si="5"/>
        <v>1</v>
      </c>
    </row>
    <row r="39" spans="1:29" ht="15">
      <c r="A39" s="1458"/>
      <c r="B39" s="1402" t="s">
        <v>3466</v>
      </c>
      <c r="C39" s="2141"/>
      <c r="D39" s="1414">
        <v>100</v>
      </c>
      <c r="E39" s="2141"/>
      <c r="F39" s="1449">
        <f>SUMIF(115:115,E39,116:116)-SUMIF(115:115,C39,116:116)+100</f>
        <v>100</v>
      </c>
      <c r="G39" s="2141"/>
      <c r="H39" s="1414">
        <f>SUMIF(115:115,G39,116:116)-SUMIF(115:115,C39,116:116)+100</f>
        <v>100</v>
      </c>
      <c r="I39" s="2141"/>
      <c r="J39" s="1414">
        <f>SUMIF(115:115,I39,116:116)-SUMIF(115:115,C39,116:116)+100</f>
        <v>100</v>
      </c>
      <c r="K39" s="1534"/>
      <c r="L39" s="1537"/>
      <c r="M39" s="1528"/>
      <c r="N39" s="1528"/>
      <c r="O39" s="1528"/>
      <c r="P39" s="3730" t="s">
        <v>2906</v>
      </c>
      <c r="Q39" s="1076" t="str">
        <f t="shared" si="11"/>
        <v>物业管理</v>
      </c>
      <c r="R39" s="1581" t="s">
        <v>2884</v>
      </c>
      <c r="S39" s="1582">
        <f t="shared" si="12"/>
        <v>100</v>
      </c>
      <c r="T39" s="1581" t="s">
        <v>2884</v>
      </c>
      <c r="U39" s="1582">
        <f t="shared" si="13"/>
        <v>100</v>
      </c>
      <c r="V39" s="1581" t="s">
        <v>2884</v>
      </c>
      <c r="W39" s="1582">
        <f t="shared" si="14"/>
        <v>100</v>
      </c>
      <c r="X39" s="1575"/>
      <c r="Y39" s="3675" t="s">
        <v>2906</v>
      </c>
      <c r="Z39" s="1574" t="str">
        <f t="shared" si="15"/>
        <v>物业管理</v>
      </c>
      <c r="AA39" s="1587">
        <f t="shared" si="3"/>
        <v>1</v>
      </c>
      <c r="AB39" s="1587">
        <f t="shared" si="4"/>
        <v>1</v>
      </c>
      <c r="AC39" s="2201">
        <f t="shared" si="5"/>
        <v>1</v>
      </c>
    </row>
    <row r="40" spans="1:29" ht="15">
      <c r="A40" s="1458"/>
      <c r="B40" s="1402" t="s">
        <v>3467</v>
      </c>
      <c r="C40" s="2141"/>
      <c r="D40" s="1414">
        <v>100</v>
      </c>
      <c r="E40" s="2141"/>
      <c r="F40" s="1449">
        <f>SUMIF(117:117,E40,118:118)-SUMIF(117:117,C40,118:118)+100</f>
        <v>100</v>
      </c>
      <c r="G40" s="2141"/>
      <c r="H40" s="1414">
        <f>SUMIF(117:117,G40,118:118)-SUMIF(117:117,C40,118:118)+100</f>
        <v>100</v>
      </c>
      <c r="I40" s="2141"/>
      <c r="J40" s="1414">
        <f>SUMIF(117:117,I40,118:118)-SUMIF(117:117,C40,118:118)+100</f>
        <v>100</v>
      </c>
      <c r="K40" s="1534"/>
      <c r="L40" s="1537"/>
      <c r="M40" s="1528"/>
      <c r="N40" s="1528"/>
      <c r="O40" s="1528"/>
      <c r="P40" s="3730"/>
      <c r="Q40" s="1076" t="str">
        <f t="shared" si="11"/>
        <v>市政基础设施</v>
      </c>
      <c r="R40" s="1581" t="s">
        <v>2884</v>
      </c>
      <c r="S40" s="1582">
        <f t="shared" si="12"/>
        <v>100</v>
      </c>
      <c r="T40" s="1581" t="s">
        <v>2884</v>
      </c>
      <c r="U40" s="1582">
        <f t="shared" si="13"/>
        <v>100</v>
      </c>
      <c r="V40" s="1581" t="s">
        <v>2884</v>
      </c>
      <c r="W40" s="1582">
        <f t="shared" si="14"/>
        <v>100</v>
      </c>
      <c r="X40" s="1575"/>
      <c r="Y40" s="3675"/>
      <c r="Z40" s="1574" t="str">
        <f t="shared" si="15"/>
        <v>市政基础设施</v>
      </c>
      <c r="AA40" s="1587">
        <f t="shared" si="3"/>
        <v>1</v>
      </c>
      <c r="AB40" s="1587">
        <f t="shared" si="4"/>
        <v>1</v>
      </c>
      <c r="AC40" s="2201">
        <f t="shared" si="5"/>
        <v>1</v>
      </c>
    </row>
    <row r="41" spans="1:29" ht="15">
      <c r="A41" s="1458"/>
      <c r="B41" s="1402" t="s">
        <v>3497</v>
      </c>
      <c r="C41" s="1448"/>
      <c r="D41" s="1414">
        <v>100</v>
      </c>
      <c r="E41" s="1448"/>
      <c r="F41" s="1449">
        <f>SUMIF(119:119,E41,120:120)-SUMIF(119:119,C41,120:120)+100</f>
        <v>100</v>
      </c>
      <c r="G41" s="1448"/>
      <c r="H41" s="1414">
        <f>SUMIF(119:119,G41,120:120)-SUMIF(119:119,C41,120:120)+100</f>
        <v>100</v>
      </c>
      <c r="I41" s="1448"/>
      <c r="J41" s="1414">
        <f>SUMIF(119:119,I41,120:120)-SUMIF(119:119,C41,120:120)+100</f>
        <v>100</v>
      </c>
      <c r="K41" s="1534"/>
      <c r="L41" s="1537"/>
      <c r="M41" s="1528"/>
      <c r="N41" s="1528"/>
      <c r="O41" s="1528"/>
      <c r="P41" s="3730"/>
      <c r="Q41" s="1076" t="str">
        <f t="shared" si="11"/>
        <v>层高</v>
      </c>
      <c r="R41" s="1581" t="s">
        <v>2884</v>
      </c>
      <c r="S41" s="1582">
        <f t="shared" si="12"/>
        <v>100</v>
      </c>
      <c r="T41" s="1581" t="s">
        <v>2884</v>
      </c>
      <c r="U41" s="1582">
        <f t="shared" si="13"/>
        <v>100</v>
      </c>
      <c r="V41" s="1581" t="s">
        <v>2884</v>
      </c>
      <c r="W41" s="1582">
        <f t="shared" si="14"/>
        <v>100</v>
      </c>
      <c r="X41" s="1575"/>
      <c r="Y41" s="3675"/>
      <c r="Z41" s="1574" t="str">
        <f t="shared" si="15"/>
        <v>层高</v>
      </c>
      <c r="AA41" s="1587">
        <f t="shared" si="3"/>
        <v>1</v>
      </c>
      <c r="AB41" s="1587">
        <f t="shared" si="4"/>
        <v>1</v>
      </c>
      <c r="AC41" s="2201">
        <f t="shared" si="5"/>
        <v>1</v>
      </c>
    </row>
    <row r="42" spans="1:29" s="1355" customFormat="1" ht="15">
      <c r="A42" s="1456"/>
      <c r="B42" s="1465" t="s">
        <v>3498</v>
      </c>
      <c r="C42" s="1413"/>
      <c r="D42" s="1414">
        <v>100</v>
      </c>
      <c r="E42" s="1413"/>
      <c r="F42" s="1449">
        <f>SUMIF(121:121,E42,122:122)-SUMIF(121:121,C42,122:122)+100</f>
        <v>100</v>
      </c>
      <c r="G42" s="1413"/>
      <c r="H42" s="1414">
        <f>SUMIF(121:121,G42,122:122)-SUMIF(121:121,C42,122:122)+100</f>
        <v>100</v>
      </c>
      <c r="I42" s="1413"/>
      <c r="J42" s="1414">
        <f>SUMIF(121:121,I42,122:122)-SUMIF(121:121,C42,122:122)+100</f>
        <v>100</v>
      </c>
      <c r="K42" s="1536"/>
      <c r="L42" s="1535"/>
      <c r="M42" s="1541"/>
      <c r="N42" s="1541"/>
      <c r="O42" s="1541"/>
      <c r="P42" s="3730"/>
      <c r="Q42" s="1583" t="str">
        <f t="shared" si="11"/>
        <v>单套建筑面积</v>
      </c>
      <c r="R42" s="1584" t="s">
        <v>2884</v>
      </c>
      <c r="S42" s="1585">
        <f t="shared" si="12"/>
        <v>100</v>
      </c>
      <c r="T42" s="1584" t="s">
        <v>2884</v>
      </c>
      <c r="U42" s="1585">
        <f t="shared" si="13"/>
        <v>100</v>
      </c>
      <c r="V42" s="1584" t="s">
        <v>2884</v>
      </c>
      <c r="W42" s="1585">
        <f t="shared" si="14"/>
        <v>100</v>
      </c>
      <c r="X42" s="1586"/>
      <c r="Y42" s="3675"/>
      <c r="Z42" s="1595" t="str">
        <f t="shared" si="15"/>
        <v>单套建筑面积</v>
      </c>
      <c r="AA42" s="1587">
        <f t="shared" si="3"/>
        <v>1</v>
      </c>
      <c r="AB42" s="1587">
        <f t="shared" si="4"/>
        <v>1</v>
      </c>
      <c r="AC42" s="2201">
        <f t="shared" si="5"/>
        <v>1</v>
      </c>
    </row>
    <row r="43" spans="1:29" ht="15">
      <c r="A43" s="1458"/>
      <c r="B43" s="1402" t="s">
        <v>3470</v>
      </c>
      <c r="C43" s="2141"/>
      <c r="D43" s="1414">
        <v>100</v>
      </c>
      <c r="E43" s="2141"/>
      <c r="F43" s="1449">
        <f>SUMIF(123:123,E43,124:124)-SUMIF(123:123,C43,124:124)+100</f>
        <v>100</v>
      </c>
      <c r="G43" s="2141"/>
      <c r="H43" s="1414">
        <f>SUMIF(123:123,G43,124:124)-SUMIF(123:123,C43,124:124)+100</f>
        <v>100</v>
      </c>
      <c r="I43" s="2141"/>
      <c r="J43" s="1414">
        <f>SUMIF(123:123,I43,124:124)-SUMIF(123:123,C43,124:124)+100</f>
        <v>100</v>
      </c>
      <c r="K43" s="1534"/>
      <c r="L43" s="1537"/>
      <c r="M43" s="1528"/>
      <c r="N43" s="1528"/>
      <c r="O43" s="1528"/>
      <c r="P43" s="3730"/>
      <c r="Q43" s="1076" t="str">
        <f t="shared" si="11"/>
        <v>内部装修</v>
      </c>
      <c r="R43" s="1581" t="s">
        <v>2884</v>
      </c>
      <c r="S43" s="1582">
        <f t="shared" si="12"/>
        <v>100</v>
      </c>
      <c r="T43" s="1581" t="s">
        <v>2884</v>
      </c>
      <c r="U43" s="1582">
        <f t="shared" si="13"/>
        <v>100</v>
      </c>
      <c r="V43" s="1581" t="s">
        <v>2884</v>
      </c>
      <c r="W43" s="1582">
        <f t="shared" si="14"/>
        <v>100</v>
      </c>
      <c r="X43" s="1575"/>
      <c r="Y43" s="3675"/>
      <c r="Z43" s="1574" t="str">
        <f t="shared" si="15"/>
        <v>内部装修</v>
      </c>
      <c r="AA43" s="1587">
        <f t="shared" si="3"/>
        <v>1</v>
      </c>
      <c r="AB43" s="1587">
        <f t="shared" si="4"/>
        <v>1</v>
      </c>
      <c r="AC43" s="2201">
        <f t="shared" si="5"/>
        <v>1</v>
      </c>
    </row>
    <row r="44" spans="1:29" ht="28.8">
      <c r="A44" s="1458"/>
      <c r="B44" s="1402" t="s">
        <v>3471</v>
      </c>
      <c r="C44" s="2141"/>
      <c r="D44" s="1414">
        <v>100</v>
      </c>
      <c r="E44" s="1460"/>
      <c r="F44" s="1449">
        <f>SUMIF(125:125,E44,126:126)-SUMIF(125:125,C44,126:126)+100</f>
        <v>100</v>
      </c>
      <c r="G44" s="1460"/>
      <c r="H44" s="1414">
        <f>SUMIF(125:125,G44,126:126)-SUMIF(125:125,C44,126:126)+100</f>
        <v>100</v>
      </c>
      <c r="I44" s="1460"/>
      <c r="J44" s="1414">
        <f>SUMIF(125:125,I44,126:126)-SUMIF(125:125,C44,126:126)+100</f>
        <v>100</v>
      </c>
      <c r="K44" s="1534"/>
      <c r="L44" s="1537"/>
      <c r="M44" s="1528"/>
      <c r="N44" s="1528"/>
      <c r="O44" s="1528"/>
      <c r="P44" s="3730"/>
      <c r="Q44" s="1076" t="str">
        <f t="shared" si="11"/>
        <v>内部装修维护情况</v>
      </c>
      <c r="R44" s="1581" t="s">
        <v>2884</v>
      </c>
      <c r="S44" s="1582">
        <f t="shared" si="12"/>
        <v>100</v>
      </c>
      <c r="T44" s="1581" t="s">
        <v>2884</v>
      </c>
      <c r="U44" s="1582">
        <f t="shared" si="13"/>
        <v>100</v>
      </c>
      <c r="V44" s="1581" t="s">
        <v>2884</v>
      </c>
      <c r="W44" s="1582">
        <f t="shared" si="14"/>
        <v>100</v>
      </c>
      <c r="X44" s="1575"/>
      <c r="Y44" s="3675"/>
      <c r="Z44" s="1574" t="str">
        <f t="shared" si="15"/>
        <v>内部装修维护情况</v>
      </c>
      <c r="AA44" s="1587">
        <f t="shared" si="3"/>
        <v>1</v>
      </c>
      <c r="AB44" s="1587">
        <f t="shared" si="4"/>
        <v>1</v>
      </c>
      <c r="AC44" s="2201">
        <f t="shared" si="5"/>
        <v>1</v>
      </c>
    </row>
    <row r="45" spans="1:29" s="1353" customFormat="1" ht="15">
      <c r="A45" s="1462"/>
      <c r="B45" s="1450">
        <v>111</v>
      </c>
      <c r="C45" s="1457"/>
      <c r="D45" s="1404">
        <v>100</v>
      </c>
      <c r="E45" s="1411"/>
      <c r="F45" s="1405">
        <f>SUMIF(127:127,E45,128:128)-SUMIF(127:127,C45,128:128)+100</f>
        <v>100</v>
      </c>
      <c r="G45" s="1411"/>
      <c r="H45" s="1404">
        <f>SUMIF(127:127,G45,128:128)-SUMIF(127:127,C45,128:128)+100</f>
        <v>100</v>
      </c>
      <c r="I45" s="1411"/>
      <c r="J45" s="1404">
        <f>SUMIF(127:127,I45,128:128)-SUMIF(127:127,C45,128:128)+100</f>
        <v>100</v>
      </c>
      <c r="K45" s="1536"/>
      <c r="L45" s="1530"/>
      <c r="M45" s="1531"/>
      <c r="N45" s="1531"/>
      <c r="O45" s="1531"/>
      <c r="P45" s="3730"/>
      <c r="Q45" s="1580">
        <f t="shared" si="11"/>
        <v>111</v>
      </c>
      <c r="R45" s="1576" t="s">
        <v>2884</v>
      </c>
      <c r="S45" s="1577">
        <f t="shared" si="12"/>
        <v>100</v>
      </c>
      <c r="T45" s="1576" t="s">
        <v>2884</v>
      </c>
      <c r="U45" s="1577">
        <f t="shared" si="13"/>
        <v>100</v>
      </c>
      <c r="V45" s="1576" t="s">
        <v>2884</v>
      </c>
      <c r="W45" s="1577">
        <f t="shared" si="14"/>
        <v>100</v>
      </c>
      <c r="X45" s="1578"/>
      <c r="Y45" s="3675"/>
      <c r="Z45" s="1594">
        <f t="shared" si="15"/>
        <v>111</v>
      </c>
      <c r="AA45" s="1593">
        <f t="shared" si="3"/>
        <v>1</v>
      </c>
      <c r="AB45" s="1593">
        <f t="shared" si="4"/>
        <v>1</v>
      </c>
      <c r="AC45" s="2200">
        <f t="shared" si="5"/>
        <v>1</v>
      </c>
    </row>
    <row r="46" spans="1:29" ht="15">
      <c r="A46" s="1458"/>
      <c r="B46" s="1450">
        <v>111</v>
      </c>
      <c r="C46" s="1413"/>
      <c r="D46" s="1414">
        <v>100</v>
      </c>
      <c r="E46" s="1411"/>
      <c r="F46" s="1449">
        <f>SUMIF(129:129,E46,130:130)-SUMIF(129:129,C46,130:130)+100</f>
        <v>100</v>
      </c>
      <c r="G46" s="1411"/>
      <c r="H46" s="1414">
        <f>SUMIF(129:129,G46,130:130)-SUMIF(129:129,C46,130:130)+100</f>
        <v>100</v>
      </c>
      <c r="I46" s="1411"/>
      <c r="J46" s="1414">
        <f>SUMIF(129:129,I46,130:130)-SUMIF(129:129,C46,130:130)+100</f>
        <v>100</v>
      </c>
      <c r="K46" s="1536"/>
      <c r="L46" s="1537"/>
      <c r="M46" s="1528"/>
      <c r="N46" s="1528"/>
      <c r="O46" s="1528"/>
      <c r="P46" s="3730"/>
      <c r="Q46" s="1076">
        <f t="shared" si="11"/>
        <v>111</v>
      </c>
      <c r="R46" s="1581" t="s">
        <v>2884</v>
      </c>
      <c r="S46" s="1582">
        <f t="shared" si="12"/>
        <v>100</v>
      </c>
      <c r="T46" s="1581" t="s">
        <v>2884</v>
      </c>
      <c r="U46" s="1582">
        <f t="shared" si="13"/>
        <v>100</v>
      </c>
      <c r="V46" s="1581" t="s">
        <v>2884</v>
      </c>
      <c r="W46" s="1582">
        <f t="shared" si="14"/>
        <v>100</v>
      </c>
      <c r="X46" s="1575"/>
      <c r="Y46" s="3675"/>
      <c r="Z46" s="1574">
        <f t="shared" si="15"/>
        <v>111</v>
      </c>
      <c r="AA46" s="1587">
        <f t="shared" si="3"/>
        <v>1</v>
      </c>
      <c r="AB46" s="1587">
        <f t="shared" si="4"/>
        <v>1</v>
      </c>
      <c r="AC46" s="2201">
        <f t="shared" si="5"/>
        <v>1</v>
      </c>
    </row>
    <row r="47" spans="1:29" ht="15">
      <c r="A47" s="1466"/>
      <c r="B47" s="1416">
        <v>111</v>
      </c>
      <c r="C47" s="1417"/>
      <c r="D47" s="1418">
        <v>100</v>
      </c>
      <c r="E47" s="1411"/>
      <c r="F47" s="1419">
        <f>SUMIF(131:131,E47,132:132)-SUMIF(131:131,C47,132:132)+100</f>
        <v>100</v>
      </c>
      <c r="G47" s="1411"/>
      <c r="H47" s="1418">
        <f>SUMIF(131:131,G47,132:132)-SUMIF(131:131,C47,132:132)+100</f>
        <v>100</v>
      </c>
      <c r="I47" s="1411"/>
      <c r="J47" s="1418">
        <f>SUMIF(131:131,I47,132:132)-SUMIF(131:131,C47,132:132)+100</f>
        <v>100</v>
      </c>
      <c r="K47" s="1536"/>
      <c r="L47" s="1537"/>
      <c r="M47" s="1528"/>
      <c r="N47" s="1528"/>
      <c r="O47" s="1528"/>
      <c r="P47" s="3731"/>
      <c r="Q47" s="1076">
        <f t="shared" si="11"/>
        <v>111</v>
      </c>
      <c r="R47" s="1581" t="s">
        <v>2884</v>
      </c>
      <c r="S47" s="1582">
        <f t="shared" si="12"/>
        <v>100</v>
      </c>
      <c r="T47" s="1581" t="s">
        <v>2884</v>
      </c>
      <c r="U47" s="1582">
        <f t="shared" si="13"/>
        <v>100</v>
      </c>
      <c r="V47" s="1581" t="s">
        <v>2884</v>
      </c>
      <c r="W47" s="1582">
        <f t="shared" si="14"/>
        <v>100</v>
      </c>
      <c r="X47" s="1575"/>
      <c r="Y47" s="3732"/>
      <c r="Z47" s="1574">
        <f t="shared" si="15"/>
        <v>111</v>
      </c>
      <c r="AA47" s="1587">
        <f t="shared" si="3"/>
        <v>1</v>
      </c>
      <c r="AB47" s="1587">
        <f t="shared" si="4"/>
        <v>1</v>
      </c>
      <c r="AC47" s="2201">
        <f t="shared" si="5"/>
        <v>1</v>
      </c>
    </row>
    <row r="48" spans="1:29" ht="14.4">
      <c r="A48" s="1467" t="s">
        <v>3324</v>
      </c>
      <c r="B48" s="1468"/>
      <c r="C48" s="1469" t="s">
        <v>124</v>
      </c>
      <c r="D48" s="1470"/>
      <c r="E48" s="1471"/>
      <c r="F48" s="1472"/>
      <c r="G48" s="1473"/>
      <c r="H48" s="1474"/>
      <c r="I48" s="1471"/>
      <c r="J48" s="2026"/>
      <c r="K48" s="1542"/>
      <c r="L48" s="1543"/>
      <c r="M48" s="1528"/>
      <c r="N48" s="1528"/>
      <c r="O48" s="1528"/>
      <c r="P48" s="3726" t="str">
        <f>A48</f>
        <v>成交单价（元/平方米）</v>
      </c>
      <c r="Q48" s="3665"/>
      <c r="R48" s="3666">
        <f>E48</f>
        <v>0</v>
      </c>
      <c r="S48" s="3666"/>
      <c r="T48" s="3666">
        <f>G48</f>
        <v>0</v>
      </c>
      <c r="U48" s="3666"/>
      <c r="V48" s="3666">
        <f>I48</f>
        <v>0</v>
      </c>
      <c r="W48" s="3666"/>
      <c r="X48" s="1427"/>
      <c r="Y48" s="1596"/>
      <c r="Z48" s="1427"/>
      <c r="AA48" s="1427"/>
      <c r="AB48" s="1427"/>
      <c r="AC48" s="1995"/>
    </row>
    <row r="49" spans="1:29" ht="14.4">
      <c r="A49" s="1475" t="s">
        <v>2922</v>
      </c>
      <c r="B49" s="1476"/>
      <c r="C49" s="1477" t="e">
        <f>R50</f>
        <v>#DIV/0!</v>
      </c>
      <c r="D49" s="1478" t="s">
        <v>2923</v>
      </c>
      <c r="E49" s="1479" t="e">
        <f>R49</f>
        <v>#DIV/0!</v>
      </c>
      <c r="F49" s="1480"/>
      <c r="G49" s="1477" t="e">
        <f>T49</f>
        <v>#DIV/0!</v>
      </c>
      <c r="H49" s="1480"/>
      <c r="I49" s="1479" t="e">
        <f>V49</f>
        <v>#DIV/0!</v>
      </c>
      <c r="J49" s="1480"/>
      <c r="K49" s="1544">
        <f>F49+H49+J49</f>
        <v>0</v>
      </c>
      <c r="L49" s="1543"/>
      <c r="M49" s="1528"/>
      <c r="N49" s="1528"/>
      <c r="O49" s="1528"/>
      <c r="P49" s="3726" t="str">
        <f>A49</f>
        <v>比较价值（元/平方米）</v>
      </c>
      <c r="Q49" s="3665"/>
      <c r="R49" s="3666" t="e">
        <f>IF(F1="售价",ROUND(PRODUCT(R48,AA7:AA47),0),ROUND(PRODUCT(R48,AA7:AA47),1))</f>
        <v>#DIV/0!</v>
      </c>
      <c r="S49" s="3666"/>
      <c r="T49" s="3666" t="e">
        <f>IF(F1="售价",ROUND(PRODUCT(T48,AB7:AB47),0),ROUND(PRODUCT(T48,AB7:AB47),1))</f>
        <v>#DIV/0!</v>
      </c>
      <c r="U49" s="3666"/>
      <c r="V49" s="3666" t="e">
        <f>IF(F1="售价",ROUND(PRODUCT(V48,AC7:AC47),0),ROUND(PRODUCT(V48,AC7:AC47),1))</f>
        <v>#DIV/0!</v>
      </c>
      <c r="W49" s="3666"/>
      <c r="X49" s="1427"/>
      <c r="Y49" s="1427"/>
      <c r="Z49" s="1427"/>
      <c r="AA49" s="1427"/>
      <c r="AB49" s="1427"/>
      <c r="AC49" s="1995"/>
    </row>
    <row r="50" spans="1:29" ht="14.4">
      <c r="A50" s="1481" t="s">
        <v>3325</v>
      </c>
      <c r="B50" s="1482"/>
      <c r="C50" s="1483" t="e">
        <f>R50</f>
        <v>#DIV/0!</v>
      </c>
      <c r="D50" s="1483"/>
      <c r="E50" s="1483"/>
      <c r="F50" s="1483"/>
      <c r="G50" s="1483"/>
      <c r="H50" s="1483"/>
      <c r="I50" s="1483"/>
      <c r="J50" s="2030"/>
      <c r="K50" s="1545"/>
      <c r="L50" s="1543"/>
      <c r="M50" s="1528"/>
      <c r="N50" s="1528"/>
      <c r="O50" s="1528"/>
      <c r="P50" s="3745" t="str">
        <f>A50</f>
        <v>估价对象XX用房的比较价值（楼面单价，元/平方米）</v>
      </c>
      <c r="Q50" s="3746"/>
      <c r="R50" s="3747" t="e">
        <f>IF(F1="售价",ROUND(IF(D49="简单平均",AVERAGE(R49:V49),R49*F49+T49*H49+V49*J49),0),ROUND(IF(D49="简单平均",AVERAGE(R49:V49),R49*F49+T49*H49+V49*J49),1))</f>
        <v>#DIV/0!</v>
      </c>
      <c r="S50" s="3747"/>
      <c r="T50" s="3747"/>
      <c r="U50" s="3747"/>
      <c r="V50" s="3747"/>
      <c r="W50" s="3747"/>
      <c r="X50" s="2198"/>
      <c r="Y50" s="2198"/>
      <c r="Z50" s="2198"/>
      <c r="AA50" s="2198"/>
      <c r="AB50" s="2198"/>
      <c r="AC50" s="2202"/>
    </row>
    <row r="51" spans="1:29">
      <c r="A51" s="1484"/>
      <c r="B51" s="1484"/>
      <c r="C51" s="1484"/>
      <c r="D51" s="1484"/>
      <c r="E51" s="1484"/>
      <c r="F51" s="1484"/>
      <c r="G51" s="1485"/>
      <c r="H51" s="1484"/>
      <c r="I51" s="1484"/>
      <c r="J51" s="1484"/>
      <c r="K51" s="1546"/>
      <c r="L51" s="1547"/>
      <c r="M51" s="1484"/>
      <c r="N51" s="1484"/>
      <c r="O51" s="1484"/>
      <c r="P51" s="2190"/>
      <c r="Q51" s="1484"/>
      <c r="R51" s="1484"/>
      <c r="S51" s="1484"/>
      <c r="T51" s="1484"/>
      <c r="U51" s="1484"/>
      <c r="V51" s="1484"/>
      <c r="W51" s="1484"/>
      <c r="X51" s="1484"/>
      <c r="Y51" s="1484"/>
      <c r="Z51" s="1484"/>
      <c r="AA51" s="1484"/>
      <c r="AB51" s="1484"/>
      <c r="AC51" s="1484"/>
    </row>
    <row r="52" spans="1:29">
      <c r="A52" s="1484"/>
      <c r="B52" s="1484"/>
      <c r="C52" s="1484"/>
      <c r="D52" s="1484"/>
      <c r="E52" s="1484"/>
      <c r="F52" s="1484"/>
      <c r="G52" s="1484"/>
      <c r="H52" s="1484"/>
      <c r="I52" s="1484"/>
      <c r="J52" s="1484"/>
      <c r="K52" s="1546"/>
      <c r="L52" s="1547"/>
      <c r="M52" s="1484"/>
      <c r="N52" s="1484"/>
      <c r="O52" s="1484"/>
      <c r="P52" s="2190"/>
      <c r="Q52" s="1484"/>
      <c r="R52" s="1484"/>
      <c r="S52" s="1484"/>
      <c r="T52" s="1484"/>
      <c r="U52" s="1484"/>
      <c r="V52" s="1484"/>
      <c r="W52" s="1484"/>
      <c r="X52" s="1484"/>
      <c r="Y52" s="1484"/>
      <c r="Z52" s="1484"/>
      <c r="AA52" s="1484"/>
      <c r="AB52" s="1484"/>
      <c r="AC52" s="1484"/>
    </row>
    <row r="53" spans="1:29" ht="13.5" customHeight="1">
      <c r="A53" s="1484"/>
      <c r="B53" s="1484"/>
      <c r="C53" s="1486" t="s">
        <v>2925</v>
      </c>
      <c r="D53" s="1120"/>
      <c r="E53" s="1487" t="e">
        <f>IF(E48&lt;E49,E49/E48-1,E48/E49-1)</f>
        <v>#DIV/0!</v>
      </c>
      <c r="F53" s="1488" t="e">
        <f>IF(OR(E53&gt;=0.3,E53&lt;=-0.3),"超过30%","")</f>
        <v>#DIV/0!</v>
      </c>
      <c r="G53" s="1487" t="e">
        <f>IF(G48&lt;G49,G49/G48-1,G48/G49-1)</f>
        <v>#DIV/0!</v>
      </c>
      <c r="H53" s="1488" t="e">
        <f>IF(OR(G53&gt;=0.3,G53&lt;=-0.3),"超过30%","")</f>
        <v>#DIV/0!</v>
      </c>
      <c r="I53" s="1487" t="e">
        <f>IF(I48&lt;I49,I49/I48-1,I48/I49-1)</f>
        <v>#DIV/0!</v>
      </c>
      <c r="J53" s="1488" t="e">
        <f>IF(OR(I53&gt;=0.3,I53&lt;=-0.3),"超过30%","")</f>
        <v>#DIV/0!</v>
      </c>
      <c r="K53" s="1546"/>
      <c r="L53" s="1547"/>
      <c r="M53" s="1484"/>
      <c r="N53" s="1484"/>
      <c r="O53" s="1484"/>
      <c r="P53" s="2190"/>
      <c r="Q53" s="1484"/>
      <c r="R53" s="1484"/>
      <c r="S53" s="1484"/>
      <c r="T53" s="1484"/>
      <c r="U53" s="1484"/>
      <c r="V53" s="1484"/>
      <c r="W53" s="1484"/>
      <c r="X53" s="1484"/>
      <c r="Y53" s="1484"/>
      <c r="Z53" s="1484"/>
      <c r="AA53" s="1484"/>
      <c r="AB53" s="1484"/>
      <c r="AC53" s="1484"/>
    </row>
    <row r="54" spans="1:29" ht="13.5" customHeight="1">
      <c r="A54" s="1484"/>
      <c r="B54" s="1484"/>
      <c r="C54" s="1486" t="s">
        <v>2926</v>
      </c>
      <c r="D54" s="1119"/>
      <c r="E54" s="1487" t="e">
        <f>IF(E49&lt;G49,G49/E49-1,E49/G49-1)</f>
        <v>#DIV/0!</v>
      </c>
      <c r="F54" s="1488" t="e">
        <f>IF(OR(E54&gt;=0.2,E54&lt;=-0.2),"超过20%","")</f>
        <v>#DIV/0!</v>
      </c>
      <c r="G54" s="1487" t="e">
        <f>IF(G49&lt;I49,I49/G49-1,G49/I49-1)</f>
        <v>#DIV/0!</v>
      </c>
      <c r="H54" s="1488" t="e">
        <f>IF(OR(G54&gt;=0.2,G54&lt;=-0.2),"超过20%","")</f>
        <v>#DIV/0!</v>
      </c>
      <c r="I54" s="1487" t="e">
        <f>IF(I49&lt;E49,E49/I49-1,I49/E49-1)</f>
        <v>#DIV/0!</v>
      </c>
      <c r="J54" s="1488" t="e">
        <f>IF(OR(I54&gt;=0.2,I54&lt;=-0.2),"超过20%","")</f>
        <v>#DIV/0!</v>
      </c>
      <c r="K54" s="1546"/>
      <c r="L54" s="1547"/>
      <c r="M54" s="1484"/>
      <c r="N54" s="1484"/>
      <c r="O54" s="1484"/>
      <c r="P54" s="2190"/>
      <c r="Q54" s="1484"/>
      <c r="R54" s="1484"/>
      <c r="S54" s="1484"/>
      <c r="T54" s="1484"/>
      <c r="U54" s="1484"/>
      <c r="V54" s="1484"/>
      <c r="W54" s="1484"/>
      <c r="X54" s="1484"/>
      <c r="Y54" s="1484"/>
      <c r="Z54" s="1484"/>
      <c r="AA54" s="1484"/>
      <c r="AB54" s="1484"/>
      <c r="AC54" s="1484"/>
    </row>
    <row r="55" spans="1:29" s="1356" customFormat="1" ht="13.5" customHeight="1">
      <c r="A55" s="1489"/>
      <c r="B55" s="1489"/>
      <c r="C55" s="1486" t="s">
        <v>2927</v>
      </c>
      <c r="D55" s="1119"/>
      <c r="E55" s="1487" t="e">
        <f>IF(E48&lt;G48,G48/E48-1,E48/G48-1)</f>
        <v>#DIV/0!</v>
      </c>
      <c r="F55" s="1488" t="e">
        <f>IF(OR(E55&gt;=0.3,E55&lt;=-0.3),"超过30%","")</f>
        <v>#DIV/0!</v>
      </c>
      <c r="G55" s="1487" t="e">
        <f>IF(G48&lt;I48,I48/G48-1,G48/I48-1)</f>
        <v>#DIV/0!</v>
      </c>
      <c r="H55" s="1488" t="e">
        <f>IF(OR(G55&gt;=0.3,G55&lt;=-0.3),"超过30%","")</f>
        <v>#DIV/0!</v>
      </c>
      <c r="I55" s="1487" t="e">
        <f>IF(I48&lt;E48,E48/I48-1,I48/E48-1)</f>
        <v>#DIV/0!</v>
      </c>
      <c r="J55" s="1488" t="e">
        <f>IF(OR(I55&gt;=0.3,I55&lt;=-0.3),"超过30%","")</f>
        <v>#DIV/0!</v>
      </c>
      <c r="K55" s="1549"/>
      <c r="L55" s="1550"/>
      <c r="M55" s="1489"/>
      <c r="N55" s="1489"/>
      <c r="O55" s="1489"/>
      <c r="P55" s="2191"/>
      <c r="Q55" s="1489"/>
      <c r="R55" s="1489"/>
      <c r="S55" s="1489"/>
      <c r="T55" s="1489"/>
      <c r="U55" s="1489"/>
      <c r="V55" s="1489"/>
      <c r="W55" s="1489"/>
      <c r="X55" s="1489"/>
      <c r="Y55" s="1489"/>
      <c r="Z55" s="1489"/>
      <c r="AA55" s="1489"/>
      <c r="AB55" s="1489"/>
      <c r="AC55" s="1489"/>
    </row>
    <row r="56" spans="1:29" s="1356" customFormat="1">
      <c r="A56" s="1489"/>
      <c r="B56" s="1490"/>
      <c r="C56" s="1491"/>
      <c r="D56" s="1489"/>
      <c r="E56" s="1489"/>
      <c r="F56" s="1489"/>
      <c r="G56" s="1489"/>
      <c r="H56" s="1489"/>
      <c r="I56" s="1489"/>
      <c r="J56" s="1489"/>
      <c r="K56" s="1549"/>
      <c r="L56" s="1550"/>
      <c r="M56" s="1489"/>
      <c r="N56" s="1489"/>
      <c r="O56" s="1489"/>
      <c r="P56" s="2191"/>
      <c r="Q56" s="1489"/>
      <c r="R56" s="1489"/>
      <c r="S56" s="1489"/>
      <c r="T56" s="1489"/>
      <c r="U56" s="1489"/>
      <c r="V56" s="1489"/>
      <c r="W56" s="1489"/>
      <c r="X56" s="1489"/>
      <c r="Y56" s="1489"/>
      <c r="Z56" s="1489"/>
      <c r="AA56" s="1489"/>
      <c r="AB56" s="1489"/>
      <c r="AC56" s="1489"/>
    </row>
    <row r="57" spans="1:29">
      <c r="A57" s="1484"/>
      <c r="B57" s="1490"/>
      <c r="C57" s="1491"/>
      <c r="D57" s="1484"/>
      <c r="E57" s="1484"/>
      <c r="F57" s="1484"/>
      <c r="G57" s="1484"/>
      <c r="H57" s="1484"/>
      <c r="I57" s="1484"/>
      <c r="J57" s="1484"/>
      <c r="K57" s="1546"/>
      <c r="L57" s="1547"/>
      <c r="M57" s="1484"/>
      <c r="N57" s="1484"/>
      <c r="O57" s="1484"/>
      <c r="P57" s="2190"/>
      <c r="Q57" s="1484"/>
      <c r="R57" s="1484"/>
      <c r="S57" s="1484"/>
      <c r="T57" s="1484"/>
      <c r="U57" s="1484"/>
      <c r="V57" s="1484"/>
      <c r="W57" s="1484"/>
      <c r="X57" s="1484"/>
      <c r="Y57" s="1484"/>
      <c r="Z57" s="1484"/>
      <c r="AA57" s="1484"/>
      <c r="AB57" s="1484"/>
      <c r="AC57" s="1484"/>
    </row>
    <row r="58" spans="1:29" ht="21.6">
      <c r="A58" s="1492" t="s">
        <v>2928</v>
      </c>
      <c r="B58" s="1493"/>
      <c r="C58" s="1494"/>
      <c r="D58" s="1494"/>
      <c r="E58" s="1494"/>
      <c r="F58" s="1495"/>
      <c r="G58" s="1495"/>
      <c r="H58" s="1494"/>
      <c r="I58" s="1494"/>
      <c r="J58" s="1494"/>
      <c r="K58" s="1552"/>
      <c r="L58" s="1553"/>
      <c r="M58" s="1554"/>
      <c r="N58" s="2081"/>
      <c r="O58" s="2081"/>
      <c r="P58" s="2192"/>
      <c r="Q58" s="1588"/>
      <c r="R58" s="1484"/>
      <c r="S58" s="1484"/>
      <c r="T58" s="1484"/>
      <c r="U58" s="1484"/>
      <c r="V58" s="1484"/>
      <c r="W58" s="1484"/>
      <c r="X58" s="1484"/>
      <c r="Y58" s="1484"/>
      <c r="Z58" s="1484"/>
      <c r="AA58" s="1484"/>
      <c r="AB58" s="1484"/>
      <c r="AC58" s="1484"/>
    </row>
    <row r="59" spans="1:29" s="1357" customFormat="1" ht="14.4">
      <c r="A59" s="1496" t="s">
        <v>2882</v>
      </c>
      <c r="B59" s="1497"/>
      <c r="C59" s="1498" t="str">
        <f>YEAR(C7)&amp;"-"&amp;MONTH(C7)</f>
        <v>2024-1</v>
      </c>
      <c r="D59" s="1499">
        <f>EDATE(C59,-1)</f>
        <v>45261</v>
      </c>
      <c r="E59" s="1499">
        <f>EDATE(D59,-1)</f>
        <v>45231</v>
      </c>
      <c r="F59" s="1499">
        <f t="shared" ref="F59:O59" si="16">EDATE(E59,-1)</f>
        <v>45200</v>
      </c>
      <c r="G59" s="1499">
        <f t="shared" si="16"/>
        <v>45170</v>
      </c>
      <c r="H59" s="1499">
        <f t="shared" si="16"/>
        <v>45139</v>
      </c>
      <c r="I59" s="1499">
        <f t="shared" si="16"/>
        <v>45108</v>
      </c>
      <c r="J59" s="1499">
        <f t="shared" si="16"/>
        <v>45078</v>
      </c>
      <c r="K59" s="1499">
        <f t="shared" si="16"/>
        <v>45047</v>
      </c>
      <c r="L59" s="1499">
        <f t="shared" si="16"/>
        <v>45017</v>
      </c>
      <c r="M59" s="1499">
        <f t="shared" si="16"/>
        <v>44986</v>
      </c>
      <c r="N59" s="1499">
        <f t="shared" si="16"/>
        <v>44958</v>
      </c>
      <c r="O59" s="1499">
        <f t="shared" si="16"/>
        <v>44927</v>
      </c>
      <c r="P59" s="2193"/>
      <c r="Q59" s="1589"/>
      <c r="R59" s="1589"/>
      <c r="S59" s="1589"/>
      <c r="T59" s="1589"/>
      <c r="U59" s="1589"/>
      <c r="V59" s="1589"/>
      <c r="W59" s="1589"/>
      <c r="X59" s="1589"/>
      <c r="Y59" s="1589"/>
      <c r="Z59" s="1589"/>
      <c r="AA59" s="1589"/>
      <c r="AB59" s="1589"/>
      <c r="AC59" s="1589"/>
    </row>
    <row r="60" spans="1:29" s="1353" customFormat="1">
      <c r="A60" s="1500"/>
      <c r="B60" s="1501"/>
      <c r="C60" s="1502">
        <v>100</v>
      </c>
      <c r="D60" s="1503"/>
      <c r="E60" s="1503"/>
      <c r="F60" s="1503"/>
      <c r="G60" s="1503"/>
      <c r="H60" s="1503"/>
      <c r="I60" s="1503"/>
      <c r="J60" s="1503"/>
      <c r="K60" s="1503"/>
      <c r="L60" s="1503"/>
      <c r="M60" s="1557"/>
      <c r="N60" s="1503"/>
      <c r="O60" s="1557"/>
      <c r="P60" s="2194"/>
      <c r="Q60" s="1590"/>
      <c r="R60" s="1590"/>
      <c r="S60" s="1590"/>
      <c r="T60" s="1590"/>
      <c r="U60" s="1590"/>
      <c r="V60" s="1590"/>
      <c r="W60" s="1590"/>
      <c r="X60" s="1590"/>
      <c r="Y60" s="1590"/>
      <c r="Z60" s="1590"/>
      <c r="AA60" s="1590"/>
      <c r="AB60" s="1590"/>
      <c r="AC60" s="1590"/>
    </row>
    <row r="61" spans="1:29" s="1353" customFormat="1" ht="14.4">
      <c r="A61" s="1504" t="s">
        <v>2929</v>
      </c>
      <c r="B61" s="1505"/>
      <c r="C61" s="1506"/>
      <c r="D61" s="1507"/>
      <c r="E61" s="1507"/>
      <c r="F61" s="1507"/>
      <c r="G61" s="1507"/>
      <c r="H61" s="1507"/>
      <c r="I61" s="1507"/>
      <c r="J61" s="1507"/>
      <c r="K61" s="1507"/>
      <c r="L61" s="1507"/>
      <c r="M61" s="1559"/>
      <c r="N61" s="1507"/>
      <c r="O61" s="1559"/>
      <c r="P61" s="2194"/>
      <c r="Q61" s="1588"/>
      <c r="R61" s="1590"/>
      <c r="S61" s="1590"/>
      <c r="T61" s="1590"/>
      <c r="U61" s="1590"/>
      <c r="V61" s="1590"/>
      <c r="W61" s="1590"/>
      <c r="X61" s="1590"/>
      <c r="Y61" s="1590"/>
      <c r="Z61" s="1590"/>
      <c r="AA61" s="1590"/>
      <c r="AB61" s="1590"/>
      <c r="AC61" s="1590"/>
    </row>
    <row r="62" spans="1:29" s="1353" customFormat="1" ht="14.4">
      <c r="A62" s="1508" t="s">
        <v>2885</v>
      </c>
      <c r="B62" s="1501"/>
      <c r="C62" s="1509" t="s">
        <v>2930</v>
      </c>
      <c r="D62" s="1510"/>
      <c r="E62" s="1510"/>
      <c r="F62" s="1510"/>
      <c r="G62" s="1510"/>
      <c r="H62" s="1510"/>
      <c r="I62" s="1510"/>
      <c r="J62" s="1510"/>
      <c r="K62" s="1510"/>
      <c r="L62" s="1560"/>
      <c r="M62" s="1561"/>
      <c r="N62" s="1562"/>
      <c r="O62" s="1562"/>
      <c r="P62" s="2195"/>
      <c r="Q62" s="1588"/>
      <c r="R62" s="1590"/>
      <c r="S62" s="1590"/>
      <c r="T62" s="1590"/>
      <c r="U62" s="1590"/>
      <c r="V62" s="1590"/>
      <c r="W62" s="1590"/>
      <c r="X62" s="1590"/>
      <c r="Y62" s="1590"/>
      <c r="Z62" s="1590"/>
      <c r="AA62" s="1590"/>
      <c r="AB62" s="1590"/>
      <c r="AC62" s="1590"/>
    </row>
    <row r="63" spans="1:29" s="1353" customFormat="1">
      <c r="A63" s="1508"/>
      <c r="B63" s="1501"/>
      <c r="C63" s="1511">
        <v>100</v>
      </c>
      <c r="D63" s="1503"/>
      <c r="E63" s="1503"/>
      <c r="F63" s="1503"/>
      <c r="G63" s="1503"/>
      <c r="H63" s="1503"/>
      <c r="I63" s="1503"/>
      <c r="J63" s="1503"/>
      <c r="K63" s="1503"/>
      <c r="L63" s="1503"/>
      <c r="M63" s="1564"/>
      <c r="N63" s="1562"/>
      <c r="O63" s="1562"/>
      <c r="P63" s="2194"/>
      <c r="Q63" s="1588"/>
      <c r="R63" s="1590"/>
      <c r="S63" s="1590"/>
      <c r="T63" s="1590"/>
      <c r="U63" s="1590"/>
      <c r="V63" s="1590"/>
      <c r="W63" s="1590"/>
      <c r="X63" s="1590"/>
      <c r="Y63" s="1590"/>
      <c r="Z63" s="1590"/>
      <c r="AA63" s="1590"/>
      <c r="AB63" s="1590"/>
      <c r="AC63" s="1590"/>
    </row>
    <row r="64" spans="1:29" ht="14.4">
      <c r="A64" s="1512" t="s">
        <v>2931</v>
      </c>
      <c r="B64" s="1513" t="s">
        <v>2889</v>
      </c>
      <c r="C64" s="1514">
        <f>C9</f>
        <v>0</v>
      </c>
      <c r="D64" s="1515"/>
      <c r="E64" s="1515"/>
      <c r="F64" s="1515"/>
      <c r="G64" s="1515"/>
      <c r="H64" s="1515"/>
      <c r="I64" s="1515"/>
      <c r="J64" s="1515"/>
      <c r="K64" s="1565"/>
      <c r="L64" s="1566"/>
      <c r="M64" s="1567"/>
      <c r="N64" s="1568"/>
      <c r="O64" s="1568"/>
      <c r="P64" s="2196"/>
      <c r="Q64" s="1588"/>
      <c r="R64" s="1484"/>
      <c r="S64" s="1484"/>
      <c r="T64" s="1484"/>
      <c r="U64" s="1484"/>
      <c r="V64" s="1484"/>
      <c r="W64" s="1484"/>
      <c r="X64" s="1484"/>
      <c r="Y64" s="1484"/>
      <c r="Z64" s="1484"/>
      <c r="AA64" s="1484"/>
      <c r="AB64" s="1484"/>
      <c r="AC64" s="1484"/>
    </row>
    <row r="65" spans="1:29">
      <c r="A65" s="1516"/>
      <c r="B65" s="1517"/>
      <c r="C65" s="1518">
        <v>100</v>
      </c>
      <c r="D65" s="1518"/>
      <c r="E65" s="1518"/>
      <c r="F65" s="1518"/>
      <c r="G65" s="1518"/>
      <c r="H65" s="1518"/>
      <c r="I65" s="1518"/>
      <c r="J65" s="1518"/>
      <c r="K65" s="1518"/>
      <c r="L65" s="1518"/>
      <c r="M65" s="1570"/>
      <c r="N65" s="1571"/>
      <c r="O65" s="1571"/>
      <c r="P65" s="2196"/>
      <c r="Q65" s="1588"/>
      <c r="R65" s="1484"/>
      <c r="S65" s="1484"/>
      <c r="T65" s="1484"/>
      <c r="U65" s="1484"/>
      <c r="V65" s="1484"/>
      <c r="W65" s="1484"/>
      <c r="X65" s="1484"/>
      <c r="Y65" s="1484"/>
      <c r="Z65" s="1484"/>
      <c r="AA65" s="1484"/>
      <c r="AB65" s="1484"/>
      <c r="AC65" s="1484"/>
    </row>
    <row r="66" spans="1:29" ht="28.8">
      <c r="A66" s="1516"/>
      <c r="B66" s="1597" t="s">
        <v>2893</v>
      </c>
      <c r="C66" s="1598"/>
      <c r="D66" s="1598"/>
      <c r="E66" s="1598"/>
      <c r="F66" s="1598"/>
      <c r="G66" s="1598"/>
      <c r="H66" s="1598"/>
      <c r="I66" s="1598"/>
      <c r="J66" s="1598"/>
      <c r="K66" s="1632"/>
      <c r="L66" s="1633"/>
      <c r="M66" s="1634"/>
      <c r="N66" s="1568"/>
      <c r="O66" s="1568"/>
      <c r="P66" s="2196"/>
      <c r="Q66" s="1588"/>
      <c r="R66" s="1484"/>
      <c r="S66" s="1484"/>
      <c r="T66" s="1484"/>
      <c r="U66" s="1484"/>
      <c r="V66" s="1484"/>
      <c r="W66" s="1484"/>
      <c r="X66" s="1484"/>
      <c r="Y66" s="1484"/>
      <c r="Z66" s="1484"/>
      <c r="AA66" s="1484"/>
      <c r="AB66" s="1484"/>
      <c r="AC66" s="1484"/>
    </row>
    <row r="67" spans="1:29">
      <c r="A67" s="1516"/>
      <c r="B67" s="1599"/>
      <c r="C67" s="1518"/>
      <c r="D67" s="1518"/>
      <c r="E67" s="1518"/>
      <c r="F67" s="1518"/>
      <c r="G67" s="1518"/>
      <c r="H67" s="1518"/>
      <c r="I67" s="1518"/>
      <c r="J67" s="1518"/>
      <c r="K67" s="1518"/>
      <c r="L67" s="1518"/>
      <c r="M67" s="1570"/>
      <c r="N67" s="1571"/>
      <c r="O67" s="1571"/>
      <c r="P67" s="2196"/>
      <c r="Q67" s="1588"/>
      <c r="R67" s="1484"/>
      <c r="S67" s="1484"/>
      <c r="T67" s="1484"/>
      <c r="U67" s="1484"/>
      <c r="V67" s="1484"/>
      <c r="W67" s="1484"/>
      <c r="X67" s="1484"/>
      <c r="Y67" s="1484"/>
      <c r="Z67" s="1484"/>
      <c r="AA67" s="1484"/>
      <c r="AB67" s="1484"/>
      <c r="AC67" s="1484"/>
    </row>
    <row r="68" spans="1:29" ht="14.4">
      <c r="A68" s="1516"/>
      <c r="B68" s="1600" t="s">
        <v>3458</v>
      </c>
      <c r="C68" s="1601" t="str">
        <f>C69&amp;"（含）"&amp;"-"&amp;D69</f>
        <v>0（含）-3</v>
      </c>
      <c r="D68" s="1601" t="str">
        <f t="shared" ref="D68:L68" si="17">D69&amp;"（含）"&amp;"-"&amp;E69</f>
        <v>3（含）-</v>
      </c>
      <c r="E68" s="1601" t="str">
        <f t="shared" si="17"/>
        <v>（含）-</v>
      </c>
      <c r="F68" s="1601" t="str">
        <f t="shared" si="17"/>
        <v>（含）-</v>
      </c>
      <c r="G68" s="1601" t="str">
        <f t="shared" si="17"/>
        <v>（含）-</v>
      </c>
      <c r="H68" s="1601" t="str">
        <f t="shared" si="17"/>
        <v>（含）-</v>
      </c>
      <c r="I68" s="1601" t="str">
        <f t="shared" si="17"/>
        <v>（含）-</v>
      </c>
      <c r="J68" s="1601" t="str">
        <f t="shared" si="17"/>
        <v>（含）-</v>
      </c>
      <c r="K68" s="1601" t="str">
        <f t="shared" si="17"/>
        <v>（含）-</v>
      </c>
      <c r="L68" s="1601" t="str">
        <f t="shared" si="17"/>
        <v>（含）-</v>
      </c>
      <c r="M68" s="1429" t="str">
        <f>M69&amp;"（含）"&amp;"-"&amp;P69</f>
        <v>（含）-</v>
      </c>
      <c r="N68" s="1571"/>
      <c r="O68" s="1571"/>
      <c r="P68" s="2196"/>
      <c r="Q68" s="1588"/>
      <c r="R68" s="1484"/>
      <c r="S68" s="1484"/>
      <c r="T68" s="1484"/>
      <c r="U68" s="1484"/>
      <c r="V68" s="1484"/>
      <c r="W68" s="1484"/>
      <c r="X68" s="1484"/>
      <c r="Y68" s="1484"/>
      <c r="Z68" s="1484"/>
      <c r="AA68" s="1484"/>
      <c r="AB68" s="1484"/>
      <c r="AC68" s="1484"/>
    </row>
    <row r="69" spans="1:29">
      <c r="A69" s="1516"/>
      <c r="B69" s="1602"/>
      <c r="C69" s="1603">
        <v>0</v>
      </c>
      <c r="D69" s="1603">
        <v>3</v>
      </c>
      <c r="E69" s="1603"/>
      <c r="F69" s="1603"/>
      <c r="G69" s="1603"/>
      <c r="H69" s="1603"/>
      <c r="I69" s="1603"/>
      <c r="J69" s="1603"/>
      <c r="K69" s="1635"/>
      <c r="L69" s="1636"/>
      <c r="M69" s="1637"/>
      <c r="N69" s="1568"/>
      <c r="O69" s="1568"/>
      <c r="P69" s="2196"/>
      <c r="Q69" s="1588"/>
      <c r="R69" s="1484"/>
      <c r="S69" s="1484"/>
      <c r="T69" s="1484"/>
      <c r="U69" s="1484"/>
      <c r="V69" s="1484"/>
      <c r="W69" s="1484"/>
      <c r="X69" s="1484"/>
      <c r="Y69" s="1484"/>
      <c r="Z69" s="1484"/>
      <c r="AA69" s="1484"/>
      <c r="AB69" s="1484"/>
      <c r="AC69" s="1484"/>
    </row>
    <row r="70" spans="1:29">
      <c r="A70" s="1516"/>
      <c r="B70" s="1517"/>
      <c r="C70" s="1604">
        <v>100</v>
      </c>
      <c r="D70" s="1604">
        <f t="shared" ref="D70:M70" si="18">C70-$K11</f>
        <v>100</v>
      </c>
      <c r="E70" s="1604">
        <f t="shared" si="18"/>
        <v>100</v>
      </c>
      <c r="F70" s="1604">
        <f t="shared" si="18"/>
        <v>100</v>
      </c>
      <c r="G70" s="1604">
        <f t="shared" si="18"/>
        <v>100</v>
      </c>
      <c r="H70" s="1604">
        <f t="shared" si="18"/>
        <v>100</v>
      </c>
      <c r="I70" s="1604">
        <f t="shared" si="18"/>
        <v>100</v>
      </c>
      <c r="J70" s="1604">
        <f t="shared" si="18"/>
        <v>100</v>
      </c>
      <c r="K70" s="1604">
        <f t="shared" si="18"/>
        <v>100</v>
      </c>
      <c r="L70" s="1604">
        <f t="shared" si="18"/>
        <v>100</v>
      </c>
      <c r="M70" s="1638">
        <f t="shared" si="18"/>
        <v>100</v>
      </c>
      <c r="N70" s="1571"/>
      <c r="O70" s="1571"/>
      <c r="P70" s="2196"/>
      <c r="Q70" s="1588"/>
      <c r="R70" s="1484"/>
      <c r="S70" s="1484"/>
      <c r="T70" s="1484"/>
      <c r="U70" s="1484"/>
      <c r="V70" s="1484"/>
      <c r="W70" s="1484"/>
      <c r="X70" s="1484"/>
      <c r="Y70" s="1484"/>
      <c r="Z70" s="1484"/>
      <c r="AA70" s="1484"/>
      <c r="AB70" s="1484"/>
      <c r="AC70" s="1484"/>
    </row>
    <row r="71" spans="1:29" s="1355" customFormat="1">
      <c r="A71" s="1605"/>
      <c r="B71" s="1597">
        <f>B12</f>
        <v>111</v>
      </c>
      <c r="C71" s="1606"/>
      <c r="D71" s="1606"/>
      <c r="E71" s="1606"/>
      <c r="F71" s="1606"/>
      <c r="G71" s="1606"/>
      <c r="H71" s="1607"/>
      <c r="I71" s="1607"/>
      <c r="J71" s="1607"/>
      <c r="K71" s="1607"/>
      <c r="L71" s="1639"/>
      <c r="M71" s="1640"/>
      <c r="N71" s="1641"/>
      <c r="O71" s="1641"/>
      <c r="P71" s="2203"/>
      <c r="Q71" s="1671"/>
      <c r="R71" s="1672"/>
      <c r="S71" s="1672"/>
      <c r="T71" s="1672"/>
      <c r="U71" s="1672"/>
      <c r="V71" s="1672"/>
      <c r="W71" s="1672"/>
      <c r="X71" s="1672"/>
      <c r="Y71" s="1672"/>
      <c r="Z71" s="1672"/>
      <c r="AA71" s="1672"/>
      <c r="AB71" s="1672"/>
      <c r="AC71" s="1672"/>
    </row>
    <row r="72" spans="1:29" s="1355" customFormat="1">
      <c r="A72" s="1605"/>
      <c r="B72" s="1599"/>
      <c r="C72" s="1608"/>
      <c r="D72" s="1518"/>
      <c r="E72" s="1518"/>
      <c r="F72" s="1518"/>
      <c r="G72" s="1518"/>
      <c r="H72" s="1518"/>
      <c r="I72" s="1518"/>
      <c r="J72" s="1518"/>
      <c r="K72" s="1518"/>
      <c r="L72" s="1518"/>
      <c r="M72" s="1570"/>
      <c r="N72" s="1571"/>
      <c r="O72" s="1571"/>
      <c r="P72" s="2203"/>
      <c r="Q72" s="1671"/>
      <c r="R72" s="1672"/>
      <c r="S72" s="1672"/>
      <c r="T72" s="1672"/>
      <c r="U72" s="1672"/>
      <c r="V72" s="1672"/>
      <c r="W72" s="1672"/>
      <c r="X72" s="1672"/>
      <c r="Y72" s="1672"/>
      <c r="Z72" s="1672"/>
      <c r="AA72" s="1672"/>
      <c r="AB72" s="1672"/>
      <c r="AC72" s="1672"/>
    </row>
    <row r="73" spans="1:29" s="1355" customFormat="1">
      <c r="A73" s="1605"/>
      <c r="B73" s="1597">
        <f>B13</f>
        <v>111</v>
      </c>
      <c r="C73" s="1606"/>
      <c r="D73" s="1606"/>
      <c r="E73" s="1606"/>
      <c r="F73" s="1606"/>
      <c r="G73" s="1606"/>
      <c r="H73" s="1607"/>
      <c r="I73" s="1607"/>
      <c r="J73" s="1607"/>
      <c r="K73" s="1607"/>
      <c r="L73" s="1639"/>
      <c r="M73" s="1640"/>
      <c r="N73" s="1641"/>
      <c r="O73" s="1641"/>
      <c r="P73" s="2204"/>
      <c r="Q73" s="1673"/>
      <c r="R73" s="1672"/>
      <c r="S73" s="1672"/>
      <c r="T73" s="1672"/>
      <c r="U73" s="1672"/>
      <c r="V73" s="1672"/>
      <c r="W73" s="1672"/>
      <c r="X73" s="1672"/>
      <c r="Y73" s="1672"/>
      <c r="Z73" s="1672"/>
      <c r="AA73" s="1672"/>
      <c r="AB73" s="1672"/>
      <c r="AC73" s="1672"/>
    </row>
    <row r="74" spans="1:29" s="1355" customFormat="1">
      <c r="A74" s="1605"/>
      <c r="B74" s="1599"/>
      <c r="C74" s="1608"/>
      <c r="D74" s="1608"/>
      <c r="E74" s="1608"/>
      <c r="F74" s="1608"/>
      <c r="G74" s="1608"/>
      <c r="H74" s="1609"/>
      <c r="I74" s="1609"/>
      <c r="J74" s="1609"/>
      <c r="K74" s="1609"/>
      <c r="L74" s="1609"/>
      <c r="M74" s="1644"/>
      <c r="N74" s="1641"/>
      <c r="O74" s="1641"/>
      <c r="P74" s="2203"/>
      <c r="Q74" s="1671"/>
      <c r="R74" s="1672"/>
      <c r="S74" s="1672"/>
      <c r="T74" s="1672"/>
      <c r="U74" s="1672"/>
      <c r="V74" s="1672"/>
      <c r="W74" s="1672"/>
      <c r="X74" s="1672"/>
      <c r="Y74" s="1672"/>
      <c r="Z74" s="1672"/>
      <c r="AA74" s="1672"/>
      <c r="AB74" s="1672"/>
      <c r="AC74" s="1672"/>
    </row>
    <row r="75" spans="1:29" s="1355" customFormat="1">
      <c r="A75" s="1605"/>
      <c r="B75" s="1600">
        <f>B14</f>
        <v>111</v>
      </c>
      <c r="C75" s="1510"/>
      <c r="D75" s="1510"/>
      <c r="E75" s="1510"/>
      <c r="F75" s="1510"/>
      <c r="G75" s="1510"/>
      <c r="H75" s="1610"/>
      <c r="I75" s="1610"/>
      <c r="J75" s="1610"/>
      <c r="K75" s="1610"/>
      <c r="L75" s="1645"/>
      <c r="M75" s="1646"/>
      <c r="N75" s="1641"/>
      <c r="O75" s="1641"/>
      <c r="P75" s="2205"/>
      <c r="Q75" s="1671"/>
      <c r="R75" s="1672"/>
      <c r="S75" s="1672"/>
      <c r="T75" s="1672"/>
      <c r="U75" s="1672"/>
      <c r="V75" s="1672"/>
      <c r="W75" s="1672"/>
      <c r="X75" s="1672"/>
      <c r="Y75" s="1672"/>
      <c r="Z75" s="1672"/>
      <c r="AA75" s="1672"/>
      <c r="AB75" s="1672"/>
      <c r="AC75" s="1672"/>
    </row>
    <row r="76" spans="1:29" s="1355" customFormat="1">
      <c r="A76" s="1611"/>
      <c r="B76" s="1612"/>
      <c r="C76" s="1613"/>
      <c r="D76" s="1613"/>
      <c r="E76" s="1613"/>
      <c r="F76" s="1613"/>
      <c r="G76" s="1613"/>
      <c r="H76" s="1614"/>
      <c r="I76" s="1614"/>
      <c r="J76" s="1614"/>
      <c r="K76" s="1614"/>
      <c r="L76" s="1614"/>
      <c r="M76" s="1648"/>
      <c r="N76" s="1641"/>
      <c r="O76" s="1641"/>
      <c r="P76" s="2203"/>
      <c r="Q76" s="1671"/>
      <c r="R76" s="1672"/>
      <c r="S76" s="1672"/>
      <c r="T76" s="1672"/>
      <c r="U76" s="1672"/>
      <c r="V76" s="1672"/>
      <c r="W76" s="1672"/>
      <c r="X76" s="1672"/>
      <c r="Y76" s="1672"/>
      <c r="Z76" s="1672"/>
      <c r="AA76" s="1672"/>
      <c r="AB76" s="1672"/>
      <c r="AC76" s="1672"/>
    </row>
    <row r="77" spans="1:29" ht="14.4">
      <c r="A77" s="1512" t="s">
        <v>2895</v>
      </c>
      <c r="B77" s="1513" t="s">
        <v>3493</v>
      </c>
      <c r="C77" s="1615" t="s">
        <v>2933</v>
      </c>
      <c r="D77" s="1615" t="s">
        <v>2934</v>
      </c>
      <c r="E77" s="1615" t="s">
        <v>2935</v>
      </c>
      <c r="F77" s="1615" t="s">
        <v>2936</v>
      </c>
      <c r="G77" s="1615" t="s">
        <v>2937</v>
      </c>
      <c r="H77" s="1514"/>
      <c r="I77" s="1514"/>
      <c r="J77" s="1514"/>
      <c r="K77" s="1649"/>
      <c r="L77" s="1650"/>
      <c r="M77" s="1651"/>
      <c r="N77" s="1568"/>
      <c r="O77" s="1568"/>
      <c r="P77" s="2206"/>
      <c r="Q77" s="1588"/>
      <c r="R77" s="1484"/>
      <c r="S77" s="1484"/>
      <c r="T77" s="1484"/>
      <c r="U77" s="1484"/>
      <c r="V77" s="1484"/>
      <c r="W77" s="1484"/>
      <c r="X77" s="1484"/>
      <c r="Y77" s="1484"/>
      <c r="Z77" s="1484"/>
      <c r="AA77" s="1484"/>
      <c r="AB77" s="1484"/>
      <c r="AC77" s="1484"/>
    </row>
    <row r="78" spans="1:29">
      <c r="A78" s="1516"/>
      <c r="B78" s="1599"/>
      <c r="C78" s="1604">
        <v>100</v>
      </c>
      <c r="D78" s="1604">
        <f>C78-$K15</f>
        <v>100</v>
      </c>
      <c r="E78" s="1604">
        <f>D78-$K15</f>
        <v>100</v>
      </c>
      <c r="F78" s="1604">
        <f>E78-$K15</f>
        <v>100</v>
      </c>
      <c r="G78" s="1604">
        <f>F78-$K15</f>
        <v>100</v>
      </c>
      <c r="H78" s="1604"/>
      <c r="I78" s="1604"/>
      <c r="J78" s="1604"/>
      <c r="K78" s="1604"/>
      <c r="L78" s="1604"/>
      <c r="M78" s="1638"/>
      <c r="N78" s="1571"/>
      <c r="O78" s="1571"/>
      <c r="P78" s="2196"/>
      <c r="Q78" s="1588"/>
      <c r="R78" s="1484"/>
      <c r="S78" s="1484"/>
      <c r="T78" s="1484"/>
      <c r="U78" s="1484"/>
      <c r="V78" s="1484"/>
      <c r="W78" s="1484"/>
      <c r="X78" s="1484"/>
      <c r="Y78" s="1484"/>
      <c r="Z78" s="1484"/>
      <c r="AA78" s="1484"/>
      <c r="AB78" s="1484"/>
      <c r="AC78" s="1484"/>
    </row>
    <row r="79" spans="1:29" ht="14.4">
      <c r="A79" s="1516"/>
      <c r="B79" s="1597" t="s">
        <v>2896</v>
      </c>
      <c r="C79" s="1616" t="s">
        <v>2933</v>
      </c>
      <c r="D79" s="1616" t="s">
        <v>2934</v>
      </c>
      <c r="E79" s="1616" t="s">
        <v>2935</v>
      </c>
      <c r="F79" s="1616" t="s">
        <v>2936</v>
      </c>
      <c r="G79" s="1616" t="s">
        <v>2937</v>
      </c>
      <c r="H79" s="1617"/>
      <c r="I79" s="1617"/>
      <c r="J79" s="1617"/>
      <c r="K79" s="1653"/>
      <c r="L79" s="1654"/>
      <c r="M79" s="1655"/>
      <c r="N79" s="1568"/>
      <c r="O79" s="1568"/>
      <c r="P79" s="2196"/>
      <c r="Q79" s="1588"/>
      <c r="R79" s="1484"/>
      <c r="S79" s="1484"/>
      <c r="T79" s="1484"/>
      <c r="U79" s="1484"/>
      <c r="V79" s="1484"/>
      <c r="W79" s="1484"/>
      <c r="X79" s="1484"/>
      <c r="Y79" s="1484"/>
      <c r="Z79" s="1484"/>
      <c r="AA79" s="1484"/>
      <c r="AB79" s="1484"/>
      <c r="AC79" s="1484"/>
    </row>
    <row r="80" spans="1:29">
      <c r="A80" s="1516"/>
      <c r="B80" s="1599"/>
      <c r="C80" s="1604">
        <v>100</v>
      </c>
      <c r="D80" s="1604">
        <f>C80-$K17</f>
        <v>100</v>
      </c>
      <c r="E80" s="1604">
        <f>D80-$K17</f>
        <v>100</v>
      </c>
      <c r="F80" s="1604">
        <f>E80-$K17</f>
        <v>100</v>
      </c>
      <c r="G80" s="1604">
        <f>F80-$K17</f>
        <v>100</v>
      </c>
      <c r="H80" s="1604"/>
      <c r="I80" s="1604"/>
      <c r="J80" s="1604"/>
      <c r="K80" s="1604"/>
      <c r="L80" s="1604"/>
      <c r="M80" s="1638"/>
      <c r="N80" s="1571"/>
      <c r="O80" s="1571"/>
      <c r="P80" s="2196"/>
      <c r="Q80" s="1588"/>
      <c r="R80" s="1484"/>
      <c r="S80" s="1484"/>
      <c r="T80" s="1484"/>
      <c r="U80" s="1484"/>
      <c r="V80" s="1484"/>
      <c r="W80" s="1484"/>
      <c r="X80" s="1484"/>
      <c r="Y80" s="1484"/>
      <c r="Z80" s="1484"/>
      <c r="AA80" s="1484"/>
      <c r="AB80" s="1484"/>
      <c r="AC80" s="1484"/>
    </row>
    <row r="81" spans="1:29" ht="14.4">
      <c r="A81" s="1516"/>
      <c r="B81" s="1597" t="s">
        <v>2899</v>
      </c>
      <c r="C81" s="1616" t="s">
        <v>2933</v>
      </c>
      <c r="D81" s="1616" t="s">
        <v>2934</v>
      </c>
      <c r="E81" s="1616" t="s">
        <v>2935</v>
      </c>
      <c r="F81" s="1616" t="s">
        <v>2936</v>
      </c>
      <c r="G81" s="1616" t="s">
        <v>2937</v>
      </c>
      <c r="H81" s="1617"/>
      <c r="I81" s="1617"/>
      <c r="J81" s="1617"/>
      <c r="K81" s="1653"/>
      <c r="L81" s="1654"/>
      <c r="M81" s="1655"/>
      <c r="N81" s="1568"/>
      <c r="O81" s="1568"/>
      <c r="P81" s="2196"/>
      <c r="Q81" s="1588"/>
      <c r="R81" s="1484"/>
      <c r="S81" s="1484"/>
      <c r="T81" s="1484"/>
      <c r="U81" s="1484"/>
      <c r="V81" s="1484"/>
      <c r="W81" s="1484"/>
      <c r="X81" s="1484"/>
      <c r="Y81" s="1484"/>
      <c r="Z81" s="1484"/>
      <c r="AA81" s="1484"/>
      <c r="AB81" s="1484"/>
      <c r="AC81" s="1484"/>
    </row>
    <row r="82" spans="1:29">
      <c r="A82" s="1516"/>
      <c r="B82" s="1599"/>
      <c r="C82" s="1604">
        <v>100</v>
      </c>
      <c r="D82" s="1604">
        <f>C82-$K19</f>
        <v>100</v>
      </c>
      <c r="E82" s="1604">
        <f>D82-$K19</f>
        <v>100</v>
      </c>
      <c r="F82" s="1604">
        <f>E82-$K19</f>
        <v>100</v>
      </c>
      <c r="G82" s="1604">
        <f>F82-$K19</f>
        <v>100</v>
      </c>
      <c r="H82" s="1604"/>
      <c r="I82" s="1604"/>
      <c r="J82" s="1604"/>
      <c r="K82" s="1604"/>
      <c r="L82" s="1604"/>
      <c r="M82" s="1638"/>
      <c r="N82" s="1571"/>
      <c r="O82" s="1571"/>
      <c r="P82" s="2196"/>
      <c r="Q82" s="1588"/>
      <c r="R82" s="1484"/>
      <c r="S82" s="1484"/>
      <c r="T82" s="1484"/>
      <c r="U82" s="1484"/>
      <c r="V82" s="1484"/>
      <c r="W82" s="1484"/>
      <c r="X82" s="1484"/>
      <c r="Y82" s="1484"/>
      <c r="Z82" s="1484"/>
      <c r="AA82" s="1484"/>
      <c r="AB82" s="1484"/>
      <c r="AC82" s="1484"/>
    </row>
    <row r="83" spans="1:29" ht="14.4">
      <c r="A83" s="1516"/>
      <c r="B83" s="1600" t="s">
        <v>2901</v>
      </c>
      <c r="C83" s="1618" t="s">
        <v>2938</v>
      </c>
      <c r="D83" s="1618" t="s">
        <v>2939</v>
      </c>
      <c r="E83" s="1618" t="s">
        <v>2940</v>
      </c>
      <c r="F83" s="1618" t="s">
        <v>2941</v>
      </c>
      <c r="G83" s="1618" t="s">
        <v>2942</v>
      </c>
      <c r="H83" s="1617"/>
      <c r="I83" s="1617"/>
      <c r="J83" s="1617"/>
      <c r="K83" s="1617"/>
      <c r="L83" s="1617"/>
      <c r="M83" s="1656"/>
      <c r="N83" s="1571"/>
      <c r="O83" s="1571"/>
      <c r="P83" s="2196"/>
      <c r="Q83" s="1588"/>
      <c r="R83" s="1484"/>
      <c r="S83" s="1484"/>
      <c r="T83" s="1484"/>
      <c r="U83" s="1484"/>
      <c r="V83" s="1484"/>
      <c r="W83" s="1484"/>
      <c r="X83" s="1484"/>
      <c r="Y83" s="1484"/>
      <c r="Z83" s="1484"/>
      <c r="AA83" s="1484"/>
      <c r="AB83" s="1484"/>
      <c r="AC83" s="1484"/>
    </row>
    <row r="84" spans="1:29">
      <c r="A84" s="1516"/>
      <c r="B84" s="1600"/>
      <c r="C84" s="1604">
        <v>100</v>
      </c>
      <c r="D84" s="1604">
        <f>C84-$K21</f>
        <v>100</v>
      </c>
      <c r="E84" s="1604">
        <f>D84-$K21</f>
        <v>100</v>
      </c>
      <c r="F84" s="1604">
        <f>E84-$K21</f>
        <v>100</v>
      </c>
      <c r="G84" s="1604">
        <f>F84-$K21</f>
        <v>100</v>
      </c>
      <c r="H84" s="1618"/>
      <c r="I84" s="1618"/>
      <c r="J84" s="1618"/>
      <c r="K84" s="1618"/>
      <c r="L84" s="1618"/>
      <c r="M84" s="1431"/>
      <c r="N84" s="1571"/>
      <c r="O84" s="1571"/>
      <c r="P84" s="2196"/>
      <c r="Q84" s="1588"/>
      <c r="R84" s="1484"/>
      <c r="S84" s="1484"/>
      <c r="T84" s="1484"/>
      <c r="U84" s="1484"/>
      <c r="V84" s="1484"/>
      <c r="W84" s="1484"/>
      <c r="X84" s="1484"/>
      <c r="Y84" s="1484"/>
      <c r="Z84" s="1484"/>
      <c r="AA84" s="1484"/>
      <c r="AB84" s="1484"/>
      <c r="AC84" s="1484"/>
    </row>
    <row r="85" spans="1:29" ht="14.4">
      <c r="A85" s="1516"/>
      <c r="B85" s="1597" t="s">
        <v>3494</v>
      </c>
      <c r="C85" s="1616" t="s">
        <v>2933</v>
      </c>
      <c r="D85" s="1616" t="s">
        <v>2934</v>
      </c>
      <c r="E85" s="1616" t="s">
        <v>2935</v>
      </c>
      <c r="F85" s="1616" t="s">
        <v>2936</v>
      </c>
      <c r="G85" s="1616" t="s">
        <v>2937</v>
      </c>
      <c r="H85" s="1617"/>
      <c r="I85" s="1617"/>
      <c r="J85" s="1617"/>
      <c r="K85" s="1653"/>
      <c r="L85" s="1654"/>
      <c r="M85" s="1655"/>
      <c r="N85" s="1568"/>
      <c r="O85" s="1568"/>
      <c r="P85" s="2196"/>
      <c r="Q85" s="1588"/>
      <c r="R85" s="1484"/>
      <c r="S85" s="1484"/>
      <c r="T85" s="1484"/>
      <c r="U85" s="1484"/>
      <c r="V85" s="1484"/>
      <c r="W85" s="1484"/>
      <c r="X85" s="1484"/>
      <c r="Y85" s="1484"/>
      <c r="Z85" s="1484"/>
      <c r="AA85" s="1484"/>
      <c r="AB85" s="1484"/>
      <c r="AC85" s="1484"/>
    </row>
    <row r="86" spans="1:29">
      <c r="A86" s="1516"/>
      <c r="B86" s="1599"/>
      <c r="C86" s="1604">
        <v>100</v>
      </c>
      <c r="D86" s="1604">
        <f>C86-$K23</f>
        <v>100</v>
      </c>
      <c r="E86" s="1604">
        <f>D86-$K23</f>
        <v>100</v>
      </c>
      <c r="F86" s="1604">
        <f>E86-$K23</f>
        <v>100</v>
      </c>
      <c r="G86" s="1604">
        <f>F86-$K23</f>
        <v>100</v>
      </c>
      <c r="H86" s="1604"/>
      <c r="I86" s="1604"/>
      <c r="J86" s="1604"/>
      <c r="K86" s="1604"/>
      <c r="L86" s="1604"/>
      <c r="M86" s="1638"/>
      <c r="N86" s="1571"/>
      <c r="O86" s="1571"/>
      <c r="P86" s="2196"/>
      <c r="Q86" s="1588"/>
      <c r="R86" s="1484"/>
      <c r="S86" s="1484"/>
      <c r="T86" s="1484"/>
      <c r="U86" s="1484"/>
      <c r="V86" s="1484"/>
      <c r="W86" s="1484"/>
      <c r="X86" s="1484"/>
      <c r="Y86" s="1484"/>
      <c r="Z86" s="1484"/>
      <c r="AA86" s="1484"/>
      <c r="AB86" s="1484"/>
      <c r="AC86" s="1484"/>
    </row>
    <row r="87" spans="1:29" s="1353" customFormat="1" ht="28.8">
      <c r="A87" s="1619"/>
      <c r="B87" s="1597" t="s">
        <v>3495</v>
      </c>
      <c r="C87" s="1606"/>
      <c r="D87" s="1606"/>
      <c r="E87" s="1606"/>
      <c r="F87" s="1606"/>
      <c r="G87" s="1606"/>
      <c r="H87" s="1606"/>
      <c r="I87" s="1606"/>
      <c r="J87" s="1606"/>
      <c r="K87" s="1606"/>
      <c r="L87" s="1657"/>
      <c r="M87" s="1658"/>
      <c r="N87" s="1562"/>
      <c r="O87" s="1562"/>
      <c r="P87" s="2196"/>
      <c r="Q87" s="1588"/>
      <c r="R87" s="1590"/>
      <c r="S87" s="1590"/>
      <c r="T87" s="1590"/>
      <c r="U87" s="1590"/>
      <c r="V87" s="1590"/>
      <c r="W87" s="1590"/>
      <c r="X87" s="1590"/>
      <c r="Y87" s="1590"/>
      <c r="Z87" s="1590"/>
      <c r="AA87" s="1590"/>
      <c r="AB87" s="1590"/>
      <c r="AC87" s="1590"/>
    </row>
    <row r="88" spans="1:29" s="1353" customFormat="1">
      <c r="A88" s="1619"/>
      <c r="B88" s="1599"/>
      <c r="C88" s="1620">
        <v>100</v>
      </c>
      <c r="D88" s="1604">
        <f t="shared" ref="D88:M88" si="19">C88-$K25</f>
        <v>100</v>
      </c>
      <c r="E88" s="1604">
        <f t="shared" si="19"/>
        <v>100</v>
      </c>
      <c r="F88" s="1604">
        <f t="shared" si="19"/>
        <v>100</v>
      </c>
      <c r="G88" s="1604">
        <f t="shared" si="19"/>
        <v>100</v>
      </c>
      <c r="H88" s="1604">
        <f t="shared" si="19"/>
        <v>100</v>
      </c>
      <c r="I88" s="1604">
        <f t="shared" si="19"/>
        <v>100</v>
      </c>
      <c r="J88" s="1604">
        <f t="shared" si="19"/>
        <v>100</v>
      </c>
      <c r="K88" s="1604">
        <f t="shared" si="19"/>
        <v>100</v>
      </c>
      <c r="L88" s="1604">
        <f t="shared" si="19"/>
        <v>100</v>
      </c>
      <c r="M88" s="1604">
        <f t="shared" si="19"/>
        <v>100</v>
      </c>
      <c r="N88" s="1571"/>
      <c r="O88" s="1571"/>
      <c r="P88" s="2196"/>
      <c r="Q88" s="1588"/>
      <c r="R88" s="1590"/>
      <c r="S88" s="1590"/>
      <c r="T88" s="1590"/>
      <c r="U88" s="1590"/>
      <c r="V88" s="1590"/>
      <c r="W88" s="1590"/>
      <c r="X88" s="1590"/>
      <c r="Y88" s="1590"/>
      <c r="Z88" s="1590"/>
      <c r="AA88" s="1590"/>
      <c r="AB88" s="1590"/>
      <c r="AC88" s="1590"/>
    </row>
    <row r="89" spans="1:29" s="1353" customFormat="1">
      <c r="A89" s="1619"/>
      <c r="B89" s="1597" t="str">
        <f>B27</f>
        <v>楼层</v>
      </c>
      <c r="C89" s="1606"/>
      <c r="D89" s="1606"/>
      <c r="E89" s="1606"/>
      <c r="F89" s="1621"/>
      <c r="G89" s="1606"/>
      <c r="H89" s="1606"/>
      <c r="I89" s="1606"/>
      <c r="J89" s="1606"/>
      <c r="K89" s="1606"/>
      <c r="L89" s="1606"/>
      <c r="M89" s="1658"/>
      <c r="N89" s="1562"/>
      <c r="O89" s="1562"/>
      <c r="P89" s="2196"/>
      <c r="Q89" s="1588"/>
      <c r="R89" s="1590"/>
      <c r="S89" s="1590"/>
      <c r="T89" s="1590"/>
      <c r="U89" s="1590"/>
      <c r="V89" s="1590"/>
      <c r="W89" s="1590"/>
      <c r="X89" s="1590"/>
      <c r="Y89" s="1590"/>
      <c r="Z89" s="1590"/>
      <c r="AA89" s="1590"/>
      <c r="AB89" s="1590"/>
      <c r="AC89" s="1590"/>
    </row>
    <row r="90" spans="1:29" s="1353" customFormat="1">
      <c r="A90" s="1619"/>
      <c r="B90" s="1599"/>
      <c r="C90" s="1620">
        <v>100</v>
      </c>
      <c r="D90" s="1604">
        <f>C90-$K27</f>
        <v>100</v>
      </c>
      <c r="E90" s="1604">
        <f t="shared" ref="E90:M90" si="20">D90-$K27</f>
        <v>100</v>
      </c>
      <c r="F90" s="1604">
        <f t="shared" si="20"/>
        <v>100</v>
      </c>
      <c r="G90" s="1604">
        <f t="shared" si="20"/>
        <v>100</v>
      </c>
      <c r="H90" s="1604">
        <f t="shared" si="20"/>
        <v>100</v>
      </c>
      <c r="I90" s="1604">
        <f t="shared" si="20"/>
        <v>100</v>
      </c>
      <c r="J90" s="1604">
        <f t="shared" si="20"/>
        <v>100</v>
      </c>
      <c r="K90" s="1604">
        <f t="shared" si="20"/>
        <v>100</v>
      </c>
      <c r="L90" s="1604">
        <f t="shared" si="20"/>
        <v>100</v>
      </c>
      <c r="M90" s="1604">
        <f t="shared" si="20"/>
        <v>100</v>
      </c>
      <c r="N90" s="1571"/>
      <c r="O90" s="1571"/>
      <c r="P90" s="2196"/>
      <c r="Q90" s="1588"/>
      <c r="R90" s="1590"/>
      <c r="S90" s="1590"/>
      <c r="T90" s="1590"/>
      <c r="U90" s="1590"/>
      <c r="V90" s="1590"/>
      <c r="W90" s="1590"/>
      <c r="X90" s="1590"/>
      <c r="Y90" s="1590"/>
      <c r="Z90" s="1590"/>
      <c r="AA90" s="1590"/>
      <c r="AB90" s="1590"/>
      <c r="AC90" s="1590"/>
    </row>
    <row r="91" spans="1:29" s="1355" customFormat="1">
      <c r="A91" s="1605"/>
      <c r="B91" s="1597" t="str">
        <f>B28</f>
        <v>朝向</v>
      </c>
      <c r="C91" s="1606"/>
      <c r="D91" s="1606"/>
      <c r="E91" s="1606"/>
      <c r="F91" s="1606"/>
      <c r="G91" s="1606"/>
      <c r="H91" s="1607"/>
      <c r="I91" s="1607"/>
      <c r="J91" s="1607"/>
      <c r="K91" s="1607"/>
      <c r="L91" s="1639"/>
      <c r="M91" s="1640"/>
      <c r="N91" s="1641"/>
      <c r="O91" s="1641"/>
      <c r="P91" s="2203"/>
      <c r="Q91" s="1671"/>
      <c r="R91" s="1672"/>
      <c r="S91" s="1672"/>
      <c r="T91" s="1672"/>
      <c r="U91" s="1672"/>
      <c r="V91" s="1672"/>
      <c r="W91" s="1672"/>
      <c r="X91" s="1672"/>
      <c r="Y91" s="1672"/>
      <c r="Z91" s="1672"/>
      <c r="AA91" s="1672"/>
      <c r="AB91" s="1672"/>
      <c r="AC91" s="1672"/>
    </row>
    <row r="92" spans="1:29" s="1355" customFormat="1">
      <c r="A92" s="1605"/>
      <c r="B92" s="1599"/>
      <c r="C92" s="1620">
        <v>100</v>
      </c>
      <c r="D92" s="1604">
        <f t="shared" ref="D92:M92" si="21">C92-$K28</f>
        <v>100</v>
      </c>
      <c r="E92" s="1604">
        <f t="shared" si="21"/>
        <v>100</v>
      </c>
      <c r="F92" s="1604">
        <f t="shared" si="21"/>
        <v>100</v>
      </c>
      <c r="G92" s="1604">
        <f t="shared" si="21"/>
        <v>100</v>
      </c>
      <c r="H92" s="1604">
        <f t="shared" si="21"/>
        <v>100</v>
      </c>
      <c r="I92" s="1604">
        <f t="shared" si="21"/>
        <v>100</v>
      </c>
      <c r="J92" s="1604">
        <f t="shared" si="21"/>
        <v>100</v>
      </c>
      <c r="K92" s="1604">
        <f t="shared" si="21"/>
        <v>100</v>
      </c>
      <c r="L92" s="1604">
        <f t="shared" si="21"/>
        <v>100</v>
      </c>
      <c r="M92" s="1604">
        <f t="shared" si="21"/>
        <v>100</v>
      </c>
      <c r="N92" s="1641"/>
      <c r="O92" s="1641"/>
      <c r="P92" s="2203"/>
      <c r="Q92" s="1671"/>
      <c r="R92" s="1672"/>
      <c r="S92" s="1672"/>
      <c r="T92" s="1672"/>
      <c r="U92" s="1672"/>
      <c r="V92" s="1672"/>
      <c r="W92" s="1672"/>
      <c r="X92" s="1672"/>
      <c r="Y92" s="1672"/>
      <c r="Z92" s="1672"/>
      <c r="AA92" s="1672"/>
      <c r="AB92" s="1672"/>
      <c r="AC92" s="1672"/>
    </row>
    <row r="93" spans="1:29">
      <c r="A93" s="1516"/>
      <c r="B93" s="1597">
        <f>B29</f>
        <v>111</v>
      </c>
      <c r="C93" s="1606"/>
      <c r="D93" s="1606"/>
      <c r="E93" s="1606"/>
      <c r="F93" s="1606"/>
      <c r="G93" s="1606"/>
      <c r="H93" s="1606"/>
      <c r="I93" s="1606"/>
      <c r="J93" s="1606"/>
      <c r="K93" s="1606"/>
      <c r="L93" s="1657"/>
      <c r="M93" s="1658"/>
      <c r="N93" s="1568"/>
      <c r="O93" s="1568"/>
      <c r="P93" s="2196"/>
      <c r="Q93" s="1588"/>
      <c r="R93" s="1484"/>
      <c r="S93" s="1484"/>
      <c r="T93" s="1484"/>
      <c r="U93" s="1484"/>
      <c r="V93" s="1484"/>
      <c r="W93" s="1484"/>
      <c r="X93" s="1484"/>
      <c r="Y93" s="1484"/>
      <c r="Z93" s="1484"/>
      <c r="AA93" s="1484"/>
      <c r="AB93" s="1484"/>
      <c r="AC93" s="1484"/>
    </row>
    <row r="94" spans="1:29">
      <c r="A94" s="1516"/>
      <c r="B94" s="1599"/>
      <c r="C94" s="1608"/>
      <c r="D94" s="1518"/>
      <c r="E94" s="1518"/>
      <c r="F94" s="1518"/>
      <c r="G94" s="1518"/>
      <c r="H94" s="1518"/>
      <c r="I94" s="1518"/>
      <c r="J94" s="1518"/>
      <c r="K94" s="1518"/>
      <c r="L94" s="1518"/>
      <c r="M94" s="1570"/>
      <c r="N94" s="1571"/>
      <c r="O94" s="1571"/>
      <c r="P94" s="2196"/>
      <c r="Q94" s="1588"/>
      <c r="R94" s="1484"/>
      <c r="S94" s="1484"/>
      <c r="T94" s="1484"/>
      <c r="U94" s="1484"/>
      <c r="V94" s="1484"/>
      <c r="W94" s="1484"/>
      <c r="X94" s="1484"/>
      <c r="Y94" s="1484"/>
      <c r="Z94" s="1484"/>
      <c r="AA94" s="1484"/>
      <c r="AB94" s="1484"/>
      <c r="AC94" s="1484"/>
    </row>
    <row r="95" spans="1:29">
      <c r="A95" s="1516"/>
      <c r="B95" s="1597">
        <f>B30</f>
        <v>111</v>
      </c>
      <c r="C95" s="1606"/>
      <c r="D95" s="1606"/>
      <c r="E95" s="1606"/>
      <c r="F95" s="1606"/>
      <c r="G95" s="1598"/>
      <c r="H95" s="1598"/>
      <c r="I95" s="1598"/>
      <c r="J95" s="1598"/>
      <c r="K95" s="1632"/>
      <c r="L95" s="1633"/>
      <c r="M95" s="1634"/>
      <c r="N95" s="1568"/>
      <c r="O95" s="1568"/>
      <c r="P95" s="2196"/>
      <c r="Q95" s="1588"/>
      <c r="R95" s="1484"/>
      <c r="S95" s="1484"/>
      <c r="T95" s="1484"/>
      <c r="U95" s="1484"/>
      <c r="V95" s="1484"/>
      <c r="W95" s="1484"/>
      <c r="X95" s="1484"/>
      <c r="Y95" s="1484"/>
      <c r="Z95" s="1484"/>
      <c r="AA95" s="1484"/>
      <c r="AB95" s="1484"/>
      <c r="AC95" s="1484"/>
    </row>
    <row r="96" spans="1:29">
      <c r="A96" s="1516"/>
      <c r="B96" s="1599"/>
      <c r="C96" s="1608"/>
      <c r="D96" s="1608"/>
      <c r="E96" s="1608"/>
      <c r="F96" s="1608"/>
      <c r="G96" s="1518"/>
      <c r="H96" s="1518"/>
      <c r="I96" s="1518"/>
      <c r="J96" s="1518"/>
      <c r="K96" s="1518"/>
      <c r="L96" s="1518"/>
      <c r="M96" s="1570"/>
      <c r="N96" s="1571"/>
      <c r="O96" s="1571"/>
      <c r="P96" s="2196"/>
      <c r="Q96" s="1588"/>
      <c r="R96" s="1484"/>
      <c r="S96" s="1484"/>
      <c r="T96" s="1484"/>
      <c r="U96" s="1484"/>
      <c r="V96" s="1484"/>
      <c r="W96" s="1484"/>
      <c r="X96" s="1484"/>
      <c r="Y96" s="1484"/>
      <c r="Z96" s="1484"/>
      <c r="AA96" s="1484"/>
      <c r="AB96" s="1484"/>
      <c r="AC96" s="1484"/>
    </row>
    <row r="97" spans="1:29">
      <c r="A97" s="1516"/>
      <c r="B97" s="1597">
        <f>B31</f>
        <v>111</v>
      </c>
      <c r="C97" s="1606"/>
      <c r="D97" s="1606"/>
      <c r="E97" s="1606"/>
      <c r="F97" s="1606"/>
      <c r="G97" s="1598"/>
      <c r="H97" s="1598"/>
      <c r="I97" s="1598"/>
      <c r="J97" s="1598"/>
      <c r="K97" s="1632"/>
      <c r="L97" s="1633"/>
      <c r="M97" s="1634"/>
      <c r="N97" s="1568"/>
      <c r="O97" s="1568"/>
      <c r="P97" s="2196"/>
      <c r="Q97" s="1588"/>
      <c r="R97" s="1484"/>
      <c r="S97" s="1484"/>
      <c r="T97" s="1484"/>
      <c r="U97" s="1484"/>
      <c r="V97" s="1484"/>
      <c r="W97" s="1484"/>
      <c r="X97" s="1484"/>
      <c r="Y97" s="1484"/>
      <c r="Z97" s="1484"/>
      <c r="AA97" s="1484"/>
      <c r="AB97" s="1484"/>
      <c r="AC97" s="1484"/>
    </row>
    <row r="98" spans="1:29">
      <c r="A98" s="1516"/>
      <c r="B98" s="1599"/>
      <c r="C98" s="1608"/>
      <c r="D98" s="1518"/>
      <c r="E98" s="1518"/>
      <c r="F98" s="1518"/>
      <c r="G98" s="1518"/>
      <c r="H98" s="1518"/>
      <c r="I98" s="1518"/>
      <c r="J98" s="1518"/>
      <c r="K98" s="1518"/>
      <c r="L98" s="1518"/>
      <c r="M98" s="1570"/>
      <c r="N98" s="1571"/>
      <c r="O98" s="1571"/>
      <c r="P98" s="2196"/>
      <c r="Q98" s="1588"/>
      <c r="R98" s="1484"/>
      <c r="S98" s="1484"/>
      <c r="T98" s="1484"/>
      <c r="U98" s="1484"/>
      <c r="V98" s="1484"/>
      <c r="W98" s="1484"/>
      <c r="X98" s="1484"/>
      <c r="Y98" s="1484"/>
      <c r="Z98" s="1484"/>
      <c r="AA98" s="1484"/>
      <c r="AB98" s="1484"/>
      <c r="AC98" s="1484"/>
    </row>
    <row r="99" spans="1:29">
      <c r="A99" s="1516"/>
      <c r="B99" s="1600">
        <f>B32</f>
        <v>111</v>
      </c>
      <c r="C99" s="1510"/>
      <c r="D99" s="1510"/>
      <c r="E99" s="1510"/>
      <c r="F99" s="1510"/>
      <c r="G99" s="1622"/>
      <c r="H99" s="1622"/>
      <c r="I99" s="1622"/>
      <c r="J99" s="1622"/>
      <c r="K99" s="1659"/>
      <c r="L99" s="1660"/>
      <c r="M99" s="1661"/>
      <c r="N99" s="1568"/>
      <c r="O99" s="1568"/>
      <c r="P99" s="2196"/>
      <c r="Q99" s="1588"/>
      <c r="R99" s="1484"/>
      <c r="S99" s="1484"/>
      <c r="T99" s="1484"/>
      <c r="U99" s="1484"/>
      <c r="V99" s="1484"/>
      <c r="W99" s="1484"/>
      <c r="X99" s="1484"/>
      <c r="Y99" s="1484"/>
      <c r="Z99" s="1484"/>
      <c r="AA99" s="1484"/>
      <c r="AB99" s="1484"/>
      <c r="AC99" s="1484"/>
    </row>
    <row r="100" spans="1:29">
      <c r="A100" s="1623"/>
      <c r="B100" s="1612"/>
      <c r="C100" s="1613"/>
      <c r="D100" s="1613"/>
      <c r="E100" s="1613"/>
      <c r="F100" s="1613"/>
      <c r="G100" s="1624"/>
      <c r="H100" s="1624"/>
      <c r="I100" s="1624"/>
      <c r="J100" s="1624"/>
      <c r="K100" s="1624"/>
      <c r="L100" s="1624"/>
      <c r="M100" s="1662"/>
      <c r="N100" s="1571"/>
      <c r="O100" s="1571"/>
      <c r="P100" s="2196"/>
      <c r="Q100" s="1588"/>
      <c r="R100" s="1484"/>
      <c r="S100" s="1484"/>
      <c r="T100" s="1484"/>
      <c r="U100" s="1484"/>
      <c r="V100" s="1484"/>
      <c r="W100" s="1484"/>
      <c r="X100" s="1484"/>
      <c r="Y100" s="1484"/>
      <c r="Z100" s="1484"/>
      <c r="AA100" s="1484"/>
      <c r="AB100" s="1484"/>
      <c r="AC100" s="1484"/>
    </row>
    <row r="101" spans="1:29" ht="14.4">
      <c r="A101" s="1512" t="s">
        <v>2904</v>
      </c>
      <c r="B101" s="1513" t="s">
        <v>3462</v>
      </c>
      <c r="C101" s="1515"/>
      <c r="D101" s="1515"/>
      <c r="E101" s="1515"/>
      <c r="F101" s="1515"/>
      <c r="G101" s="1515"/>
      <c r="H101" s="1515"/>
      <c r="I101" s="1515"/>
      <c r="J101" s="1515"/>
      <c r="K101" s="1565"/>
      <c r="L101" s="1566"/>
      <c r="M101" s="1567"/>
      <c r="N101" s="1568"/>
      <c r="O101" s="1568"/>
      <c r="P101" s="2196"/>
      <c r="Q101" s="1588"/>
      <c r="R101" s="1484"/>
      <c r="S101" s="1484"/>
      <c r="T101" s="1484"/>
      <c r="U101" s="1484"/>
      <c r="V101" s="1484"/>
      <c r="W101" s="1484"/>
      <c r="X101" s="1484"/>
      <c r="Y101" s="1484"/>
      <c r="Z101" s="1484"/>
      <c r="AA101" s="1484"/>
      <c r="AB101" s="1484"/>
      <c r="AC101" s="1484"/>
    </row>
    <row r="102" spans="1:29">
      <c r="A102" s="1516"/>
      <c r="B102" s="1599"/>
      <c r="C102" s="1604">
        <v>100</v>
      </c>
      <c r="D102" s="1604">
        <f t="shared" ref="D102:M102" si="22">C102-$K33</f>
        <v>100</v>
      </c>
      <c r="E102" s="1604">
        <f t="shared" si="22"/>
        <v>100</v>
      </c>
      <c r="F102" s="1604">
        <f t="shared" si="22"/>
        <v>100</v>
      </c>
      <c r="G102" s="1604">
        <f t="shared" si="22"/>
        <v>100</v>
      </c>
      <c r="H102" s="1604">
        <f t="shared" si="22"/>
        <v>100</v>
      </c>
      <c r="I102" s="1604">
        <f t="shared" si="22"/>
        <v>100</v>
      </c>
      <c r="J102" s="1604">
        <f t="shared" si="22"/>
        <v>100</v>
      </c>
      <c r="K102" s="1604">
        <f t="shared" si="22"/>
        <v>100</v>
      </c>
      <c r="L102" s="1604">
        <f t="shared" si="22"/>
        <v>100</v>
      </c>
      <c r="M102" s="1638">
        <f t="shared" si="22"/>
        <v>100</v>
      </c>
      <c r="N102" s="1571"/>
      <c r="O102" s="1571"/>
      <c r="P102" s="2196"/>
      <c r="Q102" s="1588"/>
      <c r="R102" s="1484"/>
      <c r="S102" s="1484"/>
      <c r="T102" s="1484"/>
      <c r="U102" s="1484"/>
      <c r="V102" s="1484"/>
      <c r="W102" s="1484"/>
      <c r="X102" s="1484"/>
      <c r="Y102" s="1484"/>
      <c r="Z102" s="1484"/>
      <c r="AA102" s="1484"/>
      <c r="AB102" s="1484"/>
      <c r="AC102" s="1484"/>
    </row>
    <row r="103" spans="1:29" ht="14.4">
      <c r="A103" s="1516"/>
      <c r="B103" s="1597" t="s">
        <v>3463</v>
      </c>
      <c r="C103" s="1616" t="str">
        <f>C104&amp;"(含)"&amp;"-"&amp;D104</f>
        <v>(含)-</v>
      </c>
      <c r="D103" s="1616" t="str">
        <f t="shared" ref="D103:L103" si="23">D104&amp;"(含)"&amp;"-"&amp;E104</f>
        <v>(含)-</v>
      </c>
      <c r="E103" s="1616" t="str">
        <f t="shared" si="23"/>
        <v>(含)-</v>
      </c>
      <c r="F103" s="1616" t="str">
        <f t="shared" si="23"/>
        <v>(含)-</v>
      </c>
      <c r="G103" s="1616" t="str">
        <f t="shared" si="23"/>
        <v>(含)-</v>
      </c>
      <c r="H103" s="1616" t="str">
        <f t="shared" si="23"/>
        <v>(含)-</v>
      </c>
      <c r="I103" s="1616" t="str">
        <f t="shared" si="23"/>
        <v>(含)-</v>
      </c>
      <c r="J103" s="1616" t="str">
        <f t="shared" si="23"/>
        <v>(含)-</v>
      </c>
      <c r="K103" s="1616" t="str">
        <f t="shared" si="23"/>
        <v>(含)-</v>
      </c>
      <c r="L103" s="1616" t="str">
        <f t="shared" si="23"/>
        <v>(含)-</v>
      </c>
      <c r="M103" s="1663" t="str">
        <f>M104&amp;"(含)"&amp;"-"&amp;P104</f>
        <v>(含)-</v>
      </c>
      <c r="N103" s="1562"/>
      <c r="O103" s="1562"/>
      <c r="P103" s="2196"/>
      <c r="Q103" s="1588"/>
      <c r="R103" s="1484"/>
      <c r="S103" s="1484"/>
      <c r="T103" s="1484"/>
      <c r="U103" s="1484"/>
      <c r="V103" s="1484"/>
      <c r="W103" s="1484"/>
      <c r="X103" s="1484"/>
      <c r="Y103" s="1484"/>
      <c r="Z103" s="1484"/>
      <c r="AA103" s="1484"/>
      <c r="AB103" s="1484"/>
      <c r="AC103" s="1484"/>
    </row>
    <row r="104" spans="1:29" s="1355" customFormat="1">
      <c r="A104" s="1626"/>
      <c r="B104" s="1627"/>
      <c r="C104" s="1628"/>
      <c r="D104" s="1628"/>
      <c r="E104" s="1628"/>
      <c r="F104" s="1628"/>
      <c r="G104" s="1628"/>
      <c r="H104" s="1628"/>
      <c r="I104" s="1628"/>
      <c r="J104" s="1664"/>
      <c r="K104" s="1664"/>
      <c r="L104" s="1665"/>
      <c r="M104" s="1666"/>
      <c r="N104" s="1641"/>
      <c r="O104" s="1641"/>
      <c r="P104" s="2203"/>
      <c r="Q104" s="1671"/>
      <c r="R104" s="1672"/>
      <c r="S104" s="1672"/>
      <c r="T104" s="1672"/>
      <c r="U104" s="1672"/>
      <c r="V104" s="1672"/>
      <c r="W104" s="1672"/>
      <c r="X104" s="1672"/>
      <c r="Y104" s="1672"/>
      <c r="Z104" s="1672"/>
      <c r="AA104" s="1672"/>
      <c r="AB104" s="1672"/>
      <c r="AC104" s="1672"/>
    </row>
    <row r="105" spans="1:29" s="1355" customFormat="1">
      <c r="A105" s="1605"/>
      <c r="B105" s="1599"/>
      <c r="C105" s="1608"/>
      <c r="D105" s="1518"/>
      <c r="E105" s="1518"/>
      <c r="F105" s="1518"/>
      <c r="G105" s="1518"/>
      <c r="H105" s="1518"/>
      <c r="I105" s="1518"/>
      <c r="J105" s="1518"/>
      <c r="K105" s="1518"/>
      <c r="L105" s="1518"/>
      <c r="M105" s="1570"/>
      <c r="N105" s="1571"/>
      <c r="O105" s="1571"/>
      <c r="P105" s="2203"/>
      <c r="Q105" s="1671"/>
      <c r="R105" s="1672"/>
      <c r="S105" s="1672"/>
      <c r="T105" s="1672"/>
      <c r="U105" s="1672"/>
      <c r="V105" s="1672"/>
      <c r="W105" s="1672"/>
      <c r="X105" s="1672"/>
      <c r="Y105" s="1672"/>
      <c r="Z105" s="1672"/>
      <c r="AA105" s="1672"/>
      <c r="AB105" s="1672"/>
      <c r="AC105" s="1672"/>
    </row>
    <row r="106" spans="1:29" ht="14.4">
      <c r="A106" s="1629"/>
      <c r="B106" s="1597" t="s">
        <v>3464</v>
      </c>
      <c r="C106" s="1606"/>
      <c r="D106" s="1606"/>
      <c r="E106" s="1598"/>
      <c r="F106" s="1598"/>
      <c r="G106" s="1598"/>
      <c r="H106" s="1598"/>
      <c r="I106" s="1598"/>
      <c r="J106" s="1598"/>
      <c r="K106" s="1632"/>
      <c r="L106" s="1633"/>
      <c r="M106" s="1634"/>
      <c r="N106" s="1568"/>
      <c r="O106" s="1568"/>
      <c r="P106" s="2196"/>
      <c r="Q106" s="1588"/>
      <c r="R106" s="1484"/>
      <c r="S106" s="1484"/>
      <c r="T106" s="1484"/>
      <c r="U106" s="1484"/>
      <c r="V106" s="1484"/>
      <c r="W106" s="1484"/>
      <c r="X106" s="1484"/>
      <c r="Y106" s="1484"/>
      <c r="Z106" s="1484"/>
      <c r="AA106" s="1484"/>
      <c r="AB106" s="1484"/>
      <c r="AC106" s="1484"/>
    </row>
    <row r="107" spans="1:29">
      <c r="A107" s="1516"/>
      <c r="B107" s="1599"/>
      <c r="C107" s="1604">
        <v>100</v>
      </c>
      <c r="D107" s="1604">
        <f t="shared" ref="D107:M107" si="24">C107-$K35</f>
        <v>100</v>
      </c>
      <c r="E107" s="1604">
        <f t="shared" si="24"/>
        <v>100</v>
      </c>
      <c r="F107" s="1604">
        <f t="shared" si="24"/>
        <v>100</v>
      </c>
      <c r="G107" s="1604">
        <f t="shared" si="24"/>
        <v>100</v>
      </c>
      <c r="H107" s="1604">
        <f t="shared" si="24"/>
        <v>100</v>
      </c>
      <c r="I107" s="1604">
        <f t="shared" si="24"/>
        <v>100</v>
      </c>
      <c r="J107" s="1604">
        <f t="shared" si="24"/>
        <v>100</v>
      </c>
      <c r="K107" s="1604">
        <f t="shared" si="24"/>
        <v>100</v>
      </c>
      <c r="L107" s="1604">
        <f t="shared" si="24"/>
        <v>100</v>
      </c>
      <c r="M107" s="1638">
        <f t="shared" si="24"/>
        <v>100</v>
      </c>
      <c r="N107" s="1571"/>
      <c r="O107" s="1571"/>
      <c r="P107" s="2196"/>
      <c r="Q107" s="1588"/>
      <c r="R107" s="1484"/>
      <c r="S107" s="1484"/>
      <c r="T107" s="1484"/>
      <c r="U107" s="1484"/>
      <c r="V107" s="1484"/>
      <c r="W107" s="1484"/>
      <c r="X107" s="1484"/>
      <c r="Y107" s="1484"/>
      <c r="Z107" s="1484"/>
      <c r="AA107" s="1484"/>
      <c r="AB107" s="1484"/>
      <c r="AC107" s="1484"/>
    </row>
    <row r="108" spans="1:29" ht="14.4">
      <c r="A108" s="1629"/>
      <c r="B108" s="1597" t="s">
        <v>2912</v>
      </c>
      <c r="C108" s="1606"/>
      <c r="D108" s="1606"/>
      <c r="E108" s="1606"/>
      <c r="F108" s="1598"/>
      <c r="G108" s="1598"/>
      <c r="H108" s="1598"/>
      <c r="I108" s="1598"/>
      <c r="J108" s="1598"/>
      <c r="K108" s="1632"/>
      <c r="L108" s="1633"/>
      <c r="M108" s="1634"/>
      <c r="N108" s="1568"/>
      <c r="O108" s="1568"/>
      <c r="P108" s="2196"/>
      <c r="Q108" s="1588"/>
      <c r="R108" s="1484"/>
      <c r="S108" s="1484"/>
      <c r="T108" s="1484"/>
      <c r="U108" s="1484"/>
      <c r="V108" s="1484"/>
      <c r="W108" s="1484"/>
      <c r="X108" s="1484"/>
      <c r="Y108" s="1484"/>
      <c r="Z108" s="1484"/>
      <c r="AA108" s="1484"/>
      <c r="AB108" s="1484"/>
      <c r="AC108" s="1484"/>
    </row>
    <row r="109" spans="1:29">
      <c r="A109" s="1516"/>
      <c r="B109" s="1599"/>
      <c r="C109" s="1604">
        <v>100</v>
      </c>
      <c r="D109" s="1604">
        <f t="shared" ref="D109:M109" si="25">C109-$K36</f>
        <v>100</v>
      </c>
      <c r="E109" s="1604">
        <f t="shared" si="25"/>
        <v>100</v>
      </c>
      <c r="F109" s="1604">
        <f t="shared" si="25"/>
        <v>100</v>
      </c>
      <c r="G109" s="1604">
        <f t="shared" si="25"/>
        <v>100</v>
      </c>
      <c r="H109" s="1604">
        <f t="shared" si="25"/>
        <v>100</v>
      </c>
      <c r="I109" s="1604">
        <f t="shared" si="25"/>
        <v>100</v>
      </c>
      <c r="J109" s="1604">
        <f t="shared" si="25"/>
        <v>100</v>
      </c>
      <c r="K109" s="1604">
        <f t="shared" si="25"/>
        <v>100</v>
      </c>
      <c r="L109" s="1604">
        <f t="shared" si="25"/>
        <v>100</v>
      </c>
      <c r="M109" s="1638">
        <f t="shared" si="25"/>
        <v>100</v>
      </c>
      <c r="N109" s="1571"/>
      <c r="O109" s="1571"/>
      <c r="P109" s="2196"/>
      <c r="Q109" s="1588"/>
      <c r="R109" s="1484"/>
      <c r="S109" s="1484"/>
      <c r="T109" s="1484"/>
      <c r="U109" s="1484"/>
      <c r="V109" s="1484"/>
      <c r="W109" s="1484"/>
      <c r="X109" s="1484"/>
      <c r="Y109" s="1484"/>
      <c r="Z109" s="1484"/>
      <c r="AA109" s="1484"/>
      <c r="AB109" s="1484"/>
      <c r="AC109" s="1484"/>
    </row>
    <row r="110" spans="1:29" ht="14.4">
      <c r="A110" s="1629"/>
      <c r="B110" s="1597" t="s">
        <v>2507</v>
      </c>
      <c r="C110" s="1616" t="str">
        <f>C111&amp;"(含)"&amp;"-"&amp;D111</f>
        <v>0.5(含)-0.6</v>
      </c>
      <c r="D110" s="1616" t="str">
        <f>D111&amp;"(含)"&amp;"-"&amp;E111</f>
        <v>0.6(含)-0.7</v>
      </c>
      <c r="E110" s="1616" t="str">
        <f>E111&amp;"(含)"&amp;"-"&amp;F111</f>
        <v>0.7(含)-0.8</v>
      </c>
      <c r="F110" s="1616" t="str">
        <f>F111&amp;"(含)"&amp;"-"&amp;G111</f>
        <v>0.8(含)-0.9</v>
      </c>
      <c r="G110" s="1616" t="str">
        <f>G111&amp;"(含)"&amp;"-"&amp;ROUND(H111,0)&amp;"(含)"</f>
        <v>0.9(含)-1(含)</v>
      </c>
      <c r="H110" s="1616"/>
      <c r="I110" s="1598"/>
      <c r="J110" s="1598"/>
      <c r="K110" s="1632"/>
      <c r="L110" s="1633"/>
      <c r="M110" s="1634"/>
      <c r="N110" s="1568"/>
      <c r="O110" s="1568"/>
      <c r="P110" s="2196"/>
      <c r="Q110" s="1588"/>
      <c r="R110" s="1484"/>
      <c r="S110" s="1484"/>
      <c r="T110" s="1484"/>
      <c r="U110" s="1484"/>
      <c r="V110" s="1484"/>
      <c r="W110" s="1484"/>
      <c r="X110" s="1484"/>
      <c r="Y110" s="1484"/>
      <c r="Z110" s="1484"/>
      <c r="AA110" s="1484"/>
      <c r="AB110" s="1484"/>
      <c r="AC110" s="1484"/>
    </row>
    <row r="111" spans="1:29">
      <c r="A111" s="1629"/>
      <c r="B111" s="1600"/>
      <c r="C111" s="1251">
        <v>0.5</v>
      </c>
      <c r="D111" s="1251">
        <v>0.6</v>
      </c>
      <c r="E111" s="1251">
        <v>0.7</v>
      </c>
      <c r="F111" s="1251">
        <v>0.8</v>
      </c>
      <c r="G111" s="1251">
        <v>0.9</v>
      </c>
      <c r="H111" s="1251">
        <v>1.0001</v>
      </c>
      <c r="I111" s="1667"/>
      <c r="J111" s="1667"/>
      <c r="K111" s="1668"/>
      <c r="L111" s="1669"/>
      <c r="M111" s="1670"/>
      <c r="N111" s="1568"/>
      <c r="O111" s="1568"/>
      <c r="P111" s="2196"/>
      <c r="Q111" s="1588"/>
      <c r="R111" s="1484"/>
      <c r="S111" s="1484"/>
      <c r="T111" s="1484"/>
      <c r="U111" s="1484"/>
      <c r="V111" s="1484"/>
      <c r="W111" s="1484"/>
      <c r="X111" s="1484"/>
      <c r="Y111" s="1484"/>
      <c r="Z111" s="1484"/>
      <c r="AA111" s="1484"/>
      <c r="AB111" s="1484"/>
      <c r="AC111" s="1484"/>
    </row>
    <row r="112" spans="1:29">
      <c r="A112" s="1516"/>
      <c r="B112" s="1599"/>
      <c r="C112" s="1620">
        <v>100</v>
      </c>
      <c r="D112" s="1604">
        <f>C112+$K37</f>
        <v>100</v>
      </c>
      <c r="E112" s="1604">
        <f t="shared" ref="E112:M112" si="26">D112+$K37</f>
        <v>100</v>
      </c>
      <c r="F112" s="1604">
        <f t="shared" si="26"/>
        <v>100</v>
      </c>
      <c r="G112" s="1604">
        <f t="shared" si="26"/>
        <v>100</v>
      </c>
      <c r="H112" s="1604">
        <f t="shared" si="26"/>
        <v>100</v>
      </c>
      <c r="I112" s="1604">
        <f t="shared" si="26"/>
        <v>100</v>
      </c>
      <c r="J112" s="1604">
        <f t="shared" si="26"/>
        <v>100</v>
      </c>
      <c r="K112" s="1604">
        <f t="shared" si="26"/>
        <v>100</v>
      </c>
      <c r="L112" s="1604">
        <f t="shared" si="26"/>
        <v>100</v>
      </c>
      <c r="M112" s="1604">
        <f t="shared" si="26"/>
        <v>100</v>
      </c>
      <c r="N112" s="1571"/>
      <c r="O112" s="1571"/>
      <c r="P112" s="2196"/>
      <c r="Q112" s="1588"/>
      <c r="R112" s="1484"/>
      <c r="S112" s="1484"/>
      <c r="T112" s="1484"/>
      <c r="U112" s="1484"/>
      <c r="V112" s="1484"/>
      <c r="W112" s="1484"/>
      <c r="X112" s="1484"/>
      <c r="Y112" s="1484"/>
      <c r="Z112" s="1484"/>
      <c r="AA112" s="1484"/>
      <c r="AB112" s="1484"/>
      <c r="AC112" s="1484"/>
    </row>
    <row r="113" spans="1:29" s="1355" customFormat="1" ht="14.4">
      <c r="A113" s="1626"/>
      <c r="B113" s="1597" t="s">
        <v>3496</v>
      </c>
      <c r="C113" s="1606"/>
      <c r="D113" s="1606"/>
      <c r="E113" s="1606"/>
      <c r="F113" s="1606"/>
      <c r="G113" s="1606"/>
      <c r="H113" s="1598"/>
      <c r="I113" s="1598"/>
      <c r="J113" s="1598"/>
      <c r="K113" s="1632"/>
      <c r="L113" s="1633"/>
      <c r="M113" s="1634"/>
      <c r="N113" s="1641"/>
      <c r="O113" s="1641"/>
      <c r="P113" s="2203"/>
      <c r="Q113" s="1671"/>
      <c r="R113" s="1672"/>
      <c r="S113" s="1672"/>
      <c r="T113" s="1672"/>
      <c r="U113" s="1672"/>
      <c r="V113" s="1672"/>
      <c r="W113" s="1672"/>
      <c r="X113" s="1672"/>
      <c r="Y113" s="1672"/>
      <c r="Z113" s="1672"/>
      <c r="AA113" s="1672"/>
      <c r="AB113" s="1672"/>
      <c r="AC113" s="1672"/>
    </row>
    <row r="114" spans="1:29" s="1355" customFormat="1">
      <c r="A114" s="1605"/>
      <c r="B114" s="1599"/>
      <c r="C114" s="1604">
        <v>100</v>
      </c>
      <c r="D114" s="1604">
        <f>C114-$K38</f>
        <v>100</v>
      </c>
      <c r="E114" s="1604">
        <f t="shared" ref="E114:M114" si="27">D114-$K38</f>
        <v>100</v>
      </c>
      <c r="F114" s="1604">
        <f t="shared" si="27"/>
        <v>100</v>
      </c>
      <c r="G114" s="1604">
        <f t="shared" si="27"/>
        <v>100</v>
      </c>
      <c r="H114" s="1604">
        <f t="shared" si="27"/>
        <v>100</v>
      </c>
      <c r="I114" s="1604">
        <f t="shared" si="27"/>
        <v>100</v>
      </c>
      <c r="J114" s="1604">
        <f t="shared" si="27"/>
        <v>100</v>
      </c>
      <c r="K114" s="1604">
        <f t="shared" si="27"/>
        <v>100</v>
      </c>
      <c r="L114" s="1604">
        <f t="shared" si="27"/>
        <v>100</v>
      </c>
      <c r="M114" s="1604">
        <f t="shared" si="27"/>
        <v>100</v>
      </c>
      <c r="N114" s="1641"/>
      <c r="O114" s="1641"/>
      <c r="P114" s="2203"/>
      <c r="Q114" s="1671"/>
      <c r="R114" s="1672"/>
      <c r="S114" s="1672"/>
      <c r="T114" s="1672"/>
      <c r="U114" s="1672"/>
      <c r="V114" s="1672"/>
      <c r="W114" s="1672"/>
      <c r="X114" s="1672"/>
      <c r="Y114" s="1672"/>
      <c r="Z114" s="1672"/>
      <c r="AA114" s="1672"/>
      <c r="AB114" s="1672"/>
      <c r="AC114" s="1672"/>
    </row>
    <row r="115" spans="1:29" ht="14.4">
      <c r="A115" s="1629"/>
      <c r="B115" s="1597" t="s">
        <v>3466</v>
      </c>
      <c r="C115" s="1606"/>
      <c r="D115" s="1606"/>
      <c r="E115" s="1598"/>
      <c r="F115" s="1598"/>
      <c r="G115" s="1598"/>
      <c r="H115" s="1598"/>
      <c r="I115" s="1598"/>
      <c r="J115" s="1598"/>
      <c r="K115" s="1632"/>
      <c r="L115" s="1633"/>
      <c r="M115" s="1634"/>
      <c r="N115" s="1568"/>
      <c r="O115" s="1568"/>
      <c r="P115" s="2196"/>
      <c r="Q115" s="1588"/>
      <c r="R115" s="1484"/>
      <c r="S115" s="1484"/>
      <c r="T115" s="1484"/>
      <c r="U115" s="1484"/>
      <c r="V115" s="1484"/>
      <c r="W115" s="1484"/>
      <c r="X115" s="1484"/>
      <c r="Y115" s="1484"/>
      <c r="Z115" s="1484"/>
      <c r="AA115" s="1484"/>
      <c r="AB115" s="1484"/>
      <c r="AC115" s="1484"/>
    </row>
    <row r="116" spans="1:29">
      <c r="A116" s="1516"/>
      <c r="B116" s="1599"/>
      <c r="C116" s="1604">
        <v>100</v>
      </c>
      <c r="D116" s="1604">
        <f t="shared" ref="D116:M116" si="28">C116-$K39</f>
        <v>100</v>
      </c>
      <c r="E116" s="1604">
        <f t="shared" si="28"/>
        <v>100</v>
      </c>
      <c r="F116" s="1604">
        <f t="shared" si="28"/>
        <v>100</v>
      </c>
      <c r="G116" s="1604">
        <f t="shared" si="28"/>
        <v>100</v>
      </c>
      <c r="H116" s="1604">
        <f t="shared" si="28"/>
        <v>100</v>
      </c>
      <c r="I116" s="1604">
        <f t="shared" si="28"/>
        <v>100</v>
      </c>
      <c r="J116" s="1604">
        <f t="shared" si="28"/>
        <v>100</v>
      </c>
      <c r="K116" s="1604">
        <f t="shared" si="28"/>
        <v>100</v>
      </c>
      <c r="L116" s="1604">
        <f t="shared" si="28"/>
        <v>100</v>
      </c>
      <c r="M116" s="1638">
        <f t="shared" si="28"/>
        <v>100</v>
      </c>
      <c r="N116" s="1571"/>
      <c r="O116" s="1571"/>
      <c r="P116" s="2196"/>
      <c r="Q116" s="1588"/>
      <c r="R116" s="1484"/>
      <c r="S116" s="1484"/>
      <c r="T116" s="1484"/>
      <c r="U116" s="1484"/>
      <c r="V116" s="1484"/>
      <c r="W116" s="1484"/>
      <c r="X116" s="1484"/>
      <c r="Y116" s="1484"/>
      <c r="Z116" s="1484"/>
      <c r="AA116" s="1484"/>
      <c r="AB116" s="1484"/>
      <c r="AC116" s="1484"/>
    </row>
    <row r="117" spans="1:29" ht="14.4">
      <c r="A117" s="1629"/>
      <c r="B117" s="1597" t="s">
        <v>3467</v>
      </c>
      <c r="C117" s="1606"/>
      <c r="D117" s="1606"/>
      <c r="E117" s="1606"/>
      <c r="F117" s="1606"/>
      <c r="G117" s="1606"/>
      <c r="H117" s="1598"/>
      <c r="I117" s="1598"/>
      <c r="J117" s="1598"/>
      <c r="K117" s="1632"/>
      <c r="L117" s="1633"/>
      <c r="M117" s="1634"/>
      <c r="N117" s="1568"/>
      <c r="O117" s="1568"/>
      <c r="P117" s="2196"/>
      <c r="Q117" s="1588"/>
      <c r="R117" s="1484"/>
      <c r="S117" s="1484"/>
      <c r="T117" s="1484"/>
      <c r="U117" s="1484"/>
      <c r="V117" s="1484"/>
      <c r="W117" s="1484"/>
      <c r="X117" s="1484"/>
      <c r="Y117" s="1484"/>
      <c r="Z117" s="1484"/>
      <c r="AA117" s="1484"/>
      <c r="AB117" s="1484"/>
      <c r="AC117" s="1484"/>
    </row>
    <row r="118" spans="1:29">
      <c r="A118" s="1516"/>
      <c r="B118" s="1599"/>
      <c r="C118" s="1604">
        <v>100</v>
      </c>
      <c r="D118" s="1604">
        <f>C118-$K40</f>
        <v>100</v>
      </c>
      <c r="E118" s="1604">
        <f>D118-$K40</f>
        <v>100</v>
      </c>
      <c r="F118" s="1604">
        <f>E118-$K40</f>
        <v>100</v>
      </c>
      <c r="G118" s="1604">
        <f>F118-$K40</f>
        <v>100</v>
      </c>
      <c r="H118" s="1604"/>
      <c r="I118" s="1604"/>
      <c r="J118" s="1604"/>
      <c r="K118" s="1604"/>
      <c r="L118" s="1604"/>
      <c r="M118" s="1638"/>
      <c r="N118" s="1571"/>
      <c r="O118" s="1571"/>
      <c r="P118" s="2196"/>
      <c r="Q118" s="1588"/>
      <c r="R118" s="1484"/>
      <c r="S118" s="1484"/>
      <c r="T118" s="1484"/>
      <c r="U118" s="1484"/>
      <c r="V118" s="1484"/>
      <c r="W118" s="1484"/>
      <c r="X118" s="1484"/>
      <c r="Y118" s="1484"/>
      <c r="Z118" s="1484"/>
      <c r="AA118" s="1484"/>
      <c r="AB118" s="1484"/>
      <c r="AC118" s="1484"/>
    </row>
    <row r="119" spans="1:29" ht="14.4">
      <c r="A119" s="1629"/>
      <c r="B119" s="2173" t="s">
        <v>3499</v>
      </c>
      <c r="C119" s="1598"/>
      <c r="D119" s="1598"/>
      <c r="E119" s="1598"/>
      <c r="F119" s="1598"/>
      <c r="G119" s="1598"/>
      <c r="H119" s="1598"/>
      <c r="I119" s="1598"/>
      <c r="J119" s="1598"/>
      <c r="K119" s="1598"/>
      <c r="L119" s="2207"/>
      <c r="M119" s="2208"/>
      <c r="N119" s="1571"/>
      <c r="O119" s="1571"/>
      <c r="P119" s="2209"/>
      <c r="Q119" s="2210"/>
      <c r="R119" s="1484"/>
      <c r="S119" s="1484"/>
      <c r="T119" s="1484"/>
      <c r="U119" s="1484"/>
      <c r="V119" s="1484"/>
      <c r="W119" s="1484"/>
      <c r="X119" s="1484"/>
      <c r="Y119" s="1484"/>
      <c r="Z119" s="1484"/>
      <c r="AA119" s="1484"/>
      <c r="AB119" s="1484"/>
      <c r="AC119" s="1484"/>
    </row>
    <row r="120" spans="1:29">
      <c r="A120" s="1516"/>
      <c r="B120" s="1599"/>
      <c r="C120" s="1620">
        <v>100</v>
      </c>
      <c r="D120" s="1604">
        <f>C120-$K41</f>
        <v>100</v>
      </c>
      <c r="E120" s="1604">
        <f t="shared" ref="E120:M120" si="29">D120-$K41</f>
        <v>100</v>
      </c>
      <c r="F120" s="1604">
        <f t="shared" si="29"/>
        <v>100</v>
      </c>
      <c r="G120" s="1604">
        <f t="shared" si="29"/>
        <v>100</v>
      </c>
      <c r="H120" s="1604">
        <f t="shared" si="29"/>
        <v>100</v>
      </c>
      <c r="I120" s="1604">
        <f t="shared" si="29"/>
        <v>100</v>
      </c>
      <c r="J120" s="1604">
        <f t="shared" si="29"/>
        <v>100</v>
      </c>
      <c r="K120" s="1604">
        <f t="shared" si="29"/>
        <v>100</v>
      </c>
      <c r="L120" s="1604">
        <f t="shared" si="29"/>
        <v>100</v>
      </c>
      <c r="M120" s="1604">
        <f t="shared" si="29"/>
        <v>100</v>
      </c>
      <c r="N120" s="1571"/>
      <c r="O120" s="1571"/>
      <c r="P120" s="2196"/>
      <c r="Q120" s="1588"/>
      <c r="R120" s="1484"/>
      <c r="S120" s="1484"/>
      <c r="T120" s="1484"/>
      <c r="U120" s="1484"/>
      <c r="V120" s="1484"/>
      <c r="W120" s="1484"/>
      <c r="X120" s="1484"/>
      <c r="Y120" s="1484"/>
      <c r="Z120" s="1484"/>
      <c r="AA120" s="1484"/>
      <c r="AB120" s="1484"/>
      <c r="AC120" s="1484"/>
    </row>
    <row r="121" spans="1:29" s="1355" customFormat="1" ht="14.4">
      <c r="A121" s="1626"/>
      <c r="B121" s="1597" t="s">
        <v>3500</v>
      </c>
      <c r="C121" s="1606"/>
      <c r="D121" s="1606"/>
      <c r="E121" s="1606"/>
      <c r="F121" s="1598"/>
      <c r="G121" s="1607"/>
      <c r="H121" s="1607"/>
      <c r="I121" s="1607"/>
      <c r="J121" s="1607"/>
      <c r="K121" s="1607"/>
      <c r="L121" s="1639"/>
      <c r="M121" s="1640"/>
      <c r="N121" s="1641"/>
      <c r="O121" s="1641"/>
      <c r="P121" s="2203"/>
      <c r="Q121" s="1671"/>
      <c r="R121" s="1672"/>
      <c r="S121" s="1672"/>
      <c r="T121" s="1672"/>
      <c r="U121" s="1672"/>
      <c r="V121" s="1672"/>
      <c r="W121" s="1672"/>
      <c r="X121" s="1672"/>
      <c r="Y121" s="1672"/>
      <c r="Z121" s="1672"/>
      <c r="AA121" s="1672"/>
      <c r="AB121" s="1672"/>
      <c r="AC121" s="1672"/>
    </row>
    <row r="122" spans="1:29" s="1355" customFormat="1">
      <c r="A122" s="1605"/>
      <c r="B122" s="1517"/>
      <c r="C122" s="1608"/>
      <c r="D122" s="1608"/>
      <c r="E122" s="1608"/>
      <c r="F122" s="1608"/>
      <c r="G122" s="1608"/>
      <c r="H122" s="1608"/>
      <c r="I122" s="1608"/>
      <c r="J122" s="1608"/>
      <c r="K122" s="1608"/>
      <c r="L122" s="1608"/>
      <c r="M122" s="1608"/>
      <c r="N122" s="1641"/>
      <c r="O122" s="1641"/>
      <c r="P122" s="2203"/>
      <c r="Q122" s="1671"/>
      <c r="R122" s="1672"/>
      <c r="S122" s="1672"/>
      <c r="T122" s="1672"/>
      <c r="U122" s="1672"/>
      <c r="V122" s="1672"/>
      <c r="W122" s="1672"/>
      <c r="X122" s="1672"/>
      <c r="Y122" s="1672"/>
      <c r="Z122" s="1672"/>
      <c r="AA122" s="1672"/>
      <c r="AB122" s="1672"/>
      <c r="AC122" s="1672"/>
    </row>
    <row r="123" spans="1:29" ht="14.4">
      <c r="A123" s="1629"/>
      <c r="B123" s="1597" t="s">
        <v>3470</v>
      </c>
      <c r="C123" s="1606"/>
      <c r="D123" s="1606"/>
      <c r="E123" s="1606"/>
      <c r="F123" s="1598"/>
      <c r="G123" s="1598"/>
      <c r="H123" s="1598"/>
      <c r="I123" s="1598"/>
      <c r="J123" s="1598"/>
      <c r="K123" s="1632"/>
      <c r="L123" s="1633"/>
      <c r="M123" s="1634"/>
      <c r="N123" s="1568"/>
      <c r="O123" s="1568"/>
      <c r="P123" s="2196"/>
      <c r="Q123" s="1588"/>
      <c r="R123" s="1484"/>
      <c r="S123" s="1484"/>
      <c r="T123" s="1484"/>
      <c r="U123" s="1484"/>
      <c r="V123" s="1484"/>
      <c r="W123" s="1484"/>
      <c r="X123" s="1484"/>
      <c r="Y123" s="1484"/>
      <c r="Z123" s="1484"/>
      <c r="AA123" s="1484"/>
      <c r="AB123" s="1484"/>
      <c r="AC123" s="1484"/>
    </row>
    <row r="124" spans="1:29">
      <c r="A124" s="1516"/>
      <c r="B124" s="1599"/>
      <c r="C124" s="1604">
        <v>100</v>
      </c>
      <c r="D124" s="1604">
        <f t="shared" ref="D124:M124" si="30">C124-$K43</f>
        <v>100</v>
      </c>
      <c r="E124" s="1604">
        <f t="shared" si="30"/>
        <v>100</v>
      </c>
      <c r="F124" s="1604">
        <f t="shared" si="30"/>
        <v>100</v>
      </c>
      <c r="G124" s="1604">
        <f t="shared" si="30"/>
        <v>100</v>
      </c>
      <c r="H124" s="1604">
        <f t="shared" si="30"/>
        <v>100</v>
      </c>
      <c r="I124" s="1604">
        <f t="shared" si="30"/>
        <v>100</v>
      </c>
      <c r="J124" s="1604">
        <f t="shared" si="30"/>
        <v>100</v>
      </c>
      <c r="K124" s="1604">
        <f t="shared" si="30"/>
        <v>100</v>
      </c>
      <c r="L124" s="1604">
        <f t="shared" si="30"/>
        <v>100</v>
      </c>
      <c r="M124" s="1638">
        <f t="shared" si="30"/>
        <v>100</v>
      </c>
      <c r="N124" s="1571"/>
      <c r="O124" s="1571"/>
      <c r="P124" s="2196"/>
      <c r="Q124" s="1588"/>
      <c r="R124" s="1484"/>
      <c r="S124" s="1484"/>
      <c r="T124" s="1484"/>
      <c r="U124" s="1484"/>
      <c r="V124" s="1484"/>
      <c r="W124" s="1484"/>
      <c r="X124" s="1484"/>
      <c r="Y124" s="1484"/>
      <c r="Z124" s="1484"/>
      <c r="AA124" s="1484"/>
      <c r="AB124" s="1484"/>
      <c r="AC124" s="1484"/>
    </row>
    <row r="125" spans="1:29" ht="28.8">
      <c r="A125" s="1629"/>
      <c r="B125" s="1597" t="s">
        <v>3471</v>
      </c>
      <c r="C125" s="1616" t="s">
        <v>2933</v>
      </c>
      <c r="D125" s="1616" t="s">
        <v>2934</v>
      </c>
      <c r="E125" s="1616" t="s">
        <v>2935</v>
      </c>
      <c r="F125" s="1616" t="s">
        <v>2936</v>
      </c>
      <c r="G125" s="1616" t="s">
        <v>2937</v>
      </c>
      <c r="H125" s="1617"/>
      <c r="I125" s="1617"/>
      <c r="J125" s="1617"/>
      <c r="K125" s="1653"/>
      <c r="L125" s="1654"/>
      <c r="M125" s="1655"/>
      <c r="N125" s="1568"/>
      <c r="O125" s="1568"/>
      <c r="P125" s="2203"/>
      <c r="Q125" s="1588"/>
      <c r="R125" s="1484"/>
      <c r="S125" s="1484"/>
      <c r="T125" s="1484"/>
      <c r="U125" s="1484"/>
      <c r="V125" s="1484"/>
      <c r="W125" s="1484"/>
      <c r="X125" s="1484"/>
      <c r="Y125" s="1484"/>
      <c r="Z125" s="1484"/>
      <c r="AA125" s="1484"/>
      <c r="AB125" s="1484"/>
      <c r="AC125" s="1484"/>
    </row>
    <row r="126" spans="1:29">
      <c r="A126" s="1516"/>
      <c r="B126" s="1599"/>
      <c r="C126" s="1604">
        <v>100</v>
      </c>
      <c r="D126" s="1604">
        <f>C126-$K44</f>
        <v>100</v>
      </c>
      <c r="E126" s="1604">
        <f>D126-$K44</f>
        <v>100</v>
      </c>
      <c r="F126" s="1604">
        <f>E126-$K44</f>
        <v>100</v>
      </c>
      <c r="G126" s="1604">
        <f>F126-$K44</f>
        <v>100</v>
      </c>
      <c r="H126" s="1604"/>
      <c r="I126" s="1604"/>
      <c r="J126" s="1604"/>
      <c r="K126" s="1604"/>
      <c r="L126" s="1604"/>
      <c r="M126" s="1638"/>
      <c r="N126" s="1571"/>
      <c r="O126" s="1571"/>
      <c r="P126" s="2196"/>
      <c r="Q126" s="1588"/>
      <c r="R126" s="1484"/>
      <c r="S126" s="1484"/>
      <c r="T126" s="1484"/>
      <c r="U126" s="1484"/>
      <c r="V126" s="1484"/>
      <c r="W126" s="1484"/>
      <c r="X126" s="1484"/>
      <c r="Y126" s="1484"/>
      <c r="Z126" s="1484"/>
      <c r="AA126" s="1484"/>
      <c r="AB126" s="1484"/>
      <c r="AC126" s="1484"/>
    </row>
    <row r="127" spans="1:29" s="1355" customFormat="1">
      <c r="A127" s="1626"/>
      <c r="B127" s="1597">
        <f>B45</f>
        <v>111</v>
      </c>
      <c r="C127" s="1606"/>
      <c r="D127" s="1606"/>
      <c r="E127" s="1606"/>
      <c r="F127" s="1606"/>
      <c r="G127" s="1606"/>
      <c r="H127" s="1607"/>
      <c r="I127" s="1607"/>
      <c r="J127" s="1607"/>
      <c r="K127" s="1607"/>
      <c r="L127" s="1639"/>
      <c r="M127" s="1640"/>
      <c r="N127" s="1641"/>
      <c r="O127" s="1641"/>
      <c r="P127" s="2203"/>
      <c r="Q127" s="1671"/>
      <c r="R127" s="1672"/>
      <c r="S127" s="1672"/>
      <c r="T127" s="1672"/>
      <c r="U127" s="1672"/>
      <c r="V127" s="1672"/>
      <c r="W127" s="1672"/>
      <c r="X127" s="1672"/>
      <c r="Y127" s="1672"/>
      <c r="Z127" s="1672"/>
      <c r="AA127" s="1672"/>
      <c r="AB127" s="1672"/>
      <c r="AC127" s="1672"/>
    </row>
    <row r="128" spans="1:29" s="1355" customFormat="1">
      <c r="A128" s="1605"/>
      <c r="B128" s="1599"/>
      <c r="C128" s="1608"/>
      <c r="D128" s="1518"/>
      <c r="E128" s="1518"/>
      <c r="F128" s="1518"/>
      <c r="G128" s="1608"/>
      <c r="H128" s="1609"/>
      <c r="I128" s="1609"/>
      <c r="J128" s="1609"/>
      <c r="K128" s="1609"/>
      <c r="L128" s="1609"/>
      <c r="M128" s="1644"/>
      <c r="N128" s="1641"/>
      <c r="O128" s="1641"/>
      <c r="P128" s="2203"/>
      <c r="Q128" s="1671"/>
      <c r="R128" s="1672"/>
      <c r="S128" s="1672"/>
      <c r="T128" s="1672"/>
      <c r="U128" s="1672"/>
      <c r="V128" s="1672"/>
      <c r="W128" s="1672"/>
      <c r="X128" s="1672"/>
      <c r="Y128" s="1672"/>
      <c r="Z128" s="1672"/>
      <c r="AA128" s="1672"/>
      <c r="AB128" s="1672"/>
      <c r="AC128" s="1672"/>
    </row>
    <row r="129" spans="1:29">
      <c r="A129" s="1629"/>
      <c r="B129" s="1597">
        <f>B46</f>
        <v>111</v>
      </c>
      <c r="C129" s="1606"/>
      <c r="D129" s="1606"/>
      <c r="E129" s="1606"/>
      <c r="F129" s="1606"/>
      <c r="G129" s="1598"/>
      <c r="H129" s="1598"/>
      <c r="I129" s="1598"/>
      <c r="J129" s="1598"/>
      <c r="K129" s="1632"/>
      <c r="L129" s="1633"/>
      <c r="M129" s="1634"/>
      <c r="N129" s="1568"/>
      <c r="O129" s="1568"/>
      <c r="P129" s="2196"/>
      <c r="Q129" s="1588"/>
      <c r="R129" s="1484"/>
      <c r="S129" s="1484"/>
      <c r="T129" s="1484"/>
      <c r="U129" s="1484"/>
      <c r="V129" s="1484"/>
      <c r="W129" s="1484"/>
      <c r="X129" s="1484"/>
      <c r="Y129" s="1484"/>
      <c r="Z129" s="1484"/>
      <c r="AA129" s="1484"/>
      <c r="AB129" s="1484"/>
      <c r="AC129" s="1484"/>
    </row>
    <row r="130" spans="1:29">
      <c r="A130" s="1516"/>
      <c r="B130" s="1599"/>
      <c r="C130" s="1608"/>
      <c r="D130" s="1608"/>
      <c r="E130" s="1608"/>
      <c r="F130" s="1608"/>
      <c r="G130" s="1518"/>
      <c r="H130" s="1518"/>
      <c r="I130" s="1518"/>
      <c r="J130" s="1518"/>
      <c r="K130" s="1518"/>
      <c r="L130" s="1518"/>
      <c r="M130" s="1570"/>
      <c r="N130" s="1571"/>
      <c r="O130" s="1571"/>
      <c r="P130" s="2196"/>
      <c r="Q130" s="1588"/>
      <c r="R130" s="1484"/>
      <c r="S130" s="1484"/>
      <c r="T130" s="1484"/>
      <c r="U130" s="1484"/>
      <c r="V130" s="1484"/>
      <c r="W130" s="1484"/>
      <c r="X130" s="1484"/>
      <c r="Y130" s="1484"/>
      <c r="Z130" s="1484"/>
      <c r="AA130" s="1484"/>
      <c r="AB130" s="1484"/>
      <c r="AC130" s="1484"/>
    </row>
    <row r="131" spans="1:29">
      <c r="A131" s="1629"/>
      <c r="B131" s="1600">
        <f>B47</f>
        <v>111</v>
      </c>
      <c r="C131" s="1510"/>
      <c r="D131" s="1510"/>
      <c r="E131" s="1510"/>
      <c r="F131" s="1510"/>
      <c r="G131" s="1622"/>
      <c r="H131" s="1622"/>
      <c r="I131" s="1622"/>
      <c r="J131" s="1622"/>
      <c r="K131" s="1510"/>
      <c r="L131" s="1560"/>
      <c r="M131" s="1661"/>
      <c r="N131" s="1568"/>
      <c r="O131" s="1568"/>
      <c r="P131" s="2196"/>
      <c r="Q131" s="1588"/>
      <c r="R131" s="1484"/>
      <c r="S131" s="1484"/>
      <c r="T131" s="1484"/>
      <c r="U131" s="1484"/>
      <c r="V131" s="1484"/>
      <c r="W131" s="1484"/>
      <c r="X131" s="1484"/>
      <c r="Y131" s="1484"/>
      <c r="Z131" s="1484"/>
      <c r="AA131" s="1484"/>
      <c r="AB131" s="1484"/>
      <c r="AC131" s="1484"/>
    </row>
    <row r="132" spans="1:29">
      <c r="A132" s="1623"/>
      <c r="B132" s="1612"/>
      <c r="C132" s="1613"/>
      <c r="D132" s="1613"/>
      <c r="E132" s="1613"/>
      <c r="F132" s="1613"/>
      <c r="G132" s="1624"/>
      <c r="H132" s="1624"/>
      <c r="I132" s="1624"/>
      <c r="J132" s="1624"/>
      <c r="K132" s="1624"/>
      <c r="L132" s="1624"/>
      <c r="M132" s="1662"/>
      <c r="N132" s="1571"/>
      <c r="O132" s="1571"/>
      <c r="P132" s="2196"/>
      <c r="Q132" s="1588"/>
      <c r="R132" s="1484"/>
      <c r="S132" s="1484"/>
      <c r="T132" s="1484"/>
      <c r="U132" s="1484"/>
      <c r="V132" s="1484"/>
      <c r="W132" s="1484"/>
      <c r="X132" s="1484"/>
      <c r="Y132" s="1484"/>
      <c r="Z132" s="1484"/>
      <c r="AA132" s="1484"/>
      <c r="AB132" s="1484"/>
      <c r="AC132" s="148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9" type="noConversion"/>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E53">
    <cfRule type="expression" dxfId="120" priority="16" stopIfTrue="1">
      <formula>$F$53="超过30%"</formula>
    </cfRule>
  </conditionalFormatting>
  <conditionalFormatting sqref="G53">
    <cfRule type="expression" dxfId="119" priority="12" stopIfTrue="1">
      <formula>$H$53="超过30%"</formula>
    </cfRule>
  </conditionalFormatting>
  <conditionalFormatting sqref="I53">
    <cfRule type="expression" dxfId="118" priority="7" stopIfTrue="1">
      <formula>$J$53="超过30%"</formula>
    </cfRule>
  </conditionalFormatting>
  <conditionalFormatting sqref="J53">
    <cfRule type="containsText" dxfId="117" priority="10" stopIfTrue="1" operator="containsText" text="超过">
      <formula>NOT(ISERROR(SEARCH("超过",J53)))</formula>
    </cfRule>
  </conditionalFormatting>
  <conditionalFormatting sqref="E54">
    <cfRule type="expression" dxfId="116" priority="15" stopIfTrue="1">
      <formula>$F$54="超过20%"</formula>
    </cfRule>
  </conditionalFormatting>
  <conditionalFormatting sqref="G54">
    <cfRule type="expression" dxfId="115" priority="11" stopIfTrue="1">
      <formula>$H$54="超过20%"</formula>
    </cfRule>
  </conditionalFormatting>
  <conditionalFormatting sqref="I54">
    <cfRule type="expression" dxfId="114" priority="6" stopIfTrue="1">
      <formula>$J$53+$J$54="超过20%"</formula>
    </cfRule>
  </conditionalFormatting>
  <conditionalFormatting sqref="J54">
    <cfRule type="containsText" dxfId="113" priority="8" stopIfTrue="1" operator="containsText" text="超过">
      <formula>NOT(ISERROR(SEARCH("超过",J54)))</formula>
    </cfRule>
  </conditionalFormatting>
  <conditionalFormatting sqref="E55">
    <cfRule type="expression" dxfId="112" priority="14" stopIfTrue="1">
      <formula>$F$55="超过30%"</formula>
    </cfRule>
  </conditionalFormatting>
  <conditionalFormatting sqref="F55">
    <cfRule type="containsText" dxfId="111" priority="18" stopIfTrue="1" operator="containsText" text="超过">
      <formula>NOT(ISERROR(SEARCH("超过",F55)))</formula>
    </cfRule>
  </conditionalFormatting>
  <conditionalFormatting sqref="G55">
    <cfRule type="expression" dxfId="110" priority="13" stopIfTrue="1">
      <formula>$H$55="超过30%"</formula>
    </cfRule>
  </conditionalFormatting>
  <conditionalFormatting sqref="H55">
    <cfRule type="containsText" dxfId="109" priority="19" stopIfTrue="1" operator="containsText" text="超过">
      <formula>NOT(ISERROR(SEARCH("超过",H55)))</formula>
    </cfRule>
  </conditionalFormatting>
  <conditionalFormatting sqref="I55">
    <cfRule type="expression" dxfId="108" priority="5" stopIfTrue="1">
      <formula>$J$55="超过30%"</formula>
    </cfRule>
  </conditionalFormatting>
  <conditionalFormatting sqref="J55">
    <cfRule type="containsText" dxfId="107" priority="9" stopIfTrue="1" operator="containsText" text="超过">
      <formula>NOT(ISERROR(SEARCH("超过",J55)))</formula>
    </cfRule>
  </conditionalFormatting>
  <conditionalFormatting sqref="F7:F47 H7:H47 J7:J47">
    <cfRule type="cellIs" dxfId="106" priority="1" operator="notEqual">
      <formula>100</formula>
    </cfRule>
  </conditionalFormatting>
  <conditionalFormatting sqref="F53 H53">
    <cfRule type="containsText" dxfId="105" priority="20" stopIfTrue="1" operator="containsText" text="超过">
      <formula>NOT(ISERROR(SEARCH("超过",F53)))</formula>
    </cfRule>
  </conditionalFormatting>
  <conditionalFormatting sqref="F54 H54">
    <cfRule type="containsText" dxfId="104"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3.8"/>
  <cols>
    <col min="1" max="1" width="10.44140625" style="1358" customWidth="1"/>
    <col min="2" max="2" width="15.77734375" style="1358" customWidth="1"/>
    <col min="3" max="3" width="14.33203125" style="1358" customWidth="1"/>
    <col min="4" max="4" width="12.21875" style="1358" customWidth="1"/>
    <col min="5" max="5" width="14.33203125" style="1358" customWidth="1"/>
    <col min="6" max="6" width="12.21875" style="1358" customWidth="1"/>
    <col min="7" max="7" width="14.44140625" style="1358" customWidth="1"/>
    <col min="8" max="8" width="12.21875" style="1358" customWidth="1"/>
    <col min="9" max="9" width="14.44140625" style="1358" customWidth="1"/>
    <col min="10" max="10" width="12.21875" style="1358" customWidth="1"/>
    <col min="11" max="11" width="12.21875" style="1359" customWidth="1"/>
    <col min="12" max="12" width="12.21875" style="1360" customWidth="1"/>
    <col min="13" max="15" width="12.21875" style="1358" customWidth="1"/>
    <col min="16" max="16" width="4.77734375" style="1358" customWidth="1"/>
    <col min="17" max="17" width="19.44140625" style="1358" customWidth="1"/>
    <col min="18" max="22" width="6.109375" style="1358" customWidth="1"/>
    <col min="23" max="23" width="5.77734375" style="1358" customWidth="1"/>
    <col min="24" max="24" width="4.21875" style="1358" customWidth="1"/>
    <col min="25" max="25" width="3.44140625" style="1358" customWidth="1"/>
    <col min="26" max="26" width="19.77734375" style="1358" customWidth="1"/>
    <col min="27" max="28" width="9.33203125" style="1358" customWidth="1"/>
    <col min="29" max="16384" width="9" style="1358"/>
  </cols>
  <sheetData>
    <row r="1" spans="1:29" s="1351" customFormat="1" ht="28.5" customHeight="1">
      <c r="A1" s="1362" t="s">
        <v>3453</v>
      </c>
      <c r="B1" s="2131" t="s">
        <v>3501</v>
      </c>
      <c r="C1" s="2132" t="s">
        <v>2860</v>
      </c>
      <c r="D1" s="1365"/>
      <c r="E1" s="2133"/>
      <c r="F1" s="1367"/>
      <c r="G1" s="1368" t="s">
        <v>2863</v>
      </c>
      <c r="H1" s="1369"/>
      <c r="I1" s="1369"/>
      <c r="J1" s="1369"/>
      <c r="K1" s="1519"/>
      <c r="L1" s="1520"/>
      <c r="M1" s="1364"/>
      <c r="N1" s="1364"/>
      <c r="O1" s="1364"/>
      <c r="P1" s="2132"/>
      <c r="Q1" s="2132"/>
      <c r="R1" s="2132"/>
      <c r="S1" s="2132"/>
      <c r="T1" s="2132"/>
      <c r="U1" s="2132"/>
      <c r="V1" s="2132"/>
      <c r="W1" s="2132"/>
      <c r="X1" s="2132"/>
      <c r="Y1" s="2132"/>
      <c r="Z1" s="2132"/>
      <c r="AA1" s="2132"/>
      <c r="AB1" s="2132"/>
      <c r="AC1" s="2172"/>
    </row>
    <row r="2" spans="1:29" s="1352" customFormat="1" ht="28.5" customHeight="1">
      <c r="A2" s="1370" t="s">
        <v>2864</v>
      </c>
      <c r="B2" s="1371" t="b">
        <f>IF(E1="项目模式",IF(C2="——",ROUND(C43*D3/10000,0),ROUND(C43*D3/10000,0)-D2),IF(E1="单套模式",IF(C2="——",ROUND(C43*D3/10000,4),ROUND(C43*D3/10000,4)-D2)))</f>
        <v>0</v>
      </c>
      <c r="C2" s="1372"/>
      <c r="D2" s="2111" t="e">
        <f ca="1">IF(E1="项目模式",SUMIF(INDIRECT("'"&amp;F2&amp;"'"&amp;"!A:A"),"承租人权益价值",INDIRECT("'"&amp;F2&amp;"'"&amp;"!c:c")),SUMIF(INDIRECT("'"&amp;F2&amp;"'"&amp;"!A:A"),"承租人权益价值（单套）",INDIRECT("'"&amp;F2&amp;"'"&amp;"!c:c")))</f>
        <v>#REF!</v>
      </c>
      <c r="E2" s="1374" t="s">
        <v>2865</v>
      </c>
      <c r="F2" s="1375"/>
      <c r="G2" s="1376"/>
      <c r="H2" s="1376"/>
      <c r="I2" s="1376"/>
      <c r="J2" s="1376"/>
      <c r="K2" s="1376"/>
      <c r="L2" s="2142"/>
      <c r="M2" s="1573"/>
      <c r="N2" s="1573"/>
      <c r="O2" s="1573"/>
      <c r="P2" s="2066"/>
      <c r="Q2" s="2066"/>
      <c r="R2" s="2066"/>
      <c r="S2" s="2066"/>
      <c r="T2" s="2066"/>
      <c r="U2" s="2066"/>
      <c r="V2" s="2066"/>
      <c r="W2" s="2066"/>
      <c r="X2" s="2066"/>
      <c r="Y2" s="2066"/>
      <c r="Z2" s="2066"/>
      <c r="AA2" s="2066"/>
      <c r="AB2" s="2066"/>
      <c r="AC2" s="670"/>
    </row>
    <row r="3" spans="1:29" s="1352" customFormat="1" ht="28.5" customHeight="1">
      <c r="A3" s="380" t="s">
        <v>2866</v>
      </c>
      <c r="B3" s="1377">
        <f>IF(C2="——",C43,ROUND(B2*10000/D3,0))</f>
        <v>0</v>
      </c>
      <c r="C3" s="1378" t="s">
        <v>2867</v>
      </c>
      <c r="D3" s="1379">
        <f>IF(D1="",'数据-汇总表'!E3,SUMIF('数据-汇总表'!$C19:$C33,D1,'数据-汇总表'!$E19:$E33))</f>
        <v>8450.66</v>
      </c>
      <c r="E3" s="1376"/>
      <c r="F3" s="1381"/>
      <c r="G3" s="1376"/>
      <c r="H3" s="1376"/>
      <c r="I3" s="1376"/>
      <c r="J3" s="1376"/>
      <c r="K3" s="1525"/>
      <c r="L3" s="2142"/>
      <c r="M3" s="1573"/>
      <c r="N3" s="1573"/>
      <c r="O3" s="1573"/>
      <c r="P3" s="2066"/>
      <c r="Q3" s="2066"/>
      <c r="R3" s="2066"/>
      <c r="S3" s="2066"/>
      <c r="T3" s="2066"/>
      <c r="U3" s="2066"/>
      <c r="V3" s="2066"/>
      <c r="W3" s="2066"/>
      <c r="X3" s="2066"/>
      <c r="Y3" s="2066"/>
      <c r="Z3" s="2066"/>
      <c r="AA3" s="2066"/>
      <c r="AB3" s="2083"/>
      <c r="AC3" s="670"/>
    </row>
    <row r="4" spans="1:29" ht="14.4">
      <c r="A4" s="1382" t="s">
        <v>2869</v>
      </c>
      <c r="B4" s="1383"/>
      <c r="C4" s="3681" t="s">
        <v>2870</v>
      </c>
      <c r="D4" s="3682"/>
      <c r="E4" s="3683" t="s">
        <v>2871</v>
      </c>
      <c r="F4" s="3684"/>
      <c r="G4" s="3681" t="s">
        <v>2872</v>
      </c>
      <c r="H4" s="3682"/>
      <c r="I4" s="3681" t="s">
        <v>2873</v>
      </c>
      <c r="J4" s="3682"/>
      <c r="K4" s="1526" t="s">
        <v>2874</v>
      </c>
      <c r="L4" s="2143"/>
      <c r="M4" s="2144"/>
      <c r="N4" s="2144"/>
      <c r="O4" s="2144"/>
      <c r="P4" s="3652" t="s">
        <v>2875</v>
      </c>
      <c r="Q4" s="3653"/>
      <c r="R4" s="3658" t="s">
        <v>2871</v>
      </c>
      <c r="S4" s="3659"/>
      <c r="T4" s="3658" t="s">
        <v>2872</v>
      </c>
      <c r="U4" s="3659"/>
      <c r="V4" s="3664" t="s">
        <v>2873</v>
      </c>
      <c r="W4" s="3664"/>
      <c r="X4" s="1575"/>
      <c r="Y4" s="3658" t="s">
        <v>2875</v>
      </c>
      <c r="Z4" s="3659"/>
      <c r="AA4" s="3649" t="s">
        <v>2871</v>
      </c>
      <c r="AB4" s="3650" t="s">
        <v>2872</v>
      </c>
      <c r="AC4" s="3649" t="s">
        <v>2873</v>
      </c>
    </row>
    <row r="5" spans="1:29">
      <c r="A5" s="1384"/>
      <c r="B5" s="1385"/>
      <c r="C5" s="3685" t="s">
        <v>2876</v>
      </c>
      <c r="D5" s="3686"/>
      <c r="E5" s="3733" t="s">
        <v>3455</v>
      </c>
      <c r="F5" s="3688"/>
      <c r="G5" s="3685" t="s">
        <v>3456</v>
      </c>
      <c r="H5" s="3686"/>
      <c r="I5" s="3685" t="s">
        <v>3457</v>
      </c>
      <c r="J5" s="3686"/>
      <c r="K5" s="1526"/>
      <c r="L5" s="2143"/>
      <c r="M5" s="2144"/>
      <c r="N5" s="2144"/>
      <c r="O5" s="2144"/>
      <c r="P5" s="3654"/>
      <c r="Q5" s="3655"/>
      <c r="R5" s="3660"/>
      <c r="S5" s="3661"/>
      <c r="T5" s="3660"/>
      <c r="U5" s="3661"/>
      <c r="V5" s="3664"/>
      <c r="W5" s="3664"/>
      <c r="X5" s="1575"/>
      <c r="Y5" s="3660"/>
      <c r="Z5" s="3661"/>
      <c r="AA5" s="3650"/>
      <c r="AB5" s="3650"/>
      <c r="AC5" s="3650"/>
    </row>
    <row r="6" spans="1:29" ht="14.4">
      <c r="A6" s="1386"/>
      <c r="B6" s="1387"/>
      <c r="C6" s="3676" t="s">
        <v>2880</v>
      </c>
      <c r="D6" s="3677"/>
      <c r="E6" s="3678" t="s">
        <v>2880</v>
      </c>
      <c r="F6" s="3679"/>
      <c r="G6" s="3676" t="s">
        <v>2880</v>
      </c>
      <c r="H6" s="3677"/>
      <c r="I6" s="3676" t="s">
        <v>2880</v>
      </c>
      <c r="J6" s="3677"/>
      <c r="K6" s="1526" t="s">
        <v>2881</v>
      </c>
      <c r="L6" s="2143"/>
      <c r="M6" s="2144"/>
      <c r="N6" s="2144"/>
      <c r="O6" s="2144"/>
      <c r="P6" s="3656"/>
      <c r="Q6" s="3657"/>
      <c r="R6" s="3660"/>
      <c r="S6" s="3661"/>
      <c r="T6" s="3662"/>
      <c r="U6" s="3663"/>
      <c r="V6" s="3664"/>
      <c r="W6" s="3664"/>
      <c r="X6" s="1575"/>
      <c r="Y6" s="3662"/>
      <c r="Z6" s="3663"/>
      <c r="AA6" s="3651"/>
      <c r="AB6" s="3651"/>
      <c r="AC6" s="3651"/>
    </row>
    <row r="7" spans="1:29" s="1353" customFormat="1" ht="14.4">
      <c r="A7" s="1388" t="s">
        <v>2882</v>
      </c>
      <c r="B7" s="1389"/>
      <c r="C7" s="1390">
        <f>'数据-取费表'!B2</f>
        <v>45311</v>
      </c>
      <c r="D7" s="1391">
        <v>100</v>
      </c>
      <c r="E7" s="1392"/>
      <c r="F7" s="1393">
        <f>SUMIF(52:52,YEAR(E7)&amp;"-"&amp;MONTH(E7),53:53)</f>
        <v>0</v>
      </c>
      <c r="G7" s="1392"/>
      <c r="H7" s="1391">
        <f>SUMIF(52:52,YEAR(G7)&amp;"-"&amp;MONTH(G7),53:53)</f>
        <v>0</v>
      </c>
      <c r="I7" s="1392"/>
      <c r="J7" s="1391">
        <f>SUMIF(52:52,YEAR(I7)&amp;"-"&amp;MONTH(I7),53:53)</f>
        <v>0</v>
      </c>
      <c r="K7" s="1529"/>
      <c r="L7" s="2145"/>
      <c r="M7" s="2146"/>
      <c r="N7" s="2146"/>
      <c r="O7" s="2146"/>
      <c r="P7" s="3670" t="s">
        <v>2883</v>
      </c>
      <c r="Q7" s="3680"/>
      <c r="R7" s="1576" t="s">
        <v>2884</v>
      </c>
      <c r="S7" s="1577">
        <f t="shared" ref="S7:S15" si="0">F7</f>
        <v>0</v>
      </c>
      <c r="T7" s="1576" t="s">
        <v>2884</v>
      </c>
      <c r="U7" s="1577">
        <f t="shared" ref="U7:U15" si="1">H7</f>
        <v>0</v>
      </c>
      <c r="V7" s="1576" t="s">
        <v>2884</v>
      </c>
      <c r="W7" s="1577">
        <f t="shared" ref="W7:W15" si="2">J7</f>
        <v>0</v>
      </c>
      <c r="X7" s="1578"/>
      <c r="Y7" s="3670" t="s">
        <v>2883</v>
      </c>
      <c r="Z7" s="3671"/>
      <c r="AA7" s="1593" t="e">
        <f>D7/F7</f>
        <v>#DIV/0!</v>
      </c>
      <c r="AB7" s="1593" t="e">
        <f>D7/H7</f>
        <v>#DIV/0!</v>
      </c>
      <c r="AC7" s="1593" t="e">
        <f>D7/J7</f>
        <v>#DIV/0!</v>
      </c>
    </row>
    <row r="8" spans="1:29" s="1353" customFormat="1" ht="14.4">
      <c r="A8" s="1388" t="s">
        <v>2885</v>
      </c>
      <c r="B8" s="1389"/>
      <c r="C8" s="1394"/>
      <c r="D8" s="1391">
        <v>100</v>
      </c>
      <c r="E8" s="1394"/>
      <c r="F8" s="1393">
        <f>SUMIF(55:55,E8,56:56)-SUMIF(55:55,C8,56:56)+100</f>
        <v>100</v>
      </c>
      <c r="G8" s="1394"/>
      <c r="H8" s="1391">
        <f>SUMIF(55:55,G8,56:56)-SUMIF(55:55,C8,56:56)+100</f>
        <v>100</v>
      </c>
      <c r="I8" s="1394"/>
      <c r="J8" s="1391">
        <f>SUMIF(55:55,I8,56:56)-SUMIF(55:55,C8,56:56)+100</f>
        <v>100</v>
      </c>
      <c r="K8" s="1529"/>
      <c r="L8" s="2145"/>
      <c r="M8" s="2146"/>
      <c r="N8" s="2146"/>
      <c r="O8" s="2146"/>
      <c r="P8" s="3670" t="s">
        <v>2887</v>
      </c>
      <c r="Q8" s="3671"/>
      <c r="R8" s="1576" t="s">
        <v>2884</v>
      </c>
      <c r="S8" s="1577">
        <f t="shared" si="0"/>
        <v>100</v>
      </c>
      <c r="T8" s="1576" t="s">
        <v>2884</v>
      </c>
      <c r="U8" s="1577">
        <f t="shared" si="1"/>
        <v>100</v>
      </c>
      <c r="V8" s="1576" t="s">
        <v>2884</v>
      </c>
      <c r="W8" s="1577">
        <f t="shared" si="2"/>
        <v>100</v>
      </c>
      <c r="X8" s="1578"/>
      <c r="Y8" s="3670" t="s">
        <v>2887</v>
      </c>
      <c r="Z8" s="3671"/>
      <c r="AA8" s="1593">
        <f t="shared" ref="AA8:AA40" si="3">D8/F8</f>
        <v>1</v>
      </c>
      <c r="AB8" s="1593">
        <f t="shared" ref="AB8:AB40" si="4">D8/H8</f>
        <v>1</v>
      </c>
      <c r="AC8" s="1593">
        <f t="shared" ref="AC8:AC40" si="5">D8/J8</f>
        <v>1</v>
      </c>
    </row>
    <row r="9" spans="1:29" s="1353" customFormat="1" ht="14.4">
      <c r="A9" s="1395" t="s">
        <v>2888</v>
      </c>
      <c r="B9" s="1396" t="s">
        <v>2889</v>
      </c>
      <c r="C9" s="2134"/>
      <c r="D9" s="1398">
        <v>100</v>
      </c>
      <c r="E9" s="2135"/>
      <c r="F9" s="1398">
        <f>SUMIF(57:57,E9,58:58)-SUMIF(57:57,C9,58:58)+100</f>
        <v>100</v>
      </c>
      <c r="G9" s="1399"/>
      <c r="H9" s="1398">
        <f>SUMIF(57:57,G9,58:58)-SUMIF(57:57,C9,58:58)+100</f>
        <v>100</v>
      </c>
      <c r="I9" s="1399"/>
      <c r="J9" s="1398">
        <f>SUMIF(57:57,I9,58:58)-SUMIF(57:57,C9,58:58)+100</f>
        <v>100</v>
      </c>
      <c r="K9" s="1529"/>
      <c r="L9" s="2145"/>
      <c r="M9" s="2146"/>
      <c r="N9" s="2146"/>
      <c r="O9" s="2147"/>
      <c r="P9" s="3665" t="s">
        <v>2891</v>
      </c>
      <c r="Q9" s="1580" t="str">
        <f t="shared" ref="Q9:Q15" si="6">B9</f>
        <v>用途</v>
      </c>
      <c r="R9" s="1576" t="s">
        <v>2884</v>
      </c>
      <c r="S9" s="1577">
        <f t="shared" si="0"/>
        <v>100</v>
      </c>
      <c r="T9" s="1576" t="s">
        <v>2884</v>
      </c>
      <c r="U9" s="1577">
        <f t="shared" si="1"/>
        <v>100</v>
      </c>
      <c r="V9" s="1576" t="s">
        <v>2884</v>
      </c>
      <c r="W9" s="1577">
        <f t="shared" si="2"/>
        <v>100</v>
      </c>
      <c r="X9" s="1578"/>
      <c r="Y9" s="3573" t="s">
        <v>2892</v>
      </c>
      <c r="Z9" s="1594" t="str">
        <f t="shared" ref="Z9:Z15" si="7">Q9</f>
        <v>用途</v>
      </c>
      <c r="AA9" s="1593">
        <f t="shared" si="3"/>
        <v>1</v>
      </c>
      <c r="AB9" s="1593">
        <f t="shared" si="4"/>
        <v>1</v>
      </c>
      <c r="AC9" s="1593">
        <f t="shared" si="5"/>
        <v>1</v>
      </c>
    </row>
    <row r="10" spans="1:29" s="1354" customFormat="1" ht="28.8">
      <c r="A10" s="1401"/>
      <c r="B10" s="1402" t="s">
        <v>2893</v>
      </c>
      <c r="C10" s="2136"/>
      <c r="D10" s="1404">
        <v>100</v>
      </c>
      <c r="E10" s="2136"/>
      <c r="F10" s="1404">
        <f>SUMIF(59:59,E10,60:60)-SUMIF(59:59,C10,60:60)+100</f>
        <v>100</v>
      </c>
      <c r="G10" s="2137"/>
      <c r="H10" s="1404">
        <f>SUMIF(59:59,G10,60:60)-SUMIF(59:59,C10,60:60)+100</f>
        <v>100</v>
      </c>
      <c r="I10" s="2136"/>
      <c r="J10" s="1404">
        <f>SUMIF(59:59,I10,60:60)-SUMIF(59:59,C10,60:60)+100</f>
        <v>100</v>
      </c>
      <c r="K10" s="1529"/>
      <c r="L10" s="2148"/>
      <c r="M10" s="2149"/>
      <c r="N10" s="2149"/>
      <c r="O10" s="2150"/>
      <c r="P10" s="3665"/>
      <c r="Q10" s="1580" t="str">
        <f t="shared" si="6"/>
        <v>土地使用年限（年）</v>
      </c>
      <c r="R10" s="1576" t="s">
        <v>2884</v>
      </c>
      <c r="S10" s="1577">
        <f t="shared" si="0"/>
        <v>100</v>
      </c>
      <c r="T10" s="1576" t="s">
        <v>2884</v>
      </c>
      <c r="U10" s="1577">
        <f t="shared" si="1"/>
        <v>100</v>
      </c>
      <c r="V10" s="1576" t="s">
        <v>2884</v>
      </c>
      <c r="W10" s="1577">
        <f t="shared" si="2"/>
        <v>100</v>
      </c>
      <c r="X10" s="1578"/>
      <c r="Y10" s="3573"/>
      <c r="Z10" s="1594" t="str">
        <f t="shared" si="7"/>
        <v>土地使用年限（年）</v>
      </c>
      <c r="AA10" s="1593">
        <f t="shared" si="3"/>
        <v>1</v>
      </c>
      <c r="AB10" s="1593">
        <f t="shared" si="4"/>
        <v>1</v>
      </c>
      <c r="AC10" s="1593">
        <f t="shared" si="5"/>
        <v>1</v>
      </c>
    </row>
    <row r="11" spans="1:29" ht="15">
      <c r="A11" s="1406"/>
      <c r="B11" s="1402" t="s">
        <v>3458</v>
      </c>
      <c r="C11" s="1407"/>
      <c r="D11" s="1404">
        <v>100</v>
      </c>
      <c r="E11" s="1407"/>
      <c r="F11" s="1404">
        <f>LOOKUP(E11,62:62,63:63)-LOOKUP(C11,62:62,63:63)+100</f>
        <v>100</v>
      </c>
      <c r="G11" s="1408"/>
      <c r="H11" s="1404">
        <f>LOOKUP(G11,62:62,63:63)-LOOKUP(C11,62:62,63:63)+100</f>
        <v>100</v>
      </c>
      <c r="I11" s="1407"/>
      <c r="J11" s="1404">
        <f>LOOKUP(I11,62:62,63:63)-LOOKUP(C11,62:62,63:63)+100</f>
        <v>100</v>
      </c>
      <c r="K11" s="1534"/>
      <c r="L11" s="2151"/>
      <c r="M11" s="2144"/>
      <c r="N11" s="2144"/>
      <c r="O11" s="2152"/>
      <c r="P11" s="3665"/>
      <c r="Q11" s="1580" t="str">
        <f t="shared" si="6"/>
        <v>容积率</v>
      </c>
      <c r="R11" s="1576" t="s">
        <v>2884</v>
      </c>
      <c r="S11" s="1577">
        <f t="shared" si="0"/>
        <v>100</v>
      </c>
      <c r="T11" s="1576" t="s">
        <v>2884</v>
      </c>
      <c r="U11" s="1577">
        <f t="shared" si="1"/>
        <v>100</v>
      </c>
      <c r="V11" s="1576" t="s">
        <v>2884</v>
      </c>
      <c r="W11" s="1577">
        <f t="shared" si="2"/>
        <v>100</v>
      </c>
      <c r="X11" s="1578"/>
      <c r="Y11" s="3573"/>
      <c r="Z11" s="1594" t="str">
        <f t="shared" si="7"/>
        <v>容积率</v>
      </c>
      <c r="AA11" s="1593">
        <f t="shared" si="3"/>
        <v>1</v>
      </c>
      <c r="AB11" s="1593">
        <f t="shared" si="4"/>
        <v>1</v>
      </c>
      <c r="AC11" s="1593">
        <f t="shared" si="5"/>
        <v>1</v>
      </c>
    </row>
    <row r="12" spans="1:29" s="1353" customFormat="1" ht="15">
      <c r="A12" s="1409"/>
      <c r="B12" s="1410">
        <v>111</v>
      </c>
      <c r="C12" s="1411"/>
      <c r="D12" s="1412">
        <v>100</v>
      </c>
      <c r="E12" s="1413"/>
      <c r="F12" s="1404">
        <f>SUMIF(64:64,E12,65:65)-SUMIF(64:64,C12,65:65)+100</f>
        <v>100</v>
      </c>
      <c r="G12" s="2138"/>
      <c r="H12" s="1404">
        <f>SUMIF(64:64,G12,65:65)-SUMIF(64:64,C12,65:65)+100</f>
        <v>100</v>
      </c>
      <c r="I12" s="1457"/>
      <c r="J12" s="1404">
        <f>SUMIF(64:64,I12,65:65)-SUMIF(64:64,C12,65:65)+100</f>
        <v>100</v>
      </c>
      <c r="K12" s="1536"/>
      <c r="L12" s="2145"/>
      <c r="M12" s="2146"/>
      <c r="N12" s="2146"/>
      <c r="O12" s="2147"/>
      <c r="P12" s="3665"/>
      <c r="Q12" s="1580">
        <f t="shared" si="6"/>
        <v>111</v>
      </c>
      <c r="R12" s="1576" t="s">
        <v>2884</v>
      </c>
      <c r="S12" s="1577">
        <f t="shared" si="0"/>
        <v>100</v>
      </c>
      <c r="T12" s="1576" t="s">
        <v>2884</v>
      </c>
      <c r="U12" s="1577">
        <f t="shared" si="1"/>
        <v>100</v>
      </c>
      <c r="V12" s="1576" t="s">
        <v>2884</v>
      </c>
      <c r="W12" s="1577">
        <f t="shared" si="2"/>
        <v>100</v>
      </c>
      <c r="X12" s="1578"/>
      <c r="Y12" s="3573"/>
      <c r="Z12" s="1594">
        <f t="shared" si="7"/>
        <v>111</v>
      </c>
      <c r="AA12" s="1593">
        <f t="shared" si="3"/>
        <v>1</v>
      </c>
      <c r="AB12" s="1593">
        <f t="shared" si="4"/>
        <v>1</v>
      </c>
      <c r="AC12" s="1593">
        <f t="shared" si="5"/>
        <v>1</v>
      </c>
    </row>
    <row r="13" spans="1:29" ht="15">
      <c r="A13" s="1406"/>
      <c r="B13" s="1410">
        <v>111</v>
      </c>
      <c r="C13" s="1413"/>
      <c r="D13" s="1414">
        <v>100</v>
      </c>
      <c r="E13" s="1413"/>
      <c r="F13" s="1404">
        <f>SUMIF(66:66,E13,67:67)-SUMIF(66:66,C13,67:67)+100</f>
        <v>100</v>
      </c>
      <c r="G13" s="2138"/>
      <c r="H13" s="1414">
        <f>SUMIF(66:66,G13,67:67)-SUMIF(66:66,C13,67:67)+100</f>
        <v>100</v>
      </c>
      <c r="I13" s="1457"/>
      <c r="J13" s="1414">
        <f>SUMIF(66:66,I13,67:67)-SUMIF(66:66,C13,67:67)+100</f>
        <v>100</v>
      </c>
      <c r="K13" s="1536"/>
      <c r="L13" s="2153"/>
      <c r="M13" s="2144"/>
      <c r="N13" s="2144"/>
      <c r="O13" s="2152"/>
      <c r="P13" s="3665"/>
      <c r="Q13" s="1580">
        <f t="shared" si="6"/>
        <v>111</v>
      </c>
      <c r="R13" s="1576" t="s">
        <v>2884</v>
      </c>
      <c r="S13" s="1577">
        <f t="shared" si="0"/>
        <v>100</v>
      </c>
      <c r="T13" s="1576" t="s">
        <v>2884</v>
      </c>
      <c r="U13" s="1577">
        <f t="shared" si="1"/>
        <v>100</v>
      </c>
      <c r="V13" s="1576" t="s">
        <v>2884</v>
      </c>
      <c r="W13" s="1577">
        <f t="shared" si="2"/>
        <v>100</v>
      </c>
      <c r="X13" s="1578"/>
      <c r="Y13" s="3573"/>
      <c r="Z13" s="1594">
        <f t="shared" si="7"/>
        <v>111</v>
      </c>
      <c r="AA13" s="1593">
        <f t="shared" si="3"/>
        <v>1</v>
      </c>
      <c r="AB13" s="1593">
        <f t="shared" si="4"/>
        <v>1</v>
      </c>
      <c r="AC13" s="1593">
        <f t="shared" si="5"/>
        <v>1</v>
      </c>
    </row>
    <row r="14" spans="1:29" ht="15">
      <c r="A14" s="1415"/>
      <c r="B14" s="1416">
        <v>111</v>
      </c>
      <c r="C14" s="1417"/>
      <c r="D14" s="1418">
        <v>100</v>
      </c>
      <c r="E14" s="1417"/>
      <c r="F14" s="1418">
        <f>SUMIF(68:68,E14,69:69)-SUMIF(68:68,C14,69:69)+100</f>
        <v>100</v>
      </c>
      <c r="G14" s="2138"/>
      <c r="H14" s="1418">
        <f>SUMIF(68:68,G14,69:69)-SUMIF(68:68,C14,69:69)+100</f>
        <v>100</v>
      </c>
      <c r="I14" s="1457"/>
      <c r="J14" s="1418">
        <f>SUMIF(68:68,I14,69:69)-SUMIF(68:68,C14,69:69)+100</f>
        <v>100</v>
      </c>
      <c r="K14" s="1536"/>
      <c r="L14" s="2153"/>
      <c r="M14" s="2144"/>
      <c r="N14" s="2144"/>
      <c r="O14" s="2152"/>
      <c r="P14" s="3665"/>
      <c r="Q14" s="1580">
        <f t="shared" si="6"/>
        <v>111</v>
      </c>
      <c r="R14" s="1576" t="s">
        <v>2884</v>
      </c>
      <c r="S14" s="1577">
        <f t="shared" si="0"/>
        <v>100</v>
      </c>
      <c r="T14" s="1576" t="s">
        <v>2884</v>
      </c>
      <c r="U14" s="1577">
        <f t="shared" si="1"/>
        <v>100</v>
      </c>
      <c r="V14" s="1576" t="s">
        <v>2884</v>
      </c>
      <c r="W14" s="1577">
        <f t="shared" si="2"/>
        <v>100</v>
      </c>
      <c r="X14" s="1578"/>
      <c r="Y14" s="3573"/>
      <c r="Z14" s="1594">
        <f t="shared" si="7"/>
        <v>111</v>
      </c>
      <c r="AA14" s="1593">
        <f t="shared" si="3"/>
        <v>1</v>
      </c>
      <c r="AB14" s="1593">
        <f t="shared" si="4"/>
        <v>1</v>
      </c>
      <c r="AC14" s="1593">
        <f t="shared" si="5"/>
        <v>1</v>
      </c>
    </row>
    <row r="15" spans="1:29" ht="69">
      <c r="A15" s="1420" t="s">
        <v>2895</v>
      </c>
      <c r="B15" s="1421" t="s">
        <v>3502</v>
      </c>
      <c r="C15" s="1994" t="str">
        <f>估价对象房地状况!G3</f>
        <v>估价对象位于XX开发区，园区建设成熟度XX，产业集聚程度XX</v>
      </c>
      <c r="D15" s="1423">
        <v>100</v>
      </c>
      <c r="E15" s="1424"/>
      <c r="F15" s="1425">
        <f>SUMIF(70:70,E16,71:71)-SUMIF(70:70,C16,71:71)+100</f>
        <v>100</v>
      </c>
      <c r="G15" s="1426"/>
      <c r="H15" s="1423">
        <f>SUMIF(70:70,G16,71:71)-SUMIF(70:70,C16,71:71)+100</f>
        <v>100</v>
      </c>
      <c r="I15" s="1424"/>
      <c r="J15" s="1423">
        <f>SUMIF(70:70,I16,71:71)-SUMIF(70:70,C16,71:71)+100</f>
        <v>100</v>
      </c>
      <c r="K15" s="1538"/>
      <c r="L15" s="2153"/>
      <c r="M15" s="2144"/>
      <c r="N15" s="2144"/>
      <c r="O15" s="2152"/>
      <c r="P15" s="3672" t="s">
        <v>2897</v>
      </c>
      <c r="Q15" s="1076" t="str">
        <f t="shared" si="6"/>
        <v>产业集聚程度</v>
      </c>
      <c r="R15" s="1581" t="s">
        <v>2884</v>
      </c>
      <c r="S15" s="1582">
        <f t="shared" si="0"/>
        <v>100</v>
      </c>
      <c r="T15" s="1581" t="s">
        <v>2884</v>
      </c>
      <c r="U15" s="1582">
        <f t="shared" si="1"/>
        <v>100</v>
      </c>
      <c r="V15" s="1581" t="s">
        <v>2884</v>
      </c>
      <c r="W15" s="1582">
        <f t="shared" si="2"/>
        <v>100</v>
      </c>
      <c r="X15" s="1575"/>
      <c r="Y15" s="3672" t="s">
        <v>2897</v>
      </c>
      <c r="Z15" s="1574" t="str">
        <f t="shared" si="7"/>
        <v>产业集聚程度</v>
      </c>
      <c r="AA15" s="1587">
        <f t="shared" si="3"/>
        <v>1</v>
      </c>
      <c r="AB15" s="1587">
        <f t="shared" si="4"/>
        <v>1</v>
      </c>
      <c r="AC15" s="1587">
        <f t="shared" si="5"/>
        <v>1</v>
      </c>
    </row>
    <row r="16" spans="1:29" ht="15">
      <c r="A16" s="1406"/>
      <c r="B16" s="1427"/>
      <c r="C16" s="1428"/>
      <c r="D16" s="1429"/>
      <c r="E16" s="1428"/>
      <c r="F16" s="1430"/>
      <c r="G16" s="1428"/>
      <c r="H16" s="1431"/>
      <c r="I16" s="1428"/>
      <c r="J16" s="1429"/>
      <c r="K16" s="1539"/>
      <c r="L16" s="2153"/>
      <c r="M16" s="2144"/>
      <c r="N16" s="2144"/>
      <c r="O16" s="2152"/>
      <c r="P16" s="3673"/>
      <c r="Q16" s="1076"/>
      <c r="R16" s="1581"/>
      <c r="S16" s="1582"/>
      <c r="T16" s="1581"/>
      <c r="U16" s="1582"/>
      <c r="V16" s="1581"/>
      <c r="W16" s="1582"/>
      <c r="X16" s="1575"/>
      <c r="Y16" s="3673"/>
      <c r="Z16" s="1574"/>
      <c r="AA16" s="1587">
        <v>1</v>
      </c>
      <c r="AB16" s="1587">
        <v>1</v>
      </c>
      <c r="AC16" s="1587">
        <v>1</v>
      </c>
    </row>
    <row r="17" spans="1:29" ht="96.6">
      <c r="A17" s="1406"/>
      <c r="B17" s="1432" t="s">
        <v>2896</v>
      </c>
      <c r="C17" s="1433" t="str">
        <f>估价对象房地状况!G4</f>
        <v>估价对象周边道路状况、公共交通通达情况、停车便捷程度，综合评价交通便捷度较好</v>
      </c>
      <c r="D17" s="1431">
        <v>100</v>
      </c>
      <c r="E17" s="1434"/>
      <c r="F17" s="1435">
        <f>SUMIF(72:72,E18,73:73)-SUMIF(72:72,C18,73:73)+100</f>
        <v>100</v>
      </c>
      <c r="G17" s="1436"/>
      <c r="H17" s="1437">
        <f>SUMIF(72:72,G18,73:73)-SUMIF(72:72,C18,73:73)+100</f>
        <v>100</v>
      </c>
      <c r="I17" s="1434"/>
      <c r="J17" s="1437">
        <f>SUMIF(72:72,I18,73:73)-SUMIF(72:72,C18,73:73)+100</f>
        <v>100</v>
      </c>
      <c r="K17" s="1538"/>
      <c r="L17" s="2153"/>
      <c r="M17" s="2144"/>
      <c r="N17" s="2144"/>
      <c r="O17" s="2152"/>
      <c r="P17" s="3673"/>
      <c r="Q17" s="1076" t="str">
        <f>B17</f>
        <v>交通便捷度</v>
      </c>
      <c r="R17" s="1581" t="s">
        <v>2884</v>
      </c>
      <c r="S17" s="1582">
        <f>F17</f>
        <v>100</v>
      </c>
      <c r="T17" s="1581" t="s">
        <v>2884</v>
      </c>
      <c r="U17" s="1582">
        <f>H17</f>
        <v>100</v>
      </c>
      <c r="V17" s="1581" t="s">
        <v>2884</v>
      </c>
      <c r="W17" s="1582">
        <f>J17</f>
        <v>100</v>
      </c>
      <c r="X17" s="1575"/>
      <c r="Y17" s="3673"/>
      <c r="Z17" s="1574" t="str">
        <f>Q17</f>
        <v>交通便捷度</v>
      </c>
      <c r="AA17" s="1587">
        <f t="shared" si="3"/>
        <v>1</v>
      </c>
      <c r="AB17" s="1587">
        <f t="shared" si="4"/>
        <v>1</v>
      </c>
      <c r="AC17" s="1587">
        <f t="shared" si="5"/>
        <v>1</v>
      </c>
    </row>
    <row r="18" spans="1:29" ht="15">
      <c r="A18" s="1406"/>
      <c r="B18" s="1438"/>
      <c r="C18" s="1439"/>
      <c r="D18" s="1431"/>
      <c r="E18" s="1440"/>
      <c r="F18" s="1435"/>
      <c r="G18" s="1441"/>
      <c r="H18" s="1429"/>
      <c r="I18" s="1440"/>
      <c r="J18" s="1429"/>
      <c r="K18" s="1539"/>
      <c r="L18" s="2153"/>
      <c r="M18" s="2144"/>
      <c r="N18" s="2144"/>
      <c r="O18" s="2152"/>
      <c r="P18" s="3673"/>
      <c r="Q18" s="1076"/>
      <c r="R18" s="1581"/>
      <c r="S18" s="1582"/>
      <c r="T18" s="1581"/>
      <c r="U18" s="1582"/>
      <c r="V18" s="1581"/>
      <c r="W18" s="1582"/>
      <c r="X18" s="1575"/>
      <c r="Y18" s="3673"/>
      <c r="Z18" s="1574"/>
      <c r="AA18" s="1587">
        <v>1</v>
      </c>
      <c r="AB18" s="1587">
        <v>1</v>
      </c>
      <c r="AC18" s="1587">
        <v>1</v>
      </c>
    </row>
    <row r="19" spans="1:29" ht="41.4">
      <c r="A19" s="1406"/>
      <c r="B19" s="1432" t="s">
        <v>2899</v>
      </c>
      <c r="C19" s="1433" t="str">
        <f>估价对象房地状况!G5</f>
        <v>估价对象所在区域公共配套设施齐备情况</v>
      </c>
      <c r="D19" s="1437">
        <v>100</v>
      </c>
      <c r="E19" s="1442"/>
      <c r="F19" s="1443">
        <f>SUMIF(74:74,E20,75:75)-SUMIF(74:74,C20,75:75)+100</f>
        <v>100</v>
      </c>
      <c r="G19" s="1444"/>
      <c r="H19" s="1431">
        <f>SUMIF(74:74,G20,75:75)-SUMIF(74:74,C20,75:75)+100</f>
        <v>100</v>
      </c>
      <c r="I19" s="1442"/>
      <c r="J19" s="1431">
        <f>SUMIF(74:74,I20,75:75)-SUMIF(74:74,C20,75:75)+100</f>
        <v>100</v>
      </c>
      <c r="K19" s="1538"/>
      <c r="L19" s="2153"/>
      <c r="M19" s="2144"/>
      <c r="N19" s="2144"/>
      <c r="O19" s="2152"/>
      <c r="P19" s="3673"/>
      <c r="Q19" s="1076" t="str">
        <f>B19</f>
        <v>公共配套设施</v>
      </c>
      <c r="R19" s="1581" t="s">
        <v>2884</v>
      </c>
      <c r="S19" s="1582">
        <f>F19</f>
        <v>100</v>
      </c>
      <c r="T19" s="1581" t="s">
        <v>2884</v>
      </c>
      <c r="U19" s="1582">
        <f>H19</f>
        <v>100</v>
      </c>
      <c r="V19" s="1581" t="s">
        <v>2884</v>
      </c>
      <c r="W19" s="1582">
        <f>J19</f>
        <v>100</v>
      </c>
      <c r="X19" s="1575"/>
      <c r="Y19" s="3673"/>
      <c r="Z19" s="1574" t="str">
        <f>Q19</f>
        <v>公共配套设施</v>
      </c>
      <c r="AA19" s="1587">
        <f t="shared" si="3"/>
        <v>1</v>
      </c>
      <c r="AB19" s="1587">
        <f t="shared" si="4"/>
        <v>1</v>
      </c>
      <c r="AC19" s="1587">
        <f t="shared" si="5"/>
        <v>1</v>
      </c>
    </row>
    <row r="20" spans="1:29" ht="15">
      <c r="A20" s="1406"/>
      <c r="B20" s="1438"/>
      <c r="C20" s="1428"/>
      <c r="D20" s="1429"/>
      <c r="E20" s="1445"/>
      <c r="F20" s="1430"/>
      <c r="G20" s="1446"/>
      <c r="H20" s="1429"/>
      <c r="I20" s="1445"/>
      <c r="J20" s="1429"/>
      <c r="K20" s="1539"/>
      <c r="L20" s="2153"/>
      <c r="M20" s="2144"/>
      <c r="N20" s="2144"/>
      <c r="O20" s="2152"/>
      <c r="P20" s="3673"/>
      <c r="Q20" s="1076"/>
      <c r="R20" s="1581"/>
      <c r="S20" s="1582"/>
      <c r="T20" s="1581"/>
      <c r="U20" s="1582"/>
      <c r="V20" s="1581"/>
      <c r="W20" s="1582"/>
      <c r="X20" s="1575"/>
      <c r="Y20" s="3673"/>
      <c r="Z20" s="1574"/>
      <c r="AA20" s="1587">
        <v>1</v>
      </c>
      <c r="AB20" s="1587">
        <v>1</v>
      </c>
      <c r="AC20" s="1587">
        <v>1</v>
      </c>
    </row>
    <row r="21" spans="1:29" ht="41.4">
      <c r="A21" s="1406"/>
      <c r="B21" s="1447" t="s">
        <v>2901</v>
      </c>
      <c r="C21" s="1433" t="str">
        <f>估价对象房地状况!G6</f>
        <v>估价对象所在区域基础设施水平</v>
      </c>
      <c r="D21" s="1431">
        <v>100</v>
      </c>
      <c r="E21" s="1442"/>
      <c r="F21" s="1443">
        <f>SUMIF(76:76,E22,77:77)-SUMIF(76:76,C22,77:77)+100</f>
        <v>100</v>
      </c>
      <c r="G21" s="1444"/>
      <c r="H21" s="1431">
        <f>SUMIF(76:76,G22,77:77)-SUMIF(76:76,C22,77:77)+100</f>
        <v>100</v>
      </c>
      <c r="I21" s="1442"/>
      <c r="J21" s="1431">
        <f>SUMIF(76:76,I22,77:77)-SUMIF(76:76,C22,77:77)+100</f>
        <v>100</v>
      </c>
      <c r="K21" s="1538"/>
      <c r="L21" s="2153"/>
      <c r="M21" s="2144"/>
      <c r="N21" s="2144"/>
      <c r="O21" s="2152"/>
      <c r="P21" s="3673"/>
      <c r="Q21" s="1076" t="str">
        <f>B21</f>
        <v>基础设施水平</v>
      </c>
      <c r="R21" s="1581" t="s">
        <v>2884</v>
      </c>
      <c r="S21" s="1582">
        <f>F21</f>
        <v>100</v>
      </c>
      <c r="T21" s="1581" t="s">
        <v>2884</v>
      </c>
      <c r="U21" s="1582">
        <f>H21</f>
        <v>100</v>
      </c>
      <c r="V21" s="1581" t="s">
        <v>2884</v>
      </c>
      <c r="W21" s="1582">
        <f>J21</f>
        <v>100</v>
      </c>
      <c r="X21" s="1575"/>
      <c r="Y21" s="3673"/>
      <c r="Z21" s="1574" t="str">
        <f>Q21</f>
        <v>基础设施水平</v>
      </c>
      <c r="AA21" s="1587">
        <f t="shared" ref="AA21" si="8">D21/F21</f>
        <v>1</v>
      </c>
      <c r="AB21" s="1587">
        <f t="shared" ref="AB21" si="9">D21/H21</f>
        <v>1</v>
      </c>
      <c r="AC21" s="1587">
        <f t="shared" ref="AC21" si="10">D21/J21</f>
        <v>1</v>
      </c>
    </row>
    <row r="22" spans="1:29" ht="15">
      <c r="A22" s="1406"/>
      <c r="B22" s="1447"/>
      <c r="C22" s="1439"/>
      <c r="D22" s="1429"/>
      <c r="E22" s="1428"/>
      <c r="F22" s="1430"/>
      <c r="G22" s="1428"/>
      <c r="H22" s="1429"/>
      <c r="I22" s="1428"/>
      <c r="J22" s="1429"/>
      <c r="K22" s="1540"/>
      <c r="L22" s="2153"/>
      <c r="M22" s="2144"/>
      <c r="N22" s="2144"/>
      <c r="O22" s="2152"/>
      <c r="P22" s="3673"/>
      <c r="Q22" s="1076"/>
      <c r="R22" s="1581"/>
      <c r="S22" s="1582"/>
      <c r="T22" s="1581"/>
      <c r="U22" s="1582"/>
      <c r="V22" s="1581"/>
      <c r="W22" s="1582"/>
      <c r="X22" s="1575"/>
      <c r="Y22" s="3673"/>
      <c r="Z22" s="1574"/>
      <c r="AA22" s="1587">
        <v>1</v>
      </c>
      <c r="AB22" s="1587">
        <v>1</v>
      </c>
      <c r="AC22" s="1587">
        <v>1</v>
      </c>
    </row>
    <row r="23" spans="1:29" ht="82.8">
      <c r="A23" s="1406"/>
      <c r="B23" s="1432" t="s">
        <v>3494</v>
      </c>
      <c r="C23" s="1433" t="str">
        <f>估价对象房地状况!G7</f>
        <v>该园区内是否有污染型企业，绿化情况，卫生条件，整体环境状况判断</v>
      </c>
      <c r="D23" s="1431">
        <v>100</v>
      </c>
      <c r="E23" s="1434"/>
      <c r="F23" s="1435">
        <f>SUMIF(78:78,E24,79:79)-SUMIF(78:78,C24,79:79)+100</f>
        <v>100</v>
      </c>
      <c r="G23" s="1436"/>
      <c r="H23" s="1431">
        <f>SUMIF(78:78,G24,79:79)-SUMIF(78:78,C24,79:79)+100</f>
        <v>100</v>
      </c>
      <c r="I23" s="1434"/>
      <c r="J23" s="1431">
        <f>SUMIF(78:78,I24,79:79)-SUMIF(78:78,C24,79:79)+100</f>
        <v>100</v>
      </c>
      <c r="K23" s="1538"/>
      <c r="L23" s="2153"/>
      <c r="M23" s="2144"/>
      <c r="N23" s="2144"/>
      <c r="O23" s="2152"/>
      <c r="P23" s="3673"/>
      <c r="Q23" s="1076" t="str">
        <f>B23</f>
        <v>环境质量</v>
      </c>
      <c r="R23" s="1581" t="s">
        <v>2884</v>
      </c>
      <c r="S23" s="1582">
        <f>F23</f>
        <v>100</v>
      </c>
      <c r="T23" s="1581" t="s">
        <v>2884</v>
      </c>
      <c r="U23" s="1582">
        <f>H23</f>
        <v>100</v>
      </c>
      <c r="V23" s="1581" t="s">
        <v>2884</v>
      </c>
      <c r="W23" s="1582">
        <f>J23</f>
        <v>100</v>
      </c>
      <c r="X23" s="1575"/>
      <c r="Y23" s="3673"/>
      <c r="Z23" s="1574" t="str">
        <f>Q23</f>
        <v>环境质量</v>
      </c>
      <c r="AA23" s="1587">
        <f t="shared" si="3"/>
        <v>1</v>
      </c>
      <c r="AB23" s="1587">
        <f t="shared" si="4"/>
        <v>1</v>
      </c>
      <c r="AC23" s="1587">
        <f t="shared" si="5"/>
        <v>1</v>
      </c>
    </row>
    <row r="24" spans="1:29" ht="15">
      <c r="A24" s="1406"/>
      <c r="B24" s="1447"/>
      <c r="C24" s="1428"/>
      <c r="D24" s="1429"/>
      <c r="E24" s="1445"/>
      <c r="F24" s="1430"/>
      <c r="G24" s="1446"/>
      <c r="H24" s="1429"/>
      <c r="I24" s="1445"/>
      <c r="J24" s="1429"/>
      <c r="K24" s="1539"/>
      <c r="L24" s="2153"/>
      <c r="M24" s="2144"/>
      <c r="N24" s="2144"/>
      <c r="O24" s="2152"/>
      <c r="P24" s="3673"/>
      <c r="Q24" s="1076"/>
      <c r="R24" s="1581"/>
      <c r="S24" s="1582"/>
      <c r="T24" s="1581"/>
      <c r="U24" s="1582"/>
      <c r="V24" s="1581"/>
      <c r="W24" s="1582"/>
      <c r="X24" s="1575"/>
      <c r="Y24" s="3673"/>
      <c r="Z24" s="1574"/>
      <c r="AA24" s="1587">
        <v>1</v>
      </c>
      <c r="AB24" s="1587">
        <v>1</v>
      </c>
      <c r="AC24" s="1587">
        <v>1</v>
      </c>
    </row>
    <row r="25" spans="1:29" ht="15">
      <c r="A25" s="1384"/>
      <c r="B25" s="1450">
        <v>111</v>
      </c>
      <c r="C25" s="1413">
        <v>111</v>
      </c>
      <c r="D25" s="1414">
        <v>100</v>
      </c>
      <c r="E25" s="1413"/>
      <c r="F25" s="1449">
        <f>SUMIF(80:80,E25,81:81)-SUMIF(80:80,C25,81:81)+100</f>
        <v>100</v>
      </c>
      <c r="G25" s="1413"/>
      <c r="H25" s="1414">
        <f>SUMIF(80:80,G25,81:81)-SUMIF(80:80,C25,81:81)+100</f>
        <v>100</v>
      </c>
      <c r="I25" s="1413"/>
      <c r="J25" s="1414">
        <f>SUMIF(80:80,I25,81:81)-SUMIF(80:80,C25,81:81)+100</f>
        <v>100</v>
      </c>
      <c r="K25" s="1536"/>
      <c r="L25" s="2153"/>
      <c r="M25" s="2144"/>
      <c r="N25" s="2144"/>
      <c r="O25" s="2152"/>
      <c r="P25" s="3673"/>
      <c r="Q25" s="1076">
        <f>B25</f>
        <v>111</v>
      </c>
      <c r="R25" s="1581" t="s">
        <v>2884</v>
      </c>
      <c r="S25" s="1582">
        <f>F25</f>
        <v>100</v>
      </c>
      <c r="T25" s="1581" t="s">
        <v>2884</v>
      </c>
      <c r="U25" s="1582">
        <f>H25</f>
        <v>100</v>
      </c>
      <c r="V25" s="1581" t="s">
        <v>2884</v>
      </c>
      <c r="W25" s="1582">
        <f>J25</f>
        <v>100</v>
      </c>
      <c r="X25" s="1575"/>
      <c r="Y25" s="3673"/>
      <c r="Z25" s="1574">
        <f>Q25</f>
        <v>111</v>
      </c>
      <c r="AA25" s="1587">
        <f t="shared" si="3"/>
        <v>1</v>
      </c>
      <c r="AB25" s="1587">
        <f t="shared" si="4"/>
        <v>1</v>
      </c>
      <c r="AC25" s="1587">
        <f t="shared" si="5"/>
        <v>1</v>
      </c>
    </row>
    <row r="26" spans="1:29" ht="15">
      <c r="A26" s="1406"/>
      <c r="B26" s="1450">
        <v>111</v>
      </c>
      <c r="C26" s="1413">
        <v>111</v>
      </c>
      <c r="D26" s="1414">
        <v>100</v>
      </c>
      <c r="E26" s="1413"/>
      <c r="F26" s="1449">
        <f>SUMIF(82:82,E26,83:83)-SUMIF(82:82,C26,83:83)+100</f>
        <v>100</v>
      </c>
      <c r="G26" s="1413"/>
      <c r="H26" s="1414">
        <f>SUMIF(82:82,G26,83:83)-SUMIF(82:82,C26,83:83)+100</f>
        <v>100</v>
      </c>
      <c r="I26" s="1413"/>
      <c r="J26" s="1414">
        <f>SUMIF(82:82,I26,83:83)-SUMIF(82:82,C26,83:83)+100</f>
        <v>100</v>
      </c>
      <c r="K26" s="1536"/>
      <c r="L26" s="2153"/>
      <c r="M26" s="2144"/>
      <c r="N26" s="2144"/>
      <c r="O26" s="2152"/>
      <c r="P26" s="3673"/>
      <c r="Q26" s="1076">
        <f t="shared" ref="Q26:Q40" si="11">B26</f>
        <v>111</v>
      </c>
      <c r="R26" s="1581" t="s">
        <v>2884</v>
      </c>
      <c r="S26" s="1582">
        <f>F26</f>
        <v>100</v>
      </c>
      <c r="T26" s="1581" t="s">
        <v>2884</v>
      </c>
      <c r="U26" s="1582">
        <f>H26</f>
        <v>100</v>
      </c>
      <c r="V26" s="1581" t="s">
        <v>2884</v>
      </c>
      <c r="W26" s="1582">
        <f>J26</f>
        <v>100</v>
      </c>
      <c r="X26" s="1575"/>
      <c r="Y26" s="3673"/>
      <c r="Z26" s="1574">
        <f>Q26</f>
        <v>111</v>
      </c>
      <c r="AA26" s="1587">
        <f t="shared" si="3"/>
        <v>1</v>
      </c>
      <c r="AB26" s="1587">
        <f t="shared" si="4"/>
        <v>1</v>
      </c>
      <c r="AC26" s="1587">
        <f t="shared" si="5"/>
        <v>1</v>
      </c>
    </row>
    <row r="27" spans="1:29" s="1353" customFormat="1" ht="15">
      <c r="A27" s="1409"/>
      <c r="B27" s="1450">
        <v>111</v>
      </c>
      <c r="C27" s="1413">
        <v>111</v>
      </c>
      <c r="D27" s="1452">
        <v>100</v>
      </c>
      <c r="E27" s="1413"/>
      <c r="F27" s="1453">
        <f>SUMIF(84:84,E27,85:85)-SUMIF(84:84,C27,85:85)+100</f>
        <v>100</v>
      </c>
      <c r="G27" s="1413"/>
      <c r="H27" s="1452">
        <f>SUMIF(84:84,G27,85:85)-SUMIF(84:84,C27,85:85)+100</f>
        <v>100</v>
      </c>
      <c r="I27" s="1413"/>
      <c r="J27" s="1452">
        <f>SUMIF(84:84,I27,85:85)-SUMIF(84:84,C27,85:85)+100</f>
        <v>100</v>
      </c>
      <c r="K27" s="1536"/>
      <c r="L27" s="2145"/>
      <c r="M27" s="2146"/>
      <c r="N27" s="2146"/>
      <c r="O27" s="2147"/>
      <c r="P27" s="3673"/>
      <c r="Q27" s="1580">
        <f t="shared" si="11"/>
        <v>111</v>
      </c>
      <c r="R27" s="1576" t="s">
        <v>2884</v>
      </c>
      <c r="S27" s="1577">
        <f>F27</f>
        <v>100</v>
      </c>
      <c r="T27" s="1576" t="s">
        <v>2884</v>
      </c>
      <c r="U27" s="1577">
        <f>H27</f>
        <v>100</v>
      </c>
      <c r="V27" s="1576" t="s">
        <v>2884</v>
      </c>
      <c r="W27" s="1577">
        <f>J27</f>
        <v>100</v>
      </c>
      <c r="X27" s="1578"/>
      <c r="Y27" s="3673"/>
      <c r="Z27" s="1594">
        <f>Q27</f>
        <v>111</v>
      </c>
      <c r="AA27" s="1587">
        <f t="shared" si="3"/>
        <v>1</v>
      </c>
      <c r="AB27" s="1587">
        <f t="shared" si="4"/>
        <v>1</v>
      </c>
      <c r="AC27" s="1587">
        <f t="shared" si="5"/>
        <v>1</v>
      </c>
    </row>
    <row r="28" spans="1:29" ht="15">
      <c r="A28" s="1415"/>
      <c r="B28" s="1450">
        <v>111</v>
      </c>
      <c r="C28" s="1417">
        <v>111</v>
      </c>
      <c r="D28" s="1418">
        <v>100</v>
      </c>
      <c r="E28" s="1413"/>
      <c r="F28" s="1419">
        <f>SUMIF(86:86,E28,87:87)-SUMIF(86:86,C28,87:87)+100</f>
        <v>100</v>
      </c>
      <c r="G28" s="1457"/>
      <c r="H28" s="1418">
        <f>SUMIF(86:86,G28,87:87)-SUMIF(86:86,C28,87:87)+100</f>
        <v>100</v>
      </c>
      <c r="I28" s="1457"/>
      <c r="J28" s="1418">
        <f>SUMIF(86:86,I28,87:87)-SUMIF(86:86,C28,87:87)+100</f>
        <v>100</v>
      </c>
      <c r="K28" s="1536"/>
      <c r="L28" s="2153"/>
      <c r="M28" s="2144"/>
      <c r="N28" s="2144"/>
      <c r="O28" s="2152"/>
      <c r="P28" s="3673"/>
      <c r="Q28" s="1076">
        <f t="shared" si="11"/>
        <v>111</v>
      </c>
      <c r="R28" s="1581" t="s">
        <v>2884</v>
      </c>
      <c r="S28" s="1582">
        <f t="shared" ref="S28:S40" si="12">F28</f>
        <v>100</v>
      </c>
      <c r="T28" s="1581" t="s">
        <v>2884</v>
      </c>
      <c r="U28" s="1582">
        <f t="shared" ref="U28:U40" si="13">H28</f>
        <v>100</v>
      </c>
      <c r="V28" s="1581" t="s">
        <v>2884</v>
      </c>
      <c r="W28" s="1582">
        <f t="shared" ref="W28:W40" si="14">J28</f>
        <v>100</v>
      </c>
      <c r="X28" s="1575"/>
      <c r="Y28" s="3673"/>
      <c r="Z28" s="1574">
        <f t="shared" ref="Z28:Z40" si="15">Q28</f>
        <v>111</v>
      </c>
      <c r="AA28" s="1587">
        <f t="shared" si="3"/>
        <v>1</v>
      </c>
      <c r="AB28" s="1587">
        <f t="shared" si="4"/>
        <v>1</v>
      </c>
      <c r="AC28" s="1587">
        <f t="shared" si="5"/>
        <v>1</v>
      </c>
    </row>
    <row r="29" spans="1:29" ht="30">
      <c r="A29" s="2139" t="s">
        <v>2904</v>
      </c>
      <c r="B29" s="1396" t="s">
        <v>3462</v>
      </c>
      <c r="C29" s="2140"/>
      <c r="D29" s="1455">
        <v>100</v>
      </c>
      <c r="E29" s="2140"/>
      <c r="F29" s="1449">
        <f>SUMIF(88:88,E29,89:89)-SUMIF(88:88,C29,89:89)+100</f>
        <v>100</v>
      </c>
      <c r="G29" s="2140"/>
      <c r="H29" s="1414">
        <f>SUMIF(88:88,G29,89:89)-SUMIF(88:88,C29,89:89)+100</f>
        <v>100</v>
      </c>
      <c r="I29" s="2140"/>
      <c r="J29" s="1455">
        <f>SUMIF(88:88,I29,89:89)-SUMIF(88:88,C29,89:89)+100</f>
        <v>100</v>
      </c>
      <c r="K29" s="1534"/>
      <c r="L29" s="2153"/>
      <c r="M29" s="2144"/>
      <c r="N29" s="2144"/>
      <c r="O29" s="2152"/>
      <c r="P29" s="3674" t="s">
        <v>2906</v>
      </c>
      <c r="Q29" s="1076" t="str">
        <f t="shared" si="11"/>
        <v>建筑类型</v>
      </c>
      <c r="R29" s="1581" t="s">
        <v>2884</v>
      </c>
      <c r="S29" s="1582">
        <f t="shared" si="12"/>
        <v>100</v>
      </c>
      <c r="T29" s="1581" t="s">
        <v>2884</v>
      </c>
      <c r="U29" s="1582">
        <f t="shared" si="13"/>
        <v>100</v>
      </c>
      <c r="V29" s="1581" t="s">
        <v>2884</v>
      </c>
      <c r="W29" s="1582">
        <f t="shared" si="14"/>
        <v>100</v>
      </c>
      <c r="X29" s="1575"/>
      <c r="Y29" s="3675" t="s">
        <v>2906</v>
      </c>
      <c r="Z29" s="1574" t="str">
        <f t="shared" si="15"/>
        <v>建筑类型</v>
      </c>
      <c r="AA29" s="1587">
        <f t="shared" si="3"/>
        <v>1</v>
      </c>
      <c r="AB29" s="1587">
        <f t="shared" si="4"/>
        <v>1</v>
      </c>
      <c r="AC29" s="1587">
        <f t="shared" si="5"/>
        <v>1</v>
      </c>
    </row>
    <row r="30" spans="1:29" s="1355" customFormat="1" ht="15">
      <c r="A30" s="1456"/>
      <c r="B30" s="1402" t="s">
        <v>3463</v>
      </c>
      <c r="C30" s="1457"/>
      <c r="D30" s="1404">
        <v>100</v>
      </c>
      <c r="E30" s="1408"/>
      <c r="F30" s="1405" t="e">
        <f>LOOKUP(E30,91:91,92:92)-LOOKUP(C30,91:91,92:92)+100</f>
        <v>#N/A</v>
      </c>
      <c r="G30" s="1407"/>
      <c r="H30" s="1404" t="e">
        <f>LOOKUP(G30,91:91,92:92)-LOOKUP(C30,91:91,92:92)+100</f>
        <v>#N/A</v>
      </c>
      <c r="I30" s="1407"/>
      <c r="J30" s="1404" t="e">
        <f>LOOKUP(I30,91:91,92:92)-LOOKUP(C30,91:91,92:92)+100</f>
        <v>#N/A</v>
      </c>
      <c r="K30" s="1536"/>
      <c r="L30" s="2151"/>
      <c r="M30" s="2154"/>
      <c r="N30" s="2154"/>
      <c r="O30" s="2155"/>
      <c r="P30" s="3675"/>
      <c r="Q30" s="1583" t="str">
        <f t="shared" si="11"/>
        <v>项目建筑规模</v>
      </c>
      <c r="R30" s="1584" t="s">
        <v>2884</v>
      </c>
      <c r="S30" s="1585" t="e">
        <f t="shared" si="12"/>
        <v>#N/A</v>
      </c>
      <c r="T30" s="1584" t="s">
        <v>2884</v>
      </c>
      <c r="U30" s="1585" t="e">
        <f t="shared" si="13"/>
        <v>#N/A</v>
      </c>
      <c r="V30" s="1584" t="s">
        <v>2884</v>
      </c>
      <c r="W30" s="1585" t="e">
        <f t="shared" si="14"/>
        <v>#N/A</v>
      </c>
      <c r="X30" s="1586"/>
      <c r="Y30" s="3675"/>
      <c r="Z30" s="1595" t="str">
        <f t="shared" si="15"/>
        <v>项目建筑规模</v>
      </c>
      <c r="AA30" s="1587" t="e">
        <f t="shared" si="3"/>
        <v>#N/A</v>
      </c>
      <c r="AB30" s="1587" t="e">
        <f t="shared" si="4"/>
        <v>#N/A</v>
      </c>
      <c r="AC30" s="1587" t="e">
        <f t="shared" si="5"/>
        <v>#N/A</v>
      </c>
    </row>
    <row r="31" spans="1:29" ht="15">
      <c r="A31" s="1458"/>
      <c r="B31" s="1402" t="s">
        <v>3464</v>
      </c>
      <c r="C31" s="2141"/>
      <c r="D31" s="1414">
        <v>100</v>
      </c>
      <c r="E31" s="2141"/>
      <c r="F31" s="1449">
        <f>SUMIF(93:93,E31,94:94)-SUMIF(93:93,C31,94:94)+100</f>
        <v>100</v>
      </c>
      <c r="G31" s="2141"/>
      <c r="H31" s="1414">
        <f>SUMIF(93:93,G31,94:94)-SUMIF(93:93,C31,94:94)+100</f>
        <v>100</v>
      </c>
      <c r="I31" s="2141"/>
      <c r="J31" s="1414">
        <f>SUMIF(93:93,I31,94:94)-SUMIF(93:93,C31,94:94)+100</f>
        <v>100</v>
      </c>
      <c r="K31" s="1534"/>
      <c r="L31" s="2153"/>
      <c r="M31" s="2144"/>
      <c r="N31" s="2144"/>
      <c r="O31" s="2152"/>
      <c r="P31" s="3675"/>
      <c r="Q31" s="1076" t="str">
        <f t="shared" si="11"/>
        <v>建筑结构</v>
      </c>
      <c r="R31" s="1581" t="s">
        <v>2884</v>
      </c>
      <c r="S31" s="1582">
        <f t="shared" si="12"/>
        <v>100</v>
      </c>
      <c r="T31" s="1581" t="s">
        <v>2884</v>
      </c>
      <c r="U31" s="1582">
        <f t="shared" si="13"/>
        <v>100</v>
      </c>
      <c r="V31" s="1581" t="s">
        <v>2884</v>
      </c>
      <c r="W31" s="1582">
        <f t="shared" si="14"/>
        <v>100</v>
      </c>
      <c r="X31" s="1575"/>
      <c r="Y31" s="3675"/>
      <c r="Z31" s="1574" t="str">
        <f t="shared" si="15"/>
        <v>建筑结构</v>
      </c>
      <c r="AA31" s="1587">
        <f t="shared" si="3"/>
        <v>1</v>
      </c>
      <c r="AB31" s="1587">
        <f t="shared" si="4"/>
        <v>1</v>
      </c>
      <c r="AC31" s="1587">
        <f t="shared" si="5"/>
        <v>1</v>
      </c>
    </row>
    <row r="32" spans="1:29" ht="15">
      <c r="A32" s="1458"/>
      <c r="B32" s="1402" t="s">
        <v>2912</v>
      </c>
      <c r="C32" s="2141"/>
      <c r="D32" s="1414">
        <v>100</v>
      </c>
      <c r="E32" s="2141"/>
      <c r="F32" s="1449">
        <f>SUMIF(95:95,E32,96:96)-SUMIF(95:95,C32,96:96)+100</f>
        <v>100</v>
      </c>
      <c r="G32" s="2141"/>
      <c r="H32" s="1414">
        <f>SUMIF(95:95,G32,96:96)-SUMIF(95:95,C32,96:96)+100</f>
        <v>100</v>
      </c>
      <c r="I32" s="2141"/>
      <c r="J32" s="1414">
        <f>SUMIF(95:95,I32,96:96)-SUMIF(95:95,C32,96:96)+100</f>
        <v>100</v>
      </c>
      <c r="K32" s="1534"/>
      <c r="L32" s="2153"/>
      <c r="M32" s="2144"/>
      <c r="N32" s="2144"/>
      <c r="O32" s="2152"/>
      <c r="P32" s="3675"/>
      <c r="Q32" s="1076" t="str">
        <f t="shared" si="11"/>
        <v>公共部分装修</v>
      </c>
      <c r="R32" s="1581" t="s">
        <v>2884</v>
      </c>
      <c r="S32" s="1582">
        <f t="shared" si="12"/>
        <v>100</v>
      </c>
      <c r="T32" s="1581" t="s">
        <v>2884</v>
      </c>
      <c r="U32" s="1582">
        <f t="shared" si="13"/>
        <v>100</v>
      </c>
      <c r="V32" s="1581" t="s">
        <v>2884</v>
      </c>
      <c r="W32" s="1582">
        <f t="shared" si="14"/>
        <v>100</v>
      </c>
      <c r="X32" s="1575"/>
      <c r="Y32" s="3675"/>
      <c r="Z32" s="1574" t="str">
        <f t="shared" si="15"/>
        <v>公共部分装修</v>
      </c>
      <c r="AA32" s="1587">
        <f t="shared" si="3"/>
        <v>1</v>
      </c>
      <c r="AB32" s="1587">
        <f t="shared" si="4"/>
        <v>1</v>
      </c>
      <c r="AC32" s="1587">
        <f t="shared" si="5"/>
        <v>1</v>
      </c>
    </row>
    <row r="33" spans="1:29" ht="15">
      <c r="A33" s="1458"/>
      <c r="B33" s="1402" t="s">
        <v>2507</v>
      </c>
      <c r="C33" s="1457"/>
      <c r="D33" s="1414">
        <v>100</v>
      </c>
      <c r="E33" s="1461"/>
      <c r="F33" s="1449" t="e">
        <f>LOOKUP(E33,98:98,99:99)-LOOKUP(C33,98:98,99:99)+100</f>
        <v>#N/A</v>
      </c>
      <c r="G33" s="1461"/>
      <c r="H33" s="1449" t="e">
        <f>LOOKUP(G33,98:98,99:99)-LOOKUP(C33,98:98,99:99)+100</f>
        <v>#N/A</v>
      </c>
      <c r="I33" s="1461"/>
      <c r="J33" s="1414" t="e">
        <f>LOOKUP(I33,98:98,99:99)-LOOKUP(C33,98:98,99:99)+100</f>
        <v>#N/A</v>
      </c>
      <c r="K33" s="1534"/>
      <c r="L33" s="2153"/>
      <c r="M33" s="2144"/>
      <c r="N33" s="2144"/>
      <c r="O33" s="2152"/>
      <c r="P33" s="3675"/>
      <c r="Q33" s="1076" t="str">
        <f t="shared" si="11"/>
        <v>成新度</v>
      </c>
      <c r="R33" s="1581" t="s">
        <v>2884</v>
      </c>
      <c r="S33" s="1582" t="e">
        <f t="shared" si="12"/>
        <v>#N/A</v>
      </c>
      <c r="T33" s="1581" t="s">
        <v>2884</v>
      </c>
      <c r="U33" s="1582" t="e">
        <f t="shared" si="13"/>
        <v>#N/A</v>
      </c>
      <c r="V33" s="1581" t="s">
        <v>2884</v>
      </c>
      <c r="W33" s="1582" t="e">
        <f t="shared" si="14"/>
        <v>#N/A</v>
      </c>
      <c r="X33" s="1575"/>
      <c r="Y33" s="3675"/>
      <c r="Z33" s="1574" t="str">
        <f t="shared" si="15"/>
        <v>成新度</v>
      </c>
      <c r="AA33" s="1587" t="e">
        <f t="shared" si="3"/>
        <v>#N/A</v>
      </c>
      <c r="AB33" s="1587" t="e">
        <f t="shared" si="4"/>
        <v>#N/A</v>
      </c>
      <c r="AC33" s="1587" t="e">
        <f t="shared" si="5"/>
        <v>#N/A</v>
      </c>
    </row>
    <row r="34" spans="1:29" s="1353" customFormat="1" ht="15">
      <c r="A34" s="1462"/>
      <c r="B34" s="1402" t="s">
        <v>3466</v>
      </c>
      <c r="C34" s="2141"/>
      <c r="D34" s="1404">
        <v>100</v>
      </c>
      <c r="E34" s="2141"/>
      <c r="F34" s="1449">
        <f>SUMIF(100:100,E34,101:101)-SUMIF(100:100,C34,101:101)+100</f>
        <v>100</v>
      </c>
      <c r="G34" s="2141"/>
      <c r="H34" s="1414">
        <f>SUMIF(100:100,G34,101:101)-SUMIF(100:100,C34,101:101)+100</f>
        <v>100</v>
      </c>
      <c r="I34" s="2141"/>
      <c r="J34" s="1414">
        <f>SUMIF(100:100,I34,101:101)-SUMIF(100:100,C34,101:101)+100</f>
        <v>100</v>
      </c>
      <c r="K34" s="1534"/>
      <c r="L34" s="2145"/>
      <c r="M34" s="2146"/>
      <c r="N34" s="2146"/>
      <c r="O34" s="2147"/>
      <c r="P34" s="3675"/>
      <c r="Q34" s="1580" t="str">
        <f t="shared" si="11"/>
        <v>物业管理</v>
      </c>
      <c r="R34" s="1576" t="s">
        <v>2884</v>
      </c>
      <c r="S34" s="1577">
        <f t="shared" si="12"/>
        <v>100</v>
      </c>
      <c r="T34" s="1576" t="s">
        <v>2884</v>
      </c>
      <c r="U34" s="1577">
        <f t="shared" si="13"/>
        <v>100</v>
      </c>
      <c r="V34" s="1576" t="s">
        <v>2884</v>
      </c>
      <c r="W34" s="1577">
        <f t="shared" si="14"/>
        <v>100</v>
      </c>
      <c r="X34" s="1578"/>
      <c r="Y34" s="3675"/>
      <c r="Z34" s="1594" t="str">
        <f t="shared" si="15"/>
        <v>物业管理</v>
      </c>
      <c r="AA34" s="1593">
        <f t="shared" si="3"/>
        <v>1</v>
      </c>
      <c r="AB34" s="1593">
        <f t="shared" si="4"/>
        <v>1</v>
      </c>
      <c r="AC34" s="1593">
        <f t="shared" si="5"/>
        <v>1</v>
      </c>
    </row>
    <row r="35" spans="1:29" ht="15">
      <c r="A35" s="1458"/>
      <c r="B35" s="1402" t="s">
        <v>3467</v>
      </c>
      <c r="C35" s="2141"/>
      <c r="D35" s="1414">
        <v>100</v>
      </c>
      <c r="E35" s="2141"/>
      <c r="F35" s="1449">
        <f>SUMIF(102:102,E35,103:103)-SUMIF(102:102,C35,103:103)+100</f>
        <v>100</v>
      </c>
      <c r="G35" s="2141"/>
      <c r="H35" s="1414">
        <f>SUMIF(102:102,G35,103:103)-SUMIF(102:102,C35,103:103)+100</f>
        <v>100</v>
      </c>
      <c r="I35" s="2141"/>
      <c r="J35" s="1414">
        <f>SUMIF(102:102,I35,103:103)-SUMIF(102:102,C35,103:103)+100</f>
        <v>100</v>
      </c>
      <c r="K35" s="1534"/>
      <c r="L35" s="2153"/>
      <c r="M35" s="2144"/>
      <c r="N35" s="2144"/>
      <c r="O35" s="2152"/>
      <c r="P35" s="3675" t="s">
        <v>2906</v>
      </c>
      <c r="Q35" s="1076" t="str">
        <f t="shared" si="11"/>
        <v>市政基础设施</v>
      </c>
      <c r="R35" s="1581" t="s">
        <v>2884</v>
      </c>
      <c r="S35" s="1582">
        <f t="shared" si="12"/>
        <v>100</v>
      </c>
      <c r="T35" s="1581" t="s">
        <v>2884</v>
      </c>
      <c r="U35" s="1582">
        <f t="shared" si="13"/>
        <v>100</v>
      </c>
      <c r="V35" s="1581" t="s">
        <v>2884</v>
      </c>
      <c r="W35" s="1582">
        <f t="shared" si="14"/>
        <v>100</v>
      </c>
      <c r="X35" s="1575"/>
      <c r="Y35" s="3675" t="s">
        <v>2906</v>
      </c>
      <c r="Z35" s="1574" t="str">
        <f t="shared" si="15"/>
        <v>市政基础设施</v>
      </c>
      <c r="AA35" s="1587">
        <f t="shared" si="3"/>
        <v>1</v>
      </c>
      <c r="AB35" s="1587">
        <f t="shared" si="4"/>
        <v>1</v>
      </c>
      <c r="AC35" s="1587">
        <f t="shared" si="5"/>
        <v>1</v>
      </c>
    </row>
    <row r="36" spans="1:29" ht="15">
      <c r="A36" s="1458"/>
      <c r="B36" s="1402" t="s">
        <v>3470</v>
      </c>
      <c r="C36" s="2141"/>
      <c r="D36" s="1414">
        <v>100</v>
      </c>
      <c r="E36" s="2141"/>
      <c r="F36" s="1449">
        <f>SUMIF(104:104,E36,105:105)-SUMIF(104:104,C36,105:105)+100</f>
        <v>100</v>
      </c>
      <c r="G36" s="2141"/>
      <c r="H36" s="1414">
        <f>SUMIF(104:104,G36,105:105)-SUMIF(104:104,C36,105:105)+100</f>
        <v>100</v>
      </c>
      <c r="I36" s="2141"/>
      <c r="J36" s="1414">
        <f>SUMIF(104:104,I36,105:105)-SUMIF(104:104,C36,105:105)+100</f>
        <v>100</v>
      </c>
      <c r="K36" s="1534"/>
      <c r="L36" s="2153"/>
      <c r="M36" s="2144"/>
      <c r="N36" s="2144"/>
      <c r="O36" s="2152"/>
      <c r="P36" s="3675"/>
      <c r="Q36" s="1076" t="str">
        <f t="shared" si="11"/>
        <v>内部装修</v>
      </c>
      <c r="R36" s="1581" t="s">
        <v>2884</v>
      </c>
      <c r="S36" s="1582">
        <f t="shared" si="12"/>
        <v>100</v>
      </c>
      <c r="T36" s="1581" t="s">
        <v>2884</v>
      </c>
      <c r="U36" s="1582">
        <f t="shared" si="13"/>
        <v>100</v>
      </c>
      <c r="V36" s="1581" t="s">
        <v>2884</v>
      </c>
      <c r="W36" s="1582">
        <f t="shared" si="14"/>
        <v>100</v>
      </c>
      <c r="X36" s="1575"/>
      <c r="Y36" s="3675"/>
      <c r="Z36" s="1574" t="str">
        <f t="shared" si="15"/>
        <v>内部装修</v>
      </c>
      <c r="AA36" s="1587">
        <f t="shared" si="3"/>
        <v>1</v>
      </c>
      <c r="AB36" s="1587">
        <f t="shared" si="4"/>
        <v>1</v>
      </c>
      <c r="AC36" s="1587">
        <f t="shared" si="5"/>
        <v>1</v>
      </c>
    </row>
    <row r="37" spans="1:29" ht="15">
      <c r="A37" s="1458"/>
      <c r="B37" s="1402" t="s">
        <v>3503</v>
      </c>
      <c r="C37" s="1448"/>
      <c r="D37" s="1414">
        <v>100</v>
      </c>
      <c r="E37" s="1448"/>
      <c r="F37" s="1449">
        <f>SUMIF(106:106,E37,107:107)-SUMIF(106:106,C37,107:107)+100</f>
        <v>100</v>
      </c>
      <c r="G37" s="1448"/>
      <c r="H37" s="1414">
        <f>SUMIF(106:106,G37,107:107)-SUMIF(106:106,C37,107:107)+100</f>
        <v>100</v>
      </c>
      <c r="I37" s="1448"/>
      <c r="J37" s="1414">
        <f>SUMIF(106:106,I37,107:107)-SUMIF(106:106,C37,107:107)+100</f>
        <v>100</v>
      </c>
      <c r="K37" s="1534"/>
      <c r="L37" s="2153"/>
      <c r="M37" s="2144"/>
      <c r="N37" s="2144"/>
      <c r="O37" s="2152"/>
      <c r="P37" s="3675"/>
      <c r="Q37" s="1076" t="str">
        <f t="shared" si="11"/>
        <v>内部装修状况</v>
      </c>
      <c r="R37" s="1581" t="s">
        <v>2884</v>
      </c>
      <c r="S37" s="1582">
        <f t="shared" si="12"/>
        <v>100</v>
      </c>
      <c r="T37" s="1581" t="s">
        <v>2884</v>
      </c>
      <c r="U37" s="1582">
        <f t="shared" si="13"/>
        <v>100</v>
      </c>
      <c r="V37" s="1581" t="s">
        <v>2884</v>
      </c>
      <c r="W37" s="1582">
        <f t="shared" si="14"/>
        <v>100</v>
      </c>
      <c r="X37" s="1575"/>
      <c r="Y37" s="3675"/>
      <c r="Z37" s="1574" t="str">
        <f t="shared" si="15"/>
        <v>内部装修状况</v>
      </c>
      <c r="AA37" s="1587">
        <f t="shared" si="3"/>
        <v>1</v>
      </c>
      <c r="AB37" s="1587">
        <f t="shared" si="4"/>
        <v>1</v>
      </c>
      <c r="AC37" s="1587">
        <f t="shared" si="5"/>
        <v>1</v>
      </c>
    </row>
    <row r="38" spans="1:29" s="1355" customFormat="1" ht="15">
      <c r="A38" s="1456"/>
      <c r="B38" s="1450">
        <v>111</v>
      </c>
      <c r="C38" s="1457"/>
      <c r="D38" s="1414">
        <v>100</v>
      </c>
      <c r="E38" s="1413"/>
      <c r="F38" s="1449">
        <f>SUMIF(108:108,E38,109:109)-SUMIF(108:108,C38,109:109)+100</f>
        <v>100</v>
      </c>
      <c r="G38" s="1457"/>
      <c r="H38" s="1414">
        <f>SUMIF(108:108,G38,109:109)-SUMIF(108:108,C38,109:109)+100</f>
        <v>100</v>
      </c>
      <c r="I38" s="1457"/>
      <c r="J38" s="1414">
        <f>SUMIF(108:108,I38,109:1038)-SUMIF(108:108,C38,109:109)+100</f>
        <v>100</v>
      </c>
      <c r="K38" s="1536"/>
      <c r="L38" s="2151"/>
      <c r="M38" s="2154"/>
      <c r="N38" s="2154"/>
      <c r="O38" s="2155"/>
      <c r="P38" s="3675"/>
      <c r="Q38" s="1583">
        <f t="shared" si="11"/>
        <v>111</v>
      </c>
      <c r="R38" s="1584" t="s">
        <v>2884</v>
      </c>
      <c r="S38" s="1585">
        <f t="shared" si="12"/>
        <v>100</v>
      </c>
      <c r="T38" s="1584" t="s">
        <v>2884</v>
      </c>
      <c r="U38" s="1585">
        <f t="shared" si="13"/>
        <v>100</v>
      </c>
      <c r="V38" s="1584" t="s">
        <v>2884</v>
      </c>
      <c r="W38" s="1585">
        <f t="shared" si="14"/>
        <v>100</v>
      </c>
      <c r="X38" s="1586"/>
      <c r="Y38" s="3675"/>
      <c r="Z38" s="1595">
        <f t="shared" si="15"/>
        <v>111</v>
      </c>
      <c r="AA38" s="1587">
        <f t="shared" si="3"/>
        <v>1</v>
      </c>
      <c r="AB38" s="1587">
        <f t="shared" si="4"/>
        <v>1</v>
      </c>
      <c r="AC38" s="1587">
        <f t="shared" si="5"/>
        <v>1</v>
      </c>
    </row>
    <row r="39" spans="1:29" ht="15">
      <c r="A39" s="1458"/>
      <c r="B39" s="1450">
        <v>111</v>
      </c>
      <c r="C39" s="1457"/>
      <c r="D39" s="1414">
        <v>100</v>
      </c>
      <c r="E39" s="1413"/>
      <c r="F39" s="1449">
        <f>SUMIF(110:110,E39,111:111)-SUMIF(110:110,C39,111:111)+100</f>
        <v>100</v>
      </c>
      <c r="G39" s="1457"/>
      <c r="H39" s="1414">
        <f>SUMIF(110:110,G39,111:111)-SUMIF(110:110,C39,111:111)+100</f>
        <v>100</v>
      </c>
      <c r="I39" s="1457"/>
      <c r="J39" s="1414">
        <f>SUMIF(110:110,I39,111:111)-SUMIF(110:110,C39,111:111)+100</f>
        <v>100</v>
      </c>
      <c r="K39" s="1536"/>
      <c r="L39" s="2153"/>
      <c r="M39" s="2144"/>
      <c r="N39" s="2144"/>
      <c r="O39" s="2152"/>
      <c r="P39" s="3675"/>
      <c r="Q39" s="1076">
        <f t="shared" si="11"/>
        <v>111</v>
      </c>
      <c r="R39" s="1581" t="s">
        <v>2884</v>
      </c>
      <c r="S39" s="1582">
        <f t="shared" si="12"/>
        <v>100</v>
      </c>
      <c r="T39" s="1581" t="s">
        <v>2884</v>
      </c>
      <c r="U39" s="1582">
        <f t="shared" si="13"/>
        <v>100</v>
      </c>
      <c r="V39" s="1581" t="s">
        <v>2884</v>
      </c>
      <c r="W39" s="1582">
        <f t="shared" si="14"/>
        <v>100</v>
      </c>
      <c r="X39" s="1575"/>
      <c r="Y39" s="3675"/>
      <c r="Z39" s="1574">
        <f t="shared" si="15"/>
        <v>111</v>
      </c>
      <c r="AA39" s="1587">
        <f t="shared" si="3"/>
        <v>1</v>
      </c>
      <c r="AB39" s="1587">
        <f t="shared" si="4"/>
        <v>1</v>
      </c>
      <c r="AC39" s="1587">
        <f t="shared" si="5"/>
        <v>1</v>
      </c>
    </row>
    <row r="40" spans="1:29" ht="15">
      <c r="A40" s="1466"/>
      <c r="B40" s="1416">
        <v>111</v>
      </c>
      <c r="C40" s="1417"/>
      <c r="D40" s="1418">
        <v>100</v>
      </c>
      <c r="E40" s="1413"/>
      <c r="F40" s="1419">
        <f>SUMIF(112:112,E40,113:113)-SUMIF(112:112,C40,113:113)+100</f>
        <v>100</v>
      </c>
      <c r="G40" s="1457"/>
      <c r="H40" s="1418">
        <f>SUMIF(112:112,G40,113:113)-SUMIF(112:112,C40,113:113)+100</f>
        <v>100</v>
      </c>
      <c r="I40" s="1457"/>
      <c r="J40" s="1418">
        <f>SUMIF(112:112,I40,113:113)-SUMIF(112:112,C40,113:113)+100</f>
        <v>100</v>
      </c>
      <c r="K40" s="1536"/>
      <c r="L40" s="2153"/>
      <c r="M40" s="2144"/>
      <c r="N40" s="2144"/>
      <c r="O40" s="2152"/>
      <c r="P40" s="3732"/>
      <c r="Q40" s="1076">
        <f t="shared" si="11"/>
        <v>111</v>
      </c>
      <c r="R40" s="1581" t="s">
        <v>2884</v>
      </c>
      <c r="S40" s="1582">
        <f t="shared" si="12"/>
        <v>100</v>
      </c>
      <c r="T40" s="1581" t="s">
        <v>2884</v>
      </c>
      <c r="U40" s="1582">
        <f t="shared" si="13"/>
        <v>100</v>
      </c>
      <c r="V40" s="1581" t="s">
        <v>2884</v>
      </c>
      <c r="W40" s="1582">
        <f t="shared" si="14"/>
        <v>100</v>
      </c>
      <c r="X40" s="1575"/>
      <c r="Y40" s="3732"/>
      <c r="Z40" s="1574">
        <f t="shared" si="15"/>
        <v>111</v>
      </c>
      <c r="AA40" s="1587">
        <f t="shared" si="3"/>
        <v>1</v>
      </c>
      <c r="AB40" s="1587">
        <f t="shared" si="4"/>
        <v>1</v>
      </c>
      <c r="AC40" s="1587">
        <f t="shared" si="5"/>
        <v>1</v>
      </c>
    </row>
    <row r="41" spans="1:29" ht="14.4">
      <c r="A41" s="1467" t="s">
        <v>3324</v>
      </c>
      <c r="B41" s="1468"/>
      <c r="C41" s="1469" t="s">
        <v>124</v>
      </c>
      <c r="D41" s="1470"/>
      <c r="E41" s="1471"/>
      <c r="F41" s="1472"/>
      <c r="G41" s="1473"/>
      <c r="H41" s="1474"/>
      <c r="I41" s="1471"/>
      <c r="J41" s="1474"/>
      <c r="K41" s="1542"/>
      <c r="L41" s="2156"/>
      <c r="M41" s="2059"/>
      <c r="N41" s="2144"/>
      <c r="O41" s="2059"/>
      <c r="P41" s="3665" t="str">
        <f>A41</f>
        <v>成交单价（元/平方米）</v>
      </c>
      <c r="Q41" s="3665"/>
      <c r="R41" s="3666">
        <f>E41</f>
        <v>0</v>
      </c>
      <c r="S41" s="3666"/>
      <c r="T41" s="3666">
        <f>G41</f>
        <v>0</v>
      </c>
      <c r="U41" s="3666"/>
      <c r="V41" s="3666">
        <f>I41</f>
        <v>0</v>
      </c>
      <c r="W41" s="3666"/>
      <c r="X41" s="1493"/>
      <c r="Y41" s="1596"/>
      <c r="Z41" s="1493"/>
      <c r="AA41" s="1493"/>
      <c r="AB41" s="1493"/>
      <c r="AC41" s="1493"/>
    </row>
    <row r="42" spans="1:29" ht="14.4">
      <c r="A42" s="1475" t="s">
        <v>2922</v>
      </c>
      <c r="B42" s="1476"/>
      <c r="C42" s="1477" t="e">
        <f>R43</f>
        <v>#DIV/0!</v>
      </c>
      <c r="D42" s="1478" t="s">
        <v>2923</v>
      </c>
      <c r="E42" s="1479" t="e">
        <f>R42</f>
        <v>#DIV/0!</v>
      </c>
      <c r="F42" s="1480"/>
      <c r="G42" s="1477" t="e">
        <f>T42</f>
        <v>#DIV/0!</v>
      </c>
      <c r="H42" s="1480"/>
      <c r="I42" s="1479" t="e">
        <f>V42</f>
        <v>#DIV/0!</v>
      </c>
      <c r="J42" s="1480"/>
      <c r="K42" s="1544">
        <f>F42+H42+J42</f>
        <v>0</v>
      </c>
      <c r="L42" s="2156"/>
      <c r="M42" s="2059"/>
      <c r="N42" s="2144"/>
      <c r="O42" s="2059"/>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1493"/>
      <c r="Y42" s="1493"/>
      <c r="Z42" s="1493"/>
      <c r="AA42" s="1493"/>
      <c r="AB42" s="1493"/>
      <c r="AC42" s="1493"/>
    </row>
    <row r="43" spans="1:29" ht="14.4">
      <c r="A43" s="1481" t="s">
        <v>3325</v>
      </c>
      <c r="B43" s="1482"/>
      <c r="C43" s="1483" t="e">
        <f>R43</f>
        <v>#DIV/0!</v>
      </c>
      <c r="D43" s="1483"/>
      <c r="E43" s="1483"/>
      <c r="F43" s="1483"/>
      <c r="G43" s="1483"/>
      <c r="H43" s="1483"/>
      <c r="I43" s="1483"/>
      <c r="J43" s="1483"/>
      <c r="K43" s="1545"/>
      <c r="L43" s="2156"/>
      <c r="M43" s="2059"/>
      <c r="N43" s="2059"/>
      <c r="O43" s="2059"/>
      <c r="P43" s="3667" t="str">
        <f>A43</f>
        <v>估价对象XX用房的比较价值（楼面单价，元/平方米）</v>
      </c>
      <c r="Q43" s="3668"/>
      <c r="R43" s="3725" t="e">
        <f>IF(F1="售价",ROUND(IF(D42="简单平均",AVERAGE(R42:V42),R42*F42+T42*H42+V42*J42),0),ROUND(IF(D42="简单平均",AVERAGE(R42:V42),R42*F42+T42*H42+V42*J42),1))</f>
        <v>#DIV/0!</v>
      </c>
      <c r="S43" s="3725"/>
      <c r="T43" s="3725"/>
      <c r="U43" s="3725"/>
      <c r="V43" s="3725"/>
      <c r="W43" s="3725"/>
      <c r="X43" s="1493"/>
      <c r="Y43" s="1493"/>
      <c r="Z43" s="1493"/>
      <c r="AA43" s="1493"/>
      <c r="AB43" s="1493"/>
      <c r="AC43" s="1493"/>
    </row>
    <row r="44" spans="1:29">
      <c r="A44" s="1484"/>
      <c r="B44" s="1484"/>
      <c r="C44" s="1484"/>
      <c r="D44" s="1484"/>
      <c r="E44" s="1484"/>
      <c r="F44" s="1484"/>
      <c r="G44" s="1485"/>
      <c r="H44" s="1484"/>
      <c r="I44" s="1484"/>
      <c r="J44" s="1484"/>
      <c r="K44" s="1546"/>
      <c r="L44" s="2079"/>
      <c r="M44" s="2059"/>
      <c r="N44" s="2059"/>
      <c r="O44" s="2059"/>
    </row>
    <row r="45" spans="1:29">
      <c r="A45" s="1484"/>
      <c r="B45" s="1484"/>
      <c r="C45" s="1484"/>
      <c r="D45" s="1484"/>
      <c r="E45" s="1484"/>
      <c r="F45" s="1484"/>
      <c r="G45" s="1484"/>
      <c r="H45" s="1484"/>
      <c r="I45" s="1484"/>
      <c r="J45" s="1484"/>
      <c r="K45" s="1546"/>
      <c r="L45" s="2079"/>
      <c r="M45" s="2059"/>
      <c r="N45" s="2059"/>
      <c r="O45" s="2059"/>
    </row>
    <row r="46" spans="1:29" ht="13.5" customHeight="1">
      <c r="A46" s="1484"/>
      <c r="B46" s="1484"/>
      <c r="C46" s="1486" t="s">
        <v>2925</v>
      </c>
      <c r="D46" s="1120"/>
      <c r="E46" s="1487" t="e">
        <f>IF(E41&lt;E42,E42/E41-1,E41/E42-1)</f>
        <v>#DIV/0!</v>
      </c>
      <c r="F46" s="1488" t="e">
        <f>IF(OR(E46&gt;=0.3,E46&lt;=-0.3),"超过30%","")</f>
        <v>#DIV/0!</v>
      </c>
      <c r="G46" s="1487" t="e">
        <f>IF(G41&lt;G42,G42/G41-1,G41/G42-1)</f>
        <v>#DIV/0!</v>
      </c>
      <c r="H46" s="1488" t="e">
        <f>IF(OR(G46&gt;=0.3,G46&lt;=-0.3),"超过30%","")</f>
        <v>#DIV/0!</v>
      </c>
      <c r="I46" s="1487" t="e">
        <f>IF(I41&lt;I42,I42/I41-1,I41/I42-1)</f>
        <v>#DIV/0!</v>
      </c>
      <c r="J46" s="1488" t="e">
        <f>IF(OR(I46&gt;=0.3,I46&lt;=-0.3),"超过30%","")</f>
        <v>#DIV/0!</v>
      </c>
      <c r="K46" s="1546"/>
      <c r="L46" s="2079"/>
      <c r="M46" s="2059"/>
      <c r="N46" s="2059"/>
      <c r="O46" s="2059"/>
    </row>
    <row r="47" spans="1:29" ht="13.5" customHeight="1">
      <c r="A47" s="1484"/>
      <c r="B47" s="1484"/>
      <c r="C47" s="1486" t="s">
        <v>2926</v>
      </c>
      <c r="D47" s="1119"/>
      <c r="E47" s="1487" t="e">
        <f>IF(E42&lt;G42,G42/E42-1,E42/G42-1)</f>
        <v>#DIV/0!</v>
      </c>
      <c r="F47" s="1488" t="e">
        <f>IF(OR(E47&gt;=0.2,E47&lt;=-0.2),"超过20%","")</f>
        <v>#DIV/0!</v>
      </c>
      <c r="G47" s="1487" t="e">
        <f>IF(G42&lt;I42,I42/G42-1,G42/I42-1)</f>
        <v>#DIV/0!</v>
      </c>
      <c r="H47" s="1488" t="e">
        <f>IF(OR(G47&gt;=0.2,G47&lt;=-0.2),"超过20%","")</f>
        <v>#DIV/0!</v>
      </c>
      <c r="I47" s="1487" t="e">
        <f>IF(I42&lt;E42,E42/I42-1,I42/E42-1)</f>
        <v>#DIV/0!</v>
      </c>
      <c r="J47" s="1488" t="e">
        <f>IF(OR(I47&gt;=0.2,I47&lt;=-0.2),"超过20%","")</f>
        <v>#DIV/0!</v>
      </c>
      <c r="K47" s="1546"/>
      <c r="L47" s="2079"/>
      <c r="M47" s="2059"/>
      <c r="N47" s="2059"/>
      <c r="O47" s="2059"/>
    </row>
    <row r="48" spans="1:29" s="1356" customFormat="1" ht="13.5" customHeight="1">
      <c r="A48" s="1489"/>
      <c r="B48" s="1489"/>
      <c r="C48" s="1486" t="s">
        <v>2927</v>
      </c>
      <c r="D48" s="1119"/>
      <c r="E48" s="1487" t="e">
        <f>IF(E41&lt;G41,G41/E41-1,E41/G41-1)</f>
        <v>#DIV/0!</v>
      </c>
      <c r="F48" s="1488" t="e">
        <f>IF(OR(E48&gt;=0.3,E48&lt;=-0.3),"超过30%","")</f>
        <v>#DIV/0!</v>
      </c>
      <c r="G48" s="1487" t="e">
        <f>IF(G41&lt;I41,I41/G41-1,G41/I41-1)</f>
        <v>#DIV/0!</v>
      </c>
      <c r="H48" s="1488" t="e">
        <f>IF(OR(G48&gt;=0.3,G48&lt;=-0.3),"超过30%","")</f>
        <v>#DIV/0!</v>
      </c>
      <c r="I48" s="1487" t="e">
        <f>IF(I41&lt;E41,E41/I41-1,I41/E41-1)</f>
        <v>#DIV/0!</v>
      </c>
      <c r="J48" s="1488" t="e">
        <f>IF(OR(I48&gt;=0.3,I48&lt;=-0.3),"超过30%","")</f>
        <v>#DIV/0!</v>
      </c>
      <c r="K48" s="1549"/>
      <c r="L48" s="2157"/>
      <c r="M48" s="2158"/>
      <c r="N48" s="2158"/>
      <c r="O48" s="2158"/>
    </row>
    <row r="49" spans="1:17" s="1356" customFormat="1">
      <c r="A49" s="1489"/>
      <c r="B49" s="1490"/>
      <c r="C49" s="1491"/>
      <c r="D49" s="1489"/>
      <c r="E49" s="1489"/>
      <c r="F49" s="1489"/>
      <c r="G49" s="1489"/>
      <c r="H49" s="1489"/>
      <c r="I49" s="1489"/>
      <c r="J49" s="1489"/>
      <c r="K49" s="1549"/>
      <c r="L49" s="2157"/>
      <c r="M49" s="2158"/>
      <c r="N49" s="2158"/>
      <c r="O49" s="2158"/>
    </row>
    <row r="50" spans="1:17">
      <c r="A50" s="1484"/>
      <c r="B50" s="1490"/>
      <c r="C50" s="1491"/>
      <c r="D50" s="1484"/>
      <c r="E50" s="1484"/>
      <c r="F50" s="1484"/>
      <c r="G50" s="1484"/>
      <c r="H50" s="1484"/>
      <c r="I50" s="1484"/>
      <c r="J50" s="1484"/>
      <c r="K50" s="1546"/>
      <c r="L50" s="2079"/>
      <c r="M50" s="2059"/>
      <c r="N50" s="2059"/>
      <c r="O50" s="2059"/>
    </row>
    <row r="51" spans="1:17" ht="21.6">
      <c r="A51" s="1492" t="s">
        <v>2928</v>
      </c>
      <c r="B51" s="1493"/>
      <c r="C51" s="1494"/>
      <c r="D51" s="1494"/>
      <c r="E51" s="1494"/>
      <c r="F51" s="1495"/>
      <c r="G51" s="1495"/>
      <c r="H51" s="1494"/>
      <c r="I51" s="1494"/>
      <c r="J51" s="1494"/>
      <c r="K51" s="2128"/>
      <c r="L51" s="1553"/>
      <c r="M51" s="1554"/>
      <c r="N51" s="1554"/>
      <c r="O51" s="1554"/>
      <c r="P51" s="2159"/>
      <c r="Q51" s="2161"/>
    </row>
    <row r="52" spans="1:17" s="1357" customFormat="1" ht="14.4">
      <c r="A52" s="1496" t="s">
        <v>2882</v>
      </c>
      <c r="B52" s="1497"/>
      <c r="C52" s="1498" t="str">
        <f>YEAR(C7)&amp;"-"&amp;MONTH(C7)</f>
        <v>2024-1</v>
      </c>
      <c r="D52" s="1499">
        <f>EDATE(C52,-1)</f>
        <v>45261</v>
      </c>
      <c r="E52" s="1499">
        <f t="shared" ref="E52:O52" si="16">EDATE(D52,-1)</f>
        <v>45231</v>
      </c>
      <c r="F52" s="1499">
        <f t="shared" si="16"/>
        <v>45200</v>
      </c>
      <c r="G52" s="1499">
        <f t="shared" si="16"/>
        <v>45170</v>
      </c>
      <c r="H52" s="1499">
        <f t="shared" si="16"/>
        <v>45139</v>
      </c>
      <c r="I52" s="1499">
        <f t="shared" si="16"/>
        <v>45108</v>
      </c>
      <c r="J52" s="1499">
        <f t="shared" si="16"/>
        <v>45078</v>
      </c>
      <c r="K52" s="1499">
        <f t="shared" si="16"/>
        <v>45047</v>
      </c>
      <c r="L52" s="1499">
        <f t="shared" si="16"/>
        <v>45017</v>
      </c>
      <c r="M52" s="1499">
        <f t="shared" si="16"/>
        <v>44986</v>
      </c>
      <c r="N52" s="1499">
        <f t="shared" si="16"/>
        <v>44958</v>
      </c>
      <c r="O52" s="1499">
        <f t="shared" si="16"/>
        <v>44927</v>
      </c>
      <c r="P52" s="2160"/>
    </row>
    <row r="53" spans="1:17" s="1353" customFormat="1">
      <c r="A53" s="1500"/>
      <c r="B53" s="1501"/>
      <c r="C53" s="1502">
        <v>100</v>
      </c>
      <c r="D53" s="1503"/>
      <c r="E53" s="1503"/>
      <c r="F53" s="1503"/>
      <c r="G53" s="1503"/>
      <c r="H53" s="1503"/>
      <c r="I53" s="1503"/>
      <c r="J53" s="1503"/>
      <c r="K53" s="1503"/>
      <c r="L53" s="1503"/>
      <c r="M53" s="1557"/>
      <c r="N53" s="1503"/>
      <c r="O53" s="1564"/>
      <c r="P53" s="2161"/>
    </row>
    <row r="54" spans="1:17" s="1353" customFormat="1" ht="14.4">
      <c r="A54" s="1504" t="s">
        <v>2929</v>
      </c>
      <c r="B54" s="1505"/>
      <c r="C54" s="1506"/>
      <c r="D54" s="1507"/>
      <c r="E54" s="1507"/>
      <c r="F54" s="1507"/>
      <c r="G54" s="1507"/>
      <c r="H54" s="1507"/>
      <c r="I54" s="1507"/>
      <c r="J54" s="1507"/>
      <c r="K54" s="1507"/>
      <c r="L54" s="1507"/>
      <c r="M54" s="1559"/>
      <c r="N54" s="2162"/>
      <c r="O54" s="2163"/>
      <c r="P54" s="2161"/>
      <c r="Q54" s="2161"/>
    </row>
    <row r="55" spans="1:17" s="1353" customFormat="1" ht="14.4">
      <c r="A55" s="1508" t="s">
        <v>2885</v>
      </c>
      <c r="B55" s="1501"/>
      <c r="C55" s="1509" t="s">
        <v>2930</v>
      </c>
      <c r="D55" s="1510"/>
      <c r="E55" s="1510"/>
      <c r="F55" s="1510"/>
      <c r="G55" s="1510"/>
      <c r="H55" s="1510"/>
      <c r="I55" s="1510"/>
      <c r="J55" s="1510"/>
      <c r="K55" s="1510"/>
      <c r="L55" s="1560"/>
      <c r="M55" s="1561"/>
      <c r="N55" s="2164"/>
      <c r="O55" s="2164"/>
      <c r="P55" s="2165"/>
      <c r="Q55" s="2161"/>
    </row>
    <row r="56" spans="1:17" s="1353" customFormat="1">
      <c r="A56" s="1508"/>
      <c r="B56" s="1501"/>
      <c r="C56" s="2089">
        <v>100</v>
      </c>
      <c r="D56" s="1503"/>
      <c r="E56" s="1503"/>
      <c r="F56" s="1503"/>
      <c r="G56" s="1503"/>
      <c r="H56" s="1503"/>
      <c r="I56" s="1503"/>
      <c r="J56" s="1503"/>
      <c r="K56" s="1503"/>
      <c r="L56" s="1503"/>
      <c r="M56" s="1564"/>
      <c r="N56" s="2164"/>
      <c r="O56" s="2164"/>
      <c r="P56" s="2161"/>
      <c r="Q56" s="2161"/>
    </row>
    <row r="57" spans="1:17" ht="14.4">
      <c r="A57" s="1512" t="s">
        <v>2931</v>
      </c>
      <c r="B57" s="1513" t="s">
        <v>2889</v>
      </c>
      <c r="C57" s="1514">
        <f>C9</f>
        <v>0</v>
      </c>
      <c r="D57" s="1515"/>
      <c r="E57" s="1515"/>
      <c r="F57" s="1515"/>
      <c r="G57" s="1515"/>
      <c r="H57" s="1515"/>
      <c r="I57" s="1515"/>
      <c r="J57" s="1515"/>
      <c r="K57" s="1565"/>
      <c r="L57" s="1566"/>
      <c r="M57" s="1567"/>
      <c r="N57" s="2166"/>
      <c r="O57" s="2166"/>
      <c r="P57" s="2167"/>
      <c r="Q57" s="2161"/>
    </row>
    <row r="58" spans="1:17">
      <c r="A58" s="1516"/>
      <c r="B58" s="1517"/>
      <c r="C58" s="1518">
        <v>100</v>
      </c>
      <c r="D58" s="1518"/>
      <c r="E58" s="1518"/>
      <c r="F58" s="1518"/>
      <c r="G58" s="1518"/>
      <c r="H58" s="1518"/>
      <c r="I58" s="1518"/>
      <c r="J58" s="1518"/>
      <c r="K58" s="1518"/>
      <c r="L58" s="1518"/>
      <c r="M58" s="1570"/>
      <c r="N58" s="2168"/>
      <c r="O58" s="2168"/>
      <c r="P58" s="2167"/>
      <c r="Q58" s="2161"/>
    </row>
    <row r="59" spans="1:17" ht="28.8">
      <c r="A59" s="1516"/>
      <c r="B59" s="1597" t="s">
        <v>2893</v>
      </c>
      <c r="C59" s="1598"/>
      <c r="D59" s="1598"/>
      <c r="E59" s="1598"/>
      <c r="F59" s="1598"/>
      <c r="G59" s="1598"/>
      <c r="H59" s="1598"/>
      <c r="I59" s="1598"/>
      <c r="J59" s="1598"/>
      <c r="K59" s="1632"/>
      <c r="L59" s="1633"/>
      <c r="M59" s="1634"/>
      <c r="N59" s="2166"/>
      <c r="O59" s="2166"/>
      <c r="P59" s="2167"/>
      <c r="Q59" s="2161"/>
    </row>
    <row r="60" spans="1:17">
      <c r="A60" s="1516"/>
      <c r="B60" s="1599"/>
      <c r="C60" s="1518"/>
      <c r="D60" s="1518"/>
      <c r="E60" s="1518"/>
      <c r="F60" s="1518"/>
      <c r="G60" s="1518"/>
      <c r="H60" s="1518"/>
      <c r="I60" s="1518"/>
      <c r="J60" s="1518"/>
      <c r="K60" s="1518"/>
      <c r="L60" s="1518"/>
      <c r="M60" s="1570"/>
      <c r="N60" s="2168"/>
      <c r="O60" s="2168"/>
      <c r="P60" s="2167"/>
      <c r="Q60" s="2161"/>
    </row>
    <row r="61" spans="1:17" ht="14.4">
      <c r="A61" s="1516"/>
      <c r="B61" s="1600" t="s">
        <v>3458</v>
      </c>
      <c r="C61" s="1601" t="str">
        <f>C62&amp;"（含）"&amp;"-"&amp;D62</f>
        <v>0（含）-2</v>
      </c>
      <c r="D61" s="1601" t="str">
        <f t="shared" ref="D61:L61" si="17">D62&amp;"（含）"&amp;"-"&amp;E62</f>
        <v>2（含）-</v>
      </c>
      <c r="E61" s="1601" t="str">
        <f t="shared" si="17"/>
        <v>（含）-</v>
      </c>
      <c r="F61" s="1601" t="str">
        <f t="shared" si="17"/>
        <v>（含）-</v>
      </c>
      <c r="G61" s="1601" t="str">
        <f t="shared" si="17"/>
        <v>（含）-</v>
      </c>
      <c r="H61" s="1601" t="str">
        <f t="shared" si="17"/>
        <v>（含）-</v>
      </c>
      <c r="I61" s="1601" t="str">
        <f t="shared" si="17"/>
        <v>（含）-</v>
      </c>
      <c r="J61" s="1601" t="str">
        <f t="shared" si="17"/>
        <v>（含）-</v>
      </c>
      <c r="K61" s="1601" t="str">
        <f t="shared" si="17"/>
        <v>（含）-</v>
      </c>
      <c r="L61" s="1601" t="str">
        <f t="shared" si="17"/>
        <v>（含）-</v>
      </c>
      <c r="M61" s="1429" t="str">
        <f>M62&amp;"（含）"&amp;"-"&amp;P62</f>
        <v>（含）-</v>
      </c>
      <c r="N61" s="2168"/>
      <c r="O61" s="2168"/>
      <c r="P61" s="2167"/>
      <c r="Q61" s="2161"/>
    </row>
    <row r="62" spans="1:17">
      <c r="A62" s="1516"/>
      <c r="B62" s="1602"/>
      <c r="C62" s="1603">
        <v>0</v>
      </c>
      <c r="D62" s="1603">
        <v>2</v>
      </c>
      <c r="E62" s="1603"/>
      <c r="F62" s="1603"/>
      <c r="G62" s="1603"/>
      <c r="H62" s="1603"/>
      <c r="I62" s="1603"/>
      <c r="J62" s="1603"/>
      <c r="K62" s="1635"/>
      <c r="L62" s="1636"/>
      <c r="M62" s="1637"/>
      <c r="N62" s="2166"/>
      <c r="O62" s="2166"/>
      <c r="P62" s="2167"/>
      <c r="Q62" s="2161"/>
    </row>
    <row r="63" spans="1:17">
      <c r="A63" s="1516"/>
      <c r="B63" s="1517"/>
      <c r="C63" s="1604">
        <v>100</v>
      </c>
      <c r="D63" s="1604">
        <f t="shared" ref="D63:M63" si="18">C63-$K11</f>
        <v>100</v>
      </c>
      <c r="E63" s="1604">
        <f t="shared" si="18"/>
        <v>100</v>
      </c>
      <c r="F63" s="1604">
        <f t="shared" si="18"/>
        <v>100</v>
      </c>
      <c r="G63" s="1604">
        <f t="shared" si="18"/>
        <v>100</v>
      </c>
      <c r="H63" s="1604">
        <f t="shared" si="18"/>
        <v>100</v>
      </c>
      <c r="I63" s="1604">
        <f t="shared" si="18"/>
        <v>100</v>
      </c>
      <c r="J63" s="1604">
        <f t="shared" si="18"/>
        <v>100</v>
      </c>
      <c r="K63" s="1604">
        <f t="shared" si="18"/>
        <v>100</v>
      </c>
      <c r="L63" s="1604">
        <f t="shared" si="18"/>
        <v>100</v>
      </c>
      <c r="M63" s="1638">
        <f t="shared" si="18"/>
        <v>100</v>
      </c>
      <c r="N63" s="2168"/>
      <c r="O63" s="2168"/>
      <c r="P63" s="2167"/>
      <c r="Q63" s="2161"/>
    </row>
    <row r="64" spans="1:17" s="1355" customFormat="1">
      <c r="A64" s="1605"/>
      <c r="B64" s="1597">
        <f>B12</f>
        <v>111</v>
      </c>
      <c r="C64" s="1606"/>
      <c r="D64" s="1606"/>
      <c r="E64" s="1606"/>
      <c r="F64" s="1606"/>
      <c r="G64" s="1606"/>
      <c r="H64" s="1607"/>
      <c r="I64" s="1607"/>
      <c r="J64" s="1607"/>
      <c r="K64" s="1607"/>
      <c r="L64" s="1639"/>
      <c r="M64" s="1640"/>
      <c r="N64" s="2169"/>
      <c r="O64" s="2169"/>
      <c r="P64" s="2170"/>
      <c r="Q64" s="2171"/>
    </row>
    <row r="65" spans="1:17" s="1355" customFormat="1">
      <c r="A65" s="1605"/>
      <c r="B65" s="1599"/>
      <c r="C65" s="1608"/>
      <c r="D65" s="1518"/>
      <c r="E65" s="1518"/>
      <c r="F65" s="1518"/>
      <c r="G65" s="1518"/>
      <c r="H65" s="1518"/>
      <c r="I65" s="1518"/>
      <c r="J65" s="1518"/>
      <c r="K65" s="1518"/>
      <c r="L65" s="1518"/>
      <c r="M65" s="1570"/>
      <c r="N65" s="2168"/>
      <c r="O65" s="2168"/>
      <c r="P65" s="2170"/>
      <c r="Q65" s="2171"/>
    </row>
    <row r="66" spans="1:17" s="1355" customFormat="1">
      <c r="A66" s="1605"/>
      <c r="B66" s="1597">
        <f>B13</f>
        <v>111</v>
      </c>
      <c r="C66" s="1606"/>
      <c r="D66" s="1606"/>
      <c r="E66" s="1606"/>
      <c r="F66" s="1606"/>
      <c r="G66" s="1606"/>
      <c r="H66" s="1607"/>
      <c r="I66" s="1607"/>
      <c r="J66" s="1607"/>
      <c r="K66" s="1607"/>
      <c r="L66" s="1639"/>
      <c r="M66" s="1640"/>
      <c r="N66" s="2169"/>
      <c r="O66" s="2169"/>
      <c r="P66" s="2174"/>
      <c r="Q66" s="2178"/>
    </row>
    <row r="67" spans="1:17" s="1355" customFormat="1">
      <c r="A67" s="1605"/>
      <c r="B67" s="1599"/>
      <c r="C67" s="1608"/>
      <c r="D67" s="1518"/>
      <c r="E67" s="1518"/>
      <c r="F67" s="1518"/>
      <c r="G67" s="1608"/>
      <c r="H67" s="1609"/>
      <c r="I67" s="1609"/>
      <c r="J67" s="1609"/>
      <c r="K67" s="1609"/>
      <c r="L67" s="1609"/>
      <c r="M67" s="1644"/>
      <c r="N67" s="2169"/>
      <c r="O67" s="2169"/>
      <c r="P67" s="2170"/>
      <c r="Q67" s="2171"/>
    </row>
    <row r="68" spans="1:17" s="1355" customFormat="1">
      <c r="A68" s="1605"/>
      <c r="B68" s="1600">
        <f>B14</f>
        <v>111</v>
      </c>
      <c r="C68" s="1510"/>
      <c r="D68" s="1510"/>
      <c r="E68" s="1510"/>
      <c r="F68" s="1510"/>
      <c r="G68" s="1510"/>
      <c r="H68" s="1610"/>
      <c r="I68" s="1610"/>
      <c r="J68" s="1610"/>
      <c r="K68" s="1610"/>
      <c r="L68" s="1645"/>
      <c r="M68" s="1646"/>
      <c r="N68" s="2169"/>
      <c r="O68" s="2169"/>
      <c r="P68" s="2175"/>
      <c r="Q68" s="2171"/>
    </row>
    <row r="69" spans="1:17" s="1355" customFormat="1">
      <c r="A69" s="1611"/>
      <c r="B69" s="1612"/>
      <c r="C69" s="1613"/>
      <c r="D69" s="1613"/>
      <c r="E69" s="1613"/>
      <c r="F69" s="1613"/>
      <c r="G69" s="1613"/>
      <c r="H69" s="1614"/>
      <c r="I69" s="1614"/>
      <c r="J69" s="1614"/>
      <c r="K69" s="1614"/>
      <c r="L69" s="1614"/>
      <c r="M69" s="1648"/>
      <c r="N69" s="2169"/>
      <c r="O69" s="2169"/>
      <c r="P69" s="2170"/>
      <c r="Q69" s="2171"/>
    </row>
    <row r="70" spans="1:17" ht="14.4">
      <c r="A70" s="1512" t="s">
        <v>2895</v>
      </c>
      <c r="B70" s="1513" t="s">
        <v>3502</v>
      </c>
      <c r="C70" s="1615" t="s">
        <v>2933</v>
      </c>
      <c r="D70" s="1615" t="s">
        <v>2934</v>
      </c>
      <c r="E70" s="1615" t="s">
        <v>2935</v>
      </c>
      <c r="F70" s="1615" t="s">
        <v>2936</v>
      </c>
      <c r="G70" s="1615" t="s">
        <v>2937</v>
      </c>
      <c r="H70" s="1514"/>
      <c r="I70" s="1514"/>
      <c r="J70" s="1514"/>
      <c r="K70" s="1649"/>
      <c r="L70" s="1650"/>
      <c r="M70" s="1651"/>
      <c r="N70" s="2166"/>
      <c r="O70" s="2166"/>
      <c r="P70" s="2176"/>
      <c r="Q70" s="2161"/>
    </row>
    <row r="71" spans="1:17">
      <c r="A71" s="1516"/>
      <c r="B71" s="1599"/>
      <c r="C71" s="1604">
        <v>100</v>
      </c>
      <c r="D71" s="1604">
        <f>C71-$K15</f>
        <v>100</v>
      </c>
      <c r="E71" s="1604">
        <f>D71-$K15</f>
        <v>100</v>
      </c>
      <c r="F71" s="1604">
        <f>E71-$K15</f>
        <v>100</v>
      </c>
      <c r="G71" s="1604">
        <f>F71-$K15</f>
        <v>100</v>
      </c>
      <c r="H71" s="1604"/>
      <c r="I71" s="1604"/>
      <c r="J71" s="1604"/>
      <c r="K71" s="1604"/>
      <c r="L71" s="1604"/>
      <c r="M71" s="1638"/>
      <c r="N71" s="2168"/>
      <c r="O71" s="2168"/>
      <c r="P71" s="2167"/>
      <c r="Q71" s="2161"/>
    </row>
    <row r="72" spans="1:17" ht="14.4">
      <c r="A72" s="1516"/>
      <c r="B72" s="1597" t="s">
        <v>2896</v>
      </c>
      <c r="C72" s="1616" t="s">
        <v>2933</v>
      </c>
      <c r="D72" s="1616" t="s">
        <v>2934</v>
      </c>
      <c r="E72" s="1616" t="s">
        <v>2935</v>
      </c>
      <c r="F72" s="1616" t="s">
        <v>2936</v>
      </c>
      <c r="G72" s="1616" t="s">
        <v>2937</v>
      </c>
      <c r="H72" s="1617"/>
      <c r="I72" s="1617"/>
      <c r="J72" s="1617"/>
      <c r="K72" s="1653"/>
      <c r="L72" s="1654"/>
      <c r="M72" s="1655"/>
      <c r="N72" s="2166"/>
      <c r="O72" s="2166"/>
      <c r="P72" s="2167"/>
      <c r="Q72" s="2161"/>
    </row>
    <row r="73" spans="1:17">
      <c r="A73" s="1516"/>
      <c r="B73" s="1599"/>
      <c r="C73" s="1604">
        <v>100</v>
      </c>
      <c r="D73" s="1604">
        <f>C73-$K17</f>
        <v>100</v>
      </c>
      <c r="E73" s="1604">
        <f>D73-$K17</f>
        <v>100</v>
      </c>
      <c r="F73" s="1604">
        <f>E73-$K17</f>
        <v>100</v>
      </c>
      <c r="G73" s="1604">
        <f>F73-$K17</f>
        <v>100</v>
      </c>
      <c r="H73" s="1604"/>
      <c r="I73" s="1604"/>
      <c r="J73" s="1604"/>
      <c r="K73" s="1604"/>
      <c r="L73" s="1604"/>
      <c r="M73" s="1638"/>
      <c r="N73" s="2168"/>
      <c r="O73" s="2168"/>
      <c r="P73" s="2167"/>
      <c r="Q73" s="2161"/>
    </row>
    <row r="74" spans="1:17" ht="14.4">
      <c r="A74" s="1516"/>
      <c r="B74" s="1597" t="s">
        <v>2899</v>
      </c>
      <c r="C74" s="1616" t="s">
        <v>2933</v>
      </c>
      <c r="D74" s="1616" t="s">
        <v>2934</v>
      </c>
      <c r="E74" s="1616" t="s">
        <v>2935</v>
      </c>
      <c r="F74" s="1616" t="s">
        <v>2936</v>
      </c>
      <c r="G74" s="1616" t="s">
        <v>2937</v>
      </c>
      <c r="H74" s="1617"/>
      <c r="I74" s="1617"/>
      <c r="J74" s="1617"/>
      <c r="K74" s="1653"/>
      <c r="L74" s="1654"/>
      <c r="M74" s="1655"/>
      <c r="N74" s="2166"/>
      <c r="O74" s="2166"/>
      <c r="P74" s="2167"/>
      <c r="Q74" s="2161"/>
    </row>
    <row r="75" spans="1:17">
      <c r="A75" s="1516"/>
      <c r="B75" s="1599"/>
      <c r="C75" s="1604">
        <v>100</v>
      </c>
      <c r="D75" s="1604">
        <f>C75-$K19</f>
        <v>100</v>
      </c>
      <c r="E75" s="1604">
        <f>D75-$K19</f>
        <v>100</v>
      </c>
      <c r="F75" s="1604">
        <f>E75-$K19</f>
        <v>100</v>
      </c>
      <c r="G75" s="1604">
        <f>F75-$K19</f>
        <v>100</v>
      </c>
      <c r="H75" s="1604"/>
      <c r="I75" s="1604"/>
      <c r="J75" s="1604"/>
      <c r="K75" s="1604"/>
      <c r="L75" s="1604"/>
      <c r="M75" s="1638"/>
      <c r="N75" s="2168"/>
      <c r="O75" s="2168"/>
      <c r="P75" s="2167"/>
      <c r="Q75" s="2161"/>
    </row>
    <row r="76" spans="1:17" ht="14.4">
      <c r="A76" s="1516"/>
      <c r="B76" s="1600" t="s">
        <v>2901</v>
      </c>
      <c r="C76" s="1618" t="s">
        <v>2938</v>
      </c>
      <c r="D76" s="1618" t="s">
        <v>2939</v>
      </c>
      <c r="E76" s="1618" t="s">
        <v>2940</v>
      </c>
      <c r="F76" s="1618" t="s">
        <v>2941</v>
      </c>
      <c r="G76" s="1618" t="s">
        <v>2942</v>
      </c>
      <c r="H76" s="1617"/>
      <c r="I76" s="1617"/>
      <c r="J76" s="1617"/>
      <c r="K76" s="1617"/>
      <c r="L76" s="1617"/>
      <c r="M76" s="1656"/>
      <c r="N76" s="2168"/>
      <c r="O76" s="2168"/>
      <c r="P76" s="2167"/>
      <c r="Q76" s="2161"/>
    </row>
    <row r="77" spans="1:17">
      <c r="A77" s="1516"/>
      <c r="B77" s="1600"/>
      <c r="C77" s="1604">
        <v>100</v>
      </c>
      <c r="D77" s="1604">
        <f>C77-$K21</f>
        <v>100</v>
      </c>
      <c r="E77" s="1604">
        <f>D77-$K21</f>
        <v>100</v>
      </c>
      <c r="F77" s="1604">
        <f>E77-$K21</f>
        <v>100</v>
      </c>
      <c r="G77" s="1604">
        <f>F77-$K21</f>
        <v>100</v>
      </c>
      <c r="H77" s="1618"/>
      <c r="I77" s="1618"/>
      <c r="J77" s="1618"/>
      <c r="K77" s="1618"/>
      <c r="L77" s="1618"/>
      <c r="M77" s="1431"/>
      <c r="N77" s="2168"/>
      <c r="O77" s="2168"/>
      <c r="P77" s="2167"/>
      <c r="Q77" s="2161"/>
    </row>
    <row r="78" spans="1:17" ht="14.4">
      <c r="A78" s="1516"/>
      <c r="B78" s="1597" t="s">
        <v>3494</v>
      </c>
      <c r="C78" s="1616" t="s">
        <v>2933</v>
      </c>
      <c r="D78" s="1616" t="s">
        <v>2934</v>
      </c>
      <c r="E78" s="1616" t="s">
        <v>2935</v>
      </c>
      <c r="F78" s="1616" t="s">
        <v>2936</v>
      </c>
      <c r="G78" s="1616" t="s">
        <v>2937</v>
      </c>
      <c r="H78" s="1617"/>
      <c r="I78" s="1617"/>
      <c r="J78" s="1617"/>
      <c r="K78" s="1653"/>
      <c r="L78" s="1654"/>
      <c r="M78" s="1655"/>
      <c r="N78" s="2166"/>
      <c r="O78" s="2166"/>
      <c r="P78" s="2167"/>
      <c r="Q78" s="2161"/>
    </row>
    <row r="79" spans="1:17">
      <c r="A79" s="1516"/>
      <c r="B79" s="1599"/>
      <c r="C79" s="1604">
        <v>100</v>
      </c>
      <c r="D79" s="1604">
        <f>C79-$K23</f>
        <v>100</v>
      </c>
      <c r="E79" s="1604">
        <f>D79-$K23</f>
        <v>100</v>
      </c>
      <c r="F79" s="1604">
        <f>E79-$K23</f>
        <v>100</v>
      </c>
      <c r="G79" s="1604">
        <f>F79-$K23</f>
        <v>100</v>
      </c>
      <c r="H79" s="1604"/>
      <c r="I79" s="1604"/>
      <c r="J79" s="1604"/>
      <c r="K79" s="1604"/>
      <c r="L79" s="1604"/>
      <c r="M79" s="1638"/>
      <c r="N79" s="2168"/>
      <c r="O79" s="2168"/>
      <c r="P79" s="2167"/>
      <c r="Q79" s="2161"/>
    </row>
    <row r="80" spans="1:17" s="1353" customFormat="1">
      <c r="A80" s="1619"/>
      <c r="B80" s="1597">
        <f>B25</f>
        <v>111</v>
      </c>
      <c r="C80" s="1606"/>
      <c r="D80" s="1606"/>
      <c r="E80" s="1606"/>
      <c r="F80" s="1606"/>
      <c r="G80" s="1606"/>
      <c r="H80" s="1606"/>
      <c r="I80" s="1606"/>
      <c r="J80" s="1606"/>
      <c r="K80" s="1606"/>
      <c r="L80" s="1657"/>
      <c r="M80" s="1658"/>
      <c r="N80" s="2164"/>
      <c r="O80" s="2164"/>
      <c r="P80" s="2167"/>
      <c r="Q80" s="2161"/>
    </row>
    <row r="81" spans="1:17" s="1353" customFormat="1">
      <c r="A81" s="1619"/>
      <c r="B81" s="1599"/>
      <c r="C81" s="1608"/>
      <c r="D81" s="1518"/>
      <c r="E81" s="1518"/>
      <c r="F81" s="1518"/>
      <c r="G81" s="1518"/>
      <c r="H81" s="1518"/>
      <c r="I81" s="1518"/>
      <c r="J81" s="1518"/>
      <c r="K81" s="1518"/>
      <c r="L81" s="1518"/>
      <c r="M81" s="1570"/>
      <c r="N81" s="2168"/>
      <c r="O81" s="2168"/>
      <c r="P81" s="2167"/>
      <c r="Q81" s="2161"/>
    </row>
    <row r="82" spans="1:17" s="1353" customFormat="1">
      <c r="A82" s="1619"/>
      <c r="B82" s="1597">
        <f>B26</f>
        <v>111</v>
      </c>
      <c r="C82" s="1606"/>
      <c r="D82" s="1606"/>
      <c r="E82" s="1606"/>
      <c r="F82" s="1606"/>
      <c r="G82" s="1606"/>
      <c r="H82" s="1606"/>
      <c r="I82" s="1606"/>
      <c r="J82" s="1606"/>
      <c r="K82" s="1606"/>
      <c r="L82" s="1657"/>
      <c r="M82" s="1658"/>
      <c r="N82" s="2164"/>
      <c r="O82" s="2164"/>
      <c r="P82" s="2167"/>
      <c r="Q82" s="2161"/>
    </row>
    <row r="83" spans="1:17" s="1353" customFormat="1">
      <c r="A83" s="1619"/>
      <c r="B83" s="1599"/>
      <c r="C83" s="1608"/>
      <c r="D83" s="1518"/>
      <c r="E83" s="1518"/>
      <c r="F83" s="1518"/>
      <c r="G83" s="1518"/>
      <c r="H83" s="1518"/>
      <c r="I83" s="1518"/>
      <c r="J83" s="1518"/>
      <c r="K83" s="1518"/>
      <c r="L83" s="1518"/>
      <c r="M83" s="1570"/>
      <c r="N83" s="2168"/>
      <c r="O83" s="2168"/>
      <c r="P83" s="2167"/>
      <c r="Q83" s="2161"/>
    </row>
    <row r="84" spans="1:17" s="1355" customFormat="1">
      <c r="A84" s="1605"/>
      <c r="B84" s="1597">
        <f>B27</f>
        <v>111</v>
      </c>
      <c r="C84" s="1606"/>
      <c r="D84" s="1606"/>
      <c r="E84" s="1606"/>
      <c r="F84" s="1606"/>
      <c r="G84" s="1606"/>
      <c r="H84" s="1606"/>
      <c r="I84" s="1606"/>
      <c r="J84" s="1606"/>
      <c r="K84" s="1606"/>
      <c r="L84" s="1657"/>
      <c r="M84" s="1658"/>
      <c r="N84" s="2169"/>
      <c r="O84" s="2169"/>
      <c r="P84" s="2170"/>
      <c r="Q84" s="2171"/>
    </row>
    <row r="85" spans="1:17" s="1355" customFormat="1">
      <c r="A85" s="1605"/>
      <c r="B85" s="1599"/>
      <c r="C85" s="1608"/>
      <c r="D85" s="1518"/>
      <c r="E85" s="1518"/>
      <c r="F85" s="1518"/>
      <c r="G85" s="1518"/>
      <c r="H85" s="1518"/>
      <c r="I85" s="1518"/>
      <c r="J85" s="1518"/>
      <c r="K85" s="1518"/>
      <c r="L85" s="1518"/>
      <c r="M85" s="1570"/>
      <c r="N85" s="2169"/>
      <c r="O85" s="2169"/>
      <c r="P85" s="2170"/>
      <c r="Q85" s="2171"/>
    </row>
    <row r="86" spans="1:17">
      <c r="A86" s="1516"/>
      <c r="B86" s="1600">
        <f>B28</f>
        <v>111</v>
      </c>
      <c r="C86" s="1510"/>
      <c r="D86" s="1510"/>
      <c r="E86" s="1510"/>
      <c r="F86" s="1510"/>
      <c r="G86" s="1622"/>
      <c r="H86" s="1622"/>
      <c r="I86" s="1622"/>
      <c r="J86" s="1622"/>
      <c r="K86" s="1659"/>
      <c r="L86" s="1660"/>
      <c r="M86" s="1661"/>
      <c r="N86" s="2166"/>
      <c r="O86" s="2166"/>
      <c r="P86" s="2167"/>
      <c r="Q86" s="2161"/>
    </row>
    <row r="87" spans="1:17">
      <c r="A87" s="1623"/>
      <c r="B87" s="1612"/>
      <c r="C87" s="1613"/>
      <c r="D87" s="1613"/>
      <c r="E87" s="1613"/>
      <c r="F87" s="1613"/>
      <c r="G87" s="1624"/>
      <c r="H87" s="1624"/>
      <c r="I87" s="1624"/>
      <c r="J87" s="1624"/>
      <c r="K87" s="1624"/>
      <c r="L87" s="1624"/>
      <c r="M87" s="1662"/>
      <c r="N87" s="2168"/>
      <c r="O87" s="2168"/>
      <c r="P87" s="2167"/>
      <c r="Q87" s="2161"/>
    </row>
    <row r="88" spans="1:17" ht="14.4">
      <c r="A88" s="1512" t="s">
        <v>2904</v>
      </c>
      <c r="B88" s="1513" t="s">
        <v>3462</v>
      </c>
      <c r="C88" s="1515"/>
      <c r="D88" s="1515"/>
      <c r="E88" s="1515"/>
      <c r="F88" s="1515"/>
      <c r="G88" s="1515"/>
      <c r="H88" s="1515"/>
      <c r="I88" s="1515"/>
      <c r="J88" s="1515"/>
      <c r="K88" s="1565"/>
      <c r="L88" s="1566"/>
      <c r="M88" s="1567"/>
      <c r="N88" s="2166"/>
      <c r="O88" s="2166"/>
      <c r="P88" s="2167"/>
      <c r="Q88" s="2161"/>
    </row>
    <row r="89" spans="1:17">
      <c r="A89" s="1516"/>
      <c r="B89" s="1599"/>
      <c r="C89" s="1604">
        <v>100</v>
      </c>
      <c r="D89" s="1604">
        <f t="shared" ref="D89:M89" si="19">C89-$K29</f>
        <v>100</v>
      </c>
      <c r="E89" s="1604">
        <f t="shared" si="19"/>
        <v>100</v>
      </c>
      <c r="F89" s="1604">
        <f t="shared" si="19"/>
        <v>100</v>
      </c>
      <c r="G89" s="1604">
        <f t="shared" si="19"/>
        <v>100</v>
      </c>
      <c r="H89" s="1604">
        <f t="shared" si="19"/>
        <v>100</v>
      </c>
      <c r="I89" s="1604">
        <f t="shared" si="19"/>
        <v>100</v>
      </c>
      <c r="J89" s="1604">
        <f t="shared" si="19"/>
        <v>100</v>
      </c>
      <c r="K89" s="1604">
        <f t="shared" si="19"/>
        <v>100</v>
      </c>
      <c r="L89" s="1604">
        <f t="shared" si="19"/>
        <v>100</v>
      </c>
      <c r="M89" s="1638">
        <f t="shared" si="19"/>
        <v>100</v>
      </c>
      <c r="N89" s="2168"/>
      <c r="O89" s="2168"/>
      <c r="P89" s="2167"/>
      <c r="Q89" s="2161"/>
    </row>
    <row r="90" spans="1:17" ht="14.4">
      <c r="A90" s="1516"/>
      <c r="B90" s="1597" t="s">
        <v>3463</v>
      </c>
      <c r="C90" s="1616" t="str">
        <f>C91&amp;"(含)"&amp;"-"&amp;D91</f>
        <v>(含)-</v>
      </c>
      <c r="D90" s="1616" t="str">
        <f t="shared" ref="D90:L90" si="20">D91&amp;"(含)"&amp;"-"&amp;E91</f>
        <v>(含)-</v>
      </c>
      <c r="E90" s="1616" t="str">
        <f t="shared" si="20"/>
        <v>(含)-</v>
      </c>
      <c r="F90" s="1616" t="str">
        <f t="shared" si="20"/>
        <v>(含)-</v>
      </c>
      <c r="G90" s="1616" t="str">
        <f t="shared" si="20"/>
        <v>(含)-</v>
      </c>
      <c r="H90" s="1616" t="str">
        <f t="shared" si="20"/>
        <v>(含)-</v>
      </c>
      <c r="I90" s="1616" t="str">
        <f t="shared" si="20"/>
        <v>(含)-</v>
      </c>
      <c r="J90" s="1616" t="str">
        <f t="shared" si="20"/>
        <v>(含)-</v>
      </c>
      <c r="K90" s="1616" t="str">
        <f t="shared" si="20"/>
        <v>(含)-</v>
      </c>
      <c r="L90" s="1616" t="str">
        <f t="shared" si="20"/>
        <v>(含)-</v>
      </c>
      <c r="M90" s="1663" t="str">
        <f>M91&amp;"(含)"&amp;"-"&amp;P91</f>
        <v>(含)-</v>
      </c>
      <c r="N90" s="2164"/>
      <c r="O90" s="2164"/>
      <c r="P90" s="2167"/>
      <c r="Q90" s="2161"/>
    </row>
    <row r="91" spans="1:17" s="1355" customFormat="1">
      <c r="A91" s="1626"/>
      <c r="B91" s="1627"/>
      <c r="C91" s="1628"/>
      <c r="D91" s="1628"/>
      <c r="E91" s="1628"/>
      <c r="F91" s="1628"/>
      <c r="G91" s="1628"/>
      <c r="H91" s="1628"/>
      <c r="I91" s="1628"/>
      <c r="J91" s="1664"/>
      <c r="K91" s="1664"/>
      <c r="L91" s="1665"/>
      <c r="M91" s="1666"/>
      <c r="N91" s="2169"/>
      <c r="O91" s="2169"/>
      <c r="P91" s="2170"/>
      <c r="Q91" s="2171"/>
    </row>
    <row r="92" spans="1:17" s="1355" customFormat="1">
      <c r="A92" s="1605"/>
      <c r="B92" s="1599"/>
      <c r="C92" s="1608"/>
      <c r="D92" s="1518"/>
      <c r="E92" s="1518"/>
      <c r="F92" s="1518"/>
      <c r="G92" s="1518"/>
      <c r="H92" s="1518"/>
      <c r="I92" s="1518"/>
      <c r="J92" s="1518"/>
      <c r="K92" s="1518"/>
      <c r="L92" s="1518"/>
      <c r="M92" s="1570"/>
      <c r="N92" s="2168"/>
      <c r="O92" s="2168"/>
      <c r="P92" s="2170"/>
      <c r="Q92" s="2171"/>
    </row>
    <row r="93" spans="1:17" ht="14.4">
      <c r="A93" s="1629"/>
      <c r="B93" s="1597" t="s">
        <v>3464</v>
      </c>
      <c r="C93" s="1606"/>
      <c r="D93" s="1606"/>
      <c r="E93" s="1598"/>
      <c r="F93" s="1598"/>
      <c r="G93" s="1598"/>
      <c r="H93" s="1598"/>
      <c r="I93" s="1598"/>
      <c r="J93" s="1598"/>
      <c r="K93" s="1632"/>
      <c r="L93" s="1633"/>
      <c r="M93" s="1634"/>
      <c r="N93" s="2166"/>
      <c r="O93" s="2166"/>
      <c r="P93" s="2167"/>
      <c r="Q93" s="2161"/>
    </row>
    <row r="94" spans="1:17">
      <c r="A94" s="1516"/>
      <c r="B94" s="1599"/>
      <c r="C94" s="1604">
        <v>100</v>
      </c>
      <c r="D94" s="1604">
        <f t="shared" ref="D94:M94" si="21">C94-$K31</f>
        <v>100</v>
      </c>
      <c r="E94" s="1604">
        <f t="shared" si="21"/>
        <v>100</v>
      </c>
      <c r="F94" s="1604">
        <f t="shared" si="21"/>
        <v>100</v>
      </c>
      <c r="G94" s="1604">
        <f t="shared" si="21"/>
        <v>100</v>
      </c>
      <c r="H94" s="1604">
        <f t="shared" si="21"/>
        <v>100</v>
      </c>
      <c r="I94" s="1604">
        <f t="shared" si="21"/>
        <v>100</v>
      </c>
      <c r="J94" s="1604">
        <f t="shared" si="21"/>
        <v>100</v>
      </c>
      <c r="K94" s="1604">
        <f t="shared" si="21"/>
        <v>100</v>
      </c>
      <c r="L94" s="1604">
        <f t="shared" si="21"/>
        <v>100</v>
      </c>
      <c r="M94" s="1638">
        <f t="shared" si="21"/>
        <v>100</v>
      </c>
      <c r="N94" s="2168"/>
      <c r="O94" s="2168"/>
      <c r="P94" s="2167"/>
      <c r="Q94" s="2161"/>
    </row>
    <row r="95" spans="1:17" ht="14.4">
      <c r="A95" s="1629"/>
      <c r="B95" s="1597" t="s">
        <v>2912</v>
      </c>
      <c r="C95" s="1606"/>
      <c r="D95" s="1606"/>
      <c r="E95" s="1606"/>
      <c r="F95" s="1598"/>
      <c r="G95" s="1598"/>
      <c r="H95" s="1598"/>
      <c r="I95" s="1598"/>
      <c r="J95" s="1598"/>
      <c r="K95" s="1632"/>
      <c r="L95" s="1633"/>
      <c r="M95" s="1634"/>
      <c r="N95" s="2166"/>
      <c r="O95" s="2166"/>
      <c r="P95" s="2167"/>
      <c r="Q95" s="2161"/>
    </row>
    <row r="96" spans="1:17">
      <c r="A96" s="1516"/>
      <c r="B96" s="1599"/>
      <c r="C96" s="1604">
        <v>100</v>
      </c>
      <c r="D96" s="1604">
        <f t="shared" ref="D96:M96" si="22">C96-$K32</f>
        <v>100</v>
      </c>
      <c r="E96" s="1604">
        <f t="shared" si="22"/>
        <v>100</v>
      </c>
      <c r="F96" s="1604">
        <f t="shared" si="22"/>
        <v>100</v>
      </c>
      <c r="G96" s="1604">
        <f t="shared" si="22"/>
        <v>100</v>
      </c>
      <c r="H96" s="1604">
        <f t="shared" si="22"/>
        <v>100</v>
      </c>
      <c r="I96" s="1604">
        <f t="shared" si="22"/>
        <v>100</v>
      </c>
      <c r="J96" s="1604">
        <f t="shared" si="22"/>
        <v>100</v>
      </c>
      <c r="K96" s="1604">
        <f t="shared" si="22"/>
        <v>100</v>
      </c>
      <c r="L96" s="1604">
        <f t="shared" si="22"/>
        <v>100</v>
      </c>
      <c r="M96" s="1638">
        <f t="shared" si="22"/>
        <v>100</v>
      </c>
      <c r="N96" s="2168"/>
      <c r="O96" s="2168"/>
      <c r="P96" s="2167"/>
      <c r="Q96" s="2161"/>
    </row>
    <row r="97" spans="1:17" ht="14.4">
      <c r="A97" s="1629"/>
      <c r="B97" s="1597" t="s">
        <v>2507</v>
      </c>
      <c r="C97" s="1616" t="str">
        <f>C98&amp;"(含)"&amp;"-"&amp;D98</f>
        <v>0.5(含)-0.6</v>
      </c>
      <c r="D97" s="1616" t="str">
        <f>D98&amp;"(含)"&amp;"-"&amp;E98</f>
        <v>0.6(含)-0.7</v>
      </c>
      <c r="E97" s="1616" t="str">
        <f>E98&amp;"(含)"&amp;"-"&amp;F98</f>
        <v>0.7(含)-0.8</v>
      </c>
      <c r="F97" s="1616" t="str">
        <f>F98&amp;"(含)"&amp;"-"&amp;G98</f>
        <v>0.8(含)-0.9</v>
      </c>
      <c r="G97" s="1616" t="str">
        <f>G98&amp;"(含)"&amp;"-"&amp;ROUND(H98,0)&amp;"(含)"</f>
        <v>0.9(含)-1(含)</v>
      </c>
      <c r="H97" s="1616"/>
      <c r="I97" s="1598"/>
      <c r="J97" s="1598"/>
      <c r="K97" s="1632"/>
      <c r="L97" s="1633"/>
      <c r="M97" s="1634"/>
      <c r="N97" s="2166"/>
      <c r="O97" s="2166"/>
      <c r="P97" s="2167"/>
      <c r="Q97" s="2161"/>
    </row>
    <row r="98" spans="1:17">
      <c r="A98" s="1629"/>
      <c r="B98" s="1600"/>
      <c r="C98" s="1251">
        <v>0.5</v>
      </c>
      <c r="D98" s="1251">
        <v>0.6</v>
      </c>
      <c r="E98" s="1251">
        <v>0.7</v>
      </c>
      <c r="F98" s="1251">
        <v>0.8</v>
      </c>
      <c r="G98" s="1251">
        <v>0.9</v>
      </c>
      <c r="H98" s="1251">
        <v>1.0001</v>
      </c>
      <c r="I98" s="1667"/>
      <c r="J98" s="1667"/>
      <c r="K98" s="1668"/>
      <c r="L98" s="1669"/>
      <c r="M98" s="1670"/>
      <c r="N98" s="2166"/>
      <c r="O98" s="2166"/>
      <c r="P98" s="2167"/>
      <c r="Q98" s="2161"/>
    </row>
    <row r="99" spans="1:17">
      <c r="A99" s="1516"/>
      <c r="B99" s="1599"/>
      <c r="C99" s="1620">
        <v>100</v>
      </c>
      <c r="D99" s="1604">
        <f>C99+$K33</f>
        <v>100</v>
      </c>
      <c r="E99" s="1604">
        <f t="shared" ref="E99:M99" si="23">D99+$K33</f>
        <v>100</v>
      </c>
      <c r="F99" s="1604">
        <f t="shared" si="23"/>
        <v>100</v>
      </c>
      <c r="G99" s="1604">
        <f t="shared" si="23"/>
        <v>100</v>
      </c>
      <c r="H99" s="1604">
        <f t="shared" si="23"/>
        <v>100</v>
      </c>
      <c r="I99" s="1604">
        <f t="shared" si="23"/>
        <v>100</v>
      </c>
      <c r="J99" s="1604">
        <f t="shared" si="23"/>
        <v>100</v>
      </c>
      <c r="K99" s="1604">
        <f t="shared" si="23"/>
        <v>100</v>
      </c>
      <c r="L99" s="1604">
        <f t="shared" si="23"/>
        <v>100</v>
      </c>
      <c r="M99" s="1604">
        <f t="shared" si="23"/>
        <v>100</v>
      </c>
      <c r="N99" s="2168"/>
      <c r="O99" s="2168"/>
      <c r="P99" s="2167"/>
      <c r="Q99" s="2161"/>
    </row>
    <row r="100" spans="1:17" s="1355" customFormat="1" ht="14.4">
      <c r="A100" s="1626"/>
      <c r="B100" s="1597" t="s">
        <v>3466</v>
      </c>
      <c r="C100" s="1606"/>
      <c r="D100" s="1606"/>
      <c r="E100" s="1606"/>
      <c r="F100" s="1606"/>
      <c r="G100" s="1606"/>
      <c r="H100" s="1598"/>
      <c r="I100" s="1598"/>
      <c r="J100" s="1598"/>
      <c r="K100" s="1632"/>
      <c r="L100" s="1633"/>
      <c r="M100" s="1634"/>
      <c r="N100" s="2169"/>
      <c r="O100" s="2169"/>
      <c r="P100" s="2170"/>
      <c r="Q100" s="2171"/>
    </row>
    <row r="101" spans="1:17" s="1355" customFormat="1">
      <c r="A101" s="1605"/>
      <c r="B101" s="1599"/>
      <c r="C101" s="1604">
        <v>100</v>
      </c>
      <c r="D101" s="1604">
        <f>C101-$K34</f>
        <v>100</v>
      </c>
      <c r="E101" s="1604">
        <f t="shared" ref="E101:M101" si="24">D101-$K34</f>
        <v>100</v>
      </c>
      <c r="F101" s="1604">
        <f t="shared" si="24"/>
        <v>100</v>
      </c>
      <c r="G101" s="1604">
        <f t="shared" si="24"/>
        <v>100</v>
      </c>
      <c r="H101" s="1604">
        <f t="shared" si="24"/>
        <v>100</v>
      </c>
      <c r="I101" s="1604">
        <f t="shared" si="24"/>
        <v>100</v>
      </c>
      <c r="J101" s="1604">
        <f t="shared" si="24"/>
        <v>100</v>
      </c>
      <c r="K101" s="1604">
        <f t="shared" si="24"/>
        <v>100</v>
      </c>
      <c r="L101" s="1604">
        <f t="shared" si="24"/>
        <v>100</v>
      </c>
      <c r="M101" s="1604">
        <f t="shared" si="24"/>
        <v>100</v>
      </c>
      <c r="N101" s="2169"/>
      <c r="O101" s="2169"/>
      <c r="P101" s="2170"/>
      <c r="Q101" s="2171"/>
    </row>
    <row r="102" spans="1:17" ht="14.4">
      <c r="A102" s="1629"/>
      <c r="B102" s="1597" t="s">
        <v>3467</v>
      </c>
      <c r="C102" s="1606"/>
      <c r="D102" s="1606"/>
      <c r="E102" s="1606"/>
      <c r="F102" s="1606"/>
      <c r="G102" s="1606"/>
      <c r="H102" s="1598"/>
      <c r="I102" s="1598"/>
      <c r="J102" s="1598"/>
      <c r="K102" s="1632"/>
      <c r="L102" s="1633"/>
      <c r="M102" s="1634"/>
      <c r="N102" s="2166"/>
      <c r="O102" s="2166"/>
      <c r="P102" s="2167"/>
      <c r="Q102" s="2161"/>
    </row>
    <row r="103" spans="1:17">
      <c r="A103" s="1516"/>
      <c r="B103" s="1599"/>
      <c r="C103" s="1604">
        <v>100</v>
      </c>
      <c r="D103" s="1604">
        <f t="shared" ref="D103:M103" si="25">C103-$K35</f>
        <v>100</v>
      </c>
      <c r="E103" s="1604">
        <f t="shared" si="25"/>
        <v>100</v>
      </c>
      <c r="F103" s="1604">
        <f t="shared" si="25"/>
        <v>100</v>
      </c>
      <c r="G103" s="1604">
        <f t="shared" si="25"/>
        <v>100</v>
      </c>
      <c r="H103" s="1604">
        <f t="shared" si="25"/>
        <v>100</v>
      </c>
      <c r="I103" s="1604">
        <f t="shared" si="25"/>
        <v>100</v>
      </c>
      <c r="J103" s="1604">
        <f t="shared" si="25"/>
        <v>100</v>
      </c>
      <c r="K103" s="1604">
        <f t="shared" si="25"/>
        <v>100</v>
      </c>
      <c r="L103" s="1604">
        <f t="shared" si="25"/>
        <v>100</v>
      </c>
      <c r="M103" s="1638">
        <f t="shared" si="25"/>
        <v>100</v>
      </c>
      <c r="N103" s="2168"/>
      <c r="O103" s="2168"/>
      <c r="P103" s="2167"/>
      <c r="Q103" s="2161"/>
    </row>
    <row r="104" spans="1:17" ht="14.4">
      <c r="A104" s="1629"/>
      <c r="B104" s="1597" t="s">
        <v>3470</v>
      </c>
      <c r="C104" s="1606"/>
      <c r="D104" s="1606"/>
      <c r="E104" s="1606"/>
      <c r="F104" s="1606"/>
      <c r="G104" s="1606"/>
      <c r="H104" s="1598"/>
      <c r="I104" s="1598"/>
      <c r="J104" s="1598"/>
      <c r="K104" s="1632"/>
      <c r="L104" s="1633"/>
      <c r="M104" s="1634"/>
      <c r="N104" s="2166"/>
      <c r="O104" s="2166"/>
      <c r="P104" s="2167"/>
      <c r="Q104" s="2161"/>
    </row>
    <row r="105" spans="1:17">
      <c r="A105" s="1516"/>
      <c r="B105" s="1599"/>
      <c r="C105" s="1604">
        <v>100</v>
      </c>
      <c r="D105" s="1604">
        <f>C105-$K36</f>
        <v>100</v>
      </c>
      <c r="E105" s="1604">
        <f>D105-$K36</f>
        <v>100</v>
      </c>
      <c r="F105" s="1604">
        <f>E105-$K36</f>
        <v>100</v>
      </c>
      <c r="G105" s="1604">
        <f>F105-$K36</f>
        <v>100</v>
      </c>
      <c r="H105" s="1604"/>
      <c r="I105" s="1604"/>
      <c r="J105" s="1604"/>
      <c r="K105" s="1604"/>
      <c r="L105" s="1604"/>
      <c r="M105" s="1638"/>
      <c r="N105" s="2168"/>
      <c r="O105" s="2168"/>
      <c r="P105" s="2167"/>
      <c r="Q105" s="2161"/>
    </row>
    <row r="106" spans="1:17" ht="28.8">
      <c r="A106" s="1629"/>
      <c r="B106" s="2173" t="s">
        <v>3504</v>
      </c>
      <c r="C106" s="1616" t="s">
        <v>2933</v>
      </c>
      <c r="D106" s="1616" t="s">
        <v>2934</v>
      </c>
      <c r="E106" s="1616" t="s">
        <v>2935</v>
      </c>
      <c r="F106" s="1616" t="s">
        <v>2936</v>
      </c>
      <c r="G106" s="1616" t="s">
        <v>2937</v>
      </c>
      <c r="H106" s="1617"/>
      <c r="I106" s="1617"/>
      <c r="J106" s="1617"/>
      <c r="K106" s="1653"/>
      <c r="L106" s="1654"/>
      <c r="M106" s="1655"/>
      <c r="N106" s="2168"/>
      <c r="O106" s="2168"/>
      <c r="P106" s="2177"/>
      <c r="Q106" s="2179"/>
    </row>
    <row r="107" spans="1:17">
      <c r="A107" s="1516"/>
      <c r="B107" s="1599"/>
      <c r="C107" s="1620">
        <v>100</v>
      </c>
      <c r="D107" s="1604">
        <f t="shared" ref="D107:M107" si="26">C107-$K37</f>
        <v>100</v>
      </c>
      <c r="E107" s="1604">
        <f t="shared" si="26"/>
        <v>100</v>
      </c>
      <c r="F107" s="1604">
        <f t="shared" si="26"/>
        <v>100</v>
      </c>
      <c r="G107" s="1604">
        <f t="shared" si="26"/>
        <v>100</v>
      </c>
      <c r="H107" s="1604">
        <f t="shared" si="26"/>
        <v>100</v>
      </c>
      <c r="I107" s="1604">
        <f t="shared" si="26"/>
        <v>100</v>
      </c>
      <c r="J107" s="1604">
        <f t="shared" si="26"/>
        <v>100</v>
      </c>
      <c r="K107" s="1604">
        <f t="shared" si="26"/>
        <v>100</v>
      </c>
      <c r="L107" s="1604">
        <f t="shared" si="26"/>
        <v>100</v>
      </c>
      <c r="M107" s="1604">
        <f t="shared" si="26"/>
        <v>100</v>
      </c>
      <c r="N107" s="2168"/>
      <c r="O107" s="2168"/>
      <c r="P107" s="2167"/>
      <c r="Q107" s="2161"/>
    </row>
    <row r="108" spans="1:17" s="1355" customFormat="1">
      <c r="A108" s="1626"/>
      <c r="B108" s="1597">
        <f>B38</f>
        <v>111</v>
      </c>
      <c r="C108" s="1606"/>
      <c r="D108" s="1606"/>
      <c r="E108" s="1606"/>
      <c r="F108" s="1606"/>
      <c r="G108" s="1606"/>
      <c r="H108" s="1607"/>
      <c r="I108" s="1607"/>
      <c r="J108" s="1607"/>
      <c r="K108" s="1607"/>
      <c r="L108" s="1639"/>
      <c r="M108" s="1640"/>
      <c r="N108" s="2169"/>
      <c r="O108" s="2169"/>
      <c r="P108" s="2170"/>
      <c r="Q108" s="2171"/>
    </row>
    <row r="109" spans="1:17" s="1355" customFormat="1">
      <c r="A109" s="1605"/>
      <c r="B109" s="1517"/>
      <c r="C109" s="1608"/>
      <c r="D109" s="1518"/>
      <c r="E109" s="1518"/>
      <c r="F109" s="1518"/>
      <c r="G109" s="1608"/>
      <c r="H109" s="1609"/>
      <c r="I109" s="1609"/>
      <c r="J109" s="1609"/>
      <c r="K109" s="1609"/>
      <c r="L109" s="1609"/>
      <c r="M109" s="1644"/>
      <c r="N109" s="2169"/>
      <c r="O109" s="2169"/>
      <c r="P109" s="2170"/>
      <c r="Q109" s="2171"/>
    </row>
    <row r="110" spans="1:17">
      <c r="A110" s="1629"/>
      <c r="B110" s="1597">
        <f>B39</f>
        <v>111</v>
      </c>
      <c r="C110" s="1606"/>
      <c r="D110" s="1606"/>
      <c r="E110" s="1606"/>
      <c r="F110" s="1606"/>
      <c r="G110" s="1606"/>
      <c r="H110" s="1607"/>
      <c r="I110" s="1607"/>
      <c r="J110" s="1607"/>
      <c r="K110" s="1607"/>
      <c r="L110" s="1639"/>
      <c r="M110" s="1640"/>
      <c r="N110" s="2166"/>
      <c r="O110" s="2166"/>
      <c r="P110" s="2167"/>
      <c r="Q110" s="2161"/>
    </row>
    <row r="111" spans="1:17">
      <c r="A111" s="1516"/>
      <c r="B111" s="1599"/>
      <c r="C111" s="1608"/>
      <c r="D111" s="1518"/>
      <c r="E111" s="1518"/>
      <c r="F111" s="1518"/>
      <c r="G111" s="1608"/>
      <c r="H111" s="1609"/>
      <c r="I111" s="1609"/>
      <c r="J111" s="1609"/>
      <c r="K111" s="1609"/>
      <c r="L111" s="1609"/>
      <c r="M111" s="1644"/>
      <c r="N111" s="2168"/>
      <c r="O111" s="2168"/>
      <c r="P111" s="2167"/>
      <c r="Q111" s="2161"/>
    </row>
    <row r="112" spans="1:17">
      <c r="A112" s="1629"/>
      <c r="B112" s="1600">
        <f>B40</f>
        <v>111</v>
      </c>
      <c r="C112" s="1510"/>
      <c r="D112" s="1510"/>
      <c r="E112" s="1510"/>
      <c r="F112" s="1510"/>
      <c r="G112" s="1622"/>
      <c r="H112" s="1622"/>
      <c r="I112" s="1622"/>
      <c r="J112" s="1622"/>
      <c r="K112" s="1510"/>
      <c r="L112" s="1560"/>
      <c r="M112" s="1661"/>
      <c r="N112" s="2166"/>
      <c r="O112" s="2166"/>
      <c r="P112" s="2167"/>
      <c r="Q112" s="2161"/>
    </row>
    <row r="113" spans="1:17">
      <c r="A113" s="1623"/>
      <c r="B113" s="1612"/>
      <c r="C113" s="1613"/>
      <c r="D113" s="1613"/>
      <c r="E113" s="1613"/>
      <c r="F113" s="1613"/>
      <c r="G113" s="1624"/>
      <c r="H113" s="1624"/>
      <c r="I113" s="1624"/>
      <c r="J113" s="1624"/>
      <c r="K113" s="1624"/>
      <c r="L113" s="1624"/>
      <c r="M113" s="1662"/>
      <c r="N113" s="2168"/>
      <c r="O113" s="2168"/>
      <c r="P113" s="2167"/>
      <c r="Q113" s="216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9" type="noConversion"/>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E46">
    <cfRule type="expression" dxfId="100" priority="16" stopIfTrue="1">
      <formula>$F$46="超过30%"</formula>
    </cfRule>
  </conditionalFormatting>
  <conditionalFormatting sqref="G46">
    <cfRule type="expression" dxfId="99" priority="12" stopIfTrue="1">
      <formula>$H$46="超过30%"</formula>
    </cfRule>
  </conditionalFormatting>
  <conditionalFormatting sqref="I46">
    <cfRule type="expression" dxfId="98" priority="7" stopIfTrue="1">
      <formula>$J$46="超过30%"</formula>
    </cfRule>
  </conditionalFormatting>
  <conditionalFormatting sqref="J46">
    <cfRule type="containsText" dxfId="97" priority="10" stopIfTrue="1" operator="containsText" text="超过">
      <formula>NOT(ISERROR(SEARCH("超过",J46)))</formula>
    </cfRule>
  </conditionalFormatting>
  <conditionalFormatting sqref="E47">
    <cfRule type="expression" dxfId="96" priority="15" stopIfTrue="1">
      <formula>$F$47="超过20%"</formula>
    </cfRule>
  </conditionalFormatting>
  <conditionalFormatting sqref="G47">
    <cfRule type="expression" dxfId="95" priority="11" stopIfTrue="1">
      <formula>$H$47="超过20%"</formula>
    </cfRule>
  </conditionalFormatting>
  <conditionalFormatting sqref="I47">
    <cfRule type="expression" dxfId="94" priority="6" stopIfTrue="1">
      <formula>$J$47="超过20%"</formula>
    </cfRule>
  </conditionalFormatting>
  <conditionalFormatting sqref="J47">
    <cfRule type="containsText" dxfId="93" priority="8" stopIfTrue="1" operator="containsText" text="超过">
      <formula>NOT(ISERROR(SEARCH("超过",J47)))</formula>
    </cfRule>
  </conditionalFormatting>
  <conditionalFormatting sqref="E48">
    <cfRule type="expression" dxfId="92" priority="14" stopIfTrue="1">
      <formula>$F$48="超过30%"</formula>
    </cfRule>
  </conditionalFormatting>
  <conditionalFormatting sqref="F48">
    <cfRule type="containsText" dxfId="91" priority="18" stopIfTrue="1" operator="containsText" text="超过">
      <formula>NOT(ISERROR(SEARCH("超过",F48)))</formula>
    </cfRule>
  </conditionalFormatting>
  <conditionalFormatting sqref="G48">
    <cfRule type="expression" dxfId="90" priority="13" stopIfTrue="1">
      <formula>$H$48="超过30%"</formula>
    </cfRule>
  </conditionalFormatting>
  <conditionalFormatting sqref="H48">
    <cfRule type="containsText" dxfId="89" priority="19" stopIfTrue="1" operator="containsText" text="超过">
      <formula>NOT(ISERROR(SEARCH("超过",H48)))</formula>
    </cfRule>
  </conditionalFormatting>
  <conditionalFormatting sqref="I48">
    <cfRule type="expression" dxfId="88" priority="5" stopIfTrue="1">
      <formula>$J$48="超过30%"</formula>
    </cfRule>
  </conditionalFormatting>
  <conditionalFormatting sqref="J48">
    <cfRule type="containsText" dxfId="87" priority="9" stopIfTrue="1" operator="containsText" text="超过">
      <formula>NOT(ISERROR(SEARCH("超过",J48)))</formula>
    </cfRule>
  </conditionalFormatting>
  <conditionalFormatting sqref="F7:F40 H7:H40 J7:J40">
    <cfRule type="cellIs" dxfId="86" priority="1" operator="notEqual">
      <formula>100</formula>
    </cfRule>
  </conditionalFormatting>
  <conditionalFormatting sqref="F46 H46">
    <cfRule type="containsText" dxfId="85" priority="20" stopIfTrue="1" operator="containsText" text="超过">
      <formula>NOT(ISERROR(SEARCH("超过",F46)))</formula>
    </cfRule>
  </conditionalFormatting>
  <conditionalFormatting sqref="F47 H47">
    <cfRule type="containsText" dxfId="84"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1358" customWidth="1"/>
    <col min="2" max="2" width="15.77734375" style="1358" customWidth="1"/>
    <col min="3" max="3" width="14.33203125" style="1358" customWidth="1"/>
    <col min="4" max="4" width="14.109375" style="1358" customWidth="1"/>
    <col min="5" max="5" width="14.33203125" style="1358" customWidth="1"/>
    <col min="6" max="6" width="12.21875" style="1358" customWidth="1"/>
    <col min="7" max="7" width="14.44140625" style="1358" customWidth="1"/>
    <col min="8" max="8" width="12.21875" style="1358" customWidth="1"/>
    <col min="9" max="9" width="14.44140625" style="1358" customWidth="1"/>
    <col min="10" max="10" width="12.21875" style="1358" customWidth="1"/>
    <col min="11" max="11" width="12.21875" style="1359" customWidth="1"/>
    <col min="12" max="12" width="12.21875" style="1360" customWidth="1"/>
    <col min="13" max="15" width="12.21875" style="1358" customWidth="1"/>
    <col min="16" max="16" width="4.77734375" style="1358" customWidth="1"/>
    <col min="17" max="17" width="19.44140625" style="1358" customWidth="1"/>
    <col min="18" max="22" width="6.109375" style="1358" customWidth="1"/>
    <col min="23" max="23" width="5.77734375" style="1358" customWidth="1"/>
    <col min="24" max="24" width="4.21875" style="1358" customWidth="1"/>
    <col min="25" max="25" width="3.44140625" style="1358" customWidth="1"/>
    <col min="26" max="26" width="19.77734375" style="1358" customWidth="1"/>
    <col min="27" max="28" width="9.33203125" style="1358" customWidth="1"/>
    <col min="29" max="16384" width="9" style="1358"/>
  </cols>
  <sheetData>
    <row r="1" spans="1:30" s="1352" customFormat="1" ht="28.5" customHeight="1">
      <c r="A1" s="1983" t="s">
        <v>3505</v>
      </c>
      <c r="B1" s="1984"/>
      <c r="C1" s="1985" t="s">
        <v>3506</v>
      </c>
      <c r="D1" s="1986"/>
      <c r="E1" s="1986"/>
      <c r="F1" s="1987" t="s">
        <v>2863</v>
      </c>
      <c r="G1" s="1986"/>
      <c r="H1" s="1986"/>
      <c r="I1" s="1986"/>
      <c r="J1" s="1986"/>
      <c r="K1" s="2063"/>
      <c r="L1" s="2064"/>
      <c r="M1" s="2065"/>
      <c r="N1" s="2065"/>
      <c r="O1" s="2065"/>
      <c r="P1" s="2066"/>
      <c r="Q1" s="2066"/>
      <c r="R1" s="2066"/>
      <c r="S1" s="2066"/>
      <c r="T1" s="2066"/>
      <c r="U1" s="2066"/>
      <c r="V1" s="2066"/>
      <c r="W1" s="2066"/>
      <c r="X1" s="2066"/>
      <c r="Y1" s="2066"/>
      <c r="Z1" s="2066"/>
      <c r="AA1" s="2066"/>
      <c r="AB1" s="2066"/>
      <c r="AC1" s="2082"/>
      <c r="AD1" s="2124"/>
    </row>
    <row r="2" spans="1:30" s="1352" customFormat="1" ht="28.5" customHeight="1">
      <c r="A2" s="377" t="s">
        <v>2864</v>
      </c>
      <c r="B2" s="1988" t="e">
        <f>F65</f>
        <v>#DIV/0!</v>
      </c>
      <c r="C2" s="2111"/>
      <c r="D2" s="2111"/>
      <c r="E2" s="1376"/>
      <c r="F2" s="1381"/>
      <c r="G2" s="1376"/>
      <c r="H2" s="1376"/>
      <c r="I2" s="1376"/>
      <c r="J2" s="1376"/>
      <c r="K2" s="1525"/>
      <c r="L2" s="1522"/>
      <c r="M2" s="1523"/>
      <c r="N2" s="1523"/>
      <c r="O2" s="1523"/>
      <c r="P2" s="2066"/>
      <c r="Q2" s="2066"/>
      <c r="R2" s="2066"/>
      <c r="S2" s="2066"/>
      <c r="T2" s="2066"/>
      <c r="U2" s="2066"/>
      <c r="V2" s="2066"/>
      <c r="W2" s="2066"/>
      <c r="X2" s="2066"/>
      <c r="Y2" s="2066"/>
      <c r="Z2" s="2066"/>
      <c r="AA2" s="2066"/>
      <c r="AB2" s="2066"/>
      <c r="AC2" s="2082"/>
      <c r="AD2" s="2124"/>
    </row>
    <row r="3" spans="1:30" s="1352" customFormat="1" ht="28.5" customHeight="1">
      <c r="A3" s="380" t="s">
        <v>2866</v>
      </c>
      <c r="B3" s="1377" t="e">
        <f>ROUND(IF(D3="",B2*10000/'数据-汇总表'!E3,B2*10000/D3),0)</f>
        <v>#DIV/0!</v>
      </c>
      <c r="C3" s="380" t="s">
        <v>2867</v>
      </c>
      <c r="D3" s="1989"/>
      <c r="E3" s="1376"/>
      <c r="F3" s="1381"/>
      <c r="G3" s="1376"/>
      <c r="H3" s="1376"/>
      <c r="I3" s="1376"/>
      <c r="J3" s="1376"/>
      <c r="K3" s="1525"/>
      <c r="L3" s="1522"/>
      <c r="M3" s="1523"/>
      <c r="N3" s="1523"/>
      <c r="O3" s="1523"/>
      <c r="P3" s="2066"/>
      <c r="Q3" s="2066"/>
      <c r="R3" s="2066"/>
      <c r="S3" s="2066"/>
      <c r="T3" s="2066"/>
      <c r="U3" s="2066"/>
      <c r="V3" s="2066"/>
      <c r="W3" s="2066"/>
      <c r="X3" s="2066"/>
      <c r="Y3" s="2066"/>
      <c r="Z3" s="2066"/>
      <c r="AA3" s="2066"/>
      <c r="AB3" s="2083"/>
      <c r="AC3" s="670"/>
    </row>
    <row r="4" spans="1:30" ht="14.4">
      <c r="A4" s="1382" t="s">
        <v>2869</v>
      </c>
      <c r="B4" s="1383"/>
      <c r="C4" s="3681" t="s">
        <v>2870</v>
      </c>
      <c r="D4" s="3682"/>
      <c r="E4" s="3683" t="s">
        <v>2871</v>
      </c>
      <c r="F4" s="3684"/>
      <c r="G4" s="3681" t="s">
        <v>2872</v>
      </c>
      <c r="H4" s="3682"/>
      <c r="I4" s="3681" t="s">
        <v>2873</v>
      </c>
      <c r="J4" s="3682"/>
      <c r="K4" s="1526" t="s">
        <v>2874</v>
      </c>
      <c r="L4" s="1527"/>
      <c r="M4" s="1528"/>
      <c r="N4" s="1528"/>
      <c r="O4" s="1528"/>
      <c r="P4" s="3652" t="s">
        <v>2875</v>
      </c>
      <c r="Q4" s="3653"/>
      <c r="R4" s="3658" t="s">
        <v>2871</v>
      </c>
      <c r="S4" s="3659"/>
      <c r="T4" s="3658" t="s">
        <v>2872</v>
      </c>
      <c r="U4" s="3659"/>
      <c r="V4" s="3664" t="s">
        <v>2873</v>
      </c>
      <c r="W4" s="3664"/>
      <c r="X4" s="1575"/>
      <c r="Y4" s="3658" t="s">
        <v>2875</v>
      </c>
      <c r="Z4" s="3659"/>
      <c r="AA4" s="3649" t="s">
        <v>2871</v>
      </c>
      <c r="AB4" s="3650" t="s">
        <v>2872</v>
      </c>
      <c r="AC4" s="3649" t="s">
        <v>2873</v>
      </c>
    </row>
    <row r="5" spans="1:30">
      <c r="A5" s="1384"/>
      <c r="B5" s="1385"/>
      <c r="C5" s="3685" t="s">
        <v>2876</v>
      </c>
      <c r="D5" s="3686"/>
      <c r="E5" s="3733" t="s">
        <v>3455</v>
      </c>
      <c r="F5" s="3688"/>
      <c r="G5" s="3685" t="s">
        <v>3456</v>
      </c>
      <c r="H5" s="3686"/>
      <c r="I5" s="3685" t="s">
        <v>3457</v>
      </c>
      <c r="J5" s="3686"/>
      <c r="K5" s="1526"/>
      <c r="L5" s="1527"/>
      <c r="M5" s="1528"/>
      <c r="N5" s="1528"/>
      <c r="O5" s="1528"/>
      <c r="P5" s="3654"/>
      <c r="Q5" s="3655"/>
      <c r="R5" s="3660"/>
      <c r="S5" s="3661"/>
      <c r="T5" s="3660"/>
      <c r="U5" s="3661"/>
      <c r="V5" s="3664"/>
      <c r="W5" s="3664"/>
      <c r="X5" s="1575"/>
      <c r="Y5" s="3660"/>
      <c r="Z5" s="3661"/>
      <c r="AA5" s="3650"/>
      <c r="AB5" s="3650"/>
      <c r="AC5" s="3650"/>
    </row>
    <row r="6" spans="1:30" ht="14.4">
      <c r="A6" s="1386"/>
      <c r="B6" s="1387"/>
      <c r="C6" s="3676" t="s">
        <v>2880</v>
      </c>
      <c r="D6" s="3677"/>
      <c r="E6" s="3678" t="s">
        <v>2880</v>
      </c>
      <c r="F6" s="3679"/>
      <c r="G6" s="3676" t="s">
        <v>2880</v>
      </c>
      <c r="H6" s="3677"/>
      <c r="I6" s="3676" t="s">
        <v>2880</v>
      </c>
      <c r="J6" s="3677"/>
      <c r="K6" s="1526" t="s">
        <v>2881</v>
      </c>
      <c r="L6" s="1527"/>
      <c r="M6" s="1528"/>
      <c r="N6" s="1528"/>
      <c r="O6" s="1528"/>
      <c r="P6" s="3656"/>
      <c r="Q6" s="3657"/>
      <c r="R6" s="3660"/>
      <c r="S6" s="3661"/>
      <c r="T6" s="3662"/>
      <c r="U6" s="3663"/>
      <c r="V6" s="3664"/>
      <c r="W6" s="3664"/>
      <c r="X6" s="1575"/>
      <c r="Y6" s="3662"/>
      <c r="Z6" s="3663"/>
      <c r="AA6" s="3651"/>
      <c r="AB6" s="3651"/>
      <c r="AC6" s="3651"/>
    </row>
    <row r="7" spans="1:30" s="1353" customFormat="1" ht="14.4">
      <c r="A7" s="1388" t="s">
        <v>2882</v>
      </c>
      <c r="B7" s="1389"/>
      <c r="C7" s="1390">
        <f>'数据-取费表'!B2</f>
        <v>45311</v>
      </c>
      <c r="D7" s="1391">
        <v>100</v>
      </c>
      <c r="E7" s="1392"/>
      <c r="F7" s="1393">
        <f>SUMIF(69:69,YEAR(E7)&amp;"-"&amp;INT((MONTH(E7)+2)/3),70:70)</f>
        <v>0</v>
      </c>
      <c r="G7" s="1990"/>
      <c r="H7" s="1391">
        <f>SUMIF(69:69,YEAR(G7)&amp;"-"&amp;INT((MONTH(G7)+2)/3),70:70)</f>
        <v>0</v>
      </c>
      <c r="I7" s="1990"/>
      <c r="J7" s="1391">
        <f>SUMIF(69:69,YEAR(I7)&amp;"-"&amp;INT((MONTH(I7)+2)/3),70:70)</f>
        <v>0</v>
      </c>
      <c r="K7" s="1529"/>
      <c r="L7" s="1530"/>
      <c r="M7" s="1531"/>
      <c r="N7" s="1531"/>
      <c r="O7" s="1531"/>
      <c r="P7" s="3670" t="s">
        <v>2883</v>
      </c>
      <c r="Q7" s="3680"/>
      <c r="R7" s="1576" t="s">
        <v>2884</v>
      </c>
      <c r="S7" s="1577">
        <f t="shared" ref="S7:S15" si="0">F7</f>
        <v>0</v>
      </c>
      <c r="T7" s="1576" t="s">
        <v>2884</v>
      </c>
      <c r="U7" s="1577">
        <f t="shared" ref="U7:U15" si="1">H7</f>
        <v>0</v>
      </c>
      <c r="V7" s="1576" t="s">
        <v>2884</v>
      </c>
      <c r="W7" s="1577">
        <f t="shared" ref="W7:W15" si="2">J7</f>
        <v>0</v>
      </c>
      <c r="X7" s="1578"/>
      <c r="Y7" s="3670" t="s">
        <v>2883</v>
      </c>
      <c r="Z7" s="3671"/>
      <c r="AA7" s="1593" t="e">
        <f>D7/F7</f>
        <v>#DIV/0!</v>
      </c>
      <c r="AB7" s="1593" t="e">
        <f>D7/H7</f>
        <v>#DIV/0!</v>
      </c>
      <c r="AC7" s="1593" t="e">
        <f>D7/J7</f>
        <v>#DIV/0!</v>
      </c>
    </row>
    <row r="8" spans="1:30" s="1353" customFormat="1" ht="14.4">
      <c r="A8" s="1388" t="s">
        <v>2885</v>
      </c>
      <c r="B8" s="1389"/>
      <c r="C8" s="1394" t="s">
        <v>2930</v>
      </c>
      <c r="D8" s="1391">
        <v>100</v>
      </c>
      <c r="E8" s="1394"/>
      <c r="F8" s="1393">
        <f>SUMIF(72:72,E8,73:73)-SUMIF(72:72,C8,73:73)+100</f>
        <v>0</v>
      </c>
      <c r="G8" s="1394"/>
      <c r="H8" s="1391">
        <f>SUMIF(72:72,G8,73:73)-SUMIF(72:72,C8,73:73)+100</f>
        <v>0</v>
      </c>
      <c r="I8" s="1394"/>
      <c r="J8" s="1391">
        <f>SUMIF(72:72,I8,73:73)-SUMIF(72:72,C8,73:73)+100</f>
        <v>0</v>
      </c>
      <c r="K8" s="1529"/>
      <c r="L8" s="1530"/>
      <c r="M8" s="1531"/>
      <c r="N8" s="1531"/>
      <c r="O8" s="1531"/>
      <c r="P8" s="3670" t="s">
        <v>2887</v>
      </c>
      <c r="Q8" s="3671"/>
      <c r="R8" s="1576" t="s">
        <v>2884</v>
      </c>
      <c r="S8" s="1577">
        <f t="shared" si="0"/>
        <v>0</v>
      </c>
      <c r="T8" s="1576" t="s">
        <v>2884</v>
      </c>
      <c r="U8" s="1577">
        <f t="shared" si="1"/>
        <v>0</v>
      </c>
      <c r="V8" s="1576" t="s">
        <v>2884</v>
      </c>
      <c r="W8" s="1577">
        <f t="shared" si="2"/>
        <v>0</v>
      </c>
      <c r="X8" s="1578"/>
      <c r="Y8" s="3670" t="s">
        <v>2887</v>
      </c>
      <c r="Z8" s="3671"/>
      <c r="AA8" s="1593" t="e">
        <f t="shared" ref="AA8:AA45" si="3">D8/F8</f>
        <v>#DIV/0!</v>
      </c>
      <c r="AB8" s="1593" t="e">
        <f t="shared" ref="AB8:AB45" si="4">D8/H8</f>
        <v>#DIV/0!</v>
      </c>
      <c r="AC8" s="1593" t="e">
        <f t="shared" ref="AC8:AC45" si="5">D8/J8</f>
        <v>#DIV/0!</v>
      </c>
    </row>
    <row r="9" spans="1:30" s="1353" customFormat="1" ht="14.4">
      <c r="A9" s="1395" t="s">
        <v>2888</v>
      </c>
      <c r="B9" s="1396" t="s">
        <v>2889</v>
      </c>
      <c r="C9" s="1991"/>
      <c r="D9" s="1398">
        <v>100</v>
      </c>
      <c r="E9" s="1991"/>
      <c r="F9" s="1398">
        <f>SUMIF(74:74,E9,75:75)-SUMIF(74:74,C9,75:75)+100</f>
        <v>100</v>
      </c>
      <c r="G9" s="1991"/>
      <c r="H9" s="1398">
        <f>SUMIF(74:74,G9,75:75)-SUMIF(74:74,C9,75:75)+100</f>
        <v>100</v>
      </c>
      <c r="I9" s="1991"/>
      <c r="J9" s="1398">
        <f>SUMIF(74:74,I9,75:75)-SUMIF(74:74,C9,75:75)+100</f>
        <v>100</v>
      </c>
      <c r="K9" s="1529"/>
      <c r="L9" s="1530"/>
      <c r="M9" s="1531"/>
      <c r="N9" s="1531"/>
      <c r="O9" s="2067"/>
      <c r="P9" s="3665" t="s">
        <v>2891</v>
      </c>
      <c r="Q9" s="1580" t="str">
        <f t="shared" ref="Q9:Q15" si="6">B9</f>
        <v>用途</v>
      </c>
      <c r="R9" s="1576" t="s">
        <v>2884</v>
      </c>
      <c r="S9" s="1577">
        <f t="shared" si="0"/>
        <v>100</v>
      </c>
      <c r="T9" s="1576" t="s">
        <v>2884</v>
      </c>
      <c r="U9" s="1577">
        <f t="shared" si="1"/>
        <v>100</v>
      </c>
      <c r="V9" s="1576" t="s">
        <v>2884</v>
      </c>
      <c r="W9" s="1577">
        <f t="shared" si="2"/>
        <v>100</v>
      </c>
      <c r="X9" s="1578"/>
      <c r="Y9" s="3573" t="s">
        <v>2892</v>
      </c>
      <c r="Z9" s="1594" t="str">
        <f t="shared" ref="Z9:Z15" si="7">Q9</f>
        <v>用途</v>
      </c>
      <c r="AA9" s="1593">
        <f t="shared" si="3"/>
        <v>1</v>
      </c>
      <c r="AB9" s="1593">
        <f t="shared" si="4"/>
        <v>1</v>
      </c>
      <c r="AC9" s="1593">
        <f t="shared" si="5"/>
        <v>1</v>
      </c>
    </row>
    <row r="10" spans="1:30" s="1354" customFormat="1" ht="28.8">
      <c r="A10" s="1401"/>
      <c r="B10" s="1402" t="s">
        <v>2893</v>
      </c>
      <c r="C10" s="1411"/>
      <c r="D10" s="1404">
        <v>100</v>
      </c>
      <c r="E10" s="2112"/>
      <c r="F10" s="1404">
        <f>ROUND(100/'数据-取费表'!G16,0)</f>
        <v>102</v>
      </c>
      <c r="G10" s="2113"/>
      <c r="H10" s="1404">
        <f>ROUND(100/'数据-取费表'!G16,0)</f>
        <v>102</v>
      </c>
      <c r="I10" s="2113"/>
      <c r="J10" s="1404">
        <f>ROUND(100/'数据-取费表'!G16,0)</f>
        <v>102</v>
      </c>
      <c r="K10" s="2068"/>
      <c r="L10" s="1532"/>
      <c r="M10" s="1533"/>
      <c r="N10" s="1533"/>
      <c r="O10" s="2069"/>
      <c r="P10" s="3665"/>
      <c r="Q10" s="1580" t="str">
        <f t="shared" si="6"/>
        <v>土地使用年限（年）</v>
      </c>
      <c r="R10" s="1576" t="s">
        <v>2884</v>
      </c>
      <c r="S10" s="1577">
        <f t="shared" si="0"/>
        <v>102</v>
      </c>
      <c r="T10" s="1576" t="s">
        <v>2884</v>
      </c>
      <c r="U10" s="1577">
        <f t="shared" si="1"/>
        <v>102</v>
      </c>
      <c r="V10" s="1576" t="s">
        <v>2884</v>
      </c>
      <c r="W10" s="1577">
        <f t="shared" si="2"/>
        <v>102</v>
      </c>
      <c r="X10" s="1578"/>
      <c r="Y10" s="3573"/>
      <c r="Z10" s="1594" t="str">
        <f t="shared" si="7"/>
        <v>土地使用年限（年）</v>
      </c>
      <c r="AA10" s="1593">
        <f t="shared" si="3"/>
        <v>0.98039215686274495</v>
      </c>
      <c r="AB10" s="1593">
        <f t="shared" si="4"/>
        <v>0.98039215686274495</v>
      </c>
      <c r="AC10" s="1593">
        <f t="shared" si="5"/>
        <v>0.98039215686274495</v>
      </c>
    </row>
    <row r="11" spans="1:30" ht="15">
      <c r="A11" s="1406"/>
      <c r="B11" s="1402" t="s">
        <v>3458</v>
      </c>
      <c r="C11" s="1407"/>
      <c r="D11" s="1404">
        <v>100</v>
      </c>
      <c r="E11" s="1407"/>
      <c r="F11" s="1404" t="e">
        <f>LOOKUP(E11,79:79,80:80)-LOOKUP(C11,79:79,80:80)+100</f>
        <v>#N/A</v>
      </c>
      <c r="G11" s="1408"/>
      <c r="H11" s="1404" t="e">
        <f>LOOKUP(G11,79:79,80:80)-LOOKUP(C11,79:79,80:80)+100</f>
        <v>#N/A</v>
      </c>
      <c r="I11" s="1407"/>
      <c r="J11" s="1404" t="e">
        <f>LOOKUP(I11,79:79,80:80)-LOOKUP(C11,79:79,80:80)+100</f>
        <v>#N/A</v>
      </c>
      <c r="K11" s="2070"/>
      <c r="L11" s="1535"/>
      <c r="M11" s="1528"/>
      <c r="N11" s="1528"/>
      <c r="O11" s="2071"/>
      <c r="P11" s="3665"/>
      <c r="Q11" s="1580" t="str">
        <f t="shared" si="6"/>
        <v>容积率</v>
      </c>
      <c r="R11" s="1576" t="s">
        <v>2884</v>
      </c>
      <c r="S11" s="1577" t="e">
        <f t="shared" si="0"/>
        <v>#N/A</v>
      </c>
      <c r="T11" s="1576" t="s">
        <v>2884</v>
      </c>
      <c r="U11" s="1577" t="e">
        <f t="shared" si="1"/>
        <v>#N/A</v>
      </c>
      <c r="V11" s="1576" t="s">
        <v>2884</v>
      </c>
      <c r="W11" s="1577" t="e">
        <f t="shared" si="2"/>
        <v>#N/A</v>
      </c>
      <c r="X11" s="1578"/>
      <c r="Y11" s="3573"/>
      <c r="Z11" s="1594" t="str">
        <f t="shared" si="7"/>
        <v>容积率</v>
      </c>
      <c r="AA11" s="1593" t="e">
        <f t="shared" si="3"/>
        <v>#N/A</v>
      </c>
      <c r="AB11" s="1593" t="e">
        <f t="shared" si="4"/>
        <v>#N/A</v>
      </c>
      <c r="AC11" s="1593" t="e">
        <f t="shared" si="5"/>
        <v>#N/A</v>
      </c>
    </row>
    <row r="12" spans="1:30" s="1353" customFormat="1" ht="15">
      <c r="A12" s="1409"/>
      <c r="B12" s="1410" t="s">
        <v>3507</v>
      </c>
      <c r="C12" s="1411"/>
      <c r="D12" s="1412">
        <v>100</v>
      </c>
      <c r="E12" s="2112"/>
      <c r="F12" s="1404">
        <f>SUMIF(81:81,E12,82:82)-SUMIF(81:81,C12,82:82)+100</f>
        <v>100</v>
      </c>
      <c r="G12" s="2113"/>
      <c r="H12" s="1404">
        <f>SUMIF(81:81,G12,82:82)-SUMIF(81:81,C12,82:82)+100</f>
        <v>100</v>
      </c>
      <c r="I12" s="2112"/>
      <c r="J12" s="1404">
        <f>SUMIF(81:81,I12,82:82)-SUMIF(81:81,C12,82:82)+100</f>
        <v>100</v>
      </c>
      <c r="K12" s="2068"/>
      <c r="L12" s="1530"/>
      <c r="M12" s="1531"/>
      <c r="N12" s="1531"/>
      <c r="O12" s="2067"/>
      <c r="P12" s="3665"/>
      <c r="Q12" s="1580" t="str">
        <f t="shared" si="6"/>
        <v>配建</v>
      </c>
      <c r="R12" s="1576" t="s">
        <v>2884</v>
      </c>
      <c r="S12" s="1577">
        <f t="shared" si="0"/>
        <v>100</v>
      </c>
      <c r="T12" s="1576" t="s">
        <v>2884</v>
      </c>
      <c r="U12" s="1577">
        <f t="shared" si="1"/>
        <v>100</v>
      </c>
      <c r="V12" s="1576" t="s">
        <v>2884</v>
      </c>
      <c r="W12" s="1577">
        <f t="shared" si="2"/>
        <v>100</v>
      </c>
      <c r="X12" s="1578"/>
      <c r="Y12" s="3573"/>
      <c r="Z12" s="1594" t="str">
        <f t="shared" si="7"/>
        <v>配建</v>
      </c>
      <c r="AA12" s="1593">
        <f t="shared" si="3"/>
        <v>1</v>
      </c>
      <c r="AB12" s="1593">
        <f t="shared" si="4"/>
        <v>1</v>
      </c>
      <c r="AC12" s="1593">
        <f t="shared" si="5"/>
        <v>1</v>
      </c>
    </row>
    <row r="13" spans="1:30" ht="15">
      <c r="A13" s="1406"/>
      <c r="B13" s="1410">
        <v>111</v>
      </c>
      <c r="C13" s="1413"/>
      <c r="D13" s="1414">
        <v>100</v>
      </c>
      <c r="E13" s="1603"/>
      <c r="F13" s="1404">
        <f>SUMIF(83:83,E13,84:84)-SUMIF(83:83,C13,84:84)+100</f>
        <v>100</v>
      </c>
      <c r="G13" s="1992"/>
      <c r="H13" s="1414">
        <f>SUMIF(83:83,G13,84:84)-SUMIF(83:83,C13,84:84)+100</f>
        <v>100</v>
      </c>
      <c r="I13" s="1992"/>
      <c r="J13" s="1414">
        <f>SUMIF(83:83,I13,84:84)-SUMIF(83:83,C13,84:84)+100</f>
        <v>100</v>
      </c>
      <c r="K13" s="2068"/>
      <c r="L13" s="1537"/>
      <c r="M13" s="1528"/>
      <c r="N13" s="1528"/>
      <c r="O13" s="2071"/>
      <c r="P13" s="3665"/>
      <c r="Q13" s="1580">
        <f t="shared" si="6"/>
        <v>111</v>
      </c>
      <c r="R13" s="1576" t="s">
        <v>2884</v>
      </c>
      <c r="S13" s="1577">
        <f t="shared" si="0"/>
        <v>100</v>
      </c>
      <c r="T13" s="1576" t="s">
        <v>2884</v>
      </c>
      <c r="U13" s="1577">
        <f t="shared" si="1"/>
        <v>100</v>
      </c>
      <c r="V13" s="1576" t="s">
        <v>2884</v>
      </c>
      <c r="W13" s="1577">
        <f t="shared" si="2"/>
        <v>100</v>
      </c>
      <c r="X13" s="1578"/>
      <c r="Y13" s="3573"/>
      <c r="Z13" s="1594">
        <f t="shared" si="7"/>
        <v>111</v>
      </c>
      <c r="AA13" s="1593">
        <f t="shared" si="3"/>
        <v>1</v>
      </c>
      <c r="AB13" s="1593">
        <f t="shared" si="4"/>
        <v>1</v>
      </c>
      <c r="AC13" s="1593">
        <f t="shared" si="5"/>
        <v>1</v>
      </c>
    </row>
    <row r="14" spans="1:30" ht="15">
      <c r="A14" s="1415"/>
      <c r="B14" s="1416">
        <v>111</v>
      </c>
      <c r="C14" s="1417"/>
      <c r="D14" s="1418">
        <v>100</v>
      </c>
      <c r="E14" s="1603"/>
      <c r="F14" s="1418">
        <f>SUMIF(85:85,E14,86:86)-SUMIF(85:85,C14,86:86)+100</f>
        <v>100</v>
      </c>
      <c r="G14" s="1992"/>
      <c r="H14" s="1418">
        <f>SUMIF(85:85,G14,86:86)-SUMIF(85:85,C14,86:86)+100</f>
        <v>100</v>
      </c>
      <c r="I14" s="1992"/>
      <c r="J14" s="1418">
        <f>SUMIF(85:85,I14,86:86)-SUMIF(85:85,C14,86:86)+100</f>
        <v>100</v>
      </c>
      <c r="K14" s="2068"/>
      <c r="L14" s="1537"/>
      <c r="M14" s="1528"/>
      <c r="N14" s="1528"/>
      <c r="O14" s="2071"/>
      <c r="P14" s="3665"/>
      <c r="Q14" s="1580">
        <f t="shared" si="6"/>
        <v>111</v>
      </c>
      <c r="R14" s="1576" t="s">
        <v>2884</v>
      </c>
      <c r="S14" s="1577">
        <f t="shared" si="0"/>
        <v>100</v>
      </c>
      <c r="T14" s="1576" t="s">
        <v>2884</v>
      </c>
      <c r="U14" s="1577">
        <f t="shared" si="1"/>
        <v>100</v>
      </c>
      <c r="V14" s="1576" t="s">
        <v>2884</v>
      </c>
      <c r="W14" s="1577">
        <f t="shared" si="2"/>
        <v>100</v>
      </c>
      <c r="X14" s="1578"/>
      <c r="Y14" s="3573"/>
      <c r="Z14" s="1594">
        <f t="shared" si="7"/>
        <v>111</v>
      </c>
      <c r="AA14" s="1593">
        <f t="shared" si="3"/>
        <v>1</v>
      </c>
      <c r="AB14" s="1593">
        <f t="shared" si="4"/>
        <v>1</v>
      </c>
      <c r="AC14" s="1593">
        <f t="shared" si="5"/>
        <v>1</v>
      </c>
    </row>
    <row r="15" spans="1:30" ht="96.6">
      <c r="A15" s="1420" t="s">
        <v>2895</v>
      </c>
      <c r="B15" s="1421" t="s">
        <v>3459</v>
      </c>
      <c r="C15" s="1422" t="str">
        <f>估价对象房地状况!C15</f>
        <v>估价对象周边居住用地比例、居住小区规模和社区发展完善程度，综合评价居住社区成熟度一般</v>
      </c>
      <c r="D15" s="1423">
        <v>100</v>
      </c>
      <c r="E15" s="1424"/>
      <c r="F15" s="1423">
        <f>SUMIF(87:87,E16,88:88)-SUMIF(87:87,C16,88:88)+100</f>
        <v>100</v>
      </c>
      <c r="G15" s="1424"/>
      <c r="H15" s="1423">
        <f>SUMIF(87:87,G16,88:88)-SUMIF(87:87,C16,88:88)+100</f>
        <v>100</v>
      </c>
      <c r="I15" s="1426"/>
      <c r="J15" s="1423">
        <f>SUMIF(87:87,I16,88:88)-SUMIF(87:87,C16,88:88)+100</f>
        <v>100</v>
      </c>
      <c r="K15" s="2070"/>
      <c r="L15" s="1537"/>
      <c r="M15" s="1528"/>
      <c r="N15" s="1528"/>
      <c r="O15" s="2071"/>
      <c r="P15" s="3672" t="s">
        <v>2897</v>
      </c>
      <c r="Q15" s="1076" t="str">
        <f t="shared" si="6"/>
        <v>居住社区成熟度</v>
      </c>
      <c r="R15" s="1581" t="s">
        <v>2884</v>
      </c>
      <c r="S15" s="1582">
        <f t="shared" si="0"/>
        <v>100</v>
      </c>
      <c r="T15" s="1581" t="s">
        <v>2884</v>
      </c>
      <c r="U15" s="1582">
        <f t="shared" si="1"/>
        <v>100</v>
      </c>
      <c r="V15" s="1581" t="s">
        <v>2884</v>
      </c>
      <c r="W15" s="1582">
        <f t="shared" si="2"/>
        <v>100</v>
      </c>
      <c r="X15" s="1575"/>
      <c r="Y15" s="3672" t="s">
        <v>2897</v>
      </c>
      <c r="Z15" s="1574" t="str">
        <f t="shared" si="7"/>
        <v>居住社区成熟度</v>
      </c>
      <c r="AA15" s="1587">
        <f t="shared" si="3"/>
        <v>1</v>
      </c>
      <c r="AB15" s="1587">
        <f t="shared" si="4"/>
        <v>1</v>
      </c>
      <c r="AC15" s="1587">
        <f t="shared" si="5"/>
        <v>1</v>
      </c>
    </row>
    <row r="16" spans="1:30" ht="15">
      <c r="A16" s="1406"/>
      <c r="B16" s="1427"/>
      <c r="C16" s="1428"/>
      <c r="D16" s="1429"/>
      <c r="E16" s="1445"/>
      <c r="F16" s="1429"/>
      <c r="G16" s="1445"/>
      <c r="H16" s="1431"/>
      <c r="I16" s="1446"/>
      <c r="J16" s="1429"/>
      <c r="K16" s="2068"/>
      <c r="L16" s="1537"/>
      <c r="M16" s="1528"/>
      <c r="N16" s="1528"/>
      <c r="O16" s="2071"/>
      <c r="P16" s="3673"/>
      <c r="Q16" s="1076"/>
      <c r="R16" s="1581"/>
      <c r="S16" s="1582"/>
      <c r="T16" s="1581"/>
      <c r="U16" s="1582"/>
      <c r="V16" s="1581"/>
      <c r="W16" s="1582"/>
      <c r="X16" s="1575"/>
      <c r="Y16" s="3673"/>
      <c r="Z16" s="1574"/>
      <c r="AA16" s="1587">
        <v>1</v>
      </c>
      <c r="AB16" s="1587">
        <v>1</v>
      </c>
      <c r="AC16" s="1587">
        <v>1</v>
      </c>
    </row>
    <row r="17" spans="1:29" ht="82.8">
      <c r="A17" s="1406"/>
      <c r="B17" s="1432" t="s">
        <v>3508</v>
      </c>
      <c r="C17" s="1073" t="str">
        <f>估价对象房地状况!C16</f>
        <v>估价对象位于XX商圈，周边商业氛围成熟，人流量大，商业繁华度好</v>
      </c>
      <c r="D17" s="1431">
        <v>100</v>
      </c>
      <c r="E17" s="1434"/>
      <c r="F17" s="1431">
        <f>SUMIF(89:89,E18,90:90)-SUMIF(89:89,C18,90:90)+100</f>
        <v>100</v>
      </c>
      <c r="G17" s="1434"/>
      <c r="H17" s="1437">
        <f>SUMIF(89:89,G18,90:90)-SUMIF(89:89,C18,90:90)+100</f>
        <v>100</v>
      </c>
      <c r="I17" s="1436"/>
      <c r="J17" s="1437">
        <f>SUMIF(89:89,I18,90:90)-SUMIF(89:89,C18,90:90)+100</f>
        <v>100</v>
      </c>
      <c r="K17" s="2070"/>
      <c r="L17" s="1537"/>
      <c r="M17" s="1528"/>
      <c r="N17" s="1528"/>
      <c r="O17" s="2071"/>
      <c r="P17" s="3673"/>
      <c r="Q17" s="1076" t="str">
        <f>B17</f>
        <v>商业繁华度</v>
      </c>
      <c r="R17" s="1581" t="s">
        <v>2884</v>
      </c>
      <c r="S17" s="1582">
        <f>F17</f>
        <v>100</v>
      </c>
      <c r="T17" s="1581" t="s">
        <v>2884</v>
      </c>
      <c r="U17" s="1582">
        <f>H17</f>
        <v>100</v>
      </c>
      <c r="V17" s="1581" t="s">
        <v>2884</v>
      </c>
      <c r="W17" s="1582">
        <f>J17</f>
        <v>100</v>
      </c>
      <c r="X17" s="1575"/>
      <c r="Y17" s="3673"/>
      <c r="Z17" s="1574" t="str">
        <f>Q17</f>
        <v>商业繁华度</v>
      </c>
      <c r="AA17" s="1587">
        <f t="shared" si="3"/>
        <v>1</v>
      </c>
      <c r="AB17" s="1587">
        <f t="shared" si="4"/>
        <v>1</v>
      </c>
      <c r="AC17" s="1587">
        <f t="shared" si="5"/>
        <v>1</v>
      </c>
    </row>
    <row r="18" spans="1:29" ht="15">
      <c r="A18" s="1406"/>
      <c r="B18" s="1438"/>
      <c r="C18" s="1439"/>
      <c r="D18" s="1431"/>
      <c r="E18" s="1440"/>
      <c r="F18" s="1431"/>
      <c r="G18" s="1440"/>
      <c r="H18" s="1429"/>
      <c r="I18" s="1441"/>
      <c r="J18" s="1429"/>
      <c r="K18" s="2068"/>
      <c r="L18" s="1537"/>
      <c r="M18" s="1528"/>
      <c r="N18" s="1528"/>
      <c r="O18" s="2071"/>
      <c r="P18" s="3673"/>
      <c r="Q18" s="1076"/>
      <c r="R18" s="1581"/>
      <c r="S18" s="1582"/>
      <c r="T18" s="1581"/>
      <c r="U18" s="1582"/>
      <c r="V18" s="1581"/>
      <c r="W18" s="1582"/>
      <c r="X18" s="1575"/>
      <c r="Y18" s="3673"/>
      <c r="Z18" s="1574"/>
      <c r="AA18" s="1587">
        <v>1</v>
      </c>
      <c r="AB18" s="1587">
        <v>1</v>
      </c>
      <c r="AC18" s="1587">
        <v>1</v>
      </c>
    </row>
    <row r="19" spans="1:29" ht="82.8">
      <c r="A19" s="1406"/>
      <c r="B19" s="1432" t="s">
        <v>3493</v>
      </c>
      <c r="C19" s="1073" t="str">
        <f>估价对象房地状况!C17</f>
        <v>估价对象位于XX商圈，周边办公楼项目较多，入驻率高，办公集聚程度较好</v>
      </c>
      <c r="D19" s="1437">
        <v>100</v>
      </c>
      <c r="E19" s="1442"/>
      <c r="F19" s="1437">
        <f>SUMIF(91:91,E20,92:92)-SUMIF(91:91,C20,92:92)+100</f>
        <v>100</v>
      </c>
      <c r="G19" s="1442"/>
      <c r="H19" s="1431">
        <f>SUMIF(91:91,G20,92:92)-SUMIF(91:91,C20,92:92)+100</f>
        <v>100</v>
      </c>
      <c r="I19" s="1444"/>
      <c r="J19" s="1431">
        <f>SUMIF(91:91,I20,92:92)-SUMIF(91:91,C20,92:92)+100</f>
        <v>100</v>
      </c>
      <c r="K19" s="2070"/>
      <c r="L19" s="1537"/>
      <c r="M19" s="1528"/>
      <c r="N19" s="1528"/>
      <c r="O19" s="2071"/>
      <c r="P19" s="3673"/>
      <c r="Q19" s="1076" t="str">
        <f>B19</f>
        <v>办公集聚程度</v>
      </c>
      <c r="R19" s="1581" t="s">
        <v>2884</v>
      </c>
      <c r="S19" s="1582">
        <f>F19</f>
        <v>100</v>
      </c>
      <c r="T19" s="1581" t="s">
        <v>2884</v>
      </c>
      <c r="U19" s="1582">
        <f>H19</f>
        <v>100</v>
      </c>
      <c r="V19" s="1581" t="s">
        <v>2884</v>
      </c>
      <c r="W19" s="1582">
        <f>J19</f>
        <v>100</v>
      </c>
      <c r="X19" s="1575"/>
      <c r="Y19" s="3673"/>
      <c r="Z19" s="1574" t="str">
        <f>Q19</f>
        <v>办公集聚程度</v>
      </c>
      <c r="AA19" s="1587">
        <f t="shared" si="3"/>
        <v>1</v>
      </c>
      <c r="AB19" s="1587">
        <f t="shared" si="4"/>
        <v>1</v>
      </c>
      <c r="AC19" s="1587">
        <f t="shared" si="5"/>
        <v>1</v>
      </c>
    </row>
    <row r="20" spans="1:29" ht="15">
      <c r="A20" s="1406"/>
      <c r="B20" s="1438"/>
      <c r="C20" s="1428"/>
      <c r="D20" s="1429"/>
      <c r="E20" s="1445"/>
      <c r="F20" s="1429"/>
      <c r="G20" s="1445"/>
      <c r="H20" s="1429"/>
      <c r="I20" s="1446"/>
      <c r="J20" s="1429"/>
      <c r="K20" s="2068"/>
      <c r="L20" s="1537"/>
      <c r="M20" s="1528"/>
      <c r="N20" s="1528"/>
      <c r="O20" s="2071"/>
      <c r="P20" s="3673"/>
      <c r="Q20" s="1076"/>
      <c r="R20" s="1581"/>
      <c r="S20" s="1582"/>
      <c r="T20" s="1581"/>
      <c r="U20" s="1582"/>
      <c r="V20" s="1581"/>
      <c r="W20" s="1582"/>
      <c r="X20" s="1575"/>
      <c r="Y20" s="3673"/>
      <c r="Z20" s="1574"/>
      <c r="AA20" s="1587">
        <v>1</v>
      </c>
      <c r="AB20" s="1587">
        <v>1</v>
      </c>
      <c r="AC20" s="1587">
        <v>1</v>
      </c>
    </row>
    <row r="21" spans="1:29" ht="96.6">
      <c r="A21" s="1406"/>
      <c r="B21" s="1432" t="s">
        <v>2896</v>
      </c>
      <c r="C21" s="1433" t="str">
        <f>估价对象房地状况!C18</f>
        <v>估价对象周边道路状况、公共交通通达情况、停车便捷程度，综合评价交通便捷度较好</v>
      </c>
      <c r="D21" s="1431">
        <v>100</v>
      </c>
      <c r="E21" s="1434"/>
      <c r="F21" s="1437">
        <f>SUMIF(93:93,E22,94:94)-SUMIF(93:93,C22,94:94)+100</f>
        <v>100</v>
      </c>
      <c r="G21" s="1434"/>
      <c r="H21" s="1431">
        <f>SUMIF(93:93,G22,94:94)-SUMIF(93:93,C22,94:94)+100</f>
        <v>100</v>
      </c>
      <c r="I21" s="1436"/>
      <c r="J21" s="1431">
        <f>SUMIF(93:93,I22,94:94)-SUMIF(93:93,C22,94:94)+100</f>
        <v>100</v>
      </c>
      <c r="K21" s="2070"/>
      <c r="L21" s="1537"/>
      <c r="M21" s="1528"/>
      <c r="N21" s="1528"/>
      <c r="O21" s="2071"/>
      <c r="P21" s="3673"/>
      <c r="Q21" s="1076" t="str">
        <f>B21</f>
        <v>交通便捷度</v>
      </c>
      <c r="R21" s="1581" t="s">
        <v>2884</v>
      </c>
      <c r="S21" s="1582">
        <f>F21</f>
        <v>100</v>
      </c>
      <c r="T21" s="1581" t="s">
        <v>2884</v>
      </c>
      <c r="U21" s="1582">
        <f>H21</f>
        <v>100</v>
      </c>
      <c r="V21" s="1581" t="s">
        <v>2884</v>
      </c>
      <c r="W21" s="1582">
        <f>J21</f>
        <v>100</v>
      </c>
      <c r="X21" s="1575"/>
      <c r="Y21" s="3673"/>
      <c r="Z21" s="1574" t="str">
        <f>Q21</f>
        <v>交通便捷度</v>
      </c>
      <c r="AA21" s="1587">
        <f t="shared" si="3"/>
        <v>1</v>
      </c>
      <c r="AB21" s="1587">
        <f t="shared" si="4"/>
        <v>1</v>
      </c>
      <c r="AC21" s="1587">
        <f t="shared" si="5"/>
        <v>1</v>
      </c>
    </row>
    <row r="22" spans="1:29" ht="15">
      <c r="A22" s="1406"/>
      <c r="B22" s="1447"/>
      <c r="C22" s="1428"/>
      <c r="D22" s="1431"/>
      <c r="E22" s="1445"/>
      <c r="F22" s="1429"/>
      <c r="G22" s="1445"/>
      <c r="H22" s="1429"/>
      <c r="I22" s="1446"/>
      <c r="J22" s="1429"/>
      <c r="K22" s="2068"/>
      <c r="L22" s="1537"/>
      <c r="M22" s="1528"/>
      <c r="N22" s="1528"/>
      <c r="O22" s="2071"/>
      <c r="P22" s="3673"/>
      <c r="Q22" s="1076"/>
      <c r="R22" s="1581"/>
      <c r="S22" s="1582"/>
      <c r="T22" s="1581"/>
      <c r="U22" s="1582"/>
      <c r="V22" s="1581"/>
      <c r="W22" s="1582"/>
      <c r="X22" s="1575"/>
      <c r="Y22" s="3673"/>
      <c r="Z22" s="1574"/>
      <c r="AA22" s="1587">
        <v>1</v>
      </c>
      <c r="AB22" s="1587">
        <v>1</v>
      </c>
      <c r="AC22" s="1587">
        <v>1</v>
      </c>
    </row>
    <row r="23" spans="1:29" ht="28.8">
      <c r="A23" s="1384"/>
      <c r="B23" s="1432" t="s">
        <v>3509</v>
      </c>
      <c r="C23" s="2006">
        <f>估价对象房地状况!C19</f>
        <v>0</v>
      </c>
      <c r="D23" s="1437">
        <v>100</v>
      </c>
      <c r="E23" s="1434"/>
      <c r="F23" s="1437">
        <f>SUMIF(95:95,E24,96:96)-SUMIF(95:95,C24,96:96)+100</f>
        <v>100</v>
      </c>
      <c r="G23" s="1436"/>
      <c r="H23" s="1437">
        <f>SUMIF(95:95,G24,96:96)-SUMIF(95:95,C24,96:96)+100</f>
        <v>100</v>
      </c>
      <c r="I23" s="1436"/>
      <c r="J23" s="1437">
        <f>SUMIF(95:95,I24,96:96)-SUMIF(95:95,C24,96:96)+100</f>
        <v>100</v>
      </c>
      <c r="K23" s="2070"/>
      <c r="L23" s="1537"/>
      <c r="M23" s="1528"/>
      <c r="N23" s="1528"/>
      <c r="O23" s="2071"/>
      <c r="P23" s="3673"/>
      <c r="Q23" s="1076" t="str">
        <f t="shared" ref="Q23:Q38" si="8">B23</f>
        <v>区域土地利用方向</v>
      </c>
      <c r="R23" s="1581" t="s">
        <v>2884</v>
      </c>
      <c r="S23" s="1582">
        <f>F23</f>
        <v>100</v>
      </c>
      <c r="T23" s="1581" t="s">
        <v>2884</v>
      </c>
      <c r="U23" s="1582">
        <f>H23</f>
        <v>100</v>
      </c>
      <c r="V23" s="1581" t="s">
        <v>2884</v>
      </c>
      <c r="W23" s="1582">
        <f>J23</f>
        <v>100</v>
      </c>
      <c r="X23" s="1575"/>
      <c r="Y23" s="3673"/>
      <c r="Z23" s="1574" t="str">
        <f>Q23</f>
        <v>区域土地利用方向</v>
      </c>
      <c r="AA23" s="1587">
        <f t="shared" si="3"/>
        <v>1</v>
      </c>
      <c r="AB23" s="1587">
        <f t="shared" si="4"/>
        <v>1</v>
      </c>
      <c r="AC23" s="1587">
        <f t="shared" si="5"/>
        <v>1</v>
      </c>
    </row>
    <row r="24" spans="1:29" ht="15">
      <c r="A24" s="1384"/>
      <c r="B24" s="1438"/>
      <c r="C24" s="1448"/>
      <c r="D24" s="1429"/>
      <c r="E24" s="1445"/>
      <c r="F24" s="1429"/>
      <c r="G24" s="1446"/>
      <c r="H24" s="1429"/>
      <c r="I24" s="1446"/>
      <c r="J24" s="1429"/>
      <c r="K24" s="2072"/>
      <c r="L24" s="1537"/>
      <c r="M24" s="1528"/>
      <c r="N24" s="1528"/>
      <c r="O24" s="2071"/>
      <c r="P24" s="3673"/>
      <c r="Q24" s="1076"/>
      <c r="R24" s="1581"/>
      <c r="S24" s="1582"/>
      <c r="T24" s="1581"/>
      <c r="U24" s="1582"/>
      <c r="V24" s="1581"/>
      <c r="W24" s="1582"/>
      <c r="X24" s="1575"/>
      <c r="Y24" s="3673"/>
      <c r="Z24" s="1574"/>
      <c r="AA24" s="1587"/>
      <c r="AB24" s="1587"/>
      <c r="AC24" s="1587"/>
    </row>
    <row r="25" spans="1:29" ht="55.2">
      <c r="A25" s="1384"/>
      <c r="B25" s="1447" t="s">
        <v>3510</v>
      </c>
      <c r="C25" s="1073" t="str">
        <f>估价对象房地状况!C20</f>
        <v>区域自然环境：；人文环境；综合评价环境状况一般</v>
      </c>
      <c r="D25" s="1431">
        <v>100</v>
      </c>
      <c r="E25" s="1434"/>
      <c r="F25" s="1431">
        <f>SUMIF(97:97,E26,98:98)-SUMIF(97:97,C26,98:98)+100</f>
        <v>100</v>
      </c>
      <c r="G25" s="1434"/>
      <c r="H25" s="1431">
        <f>SUMIF(97:97,G26,98:98)-SUMIF(97:97,C26,98:98)+100</f>
        <v>100</v>
      </c>
      <c r="I25" s="1436"/>
      <c r="J25" s="1431">
        <f>SUMIF(97:97,I26,98:98)-SUMIF(97:97,C26,98:98)+100</f>
        <v>100</v>
      </c>
      <c r="K25" s="2070"/>
      <c r="L25" s="1537"/>
      <c r="M25" s="1528"/>
      <c r="N25" s="1528"/>
      <c r="O25" s="2071"/>
      <c r="P25" s="3673"/>
      <c r="Q25" s="1076" t="str">
        <f t="shared" si="8"/>
        <v>自然及人文环境状况</v>
      </c>
      <c r="R25" s="1581" t="s">
        <v>2884</v>
      </c>
      <c r="S25" s="1582">
        <f>F25</f>
        <v>100</v>
      </c>
      <c r="T25" s="1581" t="s">
        <v>2884</v>
      </c>
      <c r="U25" s="1582">
        <f>H25</f>
        <v>100</v>
      </c>
      <c r="V25" s="1581" t="s">
        <v>2884</v>
      </c>
      <c r="W25" s="1582">
        <f>J25</f>
        <v>100</v>
      </c>
      <c r="X25" s="1575"/>
      <c r="Y25" s="3673"/>
      <c r="Z25" s="1574" t="str">
        <f>Q25</f>
        <v>自然及人文环境状况</v>
      </c>
      <c r="AA25" s="1587">
        <f t="shared" si="3"/>
        <v>1</v>
      </c>
      <c r="AB25" s="1587">
        <f t="shared" si="4"/>
        <v>1</v>
      </c>
      <c r="AC25" s="1587">
        <f t="shared" si="5"/>
        <v>1</v>
      </c>
    </row>
    <row r="26" spans="1:29" ht="15">
      <c r="A26" s="1384"/>
      <c r="B26" s="1438"/>
      <c r="C26" s="1428"/>
      <c r="D26" s="1429"/>
      <c r="E26" s="1996"/>
      <c r="F26" s="1429"/>
      <c r="G26" s="1996"/>
      <c r="H26" s="1429"/>
      <c r="I26" s="1428"/>
      <c r="J26" s="1429"/>
      <c r="K26" s="2068"/>
      <c r="L26" s="1537"/>
      <c r="M26" s="1528"/>
      <c r="N26" s="1528"/>
      <c r="O26" s="2071"/>
      <c r="P26" s="3673"/>
      <c r="Q26" s="1076"/>
      <c r="R26" s="1581"/>
      <c r="S26" s="1582"/>
      <c r="T26" s="1581"/>
      <c r="U26" s="1582"/>
      <c r="V26" s="1581"/>
      <c r="W26" s="1582"/>
      <c r="X26" s="1575"/>
      <c r="Y26" s="3673"/>
      <c r="Z26" s="1574"/>
      <c r="AA26" s="1587">
        <v>1</v>
      </c>
      <c r="AB26" s="1587">
        <v>1</v>
      </c>
      <c r="AC26" s="1587">
        <v>1</v>
      </c>
    </row>
    <row r="27" spans="1:29" s="1353" customFormat="1" ht="41.4">
      <c r="A27" s="1999"/>
      <c r="B27" s="1447" t="s">
        <v>2899</v>
      </c>
      <c r="C27" s="1433" t="str">
        <f>估价对象房地状况!C21</f>
        <v>估价对象所在区域公共配套设施齐备情况</v>
      </c>
      <c r="D27" s="1431">
        <v>100</v>
      </c>
      <c r="E27" s="1434"/>
      <c r="F27" s="1431">
        <f>SUMIF(99:99,E28,100:100)-SUMIF(99:99,C28,100:100)+100</f>
        <v>100</v>
      </c>
      <c r="G27" s="1434"/>
      <c r="H27" s="1431">
        <f>SUMIF(99:99,G28,100:100)-SUMIF(99:99,C28,100:100)+100</f>
        <v>100</v>
      </c>
      <c r="I27" s="1436"/>
      <c r="J27" s="1431">
        <f>SUMIF(99:99,I28,100:100)-SUMIF(99:99,C28,100:100)+100</f>
        <v>100</v>
      </c>
      <c r="K27" s="2070"/>
      <c r="L27" s="1530"/>
      <c r="M27" s="1531"/>
      <c r="N27" s="1531"/>
      <c r="O27" s="2067"/>
      <c r="P27" s="3673"/>
      <c r="Q27" s="1580" t="str">
        <f t="shared" si="8"/>
        <v>公共配套设施</v>
      </c>
      <c r="R27" s="1576" t="s">
        <v>2884</v>
      </c>
      <c r="S27" s="1577">
        <f>F27</f>
        <v>100</v>
      </c>
      <c r="T27" s="1576" t="s">
        <v>2884</v>
      </c>
      <c r="U27" s="1577">
        <f>H27</f>
        <v>100</v>
      </c>
      <c r="V27" s="1576" t="s">
        <v>2884</v>
      </c>
      <c r="W27" s="1577">
        <f>J27</f>
        <v>100</v>
      </c>
      <c r="X27" s="1578"/>
      <c r="Y27" s="3673"/>
      <c r="Z27" s="1594" t="str">
        <f>Q27</f>
        <v>公共配套设施</v>
      </c>
      <c r="AA27" s="1587">
        <f>D27/F27</f>
        <v>1</v>
      </c>
      <c r="AB27" s="1587">
        <f>D27/H27</f>
        <v>1</v>
      </c>
      <c r="AC27" s="1587">
        <f>D27/J27</f>
        <v>1</v>
      </c>
    </row>
    <row r="28" spans="1:29" s="1353" customFormat="1" ht="15">
      <c r="A28" s="1999"/>
      <c r="B28" s="1438"/>
      <c r="C28" s="2001"/>
      <c r="D28" s="1429"/>
      <c r="E28" s="1996"/>
      <c r="F28" s="1429"/>
      <c r="G28" s="1996"/>
      <c r="H28" s="1429"/>
      <c r="I28" s="1428"/>
      <c r="J28" s="1429"/>
      <c r="K28" s="2068"/>
      <c r="L28" s="1530"/>
      <c r="M28" s="1531"/>
      <c r="N28" s="1531"/>
      <c r="O28" s="2067"/>
      <c r="P28" s="3673"/>
      <c r="Q28" s="1580"/>
      <c r="R28" s="1576"/>
      <c r="S28" s="1577"/>
      <c r="T28" s="1576"/>
      <c r="U28" s="1577"/>
      <c r="V28" s="1576"/>
      <c r="W28" s="1577"/>
      <c r="X28" s="1578"/>
      <c r="Y28" s="3673"/>
      <c r="Z28" s="1594"/>
      <c r="AA28" s="1587">
        <v>1</v>
      </c>
      <c r="AB28" s="1587">
        <v>1</v>
      </c>
      <c r="AC28" s="1587">
        <v>1</v>
      </c>
    </row>
    <row r="29" spans="1:29" s="1353" customFormat="1" ht="41.4">
      <c r="A29" s="1999"/>
      <c r="B29" s="1447" t="s">
        <v>2901</v>
      </c>
      <c r="C29" s="1433" t="str">
        <f>估价对象房地状况!C22</f>
        <v>估价对象所在区域基础设施水平</v>
      </c>
      <c r="D29" s="1431">
        <v>100</v>
      </c>
      <c r="E29" s="1434"/>
      <c r="F29" s="1431">
        <f>SUMIF(101:101,E30,102:102)-SUMIF(101:101,C30,102:102)+100</f>
        <v>100</v>
      </c>
      <c r="G29" s="1434"/>
      <c r="H29" s="1431">
        <f>SUMIF(101:101,G30,102:102)-SUMIF(101:101,C30,102:102)+100</f>
        <v>100</v>
      </c>
      <c r="I29" s="1436"/>
      <c r="J29" s="1431">
        <f>SUMIF(101:101,I30,102:102)-SUMIF(101:101,C30,102:102)+100</f>
        <v>100</v>
      </c>
      <c r="K29" s="2070"/>
      <c r="L29" s="1530"/>
      <c r="M29" s="1531"/>
      <c r="N29" s="1531"/>
      <c r="O29" s="2067"/>
      <c r="P29" s="3673"/>
      <c r="Q29" s="1580" t="str">
        <f t="shared" ref="Q29" si="9">B29</f>
        <v>基础设施水平</v>
      </c>
      <c r="R29" s="1576" t="s">
        <v>2884</v>
      </c>
      <c r="S29" s="1577">
        <f>F29</f>
        <v>100</v>
      </c>
      <c r="T29" s="1576" t="s">
        <v>2884</v>
      </c>
      <c r="U29" s="1577">
        <f>H29</f>
        <v>100</v>
      </c>
      <c r="V29" s="1576" t="s">
        <v>2884</v>
      </c>
      <c r="W29" s="1577">
        <f>J29</f>
        <v>100</v>
      </c>
      <c r="X29" s="1578"/>
      <c r="Y29" s="3673"/>
      <c r="Z29" s="1594" t="str">
        <f>Q29</f>
        <v>基础设施水平</v>
      </c>
      <c r="AA29" s="1587">
        <f>D29/F29</f>
        <v>1</v>
      </c>
      <c r="AB29" s="1587">
        <f>D29/H29</f>
        <v>1</v>
      </c>
      <c r="AC29" s="1587">
        <f>D29/J29</f>
        <v>1</v>
      </c>
    </row>
    <row r="30" spans="1:29" s="1353" customFormat="1" ht="15">
      <c r="A30" s="1999"/>
      <c r="B30" s="1438"/>
      <c r="C30" s="2001"/>
      <c r="D30" s="1429"/>
      <c r="E30" s="2002"/>
      <c r="F30" s="1429"/>
      <c r="G30" s="2002"/>
      <c r="H30" s="1429"/>
      <c r="I30" s="2002"/>
      <c r="J30" s="1429"/>
      <c r="K30" s="2068"/>
      <c r="L30" s="1530"/>
      <c r="M30" s="1531"/>
      <c r="N30" s="1531"/>
      <c r="O30" s="2067"/>
      <c r="P30" s="3673"/>
      <c r="Q30" s="1580"/>
      <c r="R30" s="1576"/>
      <c r="S30" s="1577"/>
      <c r="T30" s="1576"/>
      <c r="U30" s="1577"/>
      <c r="V30" s="1576"/>
      <c r="W30" s="1577"/>
      <c r="X30" s="1578"/>
      <c r="Y30" s="3673"/>
      <c r="Z30" s="1594"/>
      <c r="AA30" s="1587">
        <v>1</v>
      </c>
      <c r="AB30" s="1587">
        <v>1</v>
      </c>
      <c r="AC30" s="1587">
        <v>1</v>
      </c>
    </row>
    <row r="31" spans="1:29" ht="15">
      <c r="A31" s="1406"/>
      <c r="B31" s="1438" t="s">
        <v>3511</v>
      </c>
      <c r="C31" s="1448"/>
      <c r="D31" s="1414">
        <v>100</v>
      </c>
      <c r="E31" s="2003"/>
      <c r="F31" s="1414">
        <f>SUMIF(103:103,E31,104:104)-SUMIF(103:103,C31,104:104)+100</f>
        <v>100</v>
      </c>
      <c r="G31" s="2003"/>
      <c r="H31" s="1414">
        <f>SUMIF(103:103,G31,104:104)-SUMIF(103:103,C31,104:104)+100</f>
        <v>100</v>
      </c>
      <c r="I31" s="2003"/>
      <c r="J31" s="1414">
        <f>SUMIF(103:103,I31,104:104)-SUMIF(103:103,C31,104:104)+100</f>
        <v>100</v>
      </c>
      <c r="K31" s="2070"/>
      <c r="L31" s="1537"/>
      <c r="M31" s="1528"/>
      <c r="N31" s="1528"/>
      <c r="O31" s="2071"/>
      <c r="P31" s="3673"/>
      <c r="Q31" s="1076" t="str">
        <f t="shared" si="8"/>
        <v>临街状况</v>
      </c>
      <c r="R31" s="1581" t="s">
        <v>2884</v>
      </c>
      <c r="S31" s="1582">
        <f t="shared" ref="S31:S45" si="10">F31</f>
        <v>100</v>
      </c>
      <c r="T31" s="1581" t="s">
        <v>2884</v>
      </c>
      <c r="U31" s="1582">
        <f t="shared" ref="U31:U45" si="11">H31</f>
        <v>100</v>
      </c>
      <c r="V31" s="1581" t="s">
        <v>2884</v>
      </c>
      <c r="W31" s="1582">
        <f t="shared" ref="W31:W45" si="12">J31</f>
        <v>100</v>
      </c>
      <c r="X31" s="1575"/>
      <c r="Y31" s="3673"/>
      <c r="Z31" s="1574" t="str">
        <f t="shared" ref="Z31:Z45" si="13">Q31</f>
        <v>临街状况</v>
      </c>
      <c r="AA31" s="1587">
        <f t="shared" si="3"/>
        <v>1</v>
      </c>
      <c r="AB31" s="1587">
        <f t="shared" si="4"/>
        <v>1</v>
      </c>
      <c r="AC31" s="1587">
        <f t="shared" si="5"/>
        <v>1</v>
      </c>
    </row>
    <row r="32" spans="1:29" ht="28.8">
      <c r="A32" s="1406"/>
      <c r="B32" s="1447" t="s">
        <v>3495</v>
      </c>
      <c r="C32" s="1436"/>
      <c r="D32" s="1431">
        <v>100</v>
      </c>
      <c r="E32" s="1434"/>
      <c r="F32" s="1431">
        <f>SUMIF(105:105,E33,106:106)-SUMIF(105:105,C33,106:106)+100</f>
        <v>100</v>
      </c>
      <c r="G32" s="1434"/>
      <c r="H32" s="1431">
        <f>SUMIF(105:105,G33,106:106)-SUMIF(105:105,C33,106:106)+100</f>
        <v>100</v>
      </c>
      <c r="I32" s="1436"/>
      <c r="J32" s="1431">
        <f>SUMIF(105:105,I33,106:106)-SUMIF(105:105,C33,106:106)+100</f>
        <v>100</v>
      </c>
      <c r="K32" s="2070"/>
      <c r="L32" s="1537"/>
      <c r="M32" s="1528"/>
      <c r="N32" s="1528"/>
      <c r="O32" s="2071"/>
      <c r="P32" s="3673"/>
      <c r="Q32" s="1076" t="str">
        <f t="shared" si="8"/>
        <v>毗邻道路的类型与等级</v>
      </c>
      <c r="R32" s="1581" t="s">
        <v>2884</v>
      </c>
      <c r="S32" s="1582">
        <f t="shared" si="10"/>
        <v>100</v>
      </c>
      <c r="T32" s="1581" t="s">
        <v>2884</v>
      </c>
      <c r="U32" s="1582">
        <f t="shared" si="11"/>
        <v>100</v>
      </c>
      <c r="V32" s="1581" t="s">
        <v>2884</v>
      </c>
      <c r="W32" s="1582">
        <f t="shared" si="12"/>
        <v>100</v>
      </c>
      <c r="X32" s="1575"/>
      <c r="Y32" s="3673"/>
      <c r="Z32" s="1574" t="str">
        <f t="shared" si="13"/>
        <v>毗邻道路的类型与等级</v>
      </c>
      <c r="AA32" s="1587">
        <f t="shared" si="3"/>
        <v>1</v>
      </c>
      <c r="AB32" s="1587">
        <f t="shared" si="4"/>
        <v>1</v>
      </c>
      <c r="AC32" s="1587">
        <f t="shared" si="5"/>
        <v>1</v>
      </c>
    </row>
    <row r="33" spans="1:29" ht="15">
      <c r="A33" s="1406"/>
      <c r="B33" s="1438"/>
      <c r="C33" s="1428"/>
      <c r="D33" s="1429"/>
      <c r="E33" s="1996"/>
      <c r="F33" s="1429"/>
      <c r="G33" s="1996"/>
      <c r="H33" s="1429"/>
      <c r="I33" s="1428"/>
      <c r="J33" s="1429"/>
      <c r="K33" s="1536"/>
      <c r="L33" s="1537"/>
      <c r="M33" s="1528"/>
      <c r="N33" s="1528"/>
      <c r="O33" s="2071"/>
      <c r="P33" s="3673"/>
      <c r="Q33" s="1076"/>
      <c r="R33" s="1581"/>
      <c r="S33" s="1582"/>
      <c r="T33" s="1581"/>
      <c r="U33" s="1582"/>
      <c r="V33" s="1581"/>
      <c r="W33" s="1582"/>
      <c r="X33" s="1575"/>
      <c r="Y33" s="3673"/>
      <c r="Z33" s="1574"/>
      <c r="AA33" s="1587">
        <v>1</v>
      </c>
      <c r="AB33" s="1587">
        <v>1</v>
      </c>
      <c r="AC33" s="1587">
        <v>1</v>
      </c>
    </row>
    <row r="34" spans="1:29" ht="15">
      <c r="A34" s="1406"/>
      <c r="B34" s="1402" t="s">
        <v>3512</v>
      </c>
      <c r="C34" s="1448"/>
      <c r="D34" s="1414">
        <v>100</v>
      </c>
      <c r="E34" s="2003"/>
      <c r="F34" s="1414">
        <f>SUMIF(107:107,E34,108:108)-SUMIF(107:107,C34,108:108)+100</f>
        <v>100</v>
      </c>
      <c r="G34" s="2003"/>
      <c r="H34" s="1414">
        <f>SUMIF(107:107,G34,108:108)-SUMIF(107:107,C34,108:108)+100</f>
        <v>100</v>
      </c>
      <c r="I34" s="1448"/>
      <c r="J34" s="1414">
        <f>SUMIF(107:107,I34,108:108)-SUMIF(107:107,C34,108:108)+100</f>
        <v>100</v>
      </c>
      <c r="K34" s="1534"/>
      <c r="L34" s="1537"/>
      <c r="M34" s="1528"/>
      <c r="N34" s="1528"/>
      <c r="O34" s="2071"/>
      <c r="P34" s="3673"/>
      <c r="Q34" s="1076" t="str">
        <f t="shared" si="8"/>
        <v>土地级别</v>
      </c>
      <c r="R34" s="1581" t="s">
        <v>2884</v>
      </c>
      <c r="S34" s="1582">
        <f t="shared" si="10"/>
        <v>100</v>
      </c>
      <c r="T34" s="1581" t="s">
        <v>2884</v>
      </c>
      <c r="U34" s="1582">
        <f t="shared" si="11"/>
        <v>100</v>
      </c>
      <c r="V34" s="1581" t="s">
        <v>2884</v>
      </c>
      <c r="W34" s="1582">
        <f t="shared" si="12"/>
        <v>100</v>
      </c>
      <c r="X34" s="1575"/>
      <c r="Y34" s="3673"/>
      <c r="Z34" s="1574" t="str">
        <f t="shared" si="13"/>
        <v>土地级别</v>
      </c>
      <c r="AA34" s="1587">
        <f t="shared" si="3"/>
        <v>1</v>
      </c>
      <c r="AB34" s="1587">
        <f t="shared" si="4"/>
        <v>1</v>
      </c>
      <c r="AC34" s="1587">
        <f t="shared" si="5"/>
        <v>1</v>
      </c>
    </row>
    <row r="35" spans="1:29" ht="15">
      <c r="A35" s="1384"/>
      <c r="B35" s="1450">
        <v>111</v>
      </c>
      <c r="C35" s="1992"/>
      <c r="D35" s="1414">
        <v>100</v>
      </c>
      <c r="E35" s="2008"/>
      <c r="F35" s="1414">
        <f>SUMIF(109:109,E35,110:110)-SUMIF(109:109,C35,110:110)+100</f>
        <v>100</v>
      </c>
      <c r="G35" s="2008"/>
      <c r="H35" s="1414">
        <f>SUMIF(109:109,G35,110:110)-SUMIF(109:109,C35,110:110)+100</f>
        <v>100</v>
      </c>
      <c r="I35" s="1992"/>
      <c r="J35" s="1414">
        <f>SUMIF(109:109,I35,110:110)-SUMIF(109:109,C35,110:110)+100</f>
        <v>100</v>
      </c>
      <c r="K35" s="1536"/>
      <c r="L35" s="1537"/>
      <c r="M35" s="1528"/>
      <c r="N35" s="1528"/>
      <c r="O35" s="2071"/>
      <c r="P35" s="3673"/>
      <c r="Q35" s="1076">
        <f t="shared" si="8"/>
        <v>111</v>
      </c>
      <c r="R35" s="1581" t="s">
        <v>2884</v>
      </c>
      <c r="S35" s="1582">
        <f t="shared" si="10"/>
        <v>100</v>
      </c>
      <c r="T35" s="1581" t="s">
        <v>2884</v>
      </c>
      <c r="U35" s="1582">
        <f t="shared" si="11"/>
        <v>100</v>
      </c>
      <c r="V35" s="1581" t="s">
        <v>2884</v>
      </c>
      <c r="W35" s="1582">
        <f t="shared" si="12"/>
        <v>100</v>
      </c>
      <c r="X35" s="1575"/>
      <c r="Y35" s="3673"/>
      <c r="Z35" s="1574">
        <f t="shared" si="13"/>
        <v>111</v>
      </c>
      <c r="AA35" s="1587">
        <f t="shared" si="3"/>
        <v>1</v>
      </c>
      <c r="AB35" s="1587">
        <f t="shared" si="4"/>
        <v>1</v>
      </c>
      <c r="AC35" s="1587">
        <f t="shared" si="5"/>
        <v>1</v>
      </c>
    </row>
    <row r="36" spans="1:29" ht="15">
      <c r="A36" s="2009"/>
      <c r="B36" s="2018">
        <v>111</v>
      </c>
      <c r="C36" s="1992"/>
      <c r="D36" s="1414">
        <v>100</v>
      </c>
      <c r="E36" s="2008"/>
      <c r="F36" s="1414">
        <f>SUMIF(111:111,E37,112:112)-SUMIF(111:111,C37,112:112)+100</f>
        <v>100</v>
      </c>
      <c r="G36" s="2008"/>
      <c r="H36" s="1414">
        <f>SUMIF(111:111,G36,112:112)-SUMIF(111:111,C36,112:112)+100</f>
        <v>100</v>
      </c>
      <c r="I36" s="1992"/>
      <c r="J36" s="1414">
        <f>SUMIF(111:111,I36,112:112)-SUMIF(111:111,C36,112:112)+100</f>
        <v>100</v>
      </c>
      <c r="K36" s="1536"/>
      <c r="L36" s="1537"/>
      <c r="M36" s="1528"/>
      <c r="N36" s="1528"/>
      <c r="O36" s="2071"/>
      <c r="P36" s="3674" t="s">
        <v>2906</v>
      </c>
      <c r="Q36" s="1076">
        <f t="shared" si="8"/>
        <v>111</v>
      </c>
      <c r="R36" s="1581" t="s">
        <v>2884</v>
      </c>
      <c r="S36" s="1582">
        <f t="shared" si="10"/>
        <v>100</v>
      </c>
      <c r="T36" s="1581" t="s">
        <v>2884</v>
      </c>
      <c r="U36" s="1582">
        <f t="shared" si="11"/>
        <v>100</v>
      </c>
      <c r="V36" s="1581" t="s">
        <v>2884</v>
      </c>
      <c r="W36" s="1582">
        <f t="shared" si="12"/>
        <v>100</v>
      </c>
      <c r="X36" s="1575"/>
      <c r="Y36" s="3675" t="s">
        <v>2906</v>
      </c>
      <c r="Z36" s="1574">
        <f t="shared" si="13"/>
        <v>111</v>
      </c>
      <c r="AA36" s="1587">
        <f t="shared" si="3"/>
        <v>1</v>
      </c>
      <c r="AB36" s="1587">
        <f t="shared" si="4"/>
        <v>1</v>
      </c>
      <c r="AC36" s="1587">
        <f t="shared" si="5"/>
        <v>1</v>
      </c>
    </row>
    <row r="37" spans="1:29" s="1355" customFormat="1" ht="15">
      <c r="A37" s="2011"/>
      <c r="B37" s="2114">
        <v>111</v>
      </c>
      <c r="C37" s="2013"/>
      <c r="D37" s="2014">
        <v>100</v>
      </c>
      <c r="E37" s="2015"/>
      <c r="F37" s="1418">
        <f>SUMIF(113:113,E37,114:114)-SUMIF(113:113,C37,114:114)+100</f>
        <v>100</v>
      </c>
      <c r="G37" s="2015"/>
      <c r="H37" s="1418">
        <f>SUMIF(113:113,G37,114:114)-SUMIF(113:113,C37,114:114)+100</f>
        <v>100</v>
      </c>
      <c r="I37" s="2013"/>
      <c r="J37" s="1418">
        <f>SUMIF(113:113,I37,114:114)-SUMIF(113:113,C37,114:114)+100</f>
        <v>100</v>
      </c>
      <c r="K37" s="1536"/>
      <c r="L37" s="1535"/>
      <c r="M37" s="1541"/>
      <c r="N37" s="1541"/>
      <c r="O37" s="2073"/>
      <c r="P37" s="3675"/>
      <c r="Q37" s="1076">
        <f t="shared" si="8"/>
        <v>111</v>
      </c>
      <c r="R37" s="1584" t="s">
        <v>2884</v>
      </c>
      <c r="S37" s="1585">
        <f t="shared" si="10"/>
        <v>100</v>
      </c>
      <c r="T37" s="1584" t="s">
        <v>2884</v>
      </c>
      <c r="U37" s="1585">
        <f t="shared" si="11"/>
        <v>100</v>
      </c>
      <c r="V37" s="1584" t="s">
        <v>2884</v>
      </c>
      <c r="W37" s="1585">
        <f t="shared" si="12"/>
        <v>100</v>
      </c>
      <c r="X37" s="1586"/>
      <c r="Y37" s="3675"/>
      <c r="Z37" s="1595">
        <f t="shared" si="13"/>
        <v>111</v>
      </c>
      <c r="AA37" s="1587">
        <f t="shared" si="3"/>
        <v>1</v>
      </c>
      <c r="AB37" s="1587">
        <f t="shared" si="4"/>
        <v>1</v>
      </c>
      <c r="AC37" s="1587">
        <f t="shared" si="5"/>
        <v>1</v>
      </c>
    </row>
    <row r="38" spans="1:29" ht="15.6">
      <c r="A38" s="1458" t="s">
        <v>2904</v>
      </c>
      <c r="B38" s="1438" t="s">
        <v>3513</v>
      </c>
      <c r="C38" s="2016"/>
      <c r="D38" s="1455">
        <v>100</v>
      </c>
      <c r="E38" s="2016"/>
      <c r="F38" s="1455" t="e">
        <f>LOOKUP(E38,116:116,117:117)-LOOKUP(C38,116:116,117:117)+100</f>
        <v>#N/A</v>
      </c>
      <c r="G38" s="2016"/>
      <c r="H38" s="1455" t="e">
        <f>LOOKUP(G38,116:116,117:117)-LOOKUP(C38,116:116,117:117)+100</f>
        <v>#N/A</v>
      </c>
      <c r="I38" s="1515"/>
      <c r="J38" s="1455" t="e">
        <f>LOOKUP(I38,116:116,117:117)-LOOKUP(C38,116:116,117:117)+100</f>
        <v>#N/A</v>
      </c>
      <c r="K38" s="1536"/>
      <c r="L38" s="1537"/>
      <c r="M38" s="1528"/>
      <c r="N38" s="1528"/>
      <c r="O38" s="2071"/>
      <c r="P38" s="3675"/>
      <c r="Q38" s="1076" t="str">
        <f t="shared" si="8"/>
        <v>宗地面积</v>
      </c>
      <c r="R38" s="1581" t="s">
        <v>2884</v>
      </c>
      <c r="S38" s="1582" t="e">
        <f t="shared" si="10"/>
        <v>#N/A</v>
      </c>
      <c r="T38" s="1581" t="s">
        <v>2884</v>
      </c>
      <c r="U38" s="1582" t="e">
        <f t="shared" si="11"/>
        <v>#N/A</v>
      </c>
      <c r="V38" s="1581" t="s">
        <v>2884</v>
      </c>
      <c r="W38" s="1582" t="e">
        <f t="shared" si="12"/>
        <v>#N/A</v>
      </c>
      <c r="X38" s="1575"/>
      <c r="Y38" s="3675"/>
      <c r="Z38" s="1574" t="str">
        <f t="shared" si="13"/>
        <v>宗地面积</v>
      </c>
      <c r="AA38" s="1587" t="e">
        <f t="shared" si="3"/>
        <v>#N/A</v>
      </c>
      <c r="AB38" s="1587" t="e">
        <f t="shared" si="4"/>
        <v>#N/A</v>
      </c>
      <c r="AC38" s="1587" t="e">
        <f t="shared" si="5"/>
        <v>#N/A</v>
      </c>
    </row>
    <row r="39" spans="1:29" ht="15">
      <c r="A39" s="1458"/>
      <c r="B39" s="1402" t="s">
        <v>3514</v>
      </c>
      <c r="C39" s="1460"/>
      <c r="D39" s="1414">
        <v>100</v>
      </c>
      <c r="E39" s="1460"/>
      <c r="F39" s="1414">
        <f>SUMIF(118:118,E39,119:119)-SUMIF(118:118,C39,119:119)+100</f>
        <v>100</v>
      </c>
      <c r="G39" s="1460"/>
      <c r="H39" s="1414">
        <f>SUMIF(118:118,G39,119:119)-SUMIF(118:118,C39,119:119)+100</f>
        <v>100</v>
      </c>
      <c r="I39" s="1460"/>
      <c r="J39" s="1414">
        <f>SUMIF(118:118,I39,119:119)-SUMIF(118:118,C39,119:119)+100</f>
        <v>100</v>
      </c>
      <c r="K39" s="1534"/>
      <c r="L39" s="1537"/>
      <c r="M39" s="1528"/>
      <c r="N39" s="1528"/>
      <c r="O39" s="2071"/>
      <c r="P39" s="3675"/>
      <c r="Q39" s="1076" t="str">
        <f t="shared" ref="Q39:Q45" si="14">B39</f>
        <v>宗地形状</v>
      </c>
      <c r="R39" s="1581" t="s">
        <v>2884</v>
      </c>
      <c r="S39" s="1582">
        <f t="shared" si="10"/>
        <v>100</v>
      </c>
      <c r="T39" s="1581" t="s">
        <v>2884</v>
      </c>
      <c r="U39" s="1582">
        <f t="shared" si="11"/>
        <v>100</v>
      </c>
      <c r="V39" s="1581" t="s">
        <v>2884</v>
      </c>
      <c r="W39" s="1582">
        <f t="shared" si="12"/>
        <v>100</v>
      </c>
      <c r="X39" s="1575"/>
      <c r="Y39" s="3675"/>
      <c r="Z39" s="1574" t="str">
        <f t="shared" si="13"/>
        <v>宗地形状</v>
      </c>
      <c r="AA39" s="1587">
        <f t="shared" si="3"/>
        <v>1</v>
      </c>
      <c r="AB39" s="1587">
        <f t="shared" si="4"/>
        <v>1</v>
      </c>
      <c r="AC39" s="1587">
        <f t="shared" si="5"/>
        <v>1</v>
      </c>
    </row>
    <row r="40" spans="1:29" ht="15">
      <c r="A40" s="1458"/>
      <c r="B40" s="1402" t="s">
        <v>3515</v>
      </c>
      <c r="C40" s="1460"/>
      <c r="D40" s="1414">
        <v>100</v>
      </c>
      <c r="E40" s="1460"/>
      <c r="F40" s="1414">
        <f>SUMIF(120:120,E40,121:121)-SUMIF(120:120,C40,121:121)+100</f>
        <v>100</v>
      </c>
      <c r="G40" s="1460"/>
      <c r="H40" s="1414">
        <f>SUMIF(120:120,G40,121:121)-SUMIF(120:120,C40,121:121)+100</f>
        <v>100</v>
      </c>
      <c r="I40" s="1460"/>
      <c r="J40" s="1414">
        <f>SUMIF(120:120,I40,121:121)-SUMIF(120:120,C40,121:121)+100</f>
        <v>100</v>
      </c>
      <c r="K40" s="1534"/>
      <c r="L40" s="1537"/>
      <c r="M40" s="1528"/>
      <c r="N40" s="1528"/>
      <c r="O40" s="2071"/>
      <c r="P40" s="3675"/>
      <c r="Q40" s="1076" t="str">
        <f t="shared" si="14"/>
        <v>临街宽度及深度</v>
      </c>
      <c r="R40" s="1581" t="s">
        <v>2884</v>
      </c>
      <c r="S40" s="1582">
        <f t="shared" si="10"/>
        <v>100</v>
      </c>
      <c r="T40" s="1581" t="s">
        <v>2884</v>
      </c>
      <c r="U40" s="1582">
        <f t="shared" si="11"/>
        <v>100</v>
      </c>
      <c r="V40" s="1581" t="s">
        <v>2884</v>
      </c>
      <c r="W40" s="1582">
        <f t="shared" si="12"/>
        <v>100</v>
      </c>
      <c r="X40" s="1575"/>
      <c r="Y40" s="3675"/>
      <c r="Z40" s="1574" t="str">
        <f t="shared" si="13"/>
        <v>临街宽度及深度</v>
      </c>
      <c r="AA40" s="1587">
        <f t="shared" si="3"/>
        <v>1</v>
      </c>
      <c r="AB40" s="1587">
        <f t="shared" si="4"/>
        <v>1</v>
      </c>
      <c r="AC40" s="1587">
        <f t="shared" si="5"/>
        <v>1</v>
      </c>
    </row>
    <row r="41" spans="1:29" s="1353" customFormat="1" ht="15">
      <c r="A41" s="1462"/>
      <c r="B41" s="1402" t="s">
        <v>3516</v>
      </c>
      <c r="C41" s="2017"/>
      <c r="D41" s="1404">
        <v>100</v>
      </c>
      <c r="E41" s="2017"/>
      <c r="F41" s="1414">
        <f>SUMIF(122:122,E41,123:123)-SUMIF(122:122,C41,123:123)+100</f>
        <v>100</v>
      </c>
      <c r="G41" s="2017"/>
      <c r="H41" s="1414">
        <f>SUMIF(122:122,G41,123:123)-SUMIF(122:122,C41,123:123)+100</f>
        <v>100</v>
      </c>
      <c r="I41" s="2017"/>
      <c r="J41" s="1414">
        <f>SUMIF(122:122,I41,123:123)-SUMIF(122:122,C41,123:123)+100</f>
        <v>100</v>
      </c>
      <c r="K41" s="1534"/>
      <c r="L41" s="1530"/>
      <c r="M41" s="1531"/>
      <c r="N41" s="1531"/>
      <c r="O41" s="2067"/>
      <c r="P41" s="3675"/>
      <c r="Q41" s="1076" t="str">
        <f t="shared" si="14"/>
        <v>宗地开发程度</v>
      </c>
      <c r="R41" s="1576" t="s">
        <v>2884</v>
      </c>
      <c r="S41" s="1577">
        <f t="shared" si="10"/>
        <v>100</v>
      </c>
      <c r="T41" s="1576" t="s">
        <v>2884</v>
      </c>
      <c r="U41" s="1577">
        <f t="shared" si="11"/>
        <v>100</v>
      </c>
      <c r="V41" s="1576" t="s">
        <v>2884</v>
      </c>
      <c r="W41" s="1577">
        <f t="shared" si="12"/>
        <v>100</v>
      </c>
      <c r="X41" s="1578"/>
      <c r="Y41" s="3675"/>
      <c r="Z41" s="1594" t="str">
        <f t="shared" si="13"/>
        <v>宗地开发程度</v>
      </c>
      <c r="AA41" s="1593">
        <f t="shared" si="3"/>
        <v>1</v>
      </c>
      <c r="AB41" s="1593">
        <f t="shared" si="4"/>
        <v>1</v>
      </c>
      <c r="AC41" s="1593">
        <f t="shared" si="5"/>
        <v>1</v>
      </c>
    </row>
    <row r="42" spans="1:29" ht="15">
      <c r="A42" s="1458"/>
      <c r="B42" s="1402" t="s">
        <v>3517</v>
      </c>
      <c r="C42" s="1460"/>
      <c r="D42" s="1414">
        <v>100</v>
      </c>
      <c r="E42" s="1460"/>
      <c r="F42" s="1414">
        <f>SUMIF(124:124,E42,125:125)-SUMIF(124:124,C42,125:125)+100</f>
        <v>100</v>
      </c>
      <c r="G42" s="1460"/>
      <c r="H42" s="1414">
        <f>SUMIF(124:124,G42,125:125)-SUMIF(124:124,C42,125:125)+100</f>
        <v>100</v>
      </c>
      <c r="I42" s="1460"/>
      <c r="J42" s="1414">
        <f>SUMIF(124:124,I42,125:125)-SUMIF(124:124,C42,125:125)+100</f>
        <v>100</v>
      </c>
      <c r="K42" s="1534"/>
      <c r="L42" s="1537"/>
      <c r="M42" s="1528"/>
      <c r="N42" s="1528"/>
      <c r="O42" s="2071"/>
      <c r="P42" s="3675" t="s">
        <v>2906</v>
      </c>
      <c r="Q42" s="1076" t="str">
        <f t="shared" si="14"/>
        <v>工程地质条件</v>
      </c>
      <c r="R42" s="1581" t="s">
        <v>2884</v>
      </c>
      <c r="S42" s="1582">
        <f t="shared" si="10"/>
        <v>100</v>
      </c>
      <c r="T42" s="1581" t="s">
        <v>2884</v>
      </c>
      <c r="U42" s="1582">
        <f t="shared" si="11"/>
        <v>100</v>
      </c>
      <c r="V42" s="1581" t="s">
        <v>2884</v>
      </c>
      <c r="W42" s="1582">
        <f t="shared" si="12"/>
        <v>100</v>
      </c>
      <c r="X42" s="1575"/>
      <c r="Y42" s="3675" t="s">
        <v>2906</v>
      </c>
      <c r="Z42" s="1574" t="str">
        <f t="shared" si="13"/>
        <v>工程地质条件</v>
      </c>
      <c r="AA42" s="1587">
        <f t="shared" si="3"/>
        <v>1</v>
      </c>
      <c r="AB42" s="1587">
        <f t="shared" si="4"/>
        <v>1</v>
      </c>
      <c r="AC42" s="1587">
        <f t="shared" si="5"/>
        <v>1</v>
      </c>
    </row>
    <row r="43" spans="1:29" ht="15">
      <c r="A43" s="1458"/>
      <c r="B43" s="2018">
        <v>111</v>
      </c>
      <c r="C43" s="1992"/>
      <c r="D43" s="1414">
        <v>100</v>
      </c>
      <c r="E43" s="1992"/>
      <c r="F43" s="1414">
        <f>SUMIF(126:126,E43,127:127)-SUMIF(126:126,C43,127:127)+100</f>
        <v>100</v>
      </c>
      <c r="G43" s="1992"/>
      <c r="H43" s="1414">
        <f>SUMIF(126:126,G43,127:127)-SUMIF(126:126,C43,127:127)+100</f>
        <v>100</v>
      </c>
      <c r="I43" s="1603"/>
      <c r="J43" s="1414">
        <f>SUMIF(126:126,I43,127:127)-SUMIF(126:126,C43,127:127)+100</f>
        <v>100</v>
      </c>
      <c r="K43" s="1536"/>
      <c r="L43" s="1537"/>
      <c r="M43" s="1528"/>
      <c r="N43" s="1528"/>
      <c r="O43" s="2071"/>
      <c r="P43" s="3675"/>
      <c r="Q43" s="1076">
        <f t="shared" si="14"/>
        <v>111</v>
      </c>
      <c r="R43" s="1581" t="s">
        <v>2884</v>
      </c>
      <c r="S43" s="1582">
        <f t="shared" si="10"/>
        <v>100</v>
      </c>
      <c r="T43" s="1581" t="s">
        <v>2884</v>
      </c>
      <c r="U43" s="1582">
        <f t="shared" si="11"/>
        <v>100</v>
      </c>
      <c r="V43" s="1581" t="s">
        <v>2884</v>
      </c>
      <c r="W43" s="1582">
        <f t="shared" si="12"/>
        <v>100</v>
      </c>
      <c r="X43" s="1575"/>
      <c r="Y43" s="3675"/>
      <c r="Z43" s="1574">
        <f t="shared" si="13"/>
        <v>111</v>
      </c>
      <c r="AA43" s="1587">
        <f t="shared" si="3"/>
        <v>1</v>
      </c>
      <c r="AB43" s="1587">
        <f t="shared" si="4"/>
        <v>1</v>
      </c>
      <c r="AC43" s="1587">
        <f t="shared" si="5"/>
        <v>1</v>
      </c>
    </row>
    <row r="44" spans="1:29" ht="15">
      <c r="A44" s="1458"/>
      <c r="B44" s="2018">
        <v>111</v>
      </c>
      <c r="C44" s="1992"/>
      <c r="D44" s="1414">
        <v>100</v>
      </c>
      <c r="E44" s="1992"/>
      <c r="F44" s="1414">
        <f>SUMIF(128:128,E44,129:129)-SUMIF(128:128,C44,129:129)+100</f>
        <v>100</v>
      </c>
      <c r="G44" s="1992"/>
      <c r="H44" s="1414">
        <f>SUMIF(128:128,G44,129:129)-SUMIF(128:128,C44,129:129)+100</f>
        <v>100</v>
      </c>
      <c r="I44" s="1603"/>
      <c r="J44" s="1414">
        <f>SUMIF(128:128,I44,129:129)-SUMIF(128:128,C44,129:129)+100</f>
        <v>100</v>
      </c>
      <c r="K44" s="1536"/>
      <c r="L44" s="1537"/>
      <c r="M44" s="1528"/>
      <c r="N44" s="1528"/>
      <c r="O44" s="2071"/>
      <c r="P44" s="3675"/>
      <c r="Q44" s="1076">
        <f t="shared" si="14"/>
        <v>111</v>
      </c>
      <c r="R44" s="1581" t="s">
        <v>2884</v>
      </c>
      <c r="S44" s="1582">
        <f t="shared" si="10"/>
        <v>100</v>
      </c>
      <c r="T44" s="1581" t="s">
        <v>2884</v>
      </c>
      <c r="U44" s="1582">
        <f t="shared" si="11"/>
        <v>100</v>
      </c>
      <c r="V44" s="1581" t="s">
        <v>2884</v>
      </c>
      <c r="W44" s="1582">
        <f t="shared" si="12"/>
        <v>100</v>
      </c>
      <c r="X44" s="1575"/>
      <c r="Y44" s="3675"/>
      <c r="Z44" s="1574">
        <f t="shared" si="13"/>
        <v>111</v>
      </c>
      <c r="AA44" s="1587">
        <f t="shared" si="3"/>
        <v>1</v>
      </c>
      <c r="AB44" s="1587">
        <f t="shared" si="4"/>
        <v>1</v>
      </c>
      <c r="AC44" s="1587">
        <f t="shared" si="5"/>
        <v>1</v>
      </c>
    </row>
    <row r="45" spans="1:29" s="1355" customFormat="1" ht="15">
      <c r="A45" s="1456"/>
      <c r="B45" s="2018">
        <v>111</v>
      </c>
      <c r="C45" s="2019"/>
      <c r="D45" s="2115">
        <v>100</v>
      </c>
      <c r="E45" s="1992"/>
      <c r="F45" s="1418">
        <f>SUMIF(130:130,E45,131:131)-SUMIF(130:130,C45,131:131)+100</f>
        <v>100</v>
      </c>
      <c r="G45" s="1992"/>
      <c r="H45" s="1418">
        <f>SUMIF(130:130,G45,131:131)-SUMIF(130:130,C45,131:131)+100</f>
        <v>100</v>
      </c>
      <c r="I45" s="1992"/>
      <c r="J45" s="1418">
        <f>SUMIF(130:130,I45,131:131)-SUMIF(130:130,C45,131:131)+100</f>
        <v>100</v>
      </c>
      <c r="K45" s="2074"/>
      <c r="L45" s="1535"/>
      <c r="M45" s="1541"/>
      <c r="N45" s="1541"/>
      <c r="O45" s="2073"/>
      <c r="P45" s="3675"/>
      <c r="Q45" s="1076">
        <f t="shared" si="14"/>
        <v>111</v>
      </c>
      <c r="R45" s="1584" t="s">
        <v>2884</v>
      </c>
      <c r="S45" s="1585">
        <f t="shared" si="10"/>
        <v>100</v>
      </c>
      <c r="T45" s="1584" t="s">
        <v>2884</v>
      </c>
      <c r="U45" s="1585">
        <f t="shared" si="11"/>
        <v>100</v>
      </c>
      <c r="V45" s="1584" t="s">
        <v>2884</v>
      </c>
      <c r="W45" s="1585">
        <f t="shared" si="12"/>
        <v>100</v>
      </c>
      <c r="X45" s="1586"/>
      <c r="Y45" s="3675"/>
      <c r="Z45" s="1595">
        <f t="shared" si="13"/>
        <v>111</v>
      </c>
      <c r="AA45" s="1587">
        <f t="shared" si="3"/>
        <v>1</v>
      </c>
      <c r="AB45" s="1587">
        <f t="shared" si="4"/>
        <v>1</v>
      </c>
      <c r="AC45" s="1587">
        <f t="shared" si="5"/>
        <v>1</v>
      </c>
    </row>
    <row r="46" spans="1:29" ht="14.4">
      <c r="A46" s="1467" t="s">
        <v>2920</v>
      </c>
      <c r="B46" s="2020" t="s">
        <v>3518</v>
      </c>
      <c r="C46" s="2021" t="s">
        <v>124</v>
      </c>
      <c r="D46" s="2022"/>
      <c r="E46" s="2023"/>
      <c r="F46" s="2024"/>
      <c r="G46" s="2025"/>
      <c r="H46" s="2026"/>
      <c r="I46" s="2023"/>
      <c r="J46" s="2026"/>
      <c r="K46" s="1542"/>
      <c r="L46" s="1543"/>
      <c r="M46" s="1484"/>
      <c r="N46" s="1528"/>
      <c r="O46" s="1484"/>
      <c r="P46" s="3665" t="str">
        <f>A46</f>
        <v>成交单价</v>
      </c>
      <c r="Q46" s="3665"/>
      <c r="R46" s="3664">
        <f>E46</f>
        <v>0</v>
      </c>
      <c r="S46" s="3664"/>
      <c r="T46" s="3664">
        <f>G46</f>
        <v>0</v>
      </c>
      <c r="U46" s="3664"/>
      <c r="V46" s="3664">
        <f>I46</f>
        <v>0</v>
      </c>
      <c r="W46" s="3664"/>
      <c r="X46" s="1493"/>
      <c r="Y46" s="1596"/>
      <c r="Z46" s="1493"/>
      <c r="AA46" s="1493"/>
      <c r="AB46" s="1493"/>
      <c r="AC46" s="1493"/>
    </row>
    <row r="47" spans="1:29" ht="14.4">
      <c r="A47" s="1475" t="s">
        <v>2922</v>
      </c>
      <c r="B47" s="2027"/>
      <c r="C47" s="2028" t="e">
        <f>R48</f>
        <v>#DIV/0!</v>
      </c>
      <c r="D47" s="1478" t="s">
        <v>2923</v>
      </c>
      <c r="E47" s="2028" t="e">
        <f>R47</f>
        <v>#DIV/0!</v>
      </c>
      <c r="F47" s="1480"/>
      <c r="G47" s="2029" t="e">
        <f>T47</f>
        <v>#DIV/0!</v>
      </c>
      <c r="H47" s="1480"/>
      <c r="I47" s="2028" t="e">
        <f>V47</f>
        <v>#DIV/0!</v>
      </c>
      <c r="J47" s="1480"/>
      <c r="K47" s="1544">
        <f>F47+H47+J47</f>
        <v>0</v>
      </c>
      <c r="L47" s="1543"/>
      <c r="M47" s="1484"/>
      <c r="N47" s="1484"/>
      <c r="O47" s="1484"/>
      <c r="P47" s="3665" t="str">
        <f>A47</f>
        <v>比较价值（元/平方米）</v>
      </c>
      <c r="Q47" s="3665"/>
      <c r="R47" s="3750" t="e">
        <f>ROUND(PRODUCT(R46,AA7:AA45),0)</f>
        <v>#DIV/0!</v>
      </c>
      <c r="S47" s="3750"/>
      <c r="T47" s="3750" t="e">
        <f>ROUND(PRODUCT(T46,AB7:AB45),0)</f>
        <v>#DIV/0!</v>
      </c>
      <c r="U47" s="3750"/>
      <c r="V47" s="3750" t="e">
        <f>ROUND(PRODUCT(V46,AC7:AC45),0)</f>
        <v>#DIV/0!</v>
      </c>
      <c r="W47" s="3750"/>
      <c r="X47" s="1493"/>
      <c r="Y47" s="1493"/>
      <c r="Z47" s="1493"/>
      <c r="AA47" s="1493"/>
      <c r="AB47" s="1493"/>
      <c r="AC47" s="1493"/>
    </row>
    <row r="48" spans="1:29" ht="14.4">
      <c r="A48" s="1481" t="s">
        <v>3519</v>
      </c>
      <c r="B48" s="1482"/>
      <c r="C48" s="2030" t="e">
        <f>R48</f>
        <v>#DIV/0!</v>
      </c>
      <c r="D48" s="2030"/>
      <c r="E48" s="2030"/>
      <c r="F48" s="2030"/>
      <c r="G48" s="2030"/>
      <c r="H48" s="2030"/>
      <c r="I48" s="2030"/>
      <c r="J48" s="2030"/>
      <c r="K48" s="1545"/>
      <c r="L48" s="1543"/>
      <c r="M48" s="1484"/>
      <c r="N48" s="1484"/>
      <c r="O48" s="1484"/>
      <c r="P48" s="3667" t="str">
        <f>A48</f>
        <v>估价对象XX用房的比较价值（楼面单价，元/平方米）</v>
      </c>
      <c r="Q48" s="3668"/>
      <c r="R48" s="3751" t="e">
        <f>ROUND(IF(D47="简单平均",AVERAGE(R47:W47),R47*F47+T47*H47+V47*J47),0)</f>
        <v>#DIV/0!</v>
      </c>
      <c r="S48" s="3751"/>
      <c r="T48" s="3751"/>
      <c r="U48" s="3751"/>
      <c r="V48" s="3751"/>
      <c r="W48" s="3751"/>
      <c r="X48" s="1493"/>
      <c r="Y48" s="1493"/>
      <c r="Z48" s="1493"/>
      <c r="AA48" s="1493"/>
      <c r="AB48" s="1493"/>
      <c r="AC48" s="1493"/>
    </row>
    <row r="49" spans="1:29">
      <c r="A49" s="1484"/>
      <c r="B49" s="1484"/>
      <c r="C49" s="1484"/>
      <c r="D49" s="1484"/>
      <c r="E49" s="1484"/>
      <c r="F49" s="1484"/>
      <c r="G49" s="1485"/>
      <c r="H49" s="1484"/>
      <c r="I49" s="1484"/>
      <c r="J49" s="1484"/>
      <c r="K49" s="1546"/>
      <c r="L49" s="1547"/>
      <c r="M49" s="1484"/>
      <c r="N49" s="1484"/>
      <c r="O49" s="1484"/>
      <c r="P49" s="1484"/>
      <c r="Q49" s="1484"/>
      <c r="R49" s="1484"/>
      <c r="S49" s="1484"/>
      <c r="T49" s="1484"/>
      <c r="U49" s="1484"/>
      <c r="V49" s="1484"/>
      <c r="W49" s="1484"/>
      <c r="X49" s="1484"/>
      <c r="Y49" s="1484"/>
      <c r="Z49" s="1484"/>
      <c r="AA49" s="1484"/>
      <c r="AB49" s="1484"/>
      <c r="AC49" s="1484"/>
    </row>
    <row r="50" spans="1:29">
      <c r="A50" s="1484"/>
      <c r="B50" s="1484"/>
      <c r="C50" s="1484"/>
      <c r="D50" s="1484"/>
      <c r="E50" s="1484"/>
      <c r="F50" s="1484"/>
      <c r="G50" s="1484"/>
      <c r="H50" s="1484"/>
      <c r="I50" s="1484"/>
      <c r="J50" s="1484"/>
      <c r="K50" s="1546"/>
      <c r="L50" s="1547"/>
      <c r="M50" s="1484"/>
      <c r="N50" s="1484"/>
      <c r="O50" s="1484"/>
      <c r="P50" s="1484"/>
      <c r="Q50" s="1484"/>
      <c r="R50" s="1484"/>
      <c r="S50" s="1484"/>
      <c r="T50" s="1484"/>
      <c r="U50" s="1484"/>
      <c r="V50" s="1484"/>
      <c r="W50" s="1484"/>
      <c r="X50" s="1484"/>
      <c r="Y50" s="1484"/>
      <c r="Z50" s="1484"/>
      <c r="AA50" s="1484"/>
      <c r="AB50" s="1484"/>
      <c r="AC50" s="1484"/>
    </row>
    <row r="51" spans="1:29" ht="13.5" customHeight="1">
      <c r="A51" s="1484"/>
      <c r="B51" s="1484"/>
      <c r="C51" s="1486" t="s">
        <v>2925</v>
      </c>
      <c r="D51" s="1120"/>
      <c r="E51" s="1487" t="e">
        <f>IF(E46&lt;E47,E47/E46-1,E46/E47-1)</f>
        <v>#DIV/0!</v>
      </c>
      <c r="F51" s="1488" t="e">
        <f>IF(OR(E51&gt;=0.3,E51&lt;=-0.3),"超过30%","")</f>
        <v>#DIV/0!</v>
      </c>
      <c r="G51" s="1487" t="e">
        <f>IF(G46&lt;G47,G47/G46-1,G46/G47-1)</f>
        <v>#DIV/0!</v>
      </c>
      <c r="H51" s="1488" t="e">
        <f>IF(OR(G51&gt;=0.3,G51&lt;=-0.3),"超过30%","")</f>
        <v>#DIV/0!</v>
      </c>
      <c r="I51" s="1487" t="e">
        <f>IF(I46&lt;I47,I47/I46-1,I46/I47-1)</f>
        <v>#DIV/0!</v>
      </c>
      <c r="J51" s="1488" t="e">
        <f>IF(OR(I51&gt;=0.3,I51&lt;=-0.3),"超过30%","")</f>
        <v>#DIV/0!</v>
      </c>
      <c r="K51" s="1546"/>
      <c r="L51" s="1547"/>
      <c r="M51" s="1484"/>
      <c r="N51" s="1484"/>
      <c r="O51" s="1484"/>
      <c r="P51" s="1484"/>
      <c r="Q51" s="1484"/>
      <c r="R51" s="1484"/>
      <c r="S51" s="1484"/>
      <c r="T51" s="1484"/>
      <c r="U51" s="1484"/>
      <c r="V51" s="1484"/>
      <c r="W51" s="1484"/>
      <c r="X51" s="1484"/>
      <c r="Y51" s="1484"/>
      <c r="Z51" s="1484"/>
      <c r="AA51" s="1484"/>
      <c r="AB51" s="1484"/>
      <c r="AC51" s="1484"/>
    </row>
    <row r="52" spans="1:29" ht="13.5" customHeight="1">
      <c r="A52" s="1484"/>
      <c r="B52" s="1484"/>
      <c r="C52" s="1486" t="s">
        <v>2926</v>
      </c>
      <c r="D52" s="1119"/>
      <c r="E52" s="1487" t="e">
        <f>IF(E47&lt;G47,G47/E47-1,E47/G47-1)</f>
        <v>#DIV/0!</v>
      </c>
      <c r="F52" s="1488" t="e">
        <f>IF(OR(E52&gt;=0.2,E52&lt;=-0.2),"超过20%","")</f>
        <v>#DIV/0!</v>
      </c>
      <c r="G52" s="1487" t="e">
        <f>IF(G47&lt;I47,I47/G47-1,G47/I47-1)</f>
        <v>#DIV/0!</v>
      </c>
      <c r="H52" s="1488" t="e">
        <f>IF(OR(G52&gt;=0.2,G52&lt;=-0.2),"超过20%","")</f>
        <v>#DIV/0!</v>
      </c>
      <c r="I52" s="1487" t="e">
        <f>IF(I47&lt;E47,E47/I47-1,I47/E47-1)</f>
        <v>#DIV/0!</v>
      </c>
      <c r="J52" s="1488" t="e">
        <f>IF(OR(I52&gt;=0.2,I52&lt;=-0.2),"超过20%","")</f>
        <v>#DIV/0!</v>
      </c>
      <c r="K52" s="1546"/>
      <c r="L52" s="1547"/>
      <c r="M52" s="1484"/>
      <c r="N52" s="1484"/>
      <c r="O52" s="1484"/>
      <c r="P52" s="1484"/>
      <c r="Q52" s="1484"/>
      <c r="R52" s="1484"/>
      <c r="S52" s="1484"/>
      <c r="T52" s="1484"/>
      <c r="U52" s="1484"/>
      <c r="V52" s="1484"/>
      <c r="W52" s="1484"/>
      <c r="X52" s="1484"/>
      <c r="Y52" s="1484"/>
      <c r="Z52" s="1484"/>
      <c r="AA52" s="1484"/>
      <c r="AB52" s="1484"/>
      <c r="AC52" s="1484"/>
    </row>
    <row r="53" spans="1:29" s="1356" customFormat="1" ht="13.5" customHeight="1">
      <c r="A53" s="1489"/>
      <c r="B53" s="1489"/>
      <c r="C53" s="1486" t="s">
        <v>2927</v>
      </c>
      <c r="D53" s="1119"/>
      <c r="E53" s="1487" t="e">
        <f>IF(E46&lt;G46,G46/E46-1,E46/G46-1)</f>
        <v>#DIV/0!</v>
      </c>
      <c r="F53" s="1488" t="e">
        <f>IF(OR(E53&gt;=0.3,E53&lt;=-0.3),"超过30%","")</f>
        <v>#DIV/0!</v>
      </c>
      <c r="G53" s="1487" t="e">
        <f>IF(G46&lt;I46,I46/G46-1,G46/I46-1)</f>
        <v>#DIV/0!</v>
      </c>
      <c r="H53" s="1488" t="e">
        <f>IF(OR(G53&gt;=0.3,G53&lt;=-0.3),"超过30%","")</f>
        <v>#DIV/0!</v>
      </c>
      <c r="I53" s="1487" t="e">
        <f>IF(I46&lt;E46,E46/I46-1,I46/E46-1)</f>
        <v>#DIV/0!</v>
      </c>
      <c r="J53" s="1488" t="e">
        <f>IF(OR(I53&gt;=0.3,I53&lt;=-0.3),"超过30%","")</f>
        <v>#DIV/0!</v>
      </c>
      <c r="K53" s="1549"/>
      <c r="L53" s="1550"/>
      <c r="M53" s="1489"/>
      <c r="N53" s="1489"/>
      <c r="O53" s="1489"/>
      <c r="P53" s="1489"/>
      <c r="Q53" s="1489"/>
      <c r="R53" s="1489"/>
      <c r="S53" s="1489"/>
      <c r="T53" s="1489"/>
      <c r="U53" s="1489"/>
      <c r="V53" s="1489"/>
      <c r="W53" s="1489"/>
      <c r="X53" s="1489"/>
      <c r="Y53" s="1489"/>
      <c r="Z53" s="1489"/>
      <c r="AA53" s="1489"/>
      <c r="AB53" s="1489"/>
      <c r="AC53" s="1489"/>
    </row>
    <row r="54" spans="1:29" s="1356" customFormat="1">
      <c r="A54" s="1489"/>
      <c r="B54" s="1490"/>
      <c r="C54" s="2031"/>
      <c r="D54" s="2032"/>
      <c r="E54" s="2032"/>
      <c r="F54" s="2032"/>
      <c r="G54" s="2032"/>
      <c r="H54" s="2032"/>
      <c r="I54" s="2032"/>
      <c r="J54" s="2032"/>
      <c r="K54" s="1549"/>
      <c r="L54" s="1550"/>
      <c r="M54" s="1489"/>
      <c r="N54" s="1489"/>
      <c r="O54" s="1489"/>
      <c r="P54" s="1489"/>
      <c r="Q54" s="1489"/>
      <c r="R54" s="1489"/>
      <c r="S54" s="1489"/>
      <c r="T54" s="1489"/>
      <c r="U54" s="1489"/>
      <c r="V54" s="1489"/>
      <c r="W54" s="1489"/>
      <c r="X54" s="1489"/>
      <c r="Y54" s="1489"/>
      <c r="Z54" s="1489"/>
      <c r="AA54" s="1489"/>
      <c r="AB54" s="1489"/>
      <c r="AC54" s="1489"/>
    </row>
    <row r="55" spans="1:29" ht="27" customHeight="1">
      <c r="A55" s="2033" t="s">
        <v>3520</v>
      </c>
      <c r="B55" s="2034" t="s">
        <v>3521</v>
      </c>
      <c r="C55" s="2035" t="s">
        <v>3522</v>
      </c>
      <c r="D55" s="2036" t="s">
        <v>3523</v>
      </c>
      <c r="E55" s="2037" t="s">
        <v>3524</v>
      </c>
      <c r="F55" s="2116" t="s">
        <v>3525</v>
      </c>
      <c r="G55" s="3681" t="s">
        <v>3526</v>
      </c>
      <c r="H55" s="3749"/>
      <c r="I55" s="1702" t="s">
        <v>3527</v>
      </c>
      <c r="J55" s="2118">
        <f>项目基本情况!F35</f>
        <v>0</v>
      </c>
      <c r="K55" s="2075" t="s">
        <v>3528</v>
      </c>
      <c r="L55" s="1547"/>
      <c r="M55" s="1484"/>
      <c r="N55" s="1484"/>
      <c r="O55" s="1484"/>
      <c r="P55" s="1484"/>
      <c r="Q55" s="1484"/>
      <c r="R55" s="1484"/>
      <c r="S55" s="1484"/>
      <c r="T55" s="1484"/>
      <c r="U55" s="1484"/>
      <c r="V55" s="1484"/>
      <c r="W55" s="1484"/>
      <c r="X55" s="1484"/>
      <c r="Y55" s="1484"/>
      <c r="Z55" s="1484"/>
      <c r="AA55" s="1484"/>
      <c r="AB55" s="1484"/>
      <c r="AC55" s="1484"/>
    </row>
    <row r="56" spans="1:29" s="1982" customFormat="1">
      <c r="A56" s="2039" t="s">
        <v>3529</v>
      </c>
      <c r="B56" s="2040" t="e">
        <f>C48</f>
        <v>#DIV/0!</v>
      </c>
      <c r="C56" s="2041">
        <v>1</v>
      </c>
      <c r="D56" s="2042">
        <v>1</v>
      </c>
      <c r="E56" s="2041">
        <f>'数据-汇总表'!E8+'数据-汇总表'!E9</f>
        <v>0</v>
      </c>
      <c r="F56" s="2117" t="e">
        <f t="shared" ref="F56:F64" si="15">ROUND(B56*E56/10000,0)</f>
        <v>#DIV/0!</v>
      </c>
      <c r="G56" s="3726"/>
      <c r="H56" s="3665"/>
      <c r="I56" s="2119">
        <v>1</v>
      </c>
      <c r="J56" s="2120">
        <v>1</v>
      </c>
      <c r="K56" s="1489"/>
      <c r="L56" s="2076"/>
      <c r="M56" s="2076"/>
      <c r="N56" s="2076"/>
      <c r="O56" s="2076"/>
      <c r="P56" s="2076"/>
      <c r="Q56" s="2076"/>
      <c r="R56" s="2076"/>
      <c r="S56" s="2076"/>
      <c r="T56" s="2076"/>
      <c r="U56" s="2076"/>
      <c r="V56" s="2076"/>
      <c r="W56" s="2076"/>
      <c r="X56" s="2076"/>
      <c r="Y56" s="2076"/>
      <c r="Z56" s="2076"/>
      <c r="AA56" s="2076"/>
      <c r="AB56" s="2076"/>
      <c r="AC56" s="2076"/>
    </row>
    <row r="57" spans="1:29" s="1982" customFormat="1">
      <c r="A57" s="2044" t="s">
        <v>3530</v>
      </c>
      <c r="B57" s="394" t="e">
        <f>ROUND($C$48*C57*D57,0)</f>
        <v>#DIV/0!</v>
      </c>
      <c r="C57" s="994">
        <f t="shared" ref="C57:C64" si="16">IF($C$55="北京市系数",I57,J57)</f>
        <v>0.6</v>
      </c>
      <c r="D57" s="2045">
        <v>0.25</v>
      </c>
      <c r="E57" s="2046"/>
      <c r="F57" s="2117" t="e">
        <f t="shared" si="15"/>
        <v>#DIV/0!</v>
      </c>
      <c r="G57" s="2047" t="s">
        <v>3531</v>
      </c>
      <c r="H57" s="2048" t="str">
        <f>项目基本情况!B37</f>
        <v>四级</v>
      </c>
      <c r="I57" s="2119">
        <f>SUMIF(修正!A57:A68,H57,修正!B57:B68)</f>
        <v>0.6</v>
      </c>
      <c r="J57" s="2121"/>
      <c r="K57" s="1484"/>
      <c r="L57" s="2076"/>
      <c r="M57" s="2076"/>
      <c r="N57" s="2076"/>
      <c r="O57" s="2076"/>
      <c r="P57" s="2076"/>
      <c r="Q57" s="2076"/>
      <c r="R57" s="2076"/>
      <c r="S57" s="2076"/>
      <c r="T57" s="2076"/>
      <c r="U57" s="2076"/>
      <c r="V57" s="2076"/>
      <c r="W57" s="2076"/>
      <c r="X57" s="2076"/>
      <c r="Y57" s="2076"/>
      <c r="Z57" s="2076"/>
      <c r="AA57" s="2076"/>
      <c r="AB57" s="2076"/>
      <c r="AC57" s="2076"/>
    </row>
    <row r="58" spans="1:29" s="1982" customFormat="1">
      <c r="A58" s="2044" t="s">
        <v>3532</v>
      </c>
      <c r="B58" s="394" t="e">
        <f t="shared" ref="B58:B64" si="17">ROUND($C$48*C58*D58,0)</f>
        <v>#DIV/0!</v>
      </c>
      <c r="C58" s="994">
        <f t="shared" si="16"/>
        <v>0.3</v>
      </c>
      <c r="D58" s="2045">
        <v>0.25</v>
      </c>
      <c r="E58" s="2046"/>
      <c r="F58" s="2117" t="e">
        <f t="shared" si="15"/>
        <v>#DIV/0!</v>
      </c>
      <c r="G58" s="2049"/>
      <c r="H58" s="2048" t="str">
        <f>项目基本情况!B37</f>
        <v>四级</v>
      </c>
      <c r="I58" s="2119">
        <f>SUMIF(修正!A57:A68,H58,修正!C57:C68)</f>
        <v>0.3</v>
      </c>
      <c r="J58" s="2121"/>
      <c r="K58" s="1489"/>
      <c r="L58" s="2076"/>
      <c r="M58" s="2076"/>
      <c r="N58" s="2076"/>
      <c r="O58" s="2076"/>
      <c r="P58" s="2076"/>
      <c r="Q58" s="2076"/>
      <c r="R58" s="2076"/>
      <c r="S58" s="2076"/>
      <c r="T58" s="2076"/>
      <c r="U58" s="2076"/>
      <c r="V58" s="2076"/>
      <c r="W58" s="2076"/>
      <c r="X58" s="2076"/>
      <c r="Y58" s="2076"/>
      <c r="Z58" s="2076"/>
      <c r="AA58" s="2076"/>
      <c r="AB58" s="2076"/>
      <c r="AC58" s="2076"/>
    </row>
    <row r="59" spans="1:29" s="1982" customFormat="1">
      <c r="A59" s="2044" t="s">
        <v>3533</v>
      </c>
      <c r="B59" s="394" t="e">
        <f t="shared" si="17"/>
        <v>#DIV/0!</v>
      </c>
      <c r="C59" s="994">
        <f t="shared" si="16"/>
        <v>0.25</v>
      </c>
      <c r="D59" s="2045">
        <v>0.25</v>
      </c>
      <c r="E59" s="2046"/>
      <c r="F59" s="2117" t="e">
        <f t="shared" si="15"/>
        <v>#DIV/0!</v>
      </c>
      <c r="G59" s="2049"/>
      <c r="H59" s="2048" t="str">
        <f>项目基本情况!B37</f>
        <v>四级</v>
      </c>
      <c r="I59" s="2119">
        <f>SUMIF(修正!A57:A68,H59,修正!D57:D68)</f>
        <v>0.25</v>
      </c>
      <c r="J59" s="2121"/>
      <c r="K59" s="1484"/>
      <c r="L59" s="2076"/>
      <c r="M59" s="2076"/>
      <c r="N59" s="2076"/>
      <c r="O59" s="2076"/>
      <c r="P59" s="2076"/>
      <c r="Q59" s="2076"/>
      <c r="R59" s="2076"/>
      <c r="S59" s="2076"/>
      <c r="T59" s="2076"/>
      <c r="U59" s="2076"/>
      <c r="V59" s="2076"/>
      <c r="W59" s="2076"/>
      <c r="X59" s="2076"/>
      <c r="Y59" s="2076"/>
      <c r="Z59" s="2076"/>
      <c r="AA59" s="2076"/>
      <c r="AB59" s="2076"/>
      <c r="AC59" s="2076"/>
    </row>
    <row r="60" spans="1:29" s="1982" customFormat="1">
      <c r="A60" s="2044" t="s">
        <v>3534</v>
      </c>
      <c r="B60" s="394" t="e">
        <f t="shared" si="17"/>
        <v>#DIV/0!</v>
      </c>
      <c r="C60" s="994">
        <f t="shared" si="16"/>
        <v>0</v>
      </c>
      <c r="D60" s="2045">
        <v>0.25</v>
      </c>
      <c r="E60" s="393">
        <f>'数据-汇总表'!E11</f>
        <v>0</v>
      </c>
      <c r="F60" s="2117" t="e">
        <f t="shared" si="15"/>
        <v>#DIV/0!</v>
      </c>
      <c r="G60" s="2051" t="s">
        <v>3535</v>
      </c>
      <c r="H60" s="2048">
        <f>项目基本情况!C37</f>
        <v>0</v>
      </c>
      <c r="I60" s="2119">
        <f>SUMIF(修正!A57:A68,H60,修正!E57:E68)</f>
        <v>0</v>
      </c>
      <c r="J60" s="2121"/>
      <c r="K60" s="1484"/>
      <c r="L60" s="2076"/>
      <c r="M60" s="2076"/>
      <c r="N60" s="2076"/>
      <c r="O60" s="2076"/>
      <c r="P60" s="2076"/>
      <c r="Q60" s="2076"/>
      <c r="R60" s="2076"/>
      <c r="S60" s="2076"/>
      <c r="T60" s="2076"/>
      <c r="U60" s="2076"/>
      <c r="V60" s="2076"/>
      <c r="W60" s="2076"/>
      <c r="X60" s="2076"/>
      <c r="Y60" s="2076"/>
      <c r="Z60" s="2076"/>
      <c r="AA60" s="2076"/>
      <c r="AB60" s="2076"/>
      <c r="AC60" s="2076"/>
    </row>
    <row r="61" spans="1:29" s="1982" customFormat="1">
      <c r="A61" s="2044" t="s">
        <v>3536</v>
      </c>
      <c r="B61" s="394" t="e">
        <f t="shared" si="17"/>
        <v>#DIV/0!</v>
      </c>
      <c r="C61" s="994">
        <f t="shared" si="16"/>
        <v>0</v>
      </c>
      <c r="D61" s="2045">
        <v>0.25</v>
      </c>
      <c r="E61" s="393">
        <f>'数据-汇总表'!E12</f>
        <v>6410.4</v>
      </c>
      <c r="F61" s="2117" t="e">
        <f t="shared" si="15"/>
        <v>#DIV/0!</v>
      </c>
      <c r="G61" s="2052" t="s">
        <v>3537</v>
      </c>
      <c r="H61" s="2048">
        <f>IF(G61="商业",项目基本情况!B37,IF(G61="办公",项目基本情况!C37,IF(G61="住宅",项目基本情况!D37,项目基本情况!E37)))</f>
        <v>0</v>
      </c>
      <c r="I61" s="2119">
        <f>SUMIF(修正!A57:A68,H61,修正!F57:F68)</f>
        <v>0</v>
      </c>
      <c r="J61" s="2121"/>
      <c r="K61" s="1489"/>
      <c r="L61" s="2076"/>
      <c r="M61" s="2076"/>
      <c r="N61" s="2076"/>
      <c r="O61" s="2076"/>
      <c r="P61" s="2076"/>
      <c r="Q61" s="2076"/>
      <c r="R61" s="2076"/>
      <c r="S61" s="2076"/>
      <c r="T61" s="2076"/>
      <c r="U61" s="2076"/>
      <c r="V61" s="2076"/>
      <c r="W61" s="2076"/>
      <c r="X61" s="2076"/>
      <c r="Y61" s="2076"/>
      <c r="Z61" s="2076"/>
      <c r="AA61" s="2076"/>
      <c r="AB61" s="2076"/>
      <c r="AC61" s="2076"/>
    </row>
    <row r="62" spans="1:29" s="1982" customFormat="1">
      <c r="A62" s="2044" t="s">
        <v>3538</v>
      </c>
      <c r="B62" s="394" t="e">
        <f t="shared" si="17"/>
        <v>#DIV/0!</v>
      </c>
      <c r="C62" s="994">
        <f t="shared" si="16"/>
        <v>0.15</v>
      </c>
      <c r="D62" s="2045">
        <v>0.25</v>
      </c>
      <c r="E62" s="393">
        <f>'数据-汇总表'!E13</f>
        <v>1032</v>
      </c>
      <c r="F62" s="2117" t="e">
        <f t="shared" si="15"/>
        <v>#DIV/0!</v>
      </c>
      <c r="G62" s="2052" t="s">
        <v>3539</v>
      </c>
      <c r="H62" s="2048" t="str">
        <f>IF(G62="商业",项目基本情况!B37,IF(G62="办公",项目基本情况!C37,IF(G62="住宅",项目基本情况!D37,项目基本情况!E37)))</f>
        <v>四级</v>
      </c>
      <c r="I62" s="2119">
        <f>SUMIF(修正!A57:A68,H62,修正!G57:G68)</f>
        <v>0.15</v>
      </c>
      <c r="J62" s="2121"/>
      <c r="K62" s="1484"/>
      <c r="L62" s="2076"/>
      <c r="M62" s="2076"/>
      <c r="N62" s="2076"/>
      <c r="O62" s="2076"/>
      <c r="P62" s="2076"/>
      <c r="Q62" s="2076"/>
      <c r="R62" s="2076"/>
      <c r="S62" s="2076"/>
      <c r="T62" s="2076"/>
      <c r="U62" s="2076"/>
      <c r="V62" s="2076"/>
      <c r="W62" s="2076"/>
      <c r="X62" s="2076"/>
      <c r="Y62" s="2076"/>
      <c r="Z62" s="2076"/>
      <c r="AA62" s="2076"/>
      <c r="AB62" s="2076"/>
      <c r="AC62" s="2076"/>
    </row>
    <row r="63" spans="1:29" s="1982" customFormat="1">
      <c r="A63" s="2044" t="s">
        <v>3540</v>
      </c>
      <c r="B63" s="394" t="e">
        <f t="shared" si="17"/>
        <v>#DIV/0!</v>
      </c>
      <c r="C63" s="994">
        <f t="shared" si="16"/>
        <v>0.15</v>
      </c>
      <c r="D63" s="2045">
        <v>0.25</v>
      </c>
      <c r="E63" s="393">
        <f>'数据-汇总表'!E14</f>
        <v>0</v>
      </c>
      <c r="F63" s="2117" t="e">
        <f t="shared" si="15"/>
        <v>#DIV/0!</v>
      </c>
      <c r="G63" s="2051" t="s">
        <v>3531</v>
      </c>
      <c r="H63" s="2048" t="str">
        <f>项目基本情况!B37</f>
        <v>四级</v>
      </c>
      <c r="I63" s="2119">
        <f>SUMIF(修正!A57:A68,H63,修正!G57:G68)</f>
        <v>0.15</v>
      </c>
      <c r="J63" s="2121"/>
      <c r="K63" s="1489"/>
      <c r="L63" s="2076"/>
      <c r="M63" s="2076"/>
      <c r="N63" s="2076"/>
      <c r="O63" s="2076"/>
      <c r="P63" s="2076"/>
      <c r="Q63" s="2076"/>
      <c r="R63" s="2076"/>
      <c r="S63" s="2076"/>
      <c r="T63" s="2076"/>
      <c r="U63" s="2076"/>
      <c r="V63" s="2076"/>
      <c r="W63" s="2076"/>
      <c r="X63" s="2076"/>
      <c r="Y63" s="2076"/>
      <c r="Z63" s="2076"/>
      <c r="AA63" s="2076"/>
      <c r="AB63" s="2076"/>
      <c r="AC63" s="2076"/>
    </row>
    <row r="64" spans="1:29" s="1982" customFormat="1">
      <c r="A64" s="2044" t="s">
        <v>3541</v>
      </c>
      <c r="B64" s="394" t="e">
        <f t="shared" si="17"/>
        <v>#DIV/0!</v>
      </c>
      <c r="C64" s="994">
        <f t="shared" si="16"/>
        <v>0</v>
      </c>
      <c r="D64" s="2045">
        <v>0.25</v>
      </c>
      <c r="E64" s="393">
        <f>'数据-汇总表'!E15</f>
        <v>0</v>
      </c>
      <c r="F64" s="2117" t="e">
        <f t="shared" si="15"/>
        <v>#DIV/0!</v>
      </c>
      <c r="G64" s="2053" t="s">
        <v>3535</v>
      </c>
      <c r="H64" s="2054">
        <f>项目基本情况!C37</f>
        <v>0</v>
      </c>
      <c r="I64" s="2122">
        <f>SUMIF(修正!A57:A68,H64,修正!G57:G68)</f>
        <v>0</v>
      </c>
      <c r="J64" s="2123"/>
      <c r="K64" s="1484"/>
      <c r="L64" s="2076"/>
      <c r="M64" s="2076"/>
      <c r="N64" s="2076"/>
      <c r="O64" s="2076"/>
      <c r="P64" s="2076"/>
      <c r="Q64" s="2076"/>
      <c r="R64" s="2076"/>
      <c r="S64" s="2076"/>
      <c r="T64" s="2076"/>
      <c r="U64" s="2076"/>
      <c r="V64" s="2076"/>
      <c r="W64" s="2076"/>
      <c r="X64" s="2076"/>
      <c r="Y64" s="2076"/>
      <c r="Z64" s="2076"/>
      <c r="AA64" s="2076"/>
      <c r="AB64" s="2076"/>
      <c r="AC64" s="2076"/>
    </row>
    <row r="65" spans="1:29" s="1982" customFormat="1" ht="13.2">
      <c r="A65" s="2055" t="s">
        <v>3542</v>
      </c>
      <c r="B65" s="2056" t="s">
        <v>2478</v>
      </c>
      <c r="C65" s="2056" t="s">
        <v>2478</v>
      </c>
      <c r="D65" s="2056" t="s">
        <v>2478</v>
      </c>
      <c r="E65" s="2056">
        <f>IF(B46="楼面地价",SUM(E56:E64),'数据-汇总表'!D3)</f>
        <v>7442.4</v>
      </c>
      <c r="F65" s="2057" t="e">
        <f>IF(B46="楼面地价",SUM(F56:F64),ROUND(C48*E65/10000,0))</f>
        <v>#DIV/0!</v>
      </c>
      <c r="G65" s="2125"/>
      <c r="H65" s="2125"/>
      <c r="I65" s="2125"/>
      <c r="J65" s="2125"/>
      <c r="K65" s="2127"/>
      <c r="L65" s="2076"/>
      <c r="M65" s="2076"/>
      <c r="N65" s="2076"/>
      <c r="O65" s="2076"/>
      <c r="P65" s="2076"/>
      <c r="Q65" s="2076"/>
      <c r="R65" s="2076"/>
      <c r="S65" s="2076"/>
      <c r="T65" s="2076"/>
      <c r="U65" s="2076"/>
      <c r="V65" s="2076"/>
      <c r="W65" s="2076"/>
      <c r="X65" s="2076"/>
      <c r="Y65" s="2076"/>
      <c r="Z65" s="2076"/>
      <c r="AA65" s="2076"/>
      <c r="AB65" s="2076"/>
      <c r="AC65" s="2076"/>
    </row>
    <row r="66" spans="1:29">
      <c r="A66" s="1493"/>
      <c r="B66" s="2062"/>
      <c r="C66" s="2031"/>
      <c r="D66" s="1493"/>
      <c r="E66" s="1493"/>
      <c r="F66" s="1493"/>
      <c r="G66" s="1493"/>
      <c r="H66" s="1493"/>
      <c r="I66" s="1493"/>
      <c r="J66" s="2059"/>
      <c r="K66" s="2078"/>
      <c r="L66" s="2079"/>
      <c r="M66" s="2059"/>
      <c r="N66" s="2059"/>
      <c r="O66" s="2059"/>
      <c r="P66" s="1484"/>
      <c r="Q66" s="1484"/>
      <c r="R66" s="1484"/>
      <c r="S66" s="1484"/>
      <c r="T66" s="1484"/>
      <c r="U66" s="1484"/>
      <c r="V66" s="1484"/>
      <c r="W66" s="1484"/>
      <c r="X66" s="1484"/>
      <c r="Y66" s="1484"/>
      <c r="Z66" s="1484"/>
      <c r="AA66" s="1484"/>
      <c r="AB66" s="1484"/>
      <c r="AC66" s="1484"/>
    </row>
    <row r="67" spans="1:29">
      <c r="A67" s="1493"/>
      <c r="B67" s="2062"/>
      <c r="C67" s="2062" t="str">
        <f>YEAR(C7)&amp;"-"&amp;MONTH(C7)&amp;"-1"</f>
        <v>2024-1-1</v>
      </c>
      <c r="D67" s="2062">
        <f>EDATE(C67,-3)</f>
        <v>45200</v>
      </c>
      <c r="E67" s="2062">
        <f>EDATE(D67,-3)</f>
        <v>45108</v>
      </c>
      <c r="F67" s="2062">
        <f t="shared" ref="F67:O67" si="18">EDATE(E67,-3)</f>
        <v>45017</v>
      </c>
      <c r="G67" s="2062">
        <f t="shared" si="18"/>
        <v>44927</v>
      </c>
      <c r="H67" s="2062">
        <f t="shared" si="18"/>
        <v>44835</v>
      </c>
      <c r="I67" s="2062">
        <f t="shared" si="18"/>
        <v>44743</v>
      </c>
      <c r="J67" s="2062">
        <f t="shared" si="18"/>
        <v>44652</v>
      </c>
      <c r="K67" s="2062">
        <f t="shared" si="18"/>
        <v>44562</v>
      </c>
      <c r="L67" s="2062">
        <f t="shared" si="18"/>
        <v>44470</v>
      </c>
      <c r="M67" s="2062">
        <f t="shared" si="18"/>
        <v>44378</v>
      </c>
      <c r="N67" s="2062">
        <f t="shared" si="18"/>
        <v>44287</v>
      </c>
      <c r="O67" s="2062">
        <f t="shared" si="18"/>
        <v>44197</v>
      </c>
      <c r="P67" s="1484"/>
      <c r="Q67" s="1484"/>
      <c r="R67" s="1484"/>
      <c r="S67" s="1484"/>
      <c r="T67" s="1484"/>
      <c r="U67" s="1484"/>
      <c r="V67" s="1484"/>
      <c r="W67" s="1484"/>
      <c r="X67" s="1484"/>
      <c r="Y67" s="1484"/>
      <c r="Z67" s="1484"/>
      <c r="AA67" s="1484"/>
      <c r="AB67" s="1484"/>
      <c r="AC67" s="1484"/>
    </row>
    <row r="68" spans="1:29" ht="21.6">
      <c r="A68" s="1492" t="s">
        <v>2928</v>
      </c>
      <c r="B68" s="1493"/>
      <c r="C68" s="1494"/>
      <c r="D68" s="1494"/>
      <c r="E68" s="1494"/>
      <c r="F68" s="1495"/>
      <c r="G68" s="1495"/>
      <c r="H68" s="1494"/>
      <c r="I68" s="1494"/>
      <c r="J68" s="1554"/>
      <c r="K68" s="2128"/>
      <c r="L68" s="1553"/>
      <c r="M68" s="1554"/>
      <c r="N68" s="2081"/>
      <c r="O68" s="2081"/>
      <c r="P68" s="2081"/>
      <c r="Q68" s="1588"/>
      <c r="R68" s="1484"/>
      <c r="S68" s="1484"/>
      <c r="T68" s="1484"/>
      <c r="U68" s="1484"/>
      <c r="V68" s="1484"/>
      <c r="W68" s="1484"/>
      <c r="X68" s="1484"/>
      <c r="Y68" s="1484"/>
      <c r="Z68" s="1484"/>
      <c r="AA68" s="1484"/>
      <c r="AB68" s="1484"/>
      <c r="AC68" s="1484"/>
    </row>
    <row r="69" spans="1:29" s="1357" customFormat="1" ht="14.4">
      <c r="A69" s="2084" t="s">
        <v>3543</v>
      </c>
      <c r="B69" s="2085"/>
      <c r="C69" s="2086" t="str">
        <f>YEAR(C67)&amp;"-"&amp;ROUNDUP(MONTH(C67)/3,0)</f>
        <v>2024-1</v>
      </c>
      <c r="D69" s="2086" t="str">
        <f>YEAR(D67)&amp;"-"&amp;ROUNDUP(MONTH(D67)/3,0)</f>
        <v>2023-4</v>
      </c>
      <c r="E69" s="2086" t="str">
        <f t="shared" ref="E69:O69" si="19">YEAR(E67)&amp;"-"&amp;ROUNDUP(MONTH(E67)/3,0)</f>
        <v>2023-3</v>
      </c>
      <c r="F69" s="2086" t="str">
        <f t="shared" si="19"/>
        <v>2023-2</v>
      </c>
      <c r="G69" s="2086" t="str">
        <f t="shared" si="19"/>
        <v>2023-1</v>
      </c>
      <c r="H69" s="2086" t="str">
        <f t="shared" si="19"/>
        <v>2022-4</v>
      </c>
      <c r="I69" s="2086" t="str">
        <f t="shared" si="19"/>
        <v>2022-3</v>
      </c>
      <c r="J69" s="2086" t="str">
        <f t="shared" si="19"/>
        <v>2022-2</v>
      </c>
      <c r="K69" s="2086" t="str">
        <f t="shared" si="19"/>
        <v>2022-1</v>
      </c>
      <c r="L69" s="2086" t="str">
        <f t="shared" si="19"/>
        <v>2021-4</v>
      </c>
      <c r="M69" s="2086" t="str">
        <f t="shared" si="19"/>
        <v>2021-3</v>
      </c>
      <c r="N69" s="2086" t="str">
        <f t="shared" si="19"/>
        <v>2021-2</v>
      </c>
      <c r="O69" s="2086" t="str">
        <f t="shared" si="19"/>
        <v>2021-1</v>
      </c>
      <c r="P69" s="2094"/>
      <c r="Q69" s="1589"/>
      <c r="R69" s="1589"/>
      <c r="S69" s="1589"/>
      <c r="T69" s="1589"/>
      <c r="U69" s="1589"/>
      <c r="V69" s="1589"/>
      <c r="W69" s="1589"/>
      <c r="X69" s="1589"/>
      <c r="Y69" s="1589"/>
      <c r="Z69" s="1589"/>
      <c r="AA69" s="1589"/>
      <c r="AB69" s="1589"/>
      <c r="AC69" s="1589"/>
    </row>
    <row r="70" spans="1:29" s="1353" customFormat="1" ht="30" customHeight="1">
      <c r="A70" s="2126" t="s">
        <v>3544</v>
      </c>
      <c r="B70" s="2088" t="str">
        <f>"北京市平均增长率"&amp;TEXT(SUMIF(基准地价修正!N25:N29,A70,基准地价修正!P25:P29),"0.00%")</f>
        <v>北京市平均增长率0.00%</v>
      </c>
      <c r="C70" s="1251">
        <v>100</v>
      </c>
      <c r="D70" s="1628"/>
      <c r="E70" s="1628"/>
      <c r="F70" s="1628"/>
      <c r="G70" s="1628"/>
      <c r="H70" s="1628"/>
      <c r="I70" s="1628"/>
      <c r="J70" s="1628"/>
      <c r="K70" s="1628"/>
      <c r="L70" s="1628"/>
      <c r="M70" s="2095"/>
      <c r="N70" s="1628"/>
      <c r="O70" s="2129"/>
      <c r="P70" s="1588"/>
      <c r="Q70" s="1590"/>
      <c r="R70" s="1590"/>
      <c r="S70" s="1590"/>
      <c r="T70" s="1590"/>
      <c r="U70" s="1590"/>
      <c r="V70" s="1590"/>
      <c r="W70" s="1590"/>
      <c r="X70" s="1590"/>
      <c r="Y70" s="1590"/>
      <c r="Z70" s="1590"/>
      <c r="AA70" s="1590"/>
      <c r="AB70" s="1590"/>
      <c r="AC70" s="1590"/>
    </row>
    <row r="71" spans="1:29" s="1353" customFormat="1" ht="14.4">
      <c r="A71" s="1504" t="s">
        <v>2929</v>
      </c>
      <c r="B71" s="1505"/>
      <c r="C71" s="1506"/>
      <c r="D71" s="1507"/>
      <c r="E71" s="1507"/>
      <c r="F71" s="1507"/>
      <c r="G71" s="1507"/>
      <c r="H71" s="1507"/>
      <c r="I71" s="1507"/>
      <c r="J71" s="1507"/>
      <c r="K71" s="1507"/>
      <c r="L71" s="1507"/>
      <c r="M71" s="1559"/>
      <c r="N71" s="1507"/>
      <c r="O71" s="2130"/>
      <c r="P71" s="1588"/>
      <c r="Q71" s="1588"/>
      <c r="R71" s="1590"/>
      <c r="S71" s="1590"/>
      <c r="T71" s="1590"/>
      <c r="U71" s="1590"/>
      <c r="V71" s="1590"/>
      <c r="W71" s="1590"/>
      <c r="X71" s="1590"/>
      <c r="Y71" s="1590"/>
      <c r="Z71" s="1590"/>
      <c r="AA71" s="1590"/>
      <c r="AB71" s="1590"/>
      <c r="AC71" s="1590"/>
    </row>
    <row r="72" spans="1:29" s="1353" customFormat="1" ht="14.4">
      <c r="A72" s="1508" t="s">
        <v>2885</v>
      </c>
      <c r="B72" s="1501"/>
      <c r="C72" s="1509" t="s">
        <v>2930</v>
      </c>
      <c r="D72" s="1510"/>
      <c r="E72" s="1510"/>
      <c r="F72" s="1510"/>
      <c r="G72" s="1510"/>
      <c r="H72" s="1510"/>
      <c r="I72" s="1510"/>
      <c r="J72" s="1510"/>
      <c r="K72" s="1510"/>
      <c r="L72" s="1560"/>
      <c r="M72" s="1561"/>
      <c r="N72" s="1562"/>
      <c r="O72" s="1562"/>
      <c r="P72" s="2098"/>
      <c r="Q72" s="1588"/>
      <c r="R72" s="1590"/>
      <c r="S72" s="1590"/>
      <c r="T72" s="1590"/>
      <c r="U72" s="1590"/>
      <c r="V72" s="1590"/>
      <c r="W72" s="1590"/>
      <c r="X72" s="1590"/>
      <c r="Y72" s="1590"/>
      <c r="Z72" s="1590"/>
      <c r="AA72" s="1590"/>
      <c r="AB72" s="1590"/>
      <c r="AC72" s="1590"/>
    </row>
    <row r="73" spans="1:29" s="1353" customFormat="1">
      <c r="A73" s="1508"/>
      <c r="B73" s="1501"/>
      <c r="C73" s="2089">
        <v>100</v>
      </c>
      <c r="D73" s="1503"/>
      <c r="E73" s="1503"/>
      <c r="F73" s="1503"/>
      <c r="G73" s="1503"/>
      <c r="H73" s="1503"/>
      <c r="I73" s="1503"/>
      <c r="J73" s="1503"/>
      <c r="K73" s="1503"/>
      <c r="L73" s="1503"/>
      <c r="M73" s="1564"/>
      <c r="N73" s="1562"/>
      <c r="O73" s="1562"/>
      <c r="P73" s="1588"/>
      <c r="Q73" s="1588"/>
      <c r="R73" s="1590"/>
      <c r="S73" s="1590"/>
      <c r="T73" s="1590"/>
      <c r="U73" s="1590"/>
      <c r="V73" s="1590"/>
      <c r="W73" s="1590"/>
      <c r="X73" s="1590"/>
      <c r="Y73" s="1590"/>
      <c r="Z73" s="1590"/>
      <c r="AA73" s="1590"/>
      <c r="AB73" s="1590"/>
      <c r="AC73" s="1590"/>
    </row>
    <row r="74" spans="1:29" ht="14.4">
      <c r="A74" s="1512" t="s">
        <v>2931</v>
      </c>
      <c r="B74" s="1513" t="s">
        <v>2889</v>
      </c>
      <c r="C74" s="1515"/>
      <c r="D74" s="1515"/>
      <c r="E74" s="1515"/>
      <c r="F74" s="1515"/>
      <c r="G74" s="1515"/>
      <c r="H74" s="1515"/>
      <c r="I74" s="1515"/>
      <c r="J74" s="1515"/>
      <c r="K74" s="1565"/>
      <c r="L74" s="1566"/>
      <c r="M74" s="1567"/>
      <c r="N74" s="1568"/>
      <c r="O74" s="1568"/>
      <c r="P74" s="2099"/>
      <c r="Q74" s="1588"/>
      <c r="R74" s="1484"/>
      <c r="S74" s="1484"/>
      <c r="T74" s="1484"/>
      <c r="U74" s="1484"/>
      <c r="V74" s="1484"/>
      <c r="W74" s="1484"/>
      <c r="X74" s="1484"/>
      <c r="Y74" s="1484"/>
      <c r="Z74" s="1484"/>
      <c r="AA74" s="1484"/>
      <c r="AB74" s="1484"/>
      <c r="AC74" s="1484"/>
    </row>
    <row r="75" spans="1:29">
      <c r="A75" s="1516"/>
      <c r="B75" s="1517"/>
      <c r="C75" s="1518"/>
      <c r="D75" s="1518"/>
      <c r="E75" s="1518"/>
      <c r="F75" s="1518"/>
      <c r="G75" s="1518"/>
      <c r="H75" s="1518"/>
      <c r="I75" s="1518"/>
      <c r="J75" s="1518"/>
      <c r="K75" s="1518"/>
      <c r="L75" s="1518"/>
      <c r="M75" s="1570"/>
      <c r="N75" s="1571"/>
      <c r="O75" s="1571"/>
      <c r="P75" s="2099"/>
      <c r="Q75" s="1588"/>
      <c r="R75" s="1484"/>
      <c r="S75" s="1484"/>
      <c r="T75" s="1484"/>
      <c r="U75" s="1484"/>
      <c r="V75" s="1484"/>
      <c r="W75" s="1484"/>
      <c r="X75" s="1484"/>
      <c r="Y75" s="1484"/>
      <c r="Z75" s="1484"/>
      <c r="AA75" s="1484"/>
      <c r="AB75" s="1484"/>
      <c r="AC75" s="1484"/>
    </row>
    <row r="76" spans="1:29" ht="28.8">
      <c r="A76" s="1516"/>
      <c r="B76" s="1597" t="s">
        <v>2893</v>
      </c>
      <c r="C76" s="1617"/>
      <c r="D76" s="1617"/>
      <c r="E76" s="1617"/>
      <c r="F76" s="1617"/>
      <c r="G76" s="1617"/>
      <c r="H76" s="1617"/>
      <c r="I76" s="1617"/>
      <c r="J76" s="1617"/>
      <c r="K76" s="1653"/>
      <c r="L76" s="1654"/>
      <c r="M76" s="1655"/>
      <c r="N76" s="1568"/>
      <c r="O76" s="1568"/>
      <c r="P76" s="2099"/>
      <c r="Q76" s="1588"/>
      <c r="R76" s="1484"/>
      <c r="S76" s="1484"/>
      <c r="T76" s="1484"/>
      <c r="U76" s="1484"/>
      <c r="V76" s="1484"/>
      <c r="W76" s="1484"/>
      <c r="X76" s="1484"/>
      <c r="Y76" s="1484"/>
      <c r="Z76" s="1484"/>
      <c r="AA76" s="1484"/>
      <c r="AB76" s="1484"/>
      <c r="AC76" s="1484"/>
    </row>
    <row r="77" spans="1:29">
      <c r="A77" s="1516"/>
      <c r="B77" s="1599"/>
      <c r="C77" s="1604"/>
      <c r="D77" s="1604"/>
      <c r="E77" s="1604"/>
      <c r="F77" s="1604"/>
      <c r="G77" s="1604"/>
      <c r="H77" s="1604"/>
      <c r="I77" s="1604"/>
      <c r="J77" s="1604"/>
      <c r="K77" s="1604"/>
      <c r="L77" s="1604"/>
      <c r="M77" s="1638"/>
      <c r="N77" s="1571"/>
      <c r="O77" s="1571"/>
      <c r="P77" s="2099"/>
      <c r="Q77" s="1588"/>
      <c r="R77" s="1484"/>
      <c r="S77" s="1484"/>
      <c r="T77" s="1484"/>
      <c r="U77" s="1484"/>
      <c r="V77" s="1484"/>
      <c r="W77" s="1484"/>
      <c r="X77" s="1484"/>
      <c r="Y77" s="1484"/>
      <c r="Z77" s="1484"/>
      <c r="AA77" s="1484"/>
      <c r="AB77" s="1484"/>
      <c r="AC77" s="1484"/>
    </row>
    <row r="78" spans="1:29" ht="14.4">
      <c r="A78" s="1516"/>
      <c r="B78" s="1600" t="s">
        <v>3458</v>
      </c>
      <c r="C78" s="1601" t="str">
        <f>C79&amp;"（含）"&amp;"-"&amp;D79</f>
        <v>（含）-</v>
      </c>
      <c r="D78" s="1601" t="str">
        <f t="shared" ref="D78:L78" si="20">D79&amp;"（含）"&amp;"-"&amp;E79</f>
        <v>（含）-</v>
      </c>
      <c r="E78" s="1601" t="str">
        <f t="shared" si="20"/>
        <v>（含）-</v>
      </c>
      <c r="F78" s="1601" t="str">
        <f t="shared" si="20"/>
        <v>（含）-</v>
      </c>
      <c r="G78" s="1601" t="str">
        <f t="shared" si="20"/>
        <v>（含）-</v>
      </c>
      <c r="H78" s="1601" t="str">
        <f t="shared" si="20"/>
        <v>（含）-</v>
      </c>
      <c r="I78" s="1601" t="str">
        <f t="shared" si="20"/>
        <v>（含）-</v>
      </c>
      <c r="J78" s="1601" t="str">
        <f t="shared" si="20"/>
        <v>（含）-</v>
      </c>
      <c r="K78" s="1601" t="str">
        <f t="shared" si="20"/>
        <v>（含）-</v>
      </c>
      <c r="L78" s="1601" t="str">
        <f t="shared" si="20"/>
        <v>（含）-</v>
      </c>
      <c r="M78" s="1429" t="str">
        <f>M79&amp;"（含）"&amp;"-"&amp;P79</f>
        <v>（含）-</v>
      </c>
      <c r="N78" s="1571"/>
      <c r="O78" s="1571"/>
      <c r="P78" s="2099"/>
      <c r="Q78" s="1588"/>
      <c r="R78" s="1484"/>
      <c r="S78" s="1484"/>
      <c r="T78" s="1484"/>
      <c r="U78" s="1484"/>
      <c r="V78" s="1484"/>
      <c r="W78" s="1484"/>
      <c r="X78" s="1484"/>
      <c r="Y78" s="1484"/>
      <c r="Z78" s="1484"/>
      <c r="AA78" s="1484"/>
      <c r="AB78" s="1484"/>
      <c r="AC78" s="1484"/>
    </row>
    <row r="79" spans="1:29">
      <c r="A79" s="1516"/>
      <c r="B79" s="1602"/>
      <c r="C79" s="1603"/>
      <c r="D79" s="1603"/>
      <c r="E79" s="1603"/>
      <c r="F79" s="1603"/>
      <c r="G79" s="1603"/>
      <c r="H79" s="1603"/>
      <c r="I79" s="1603"/>
      <c r="J79" s="1603"/>
      <c r="K79" s="1635"/>
      <c r="L79" s="1636"/>
      <c r="M79" s="1637"/>
      <c r="N79" s="1568"/>
      <c r="O79" s="1568"/>
      <c r="P79" s="2099"/>
      <c r="Q79" s="1588"/>
      <c r="R79" s="1484"/>
      <c r="S79" s="1484"/>
      <c r="T79" s="1484"/>
      <c r="U79" s="1484"/>
      <c r="V79" s="1484"/>
      <c r="W79" s="1484"/>
      <c r="X79" s="1484"/>
      <c r="Y79" s="1484"/>
      <c r="Z79" s="1484"/>
      <c r="AA79" s="1484"/>
      <c r="AB79" s="1484"/>
      <c r="AC79" s="1484"/>
    </row>
    <row r="80" spans="1:29">
      <c r="A80" s="1516"/>
      <c r="B80" s="1517"/>
      <c r="C80" s="1604">
        <v>100</v>
      </c>
      <c r="D80" s="1604">
        <f t="shared" ref="D80:M80" si="21">IF($B$46="单位面积地价",C80+$K11,C80-$K11)</f>
        <v>100</v>
      </c>
      <c r="E80" s="1604">
        <f t="shared" si="21"/>
        <v>100</v>
      </c>
      <c r="F80" s="1604">
        <f t="shared" si="21"/>
        <v>100</v>
      </c>
      <c r="G80" s="1604">
        <f t="shared" si="21"/>
        <v>100</v>
      </c>
      <c r="H80" s="1604">
        <f t="shared" si="21"/>
        <v>100</v>
      </c>
      <c r="I80" s="1604">
        <f t="shared" si="21"/>
        <v>100</v>
      </c>
      <c r="J80" s="1604">
        <f t="shared" si="21"/>
        <v>100</v>
      </c>
      <c r="K80" s="1604">
        <f t="shared" si="21"/>
        <v>100</v>
      </c>
      <c r="L80" s="1604">
        <f t="shared" si="21"/>
        <v>100</v>
      </c>
      <c r="M80" s="1604">
        <f t="shared" si="21"/>
        <v>100</v>
      </c>
      <c r="N80" s="1571"/>
      <c r="O80" s="1571"/>
      <c r="P80" s="2099"/>
      <c r="Q80" s="1588"/>
      <c r="R80" s="1484"/>
      <c r="S80" s="1484"/>
      <c r="T80" s="1484"/>
      <c r="U80" s="1484"/>
      <c r="V80" s="1484"/>
      <c r="W80" s="1484"/>
      <c r="X80" s="1484"/>
      <c r="Y80" s="1484"/>
      <c r="Z80" s="1484"/>
      <c r="AA80" s="1484"/>
      <c r="AB80" s="1484"/>
      <c r="AC80" s="1484"/>
    </row>
    <row r="81" spans="1:29" s="1355" customFormat="1">
      <c r="A81" s="1605"/>
      <c r="B81" s="1597" t="str">
        <f>B12</f>
        <v>配建</v>
      </c>
      <c r="C81" s="1606"/>
      <c r="D81" s="1606"/>
      <c r="E81" s="1606"/>
      <c r="F81" s="1606"/>
      <c r="G81" s="1606"/>
      <c r="H81" s="1607"/>
      <c r="I81" s="1607"/>
      <c r="J81" s="1607"/>
      <c r="K81" s="1607"/>
      <c r="L81" s="1639"/>
      <c r="M81" s="1640"/>
      <c r="N81" s="1641"/>
      <c r="O81" s="1641"/>
      <c r="P81" s="2100"/>
      <c r="Q81" s="1671"/>
      <c r="R81" s="1672"/>
      <c r="S81" s="1672"/>
      <c r="T81" s="1672"/>
      <c r="U81" s="1672"/>
      <c r="V81" s="1672"/>
      <c r="W81" s="1672"/>
      <c r="X81" s="1672"/>
      <c r="Y81" s="1672"/>
      <c r="Z81" s="1672"/>
      <c r="AA81" s="1672"/>
      <c r="AB81" s="1672"/>
      <c r="AC81" s="1672"/>
    </row>
    <row r="82" spans="1:29" s="1355" customFormat="1">
      <c r="A82" s="1605"/>
      <c r="B82" s="1599"/>
      <c r="C82" s="1608"/>
      <c r="D82" s="1518"/>
      <c r="E82" s="1518"/>
      <c r="F82" s="1518"/>
      <c r="G82" s="1518"/>
      <c r="H82" s="1518"/>
      <c r="I82" s="1518"/>
      <c r="J82" s="1518"/>
      <c r="K82" s="1518"/>
      <c r="L82" s="1518"/>
      <c r="M82" s="1570"/>
      <c r="N82" s="1571"/>
      <c r="O82" s="1571"/>
      <c r="P82" s="2100"/>
      <c r="Q82" s="1671"/>
      <c r="R82" s="1672"/>
      <c r="S82" s="1672"/>
      <c r="T82" s="1672"/>
      <c r="U82" s="1672"/>
      <c r="V82" s="1672"/>
      <c r="W82" s="1672"/>
      <c r="X82" s="1672"/>
      <c r="Y82" s="1672"/>
      <c r="Z82" s="1672"/>
      <c r="AA82" s="1672"/>
      <c r="AB82" s="1672"/>
      <c r="AC82" s="1672"/>
    </row>
    <row r="83" spans="1:29" s="1355" customFormat="1">
      <c r="A83" s="1605"/>
      <c r="B83" s="1597">
        <f>B13</f>
        <v>111</v>
      </c>
      <c r="C83" s="1606"/>
      <c r="D83" s="1606"/>
      <c r="E83" s="1606"/>
      <c r="F83" s="1606"/>
      <c r="G83" s="1606"/>
      <c r="H83" s="1607"/>
      <c r="I83" s="1607"/>
      <c r="J83" s="1607"/>
      <c r="K83" s="1607"/>
      <c r="L83" s="1639"/>
      <c r="M83" s="1640"/>
      <c r="N83" s="1641"/>
      <c r="O83" s="1641"/>
      <c r="P83" s="1541"/>
      <c r="Q83" s="1673"/>
      <c r="R83" s="1672"/>
      <c r="S83" s="1672"/>
      <c r="T83" s="1672"/>
      <c r="U83" s="1672"/>
      <c r="V83" s="1672"/>
      <c r="W83" s="1672"/>
      <c r="X83" s="1672"/>
      <c r="Y83" s="1672"/>
      <c r="Z83" s="1672"/>
      <c r="AA83" s="1672"/>
      <c r="AB83" s="1672"/>
      <c r="AC83" s="1672"/>
    </row>
    <row r="84" spans="1:29" s="1355" customFormat="1">
      <c r="A84" s="1605"/>
      <c r="B84" s="1599"/>
      <c r="C84" s="1608"/>
      <c r="D84" s="1608"/>
      <c r="E84" s="1608"/>
      <c r="F84" s="1608"/>
      <c r="G84" s="1608"/>
      <c r="H84" s="1609"/>
      <c r="I84" s="1609"/>
      <c r="J84" s="1609"/>
      <c r="K84" s="1609"/>
      <c r="L84" s="1609"/>
      <c r="M84" s="1644"/>
      <c r="N84" s="1641"/>
      <c r="O84" s="1641"/>
      <c r="P84" s="2100"/>
      <c r="Q84" s="1671"/>
      <c r="R84" s="1672"/>
      <c r="S84" s="1672"/>
      <c r="T84" s="1672"/>
      <c r="U84" s="1672"/>
      <c r="V84" s="1672"/>
      <c r="W84" s="1672"/>
      <c r="X84" s="1672"/>
      <c r="Y84" s="1672"/>
      <c r="Z84" s="1672"/>
      <c r="AA84" s="1672"/>
      <c r="AB84" s="1672"/>
      <c r="AC84" s="1672"/>
    </row>
    <row r="85" spans="1:29" s="1355" customFormat="1">
      <c r="A85" s="1605"/>
      <c r="B85" s="1600">
        <f>B14</f>
        <v>111</v>
      </c>
      <c r="C85" s="1510"/>
      <c r="D85" s="1510"/>
      <c r="E85" s="1510"/>
      <c r="F85" s="1510"/>
      <c r="G85" s="1510"/>
      <c r="H85" s="1610"/>
      <c r="I85" s="1610"/>
      <c r="J85" s="1610"/>
      <c r="K85" s="1610"/>
      <c r="L85" s="1645"/>
      <c r="M85" s="1646"/>
      <c r="N85" s="1641"/>
      <c r="O85" s="1641"/>
      <c r="P85" s="2101"/>
      <c r="Q85" s="1671"/>
      <c r="R85" s="1672"/>
      <c r="S85" s="1672"/>
      <c r="T85" s="1672"/>
      <c r="U85" s="1672"/>
      <c r="V85" s="1672"/>
      <c r="W85" s="1672"/>
      <c r="X85" s="1672"/>
      <c r="Y85" s="1672"/>
      <c r="Z85" s="1672"/>
      <c r="AA85" s="1672"/>
      <c r="AB85" s="1672"/>
      <c r="AC85" s="1672"/>
    </row>
    <row r="86" spans="1:29" s="1355" customFormat="1">
      <c r="A86" s="1611"/>
      <c r="B86" s="1612"/>
      <c r="C86" s="1613"/>
      <c r="D86" s="1613"/>
      <c r="E86" s="1613"/>
      <c r="F86" s="1613"/>
      <c r="G86" s="1613"/>
      <c r="H86" s="1614"/>
      <c r="I86" s="1614"/>
      <c r="J86" s="1614"/>
      <c r="K86" s="1614"/>
      <c r="L86" s="1614"/>
      <c r="M86" s="1648"/>
      <c r="N86" s="1641"/>
      <c r="O86" s="1641"/>
      <c r="P86" s="2100"/>
      <c r="Q86" s="1671"/>
      <c r="R86" s="1672"/>
      <c r="S86" s="1672"/>
      <c r="T86" s="1672"/>
      <c r="U86" s="1672"/>
      <c r="V86" s="1672"/>
      <c r="W86" s="1672"/>
      <c r="X86" s="1672"/>
      <c r="Y86" s="1672"/>
      <c r="Z86" s="1672"/>
      <c r="AA86" s="1672"/>
      <c r="AB86" s="1672"/>
      <c r="AC86" s="1672"/>
    </row>
    <row r="87" spans="1:29" ht="14.4">
      <c r="A87" s="1512" t="s">
        <v>2895</v>
      </c>
      <c r="B87" s="1513" t="s">
        <v>3459</v>
      </c>
      <c r="C87" s="1615" t="s">
        <v>2933</v>
      </c>
      <c r="D87" s="1615" t="s">
        <v>2934</v>
      </c>
      <c r="E87" s="1615" t="s">
        <v>2935</v>
      </c>
      <c r="F87" s="1615" t="s">
        <v>2936</v>
      </c>
      <c r="G87" s="1615" t="s">
        <v>2937</v>
      </c>
      <c r="H87" s="1514"/>
      <c r="I87" s="1514"/>
      <c r="J87" s="1514"/>
      <c r="K87" s="1649"/>
      <c r="L87" s="1650"/>
      <c r="M87" s="1651"/>
      <c r="N87" s="1568"/>
      <c r="O87" s="1568"/>
      <c r="P87" s="2102"/>
      <c r="Q87" s="1588"/>
      <c r="R87" s="1484"/>
      <c r="S87" s="1484"/>
      <c r="T87" s="1484"/>
      <c r="U87" s="1484"/>
      <c r="V87" s="1484"/>
      <c r="W87" s="1484"/>
      <c r="X87" s="1484"/>
      <c r="Y87" s="1484"/>
      <c r="Z87" s="1484"/>
      <c r="AA87" s="1484"/>
      <c r="AB87" s="1484"/>
      <c r="AC87" s="1484"/>
    </row>
    <row r="88" spans="1:29">
      <c r="A88" s="1516"/>
      <c r="B88" s="1599"/>
      <c r="C88" s="1604">
        <v>100</v>
      </c>
      <c r="D88" s="1604">
        <f>C88-$K15</f>
        <v>100</v>
      </c>
      <c r="E88" s="1604">
        <f>D88-$K15</f>
        <v>100</v>
      </c>
      <c r="F88" s="1604">
        <f>E88-$K15</f>
        <v>100</v>
      </c>
      <c r="G88" s="1604">
        <f>F88-$K15</f>
        <v>100</v>
      </c>
      <c r="H88" s="1604"/>
      <c r="I88" s="1604"/>
      <c r="J88" s="1604"/>
      <c r="K88" s="1604"/>
      <c r="L88" s="1604"/>
      <c r="M88" s="1638"/>
      <c r="N88" s="1571"/>
      <c r="O88" s="1571"/>
      <c r="P88" s="2099"/>
      <c r="Q88" s="1588"/>
      <c r="R88" s="1484"/>
      <c r="S88" s="1484"/>
      <c r="T88" s="1484"/>
      <c r="U88" s="1484"/>
      <c r="V88" s="1484"/>
      <c r="W88" s="1484"/>
      <c r="X88" s="1484"/>
      <c r="Y88" s="1484"/>
      <c r="Z88" s="1484"/>
      <c r="AA88" s="1484"/>
      <c r="AB88" s="1484"/>
      <c r="AC88" s="1484"/>
    </row>
    <row r="89" spans="1:29" ht="14.4">
      <c r="A89" s="1516"/>
      <c r="B89" s="1597" t="s">
        <v>3508</v>
      </c>
      <c r="C89" s="1616" t="s">
        <v>2933</v>
      </c>
      <c r="D89" s="1616" t="s">
        <v>2934</v>
      </c>
      <c r="E89" s="1616" t="s">
        <v>2935</v>
      </c>
      <c r="F89" s="1616" t="s">
        <v>2936</v>
      </c>
      <c r="G89" s="1616" t="s">
        <v>2937</v>
      </c>
      <c r="H89" s="1617"/>
      <c r="I89" s="1617"/>
      <c r="J89" s="1617"/>
      <c r="K89" s="1653"/>
      <c r="L89" s="1654"/>
      <c r="M89" s="1655"/>
      <c r="N89" s="1568"/>
      <c r="O89" s="1568"/>
      <c r="P89" s="2099"/>
      <c r="Q89" s="1588"/>
      <c r="R89" s="1484"/>
      <c r="S89" s="1484"/>
      <c r="T89" s="1484"/>
      <c r="U89" s="1484"/>
      <c r="V89" s="1484"/>
      <c r="W89" s="1484"/>
      <c r="X89" s="1484"/>
      <c r="Y89" s="1484"/>
      <c r="Z89" s="1484"/>
      <c r="AA89" s="1484"/>
      <c r="AB89" s="1484"/>
      <c r="AC89" s="1484"/>
    </row>
    <row r="90" spans="1:29">
      <c r="A90" s="1516"/>
      <c r="B90" s="1599"/>
      <c r="C90" s="1604">
        <v>100</v>
      </c>
      <c r="D90" s="1604">
        <f>C90-$K17</f>
        <v>100</v>
      </c>
      <c r="E90" s="1604">
        <f>D90-$K17</f>
        <v>100</v>
      </c>
      <c r="F90" s="1604">
        <f>E90-$K17</f>
        <v>100</v>
      </c>
      <c r="G90" s="1604">
        <f>F90-$K17</f>
        <v>100</v>
      </c>
      <c r="H90" s="1604"/>
      <c r="I90" s="1604"/>
      <c r="J90" s="1604"/>
      <c r="K90" s="1604"/>
      <c r="L90" s="1604"/>
      <c r="M90" s="1638"/>
      <c r="N90" s="1571"/>
      <c r="O90" s="1571"/>
      <c r="P90" s="2099"/>
      <c r="Q90" s="1588"/>
      <c r="R90" s="1484"/>
      <c r="S90" s="1484"/>
      <c r="T90" s="1484"/>
      <c r="U90" s="1484"/>
      <c r="V90" s="1484"/>
      <c r="W90" s="1484"/>
      <c r="X90" s="1484"/>
      <c r="Y90" s="1484"/>
      <c r="Z90" s="1484"/>
      <c r="AA90" s="1484"/>
      <c r="AB90" s="1484"/>
      <c r="AC90" s="1484"/>
    </row>
    <row r="91" spans="1:29" ht="14.4">
      <c r="A91" s="1516"/>
      <c r="B91" s="1597" t="s">
        <v>3493</v>
      </c>
      <c r="C91" s="1616" t="s">
        <v>2933</v>
      </c>
      <c r="D91" s="1616" t="s">
        <v>2934</v>
      </c>
      <c r="E91" s="1616" t="s">
        <v>2935</v>
      </c>
      <c r="F91" s="1616" t="s">
        <v>2936</v>
      </c>
      <c r="G91" s="1616" t="s">
        <v>2937</v>
      </c>
      <c r="H91" s="1617"/>
      <c r="I91" s="1617"/>
      <c r="J91" s="1617"/>
      <c r="K91" s="1653"/>
      <c r="L91" s="1654"/>
      <c r="M91" s="1655"/>
      <c r="N91" s="1568"/>
      <c r="O91" s="1568"/>
      <c r="P91" s="2099"/>
      <c r="Q91" s="1588"/>
      <c r="R91" s="1484"/>
      <c r="S91" s="1484"/>
      <c r="T91" s="1484"/>
      <c r="U91" s="1484"/>
      <c r="V91" s="1484"/>
      <c r="W91" s="1484"/>
      <c r="X91" s="1484"/>
      <c r="Y91" s="1484"/>
      <c r="Z91" s="1484"/>
      <c r="AA91" s="1484"/>
      <c r="AB91" s="1484"/>
      <c r="AC91" s="1484"/>
    </row>
    <row r="92" spans="1:29">
      <c r="A92" s="1516"/>
      <c r="B92" s="1599"/>
      <c r="C92" s="1604">
        <v>100</v>
      </c>
      <c r="D92" s="1604">
        <f>C92-$K19</f>
        <v>100</v>
      </c>
      <c r="E92" s="1604">
        <f>D92-$K19</f>
        <v>100</v>
      </c>
      <c r="F92" s="1604">
        <f>E92-$K19</f>
        <v>100</v>
      </c>
      <c r="G92" s="1604">
        <f>F92-$K19</f>
        <v>100</v>
      </c>
      <c r="H92" s="1604"/>
      <c r="I92" s="1604"/>
      <c r="J92" s="1604"/>
      <c r="K92" s="1604"/>
      <c r="L92" s="1604"/>
      <c r="M92" s="1638"/>
      <c r="N92" s="1571"/>
      <c r="O92" s="1571"/>
      <c r="P92" s="2099"/>
      <c r="Q92" s="1588"/>
      <c r="R92" s="1484"/>
      <c r="S92" s="1484"/>
      <c r="T92" s="1484"/>
      <c r="U92" s="1484"/>
      <c r="V92" s="1484"/>
      <c r="W92" s="1484"/>
      <c r="X92" s="1484"/>
      <c r="Y92" s="1484"/>
      <c r="Z92" s="1484"/>
      <c r="AA92" s="1484"/>
      <c r="AB92" s="1484"/>
      <c r="AC92" s="1484"/>
    </row>
    <row r="93" spans="1:29" ht="14.4">
      <c r="A93" s="1516"/>
      <c r="B93" s="1597" t="s">
        <v>2896</v>
      </c>
      <c r="C93" s="1616" t="s">
        <v>2933</v>
      </c>
      <c r="D93" s="1616" t="s">
        <v>2934</v>
      </c>
      <c r="E93" s="1616" t="s">
        <v>2935</v>
      </c>
      <c r="F93" s="1616" t="s">
        <v>2936</v>
      </c>
      <c r="G93" s="1616" t="s">
        <v>2937</v>
      </c>
      <c r="H93" s="1617"/>
      <c r="I93" s="1617"/>
      <c r="J93" s="1617"/>
      <c r="K93" s="1653"/>
      <c r="L93" s="1654"/>
      <c r="M93" s="1655"/>
      <c r="N93" s="1568"/>
      <c r="O93" s="1568"/>
      <c r="P93" s="2099"/>
      <c r="Q93" s="1588"/>
      <c r="R93" s="1484"/>
      <c r="S93" s="1484"/>
      <c r="T93" s="1484"/>
      <c r="U93" s="1484"/>
      <c r="V93" s="1484"/>
      <c r="W93" s="1484"/>
      <c r="X93" s="1484"/>
      <c r="Y93" s="1484"/>
      <c r="Z93" s="1484"/>
      <c r="AA93" s="1484"/>
      <c r="AB93" s="1484"/>
      <c r="AC93" s="1484"/>
    </row>
    <row r="94" spans="1:29">
      <c r="A94" s="1516"/>
      <c r="B94" s="1599"/>
      <c r="C94" s="1604">
        <v>100</v>
      </c>
      <c r="D94" s="1604">
        <f>C94-$K21</f>
        <v>100</v>
      </c>
      <c r="E94" s="1604">
        <f>D94-$K21</f>
        <v>100</v>
      </c>
      <c r="F94" s="1604">
        <f>E94-$K21</f>
        <v>100</v>
      </c>
      <c r="G94" s="1604">
        <f>F94-$K21</f>
        <v>100</v>
      </c>
      <c r="H94" s="1604"/>
      <c r="I94" s="1604"/>
      <c r="J94" s="1604"/>
      <c r="K94" s="1604"/>
      <c r="L94" s="1604"/>
      <c r="M94" s="1638"/>
      <c r="N94" s="1571"/>
      <c r="O94" s="1571"/>
      <c r="P94" s="2099"/>
      <c r="Q94" s="1588"/>
      <c r="R94" s="1484"/>
      <c r="S94" s="1484"/>
      <c r="T94" s="1484"/>
      <c r="U94" s="1484"/>
      <c r="V94" s="1484"/>
      <c r="W94" s="1484"/>
      <c r="X94" s="1484"/>
      <c r="Y94" s="1484"/>
      <c r="Z94" s="1484"/>
      <c r="AA94" s="1484"/>
      <c r="AB94" s="1484"/>
      <c r="AC94" s="1484"/>
    </row>
    <row r="95" spans="1:29" s="1353" customFormat="1" ht="28.8">
      <c r="A95" s="1619"/>
      <c r="B95" s="1597" t="s">
        <v>3509</v>
      </c>
      <c r="C95" s="1616" t="s">
        <v>2933</v>
      </c>
      <c r="D95" s="1616" t="s">
        <v>2934</v>
      </c>
      <c r="E95" s="1616" t="s">
        <v>2935</v>
      </c>
      <c r="F95" s="1616" t="s">
        <v>2936</v>
      </c>
      <c r="G95" s="1616" t="s">
        <v>2937</v>
      </c>
      <c r="H95" s="1616"/>
      <c r="I95" s="1616"/>
      <c r="J95" s="1616"/>
      <c r="K95" s="1616"/>
      <c r="L95" s="2103"/>
      <c r="M95" s="1663"/>
      <c r="N95" s="1562"/>
      <c r="O95" s="1562"/>
      <c r="P95" s="2099"/>
      <c r="Q95" s="1588"/>
      <c r="R95" s="1590"/>
      <c r="S95" s="1590"/>
      <c r="T95" s="1590"/>
      <c r="U95" s="1590"/>
      <c r="V95" s="1590"/>
      <c r="W95" s="1590"/>
      <c r="X95" s="1590"/>
      <c r="Y95" s="1590"/>
      <c r="Z95" s="1590"/>
      <c r="AA95" s="1590"/>
      <c r="AB95" s="1590"/>
      <c r="AC95" s="1590"/>
    </row>
    <row r="96" spans="1:29" s="1353" customFormat="1">
      <c r="A96" s="1619"/>
      <c r="B96" s="1599"/>
      <c r="C96" s="1620">
        <v>100</v>
      </c>
      <c r="D96" s="1604">
        <f>C96-$K23</f>
        <v>100</v>
      </c>
      <c r="E96" s="1604">
        <f>D96-$K23</f>
        <v>100</v>
      </c>
      <c r="F96" s="1604">
        <f>E96-$K23</f>
        <v>100</v>
      </c>
      <c r="G96" s="1604">
        <f>F96-$K23</f>
        <v>100</v>
      </c>
      <c r="H96" s="1604"/>
      <c r="I96" s="1604"/>
      <c r="J96" s="1604"/>
      <c r="K96" s="1604"/>
      <c r="L96" s="1604"/>
      <c r="M96" s="1638"/>
      <c r="N96" s="1571"/>
      <c r="O96" s="1571"/>
      <c r="P96" s="2099"/>
      <c r="Q96" s="1588"/>
      <c r="R96" s="1590"/>
      <c r="S96" s="1590"/>
      <c r="T96" s="1590"/>
      <c r="U96" s="1590"/>
      <c r="V96" s="1590"/>
      <c r="W96" s="1590"/>
      <c r="X96" s="1590"/>
      <c r="Y96" s="1590"/>
      <c r="Z96" s="1590"/>
      <c r="AA96" s="1590"/>
      <c r="AB96" s="1590"/>
      <c r="AC96" s="1590"/>
    </row>
    <row r="97" spans="1:29" s="1353" customFormat="1" ht="28.8">
      <c r="A97" s="1619"/>
      <c r="B97" s="1597" t="s">
        <v>3510</v>
      </c>
      <c r="C97" s="1615" t="s">
        <v>2933</v>
      </c>
      <c r="D97" s="1615" t="s">
        <v>2934</v>
      </c>
      <c r="E97" s="1615" t="s">
        <v>2935</v>
      </c>
      <c r="F97" s="1615" t="s">
        <v>2936</v>
      </c>
      <c r="G97" s="1615" t="s">
        <v>2937</v>
      </c>
      <c r="H97" s="1616"/>
      <c r="I97" s="1616"/>
      <c r="J97" s="1616"/>
      <c r="K97" s="1616"/>
      <c r="L97" s="1616"/>
      <c r="M97" s="1663"/>
      <c r="N97" s="1562"/>
      <c r="O97" s="1562"/>
      <c r="P97" s="2099"/>
      <c r="Q97" s="1588"/>
      <c r="R97" s="1590"/>
      <c r="S97" s="1590"/>
      <c r="T97" s="1590"/>
      <c r="U97" s="1590"/>
      <c r="V97" s="1590"/>
      <c r="W97" s="1590"/>
      <c r="X97" s="1590"/>
      <c r="Y97" s="1590"/>
      <c r="Z97" s="1590"/>
      <c r="AA97" s="1590"/>
      <c r="AB97" s="1590"/>
      <c r="AC97" s="1590"/>
    </row>
    <row r="98" spans="1:29" s="1353" customFormat="1">
      <c r="A98" s="1619"/>
      <c r="B98" s="1599"/>
      <c r="C98" s="1604">
        <v>100</v>
      </c>
      <c r="D98" s="1604">
        <f>C98-$K25</f>
        <v>100</v>
      </c>
      <c r="E98" s="1604">
        <f>D98-$K25</f>
        <v>100</v>
      </c>
      <c r="F98" s="1604">
        <f>E98-$K25</f>
        <v>100</v>
      </c>
      <c r="G98" s="1604">
        <f>F98-$K25</f>
        <v>100</v>
      </c>
      <c r="H98" s="1604"/>
      <c r="I98" s="1604"/>
      <c r="J98" s="1604"/>
      <c r="K98" s="1604"/>
      <c r="L98" s="1604"/>
      <c r="M98" s="1638"/>
      <c r="N98" s="1571"/>
      <c r="O98" s="1571"/>
      <c r="P98" s="2099"/>
      <c r="Q98" s="1588"/>
      <c r="R98" s="1590"/>
      <c r="S98" s="1590"/>
      <c r="T98" s="1590"/>
      <c r="U98" s="1590"/>
      <c r="V98" s="1590"/>
      <c r="W98" s="1590"/>
      <c r="X98" s="1590"/>
      <c r="Y98" s="1590"/>
      <c r="Z98" s="1590"/>
      <c r="AA98" s="1590"/>
      <c r="AB98" s="1590"/>
      <c r="AC98" s="1590"/>
    </row>
    <row r="99" spans="1:29" s="1355" customFormat="1" ht="14.4">
      <c r="A99" s="1605"/>
      <c r="B99" s="1597" t="s">
        <v>2899</v>
      </c>
      <c r="C99" s="1615" t="s">
        <v>2933</v>
      </c>
      <c r="D99" s="1615" t="s">
        <v>2934</v>
      </c>
      <c r="E99" s="1615" t="s">
        <v>2935</v>
      </c>
      <c r="F99" s="1615" t="s">
        <v>2936</v>
      </c>
      <c r="G99" s="1615" t="s">
        <v>2937</v>
      </c>
      <c r="H99" s="2090"/>
      <c r="I99" s="2090"/>
      <c r="J99" s="2090"/>
      <c r="K99" s="2090"/>
      <c r="L99" s="2104"/>
      <c r="M99" s="2105"/>
      <c r="N99" s="1641"/>
      <c r="O99" s="1641"/>
      <c r="P99" s="2100"/>
      <c r="Q99" s="1671"/>
      <c r="R99" s="1672"/>
      <c r="S99" s="1672"/>
      <c r="T99" s="1672"/>
      <c r="U99" s="1672"/>
      <c r="V99" s="1672"/>
      <c r="W99" s="1672"/>
      <c r="X99" s="1672"/>
      <c r="Y99" s="1672"/>
      <c r="Z99" s="1672"/>
      <c r="AA99" s="1672"/>
      <c r="AB99" s="1672"/>
      <c r="AC99" s="1672"/>
    </row>
    <row r="100" spans="1:29" s="1355" customFormat="1">
      <c r="A100" s="1605"/>
      <c r="B100" s="1599"/>
      <c r="C100" s="1604">
        <v>100</v>
      </c>
      <c r="D100" s="1604">
        <f>C100-$K27</f>
        <v>100</v>
      </c>
      <c r="E100" s="1604">
        <f>D100-$K27</f>
        <v>100</v>
      </c>
      <c r="F100" s="1604">
        <f>E100-$K27</f>
        <v>100</v>
      </c>
      <c r="G100" s="1604">
        <f>F100-$K27</f>
        <v>100</v>
      </c>
      <c r="H100" s="2091"/>
      <c r="I100" s="2091"/>
      <c r="J100" s="2091"/>
      <c r="K100" s="2091"/>
      <c r="L100" s="2091"/>
      <c r="M100" s="2106"/>
      <c r="N100" s="1641"/>
      <c r="O100" s="1641"/>
      <c r="P100" s="2100"/>
      <c r="Q100" s="1671"/>
      <c r="R100" s="1672"/>
      <c r="S100" s="1672"/>
      <c r="T100" s="1672"/>
      <c r="U100" s="1672"/>
      <c r="V100" s="1672"/>
      <c r="W100" s="1672"/>
      <c r="X100" s="1672"/>
      <c r="Y100" s="1672"/>
      <c r="Z100" s="1672"/>
      <c r="AA100" s="1672"/>
      <c r="AB100" s="1672"/>
      <c r="AC100" s="1672"/>
    </row>
    <row r="101" spans="1:29" s="1355" customFormat="1" ht="14.4">
      <c r="A101" s="1605"/>
      <c r="B101" s="1600" t="s">
        <v>2901</v>
      </c>
      <c r="C101" s="1618" t="s">
        <v>2938</v>
      </c>
      <c r="D101" s="1618" t="s">
        <v>2939</v>
      </c>
      <c r="E101" s="1618" t="s">
        <v>2940</v>
      </c>
      <c r="F101" s="1618" t="s">
        <v>2941</v>
      </c>
      <c r="G101" s="1618" t="s">
        <v>2942</v>
      </c>
      <c r="H101" s="2090"/>
      <c r="I101" s="2090"/>
      <c r="J101" s="2090"/>
      <c r="K101" s="2090"/>
      <c r="L101" s="2090"/>
      <c r="M101" s="2107"/>
      <c r="N101" s="1641"/>
      <c r="O101" s="1641"/>
      <c r="P101" s="2100"/>
      <c r="Q101" s="1671"/>
      <c r="R101" s="1672"/>
      <c r="S101" s="1672"/>
      <c r="T101" s="1672"/>
      <c r="U101" s="1672"/>
      <c r="V101" s="1672"/>
      <c r="W101" s="1672"/>
      <c r="X101" s="1672"/>
      <c r="Y101" s="1672"/>
      <c r="Z101" s="1672"/>
      <c r="AA101" s="1672"/>
      <c r="AB101" s="1672"/>
      <c r="AC101" s="1672"/>
    </row>
    <row r="102" spans="1:29" s="1355" customFormat="1">
      <c r="A102" s="1605"/>
      <c r="B102" s="1600"/>
      <c r="C102" s="1604">
        <v>100</v>
      </c>
      <c r="D102" s="1604">
        <f>C102-$K29</f>
        <v>100</v>
      </c>
      <c r="E102" s="1604">
        <f>D102-$K29</f>
        <v>100</v>
      </c>
      <c r="F102" s="1604">
        <f>E102-$K29</f>
        <v>100</v>
      </c>
      <c r="G102" s="1604">
        <f>F102-$K29</f>
        <v>100</v>
      </c>
      <c r="H102" s="1602"/>
      <c r="I102" s="1602"/>
      <c r="J102" s="1602"/>
      <c r="K102" s="1602"/>
      <c r="L102" s="1602"/>
      <c r="M102" s="2107"/>
      <c r="N102" s="1641"/>
      <c r="O102" s="1641"/>
      <c r="P102" s="2100"/>
      <c r="Q102" s="1671"/>
      <c r="R102" s="1672"/>
      <c r="S102" s="1672"/>
      <c r="T102" s="1672"/>
      <c r="U102" s="1672"/>
      <c r="V102" s="1672"/>
      <c r="W102" s="1672"/>
      <c r="X102" s="1672"/>
      <c r="Y102" s="1672"/>
      <c r="Z102" s="1672"/>
      <c r="AA102" s="1672"/>
      <c r="AB102" s="1672"/>
      <c r="AC102" s="1672"/>
    </row>
    <row r="103" spans="1:29" ht="14.4">
      <c r="A103" s="1516"/>
      <c r="B103" s="1597" t="str">
        <f>B31</f>
        <v>临街状况</v>
      </c>
      <c r="C103" s="1617" t="s">
        <v>3545</v>
      </c>
      <c r="D103" s="1617" t="s">
        <v>3546</v>
      </c>
      <c r="E103" s="1617" t="s">
        <v>3547</v>
      </c>
      <c r="F103" s="1617" t="s">
        <v>3548</v>
      </c>
      <c r="G103" s="1617"/>
      <c r="H103" s="1617"/>
      <c r="I103" s="1617"/>
      <c r="J103" s="1617"/>
      <c r="K103" s="1653"/>
      <c r="L103" s="1654"/>
      <c r="M103" s="1655"/>
      <c r="N103" s="1568"/>
      <c r="O103" s="1568"/>
      <c r="P103" s="2099"/>
      <c r="Q103" s="1588"/>
      <c r="R103" s="1484"/>
      <c r="S103" s="1484"/>
      <c r="T103" s="1484"/>
      <c r="U103" s="1484"/>
      <c r="V103" s="1484"/>
      <c r="W103" s="1484"/>
      <c r="X103" s="1484"/>
      <c r="Y103" s="1484"/>
      <c r="Z103" s="1484"/>
      <c r="AA103" s="1484"/>
      <c r="AB103" s="1484"/>
      <c r="AC103" s="1484"/>
    </row>
    <row r="104" spans="1:29">
      <c r="A104" s="1516"/>
      <c r="B104" s="1599"/>
      <c r="C104" s="1604">
        <v>100</v>
      </c>
      <c r="D104" s="1604">
        <f t="shared" ref="D104:M104" si="22">C104-$K31</f>
        <v>100</v>
      </c>
      <c r="E104" s="1604">
        <f t="shared" si="22"/>
        <v>100</v>
      </c>
      <c r="F104" s="1604">
        <f t="shared" si="22"/>
        <v>100</v>
      </c>
      <c r="G104" s="1604">
        <f t="shared" si="22"/>
        <v>100</v>
      </c>
      <c r="H104" s="1604">
        <f t="shared" si="22"/>
        <v>100</v>
      </c>
      <c r="I104" s="1604">
        <f t="shared" si="22"/>
        <v>100</v>
      </c>
      <c r="J104" s="1604">
        <f t="shared" si="22"/>
        <v>100</v>
      </c>
      <c r="K104" s="1604">
        <f t="shared" si="22"/>
        <v>100</v>
      </c>
      <c r="L104" s="1604">
        <f t="shared" si="22"/>
        <v>100</v>
      </c>
      <c r="M104" s="1604">
        <f t="shared" si="22"/>
        <v>100</v>
      </c>
      <c r="N104" s="1571"/>
      <c r="O104" s="1571"/>
      <c r="P104" s="2099"/>
      <c r="Q104" s="1588"/>
      <c r="R104" s="1484"/>
      <c r="S104" s="1484"/>
      <c r="T104" s="1484"/>
      <c r="U104" s="1484"/>
      <c r="V104" s="1484"/>
      <c r="W104" s="1484"/>
      <c r="X104" s="1484"/>
      <c r="Y104" s="1484"/>
      <c r="Z104" s="1484"/>
      <c r="AA104" s="1484"/>
      <c r="AB104" s="1484"/>
      <c r="AC104" s="1484"/>
    </row>
    <row r="105" spans="1:29" ht="28.8">
      <c r="A105" s="1516"/>
      <c r="B105" s="1597" t="s">
        <v>3495</v>
      </c>
      <c r="C105" s="1606"/>
      <c r="D105" s="1606"/>
      <c r="E105" s="1606"/>
      <c r="F105" s="1606"/>
      <c r="G105" s="1606"/>
      <c r="H105" s="1598"/>
      <c r="I105" s="1598"/>
      <c r="J105" s="1598"/>
      <c r="K105" s="1632"/>
      <c r="L105" s="1633"/>
      <c r="M105" s="1634"/>
      <c r="N105" s="1568"/>
      <c r="O105" s="1568"/>
      <c r="P105" s="2099"/>
      <c r="Q105" s="1588"/>
      <c r="R105" s="1484"/>
      <c r="S105" s="1484"/>
      <c r="T105" s="1484"/>
      <c r="U105" s="1484"/>
      <c r="V105" s="1484"/>
      <c r="W105" s="1484"/>
      <c r="X105" s="1484"/>
      <c r="Y105" s="1484"/>
      <c r="Z105" s="1484"/>
      <c r="AA105" s="1484"/>
      <c r="AB105" s="1484"/>
      <c r="AC105" s="1484"/>
    </row>
    <row r="106" spans="1:29">
      <c r="A106" s="1516"/>
      <c r="B106" s="1599"/>
      <c r="C106" s="1604">
        <v>100</v>
      </c>
      <c r="D106" s="1604">
        <f t="shared" ref="D106:M106" si="23">C106-$K32</f>
        <v>100</v>
      </c>
      <c r="E106" s="1604">
        <f t="shared" si="23"/>
        <v>100</v>
      </c>
      <c r="F106" s="1604">
        <f t="shared" si="23"/>
        <v>100</v>
      </c>
      <c r="G106" s="1604">
        <f t="shared" si="23"/>
        <v>100</v>
      </c>
      <c r="H106" s="1604">
        <f t="shared" si="23"/>
        <v>100</v>
      </c>
      <c r="I106" s="1604">
        <f t="shared" si="23"/>
        <v>100</v>
      </c>
      <c r="J106" s="1604">
        <f t="shared" si="23"/>
        <v>100</v>
      </c>
      <c r="K106" s="1604">
        <f t="shared" si="23"/>
        <v>100</v>
      </c>
      <c r="L106" s="1604">
        <f t="shared" si="23"/>
        <v>100</v>
      </c>
      <c r="M106" s="1604">
        <f t="shared" si="23"/>
        <v>100</v>
      </c>
      <c r="N106" s="1571"/>
      <c r="O106" s="1571"/>
      <c r="P106" s="2099"/>
      <c r="Q106" s="1588"/>
      <c r="R106" s="1484"/>
      <c r="S106" s="1484"/>
      <c r="T106" s="1484"/>
      <c r="U106" s="1484"/>
      <c r="V106" s="1484"/>
      <c r="W106" s="1484"/>
      <c r="X106" s="1484"/>
      <c r="Y106" s="1484"/>
      <c r="Z106" s="1484"/>
      <c r="AA106" s="1484"/>
      <c r="AB106" s="1484"/>
      <c r="AC106" s="1484"/>
    </row>
    <row r="107" spans="1:29" ht="14.4">
      <c r="A107" s="1516"/>
      <c r="B107" s="1597" t="s">
        <v>3512</v>
      </c>
      <c r="C107" s="1598"/>
      <c r="D107" s="1598"/>
      <c r="E107" s="1598"/>
      <c r="F107" s="1598"/>
      <c r="G107" s="1598"/>
      <c r="H107" s="1598"/>
      <c r="I107" s="1598"/>
      <c r="J107" s="1598"/>
      <c r="K107" s="1632"/>
      <c r="L107" s="1633"/>
      <c r="M107" s="1634"/>
      <c r="N107" s="1568"/>
      <c r="O107" s="1568"/>
      <c r="P107" s="2099"/>
      <c r="Q107" s="1588"/>
      <c r="R107" s="1484"/>
      <c r="S107" s="1484"/>
      <c r="T107" s="1484"/>
      <c r="U107" s="1484"/>
      <c r="V107" s="1484"/>
      <c r="W107" s="1484"/>
      <c r="X107" s="1484"/>
      <c r="Y107" s="1484"/>
      <c r="Z107" s="1484"/>
      <c r="AA107" s="1484"/>
      <c r="AB107" s="1484"/>
      <c r="AC107" s="1484"/>
    </row>
    <row r="108" spans="1:29">
      <c r="A108" s="1516"/>
      <c r="B108" s="1599"/>
      <c r="C108" s="1604">
        <v>100</v>
      </c>
      <c r="D108" s="1604">
        <f t="shared" ref="D108:M108" si="24">C108-$K34</f>
        <v>100</v>
      </c>
      <c r="E108" s="1604">
        <f t="shared" si="24"/>
        <v>100</v>
      </c>
      <c r="F108" s="1604">
        <f t="shared" si="24"/>
        <v>100</v>
      </c>
      <c r="G108" s="1604">
        <f t="shared" si="24"/>
        <v>100</v>
      </c>
      <c r="H108" s="1604">
        <f t="shared" si="24"/>
        <v>100</v>
      </c>
      <c r="I108" s="1604">
        <f t="shared" si="24"/>
        <v>100</v>
      </c>
      <c r="J108" s="1604">
        <f t="shared" si="24"/>
        <v>100</v>
      </c>
      <c r="K108" s="1604">
        <f t="shared" si="24"/>
        <v>100</v>
      </c>
      <c r="L108" s="1604">
        <f t="shared" si="24"/>
        <v>100</v>
      </c>
      <c r="M108" s="1604">
        <f t="shared" si="24"/>
        <v>100</v>
      </c>
      <c r="N108" s="1571"/>
      <c r="O108" s="1571"/>
      <c r="P108" s="2099"/>
      <c r="Q108" s="1588"/>
      <c r="R108" s="1484"/>
      <c r="S108" s="1484"/>
      <c r="T108" s="1484"/>
      <c r="U108" s="1484"/>
      <c r="V108" s="1484"/>
      <c r="W108" s="1484"/>
      <c r="X108" s="1484"/>
      <c r="Y108" s="1484"/>
      <c r="Z108" s="1484"/>
      <c r="AA108" s="1484"/>
      <c r="AB108" s="1484"/>
      <c r="AC108" s="1484"/>
    </row>
    <row r="109" spans="1:29">
      <c r="A109" s="1516"/>
      <c r="B109" s="1600">
        <f>B35</f>
        <v>111</v>
      </c>
      <c r="C109" s="1606"/>
      <c r="D109" s="1606"/>
      <c r="E109" s="1606"/>
      <c r="F109" s="1606"/>
      <c r="G109" s="1622"/>
      <c r="H109" s="1622"/>
      <c r="I109" s="1622"/>
      <c r="J109" s="1622"/>
      <c r="K109" s="1659"/>
      <c r="L109" s="1660"/>
      <c r="M109" s="1661"/>
      <c r="N109" s="1568"/>
      <c r="O109" s="1568"/>
      <c r="P109" s="2099"/>
      <c r="Q109" s="1588"/>
      <c r="R109" s="1484"/>
      <c r="S109" s="1484"/>
      <c r="T109" s="1484"/>
      <c r="U109" s="1484"/>
      <c r="V109" s="1484"/>
      <c r="W109" s="1484"/>
      <c r="X109" s="1484"/>
      <c r="Y109" s="1484"/>
      <c r="Z109" s="1484"/>
      <c r="AA109" s="1484"/>
      <c r="AB109" s="1484"/>
      <c r="AC109" s="1484"/>
    </row>
    <row r="110" spans="1:29">
      <c r="A110" s="1516"/>
      <c r="B110" s="1612"/>
      <c r="C110" s="1608"/>
      <c r="D110" s="1608"/>
      <c r="E110" s="1608"/>
      <c r="F110" s="1608"/>
      <c r="G110" s="1624"/>
      <c r="H110" s="1624"/>
      <c r="I110" s="1624"/>
      <c r="J110" s="1624"/>
      <c r="K110" s="1624"/>
      <c r="L110" s="1624"/>
      <c r="M110" s="1662"/>
      <c r="N110" s="1571"/>
      <c r="O110" s="1571"/>
      <c r="P110" s="2099"/>
      <c r="Q110" s="1588"/>
      <c r="R110" s="1484"/>
      <c r="S110" s="1484"/>
      <c r="T110" s="1484"/>
      <c r="U110" s="1484"/>
      <c r="V110" s="1484"/>
      <c r="W110" s="1484"/>
      <c r="X110" s="1484"/>
      <c r="Y110" s="1484"/>
      <c r="Z110" s="1484"/>
      <c r="AA110" s="1484"/>
      <c r="AB110" s="1484"/>
      <c r="AC110" s="1484"/>
    </row>
    <row r="111" spans="1:29">
      <c r="A111" s="2009"/>
      <c r="B111" s="1597">
        <f>B36</f>
        <v>111</v>
      </c>
      <c r="C111" s="1510"/>
      <c r="D111" s="1510"/>
      <c r="E111" s="1510"/>
      <c r="F111" s="1510"/>
      <c r="G111" s="1598"/>
      <c r="H111" s="1598"/>
      <c r="I111" s="1598"/>
      <c r="J111" s="1598"/>
      <c r="K111" s="1632"/>
      <c r="L111" s="1633"/>
      <c r="M111" s="1634"/>
      <c r="N111" s="1568"/>
      <c r="O111" s="1568"/>
      <c r="P111" s="2099"/>
      <c r="Q111" s="1588"/>
      <c r="R111" s="1484"/>
      <c r="S111" s="1484"/>
      <c r="T111" s="1484"/>
      <c r="U111" s="1484"/>
      <c r="V111" s="1484"/>
      <c r="W111" s="1484"/>
      <c r="X111" s="1484"/>
      <c r="Y111" s="1484"/>
      <c r="Z111" s="1484"/>
      <c r="AA111" s="1484"/>
      <c r="AB111" s="1484"/>
      <c r="AC111" s="1484"/>
    </row>
    <row r="112" spans="1:29">
      <c r="A112" s="1516"/>
      <c r="B112" s="1599"/>
      <c r="C112" s="1613"/>
      <c r="D112" s="1613"/>
      <c r="E112" s="1613"/>
      <c r="F112" s="1613"/>
      <c r="G112" s="1518"/>
      <c r="H112" s="1518"/>
      <c r="I112" s="1518"/>
      <c r="J112" s="1518"/>
      <c r="K112" s="1518"/>
      <c r="L112" s="1518"/>
      <c r="M112" s="1570"/>
      <c r="N112" s="1571"/>
      <c r="O112" s="1571"/>
      <c r="P112" s="2099"/>
      <c r="Q112" s="1588"/>
      <c r="R112" s="1484"/>
      <c r="S112" s="1484"/>
      <c r="T112" s="1484"/>
      <c r="U112" s="1484"/>
      <c r="V112" s="1484"/>
      <c r="W112" s="1484"/>
      <c r="X112" s="1484"/>
      <c r="Y112" s="1484"/>
      <c r="Z112" s="1484"/>
      <c r="AA112" s="1484"/>
      <c r="AB112" s="1484"/>
      <c r="AC112" s="1484"/>
    </row>
    <row r="113" spans="1:29" s="1355" customFormat="1">
      <c r="A113" s="1626"/>
      <c r="B113" s="1627">
        <f>B37</f>
        <v>111</v>
      </c>
      <c r="C113" s="1628"/>
      <c r="D113" s="1628"/>
      <c r="E113" s="1628"/>
      <c r="F113" s="1628"/>
      <c r="G113" s="1628"/>
      <c r="H113" s="1628"/>
      <c r="I113" s="1628"/>
      <c r="J113" s="1664"/>
      <c r="K113" s="1664"/>
      <c r="L113" s="1665"/>
      <c r="M113" s="1666"/>
      <c r="N113" s="1641"/>
      <c r="O113" s="1641"/>
      <c r="P113" s="2100"/>
      <c r="Q113" s="1671"/>
      <c r="R113" s="1672"/>
      <c r="S113" s="1672"/>
      <c r="T113" s="1672"/>
      <c r="U113" s="1672"/>
      <c r="V113" s="1672"/>
      <c r="W113" s="1672"/>
      <c r="X113" s="1672"/>
      <c r="Y113" s="1672"/>
      <c r="Z113" s="1672"/>
      <c r="AA113" s="1672"/>
      <c r="AB113" s="1672"/>
      <c r="AC113" s="1672"/>
    </row>
    <row r="114" spans="1:29" s="1355" customFormat="1">
      <c r="A114" s="1605"/>
      <c r="B114" s="1600"/>
      <c r="C114" s="1503"/>
      <c r="D114" s="2092"/>
      <c r="E114" s="2092"/>
      <c r="F114" s="2092"/>
      <c r="G114" s="2092"/>
      <c r="H114" s="2092"/>
      <c r="I114" s="2092"/>
      <c r="J114" s="2092"/>
      <c r="K114" s="2092"/>
      <c r="L114" s="2092"/>
      <c r="M114" s="2108"/>
      <c r="N114" s="1571"/>
      <c r="O114" s="1571"/>
      <c r="P114" s="2100"/>
      <c r="Q114" s="1671"/>
      <c r="R114" s="1672"/>
      <c r="S114" s="1672"/>
      <c r="T114" s="1672"/>
      <c r="U114" s="1672"/>
      <c r="V114" s="1672"/>
      <c r="W114" s="1672"/>
      <c r="X114" s="1672"/>
      <c r="Y114" s="1672"/>
      <c r="Z114" s="1672"/>
      <c r="AA114" s="1672"/>
      <c r="AB114" s="1672"/>
      <c r="AC114" s="1672"/>
    </row>
    <row r="115" spans="1:29" ht="14.4">
      <c r="A115" s="1512" t="s">
        <v>2904</v>
      </c>
      <c r="B115" s="1513" t="s">
        <v>3513</v>
      </c>
      <c r="C115" s="1514" t="str">
        <f>C116&amp;"(含)"&amp;"-"&amp;D116</f>
        <v>(含)-</v>
      </c>
      <c r="D115" s="1514" t="str">
        <f t="shared" ref="D115:M115" si="25">D116&amp;"(含)"&amp;"-"&amp;E116</f>
        <v>(含)-</v>
      </c>
      <c r="E115" s="1514" t="str">
        <f t="shared" si="25"/>
        <v>(含)-</v>
      </c>
      <c r="F115" s="1514" t="str">
        <f t="shared" si="25"/>
        <v>(含)-</v>
      </c>
      <c r="G115" s="1514" t="str">
        <f t="shared" si="25"/>
        <v>(含)-</v>
      </c>
      <c r="H115" s="1514" t="str">
        <f t="shared" si="25"/>
        <v>(含)-</v>
      </c>
      <c r="I115" s="1514" t="str">
        <f t="shared" si="25"/>
        <v>(含)-</v>
      </c>
      <c r="J115" s="1514" t="str">
        <f t="shared" si="25"/>
        <v>(含)-</v>
      </c>
      <c r="K115" s="1514" t="str">
        <f t="shared" si="25"/>
        <v>(含)-</v>
      </c>
      <c r="L115" s="1514" t="str">
        <f t="shared" si="25"/>
        <v>(含)-</v>
      </c>
      <c r="M115" s="1514" t="str">
        <f t="shared" si="25"/>
        <v>(含)-</v>
      </c>
      <c r="N115" s="1568"/>
      <c r="O115" s="1568"/>
      <c r="P115" s="2099"/>
      <c r="Q115" s="1588"/>
      <c r="R115" s="1484"/>
      <c r="S115" s="1484"/>
      <c r="T115" s="1484"/>
      <c r="U115" s="1484"/>
      <c r="V115" s="1484"/>
      <c r="W115" s="1484"/>
      <c r="X115" s="1484"/>
      <c r="Y115" s="1484"/>
      <c r="Z115" s="1484"/>
      <c r="AA115" s="1484"/>
      <c r="AB115" s="1484"/>
      <c r="AC115" s="1484"/>
    </row>
    <row r="116" spans="1:29">
      <c r="A116" s="1516"/>
      <c r="B116" s="1600"/>
      <c r="C116" s="1628"/>
      <c r="D116" s="1628"/>
      <c r="E116" s="1628"/>
      <c r="F116" s="1628"/>
      <c r="G116" s="1628"/>
      <c r="H116" s="1628"/>
      <c r="I116" s="1628"/>
      <c r="J116" s="1664"/>
      <c r="K116" s="1664"/>
      <c r="L116" s="1665"/>
      <c r="M116" s="1666"/>
      <c r="N116" s="1568"/>
      <c r="O116" s="1568"/>
      <c r="P116" s="2099"/>
      <c r="Q116" s="1588"/>
      <c r="R116" s="1484"/>
      <c r="S116" s="1484"/>
      <c r="T116" s="1484"/>
      <c r="U116" s="1484"/>
      <c r="V116" s="1484"/>
      <c r="W116" s="1484"/>
      <c r="X116" s="1484"/>
      <c r="Y116" s="1484"/>
      <c r="Z116" s="1484"/>
      <c r="AA116" s="1484"/>
      <c r="AB116" s="1484"/>
      <c r="AC116" s="1484"/>
    </row>
    <row r="117" spans="1:29">
      <c r="A117" s="1516"/>
      <c r="B117" s="1599"/>
      <c r="C117" s="1613"/>
      <c r="D117" s="1624"/>
      <c r="E117" s="1624"/>
      <c r="F117" s="1624"/>
      <c r="G117" s="1624"/>
      <c r="H117" s="1624"/>
      <c r="I117" s="1624"/>
      <c r="J117" s="1624"/>
      <c r="K117" s="1624"/>
      <c r="L117" s="1624"/>
      <c r="M117" s="1662"/>
      <c r="N117" s="1571"/>
      <c r="O117" s="1571"/>
      <c r="P117" s="2099"/>
      <c r="Q117" s="1588"/>
      <c r="R117" s="1484"/>
      <c r="S117" s="1484"/>
      <c r="T117" s="1484"/>
      <c r="U117" s="1484"/>
      <c r="V117" s="1484"/>
      <c r="W117" s="1484"/>
      <c r="X117" s="1484"/>
      <c r="Y117" s="1484"/>
      <c r="Z117" s="1484"/>
      <c r="AA117" s="1484"/>
      <c r="AB117" s="1484"/>
      <c r="AC117" s="1484"/>
    </row>
    <row r="118" spans="1:29" ht="14.4">
      <c r="A118" s="1629"/>
      <c r="B118" s="1597" t="s">
        <v>3514</v>
      </c>
      <c r="C118" s="1598"/>
      <c r="D118" s="1598"/>
      <c r="E118" s="1598"/>
      <c r="F118" s="1598"/>
      <c r="G118" s="1598"/>
      <c r="H118" s="1598"/>
      <c r="I118" s="1598"/>
      <c r="J118" s="1598"/>
      <c r="K118" s="1632"/>
      <c r="L118" s="1633"/>
      <c r="M118" s="1634"/>
      <c r="N118" s="1568"/>
      <c r="O118" s="1568"/>
      <c r="P118" s="2099"/>
      <c r="Q118" s="1588"/>
      <c r="R118" s="1484"/>
      <c r="S118" s="1484"/>
      <c r="T118" s="1484"/>
      <c r="U118" s="1484"/>
      <c r="V118" s="1484"/>
      <c r="W118" s="1484"/>
      <c r="X118" s="1484"/>
      <c r="Y118" s="1484"/>
      <c r="Z118" s="1484"/>
      <c r="AA118" s="1484"/>
      <c r="AB118" s="1484"/>
      <c r="AC118" s="1484"/>
    </row>
    <row r="119" spans="1:29">
      <c r="A119" s="1516"/>
      <c r="B119" s="1599"/>
      <c r="C119" s="1604">
        <v>100</v>
      </c>
      <c r="D119" s="1604">
        <f t="shared" ref="D119:M119" si="26">C119-$K39</f>
        <v>100</v>
      </c>
      <c r="E119" s="1604">
        <f t="shared" si="26"/>
        <v>100</v>
      </c>
      <c r="F119" s="1604">
        <f t="shared" si="26"/>
        <v>100</v>
      </c>
      <c r="G119" s="1604">
        <f t="shared" si="26"/>
        <v>100</v>
      </c>
      <c r="H119" s="1604">
        <f t="shared" si="26"/>
        <v>100</v>
      </c>
      <c r="I119" s="1604">
        <f t="shared" si="26"/>
        <v>100</v>
      </c>
      <c r="J119" s="1604">
        <f t="shared" si="26"/>
        <v>100</v>
      </c>
      <c r="K119" s="1604">
        <f t="shared" si="26"/>
        <v>100</v>
      </c>
      <c r="L119" s="1604">
        <f t="shared" si="26"/>
        <v>100</v>
      </c>
      <c r="M119" s="1638">
        <f t="shared" si="26"/>
        <v>100</v>
      </c>
      <c r="N119" s="1571"/>
      <c r="O119" s="1571"/>
      <c r="P119" s="2099"/>
      <c r="Q119" s="1588"/>
      <c r="R119" s="1484"/>
      <c r="S119" s="1484"/>
      <c r="T119" s="1484"/>
      <c r="U119" s="1484"/>
      <c r="V119" s="1484"/>
      <c r="W119" s="1484"/>
      <c r="X119" s="1484"/>
      <c r="Y119" s="1484"/>
      <c r="Z119" s="1484"/>
      <c r="AA119" s="1484"/>
      <c r="AB119" s="1484"/>
      <c r="AC119" s="1484"/>
    </row>
    <row r="120" spans="1:29" ht="14.4">
      <c r="A120" s="1629"/>
      <c r="B120" s="1597" t="s">
        <v>3515</v>
      </c>
      <c r="C120" s="1606"/>
      <c r="D120" s="1606"/>
      <c r="E120" s="1606"/>
      <c r="F120" s="1598"/>
      <c r="G120" s="1598"/>
      <c r="H120" s="1598"/>
      <c r="I120" s="1598"/>
      <c r="J120" s="1598"/>
      <c r="K120" s="1632"/>
      <c r="L120" s="1633"/>
      <c r="M120" s="1634"/>
      <c r="N120" s="1568"/>
      <c r="O120" s="1568"/>
      <c r="P120" s="2099"/>
      <c r="Q120" s="1588"/>
      <c r="R120" s="1484"/>
      <c r="S120" s="1484"/>
      <c r="T120" s="1484"/>
      <c r="U120" s="1484"/>
      <c r="V120" s="1484"/>
      <c r="W120" s="1484"/>
      <c r="X120" s="1484"/>
      <c r="Y120" s="1484"/>
      <c r="Z120" s="1484"/>
      <c r="AA120" s="1484"/>
      <c r="AB120" s="1484"/>
      <c r="AC120" s="1484"/>
    </row>
    <row r="121" spans="1:29">
      <c r="A121" s="1516"/>
      <c r="B121" s="1599"/>
      <c r="C121" s="1604">
        <v>100</v>
      </c>
      <c r="D121" s="1604">
        <f t="shared" ref="D121:M121" si="27">C121-$K40</f>
        <v>100</v>
      </c>
      <c r="E121" s="1604">
        <f t="shared" si="27"/>
        <v>100</v>
      </c>
      <c r="F121" s="1604">
        <f t="shared" si="27"/>
        <v>100</v>
      </c>
      <c r="G121" s="1604">
        <f t="shared" si="27"/>
        <v>100</v>
      </c>
      <c r="H121" s="1604">
        <f t="shared" si="27"/>
        <v>100</v>
      </c>
      <c r="I121" s="1604">
        <f t="shared" si="27"/>
        <v>100</v>
      </c>
      <c r="J121" s="1604">
        <f t="shared" si="27"/>
        <v>100</v>
      </c>
      <c r="K121" s="1604">
        <f t="shared" si="27"/>
        <v>100</v>
      </c>
      <c r="L121" s="1604">
        <f t="shared" si="27"/>
        <v>100</v>
      </c>
      <c r="M121" s="1638">
        <f t="shared" si="27"/>
        <v>100</v>
      </c>
      <c r="N121" s="1571"/>
      <c r="O121" s="1571"/>
      <c r="P121" s="2099"/>
      <c r="Q121" s="1588"/>
      <c r="R121" s="1484"/>
      <c r="S121" s="1484"/>
      <c r="T121" s="1484"/>
      <c r="U121" s="1484"/>
      <c r="V121" s="1484"/>
      <c r="W121" s="1484"/>
      <c r="X121" s="1484"/>
      <c r="Y121" s="1484"/>
      <c r="Z121" s="1484"/>
      <c r="AA121" s="1484"/>
      <c r="AB121" s="1484"/>
      <c r="AC121" s="1484"/>
    </row>
    <row r="122" spans="1:29" s="1355" customFormat="1" ht="14.4">
      <c r="A122" s="1626"/>
      <c r="B122" s="1597" t="s">
        <v>3516</v>
      </c>
      <c r="C122" s="1606"/>
      <c r="D122" s="1606"/>
      <c r="E122" s="1606"/>
      <c r="F122" s="1606"/>
      <c r="G122" s="1606"/>
      <c r="H122" s="1598"/>
      <c r="I122" s="1598"/>
      <c r="J122" s="1598"/>
      <c r="K122" s="1632"/>
      <c r="L122" s="1633"/>
      <c r="M122" s="1634"/>
      <c r="N122" s="1641"/>
      <c r="O122" s="1641"/>
      <c r="P122" s="2100"/>
      <c r="Q122" s="1671"/>
      <c r="R122" s="1672"/>
      <c r="S122" s="1672"/>
      <c r="T122" s="1672"/>
      <c r="U122" s="1672"/>
      <c r="V122" s="1672"/>
      <c r="W122" s="1672"/>
      <c r="X122" s="1672"/>
      <c r="Y122" s="1672"/>
      <c r="Z122" s="1672"/>
      <c r="AA122" s="1672"/>
      <c r="AB122" s="1672"/>
      <c r="AC122" s="1672"/>
    </row>
    <row r="123" spans="1:29" s="1355" customFormat="1">
      <c r="A123" s="1605"/>
      <c r="B123" s="1599"/>
      <c r="C123" s="1604">
        <v>100</v>
      </c>
      <c r="D123" s="1604">
        <f t="shared" ref="D123:M123" si="28">C123-$K41</f>
        <v>100</v>
      </c>
      <c r="E123" s="1604">
        <f t="shared" si="28"/>
        <v>100</v>
      </c>
      <c r="F123" s="1604">
        <f t="shared" si="28"/>
        <v>100</v>
      </c>
      <c r="G123" s="1604">
        <f t="shared" si="28"/>
        <v>100</v>
      </c>
      <c r="H123" s="1604">
        <f t="shared" si="28"/>
        <v>100</v>
      </c>
      <c r="I123" s="1604">
        <f t="shared" si="28"/>
        <v>100</v>
      </c>
      <c r="J123" s="1604">
        <f t="shared" si="28"/>
        <v>100</v>
      </c>
      <c r="K123" s="1604">
        <f t="shared" si="28"/>
        <v>100</v>
      </c>
      <c r="L123" s="1604">
        <f t="shared" si="28"/>
        <v>100</v>
      </c>
      <c r="M123" s="1638">
        <f t="shared" si="28"/>
        <v>100</v>
      </c>
      <c r="N123" s="1641"/>
      <c r="O123" s="1641"/>
      <c r="P123" s="2100"/>
      <c r="Q123" s="1671"/>
      <c r="R123" s="1672"/>
      <c r="S123" s="1672"/>
      <c r="T123" s="1672"/>
      <c r="U123" s="1672"/>
      <c r="V123" s="1672"/>
      <c r="W123" s="1672"/>
      <c r="X123" s="1672"/>
      <c r="Y123" s="1672"/>
      <c r="Z123" s="1672"/>
      <c r="AA123" s="1672"/>
      <c r="AB123" s="1672"/>
      <c r="AC123" s="1672"/>
    </row>
    <row r="124" spans="1:29" ht="14.4">
      <c r="A124" s="1629"/>
      <c r="B124" s="1597" t="s">
        <v>3517</v>
      </c>
      <c r="C124" s="1606"/>
      <c r="D124" s="1606"/>
      <c r="E124" s="1598"/>
      <c r="F124" s="1598"/>
      <c r="G124" s="1598"/>
      <c r="H124" s="1598"/>
      <c r="I124" s="1598"/>
      <c r="J124" s="1598"/>
      <c r="K124" s="1632"/>
      <c r="L124" s="1633"/>
      <c r="M124" s="1634"/>
      <c r="N124" s="1568"/>
      <c r="O124" s="1568"/>
      <c r="P124" s="2099"/>
      <c r="Q124" s="1588"/>
      <c r="R124" s="1484"/>
      <c r="S124" s="1484"/>
      <c r="T124" s="1484"/>
      <c r="U124" s="1484"/>
      <c r="V124" s="1484"/>
      <c r="W124" s="1484"/>
      <c r="X124" s="1484"/>
      <c r="Y124" s="1484"/>
      <c r="Z124" s="1484"/>
      <c r="AA124" s="1484"/>
      <c r="AB124" s="1484"/>
      <c r="AC124" s="1484"/>
    </row>
    <row r="125" spans="1:29">
      <c r="A125" s="1516"/>
      <c r="B125" s="1599"/>
      <c r="C125" s="1604">
        <v>100</v>
      </c>
      <c r="D125" s="1604">
        <f t="shared" ref="D125:M125" si="29">C125-$K42</f>
        <v>100</v>
      </c>
      <c r="E125" s="1604">
        <f t="shared" si="29"/>
        <v>100</v>
      </c>
      <c r="F125" s="1604">
        <f t="shared" si="29"/>
        <v>100</v>
      </c>
      <c r="G125" s="1604">
        <f t="shared" si="29"/>
        <v>100</v>
      </c>
      <c r="H125" s="1604">
        <f t="shared" si="29"/>
        <v>100</v>
      </c>
      <c r="I125" s="1604">
        <f t="shared" si="29"/>
        <v>100</v>
      </c>
      <c r="J125" s="1604">
        <f t="shared" si="29"/>
        <v>100</v>
      </c>
      <c r="K125" s="1604">
        <f t="shared" si="29"/>
        <v>100</v>
      </c>
      <c r="L125" s="1604">
        <f t="shared" si="29"/>
        <v>100</v>
      </c>
      <c r="M125" s="1638">
        <f t="shared" si="29"/>
        <v>100</v>
      </c>
      <c r="N125" s="1571"/>
      <c r="O125" s="1571"/>
      <c r="P125" s="2099"/>
      <c r="Q125" s="1588"/>
      <c r="R125" s="1484"/>
      <c r="S125" s="1484"/>
      <c r="T125" s="1484"/>
      <c r="U125" s="1484"/>
      <c r="V125" s="1484"/>
      <c r="W125" s="1484"/>
      <c r="X125" s="1484"/>
      <c r="Y125" s="1484"/>
      <c r="Z125" s="1484"/>
      <c r="AA125" s="1484"/>
      <c r="AB125" s="1484"/>
      <c r="AC125" s="1484"/>
    </row>
    <row r="126" spans="1:29">
      <c r="A126" s="1629"/>
      <c r="B126" s="1597">
        <f>B43</f>
        <v>111</v>
      </c>
      <c r="C126" s="1606"/>
      <c r="D126" s="1606"/>
      <c r="E126" s="1606"/>
      <c r="F126" s="1606"/>
      <c r="G126" s="1606"/>
      <c r="H126" s="1598"/>
      <c r="I126" s="1598"/>
      <c r="J126" s="1598"/>
      <c r="K126" s="1632"/>
      <c r="L126" s="1633"/>
      <c r="M126" s="1634"/>
      <c r="N126" s="1568"/>
      <c r="O126" s="1568"/>
      <c r="P126" s="2099"/>
      <c r="Q126" s="1588"/>
      <c r="R126" s="1484"/>
      <c r="S126" s="1484"/>
      <c r="T126" s="1484"/>
      <c r="U126" s="1484"/>
      <c r="V126" s="1484"/>
      <c r="W126" s="1484"/>
      <c r="X126" s="1484"/>
      <c r="Y126" s="1484"/>
      <c r="Z126" s="1484"/>
      <c r="AA126" s="1484"/>
      <c r="AB126" s="1484"/>
      <c r="AC126" s="1484"/>
    </row>
    <row r="127" spans="1:29">
      <c r="A127" s="1516"/>
      <c r="B127" s="1599"/>
      <c r="C127" s="1608"/>
      <c r="D127" s="1608"/>
      <c r="E127" s="1608"/>
      <c r="F127" s="1608"/>
      <c r="G127" s="1518"/>
      <c r="H127" s="1518"/>
      <c r="I127" s="1518"/>
      <c r="J127" s="1518"/>
      <c r="K127" s="1518"/>
      <c r="L127" s="1518"/>
      <c r="M127" s="1570"/>
      <c r="N127" s="1571"/>
      <c r="O127" s="1571"/>
      <c r="P127" s="2099"/>
      <c r="Q127" s="1588"/>
      <c r="R127" s="1484"/>
      <c r="S127" s="1484"/>
      <c r="T127" s="1484"/>
      <c r="U127" s="1484"/>
      <c r="V127" s="1484"/>
      <c r="W127" s="1484"/>
      <c r="X127" s="1484"/>
      <c r="Y127" s="1484"/>
      <c r="Z127" s="1484"/>
      <c r="AA127" s="1484"/>
      <c r="AB127" s="1484"/>
      <c r="AC127" s="1484"/>
    </row>
    <row r="128" spans="1:29">
      <c r="A128" s="1629"/>
      <c r="B128" s="1597">
        <f>B44</f>
        <v>111</v>
      </c>
      <c r="C128" s="1510"/>
      <c r="D128" s="1510"/>
      <c r="E128" s="1510"/>
      <c r="F128" s="1510"/>
      <c r="G128" s="1598"/>
      <c r="H128" s="1598"/>
      <c r="I128" s="1598"/>
      <c r="J128" s="1598"/>
      <c r="K128" s="1632"/>
      <c r="L128" s="1633"/>
      <c r="M128" s="1634"/>
      <c r="N128" s="1568"/>
      <c r="O128" s="1568"/>
      <c r="P128" s="2099"/>
      <c r="Q128" s="1588"/>
      <c r="R128" s="1484"/>
      <c r="S128" s="1484"/>
      <c r="T128" s="1484"/>
      <c r="U128" s="1484"/>
      <c r="V128" s="1484"/>
      <c r="W128" s="1484"/>
      <c r="X128" s="1484"/>
      <c r="Y128" s="1484"/>
      <c r="Z128" s="1484"/>
      <c r="AA128" s="1484"/>
      <c r="AB128" s="1484"/>
      <c r="AC128" s="1484"/>
    </row>
    <row r="129" spans="1:29">
      <c r="A129" s="1516"/>
      <c r="B129" s="1599"/>
      <c r="C129" s="1613"/>
      <c r="D129" s="1613"/>
      <c r="E129" s="1613"/>
      <c r="F129" s="1613"/>
      <c r="G129" s="1518"/>
      <c r="H129" s="1518"/>
      <c r="I129" s="1518"/>
      <c r="J129" s="1518"/>
      <c r="K129" s="1518"/>
      <c r="L129" s="1518"/>
      <c r="M129" s="1570"/>
      <c r="N129" s="1571"/>
      <c r="O129" s="1571"/>
      <c r="P129" s="2099"/>
      <c r="Q129" s="1588"/>
      <c r="R129" s="1484"/>
      <c r="S129" s="1484"/>
      <c r="T129" s="1484"/>
      <c r="U129" s="1484"/>
      <c r="V129" s="1484"/>
      <c r="W129" s="1484"/>
      <c r="X129" s="1484"/>
      <c r="Y129" s="1484"/>
      <c r="Z129" s="1484"/>
      <c r="AA129" s="1484"/>
      <c r="AB129" s="1484"/>
      <c r="AC129" s="1484"/>
    </row>
    <row r="130" spans="1:29" s="1355" customFormat="1">
      <c r="A130" s="1626"/>
      <c r="B130" s="1597">
        <f>B45</f>
        <v>111</v>
      </c>
      <c r="C130" s="1510"/>
      <c r="D130" s="1510"/>
      <c r="E130" s="1510"/>
      <c r="F130" s="1510"/>
      <c r="G130" s="1607"/>
      <c r="H130" s="1607"/>
      <c r="I130" s="1607"/>
      <c r="J130" s="1607"/>
      <c r="K130" s="1607"/>
      <c r="L130" s="1639"/>
      <c r="M130" s="1640"/>
      <c r="N130" s="1641"/>
      <c r="O130" s="1641"/>
      <c r="P130" s="2100"/>
      <c r="Q130" s="1671"/>
      <c r="R130" s="1672"/>
      <c r="S130" s="1672"/>
      <c r="T130" s="1672"/>
      <c r="U130" s="1672"/>
      <c r="V130" s="1672"/>
      <c r="W130" s="1672"/>
      <c r="X130" s="1672"/>
      <c r="Y130" s="1672"/>
      <c r="Z130" s="1672"/>
      <c r="AA130" s="1672"/>
      <c r="AB130" s="1672"/>
      <c r="AC130" s="1672"/>
    </row>
    <row r="131" spans="1:29" s="1355" customFormat="1">
      <c r="A131" s="1611"/>
      <c r="B131" s="2093"/>
      <c r="C131" s="1613"/>
      <c r="D131" s="1613"/>
      <c r="E131" s="1613"/>
      <c r="F131" s="1613"/>
      <c r="G131" s="1624"/>
      <c r="H131" s="1624"/>
      <c r="I131" s="1624"/>
      <c r="J131" s="1624"/>
      <c r="K131" s="1624"/>
      <c r="L131" s="1624"/>
      <c r="M131" s="1662"/>
      <c r="N131" s="1641"/>
      <c r="O131" s="1641"/>
      <c r="P131" s="2100"/>
      <c r="Q131" s="1671"/>
      <c r="R131" s="1672"/>
      <c r="S131" s="1672"/>
      <c r="T131" s="1672"/>
      <c r="U131" s="1672"/>
      <c r="V131" s="1672"/>
      <c r="W131" s="1672"/>
      <c r="X131" s="1672"/>
      <c r="Y131" s="1672"/>
      <c r="Z131" s="1672"/>
      <c r="AA131" s="1672"/>
      <c r="AB131" s="1672"/>
      <c r="AC131" s="1672"/>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9" type="noConversion"/>
  <conditionalFormatting sqref="F47">
    <cfRule type="expression" dxfId="83" priority="4">
      <formula>$D$47="简单平均"</formula>
    </cfRule>
  </conditionalFormatting>
  <conditionalFormatting sqref="H47">
    <cfRule type="expression" dxfId="82" priority="3">
      <formula>$D$47="简单平均"</formula>
    </cfRule>
  </conditionalFormatting>
  <conditionalFormatting sqref="J47">
    <cfRule type="expression" dxfId="81" priority="2">
      <formula>$D$47="简单平均"</formula>
    </cfRule>
  </conditionalFormatting>
  <conditionalFormatting sqref="E51">
    <cfRule type="expression" dxfId="80" priority="13" stopIfTrue="1">
      <formula>$F$51="超过30%"</formula>
    </cfRule>
  </conditionalFormatting>
  <conditionalFormatting sqref="G51">
    <cfRule type="expression" dxfId="79" priority="9" stopIfTrue="1">
      <formula>$H$53+$H$51="超过30%"</formula>
    </cfRule>
  </conditionalFormatting>
  <conditionalFormatting sqref="I51">
    <cfRule type="expression" dxfId="78" priority="7" stopIfTrue="1">
      <formula>$J$51="超过30%"</formula>
    </cfRule>
  </conditionalFormatting>
  <conditionalFormatting sqref="E52">
    <cfRule type="expression" dxfId="77" priority="11" stopIfTrue="1">
      <formula>$F$52="超过20%"</formula>
    </cfRule>
  </conditionalFormatting>
  <conditionalFormatting sqref="G52">
    <cfRule type="expression" dxfId="76" priority="8" stopIfTrue="1">
      <formula>$H$52="超过20%"</formula>
    </cfRule>
  </conditionalFormatting>
  <conditionalFormatting sqref="I52">
    <cfRule type="expression" dxfId="75" priority="6" stopIfTrue="1">
      <formula>$J$52="超过20%"</formula>
    </cfRule>
  </conditionalFormatting>
  <conditionalFormatting sqref="E53">
    <cfRule type="expression" dxfId="74" priority="10" stopIfTrue="1">
      <formula>$F$53="超过30%"</formula>
    </cfRule>
  </conditionalFormatting>
  <conditionalFormatting sqref="F53">
    <cfRule type="containsText" dxfId="73" priority="15" stopIfTrue="1" operator="containsText" text="超过">
      <formula>NOT(ISERROR(SEARCH("超过",F53)))</formula>
    </cfRule>
  </conditionalFormatting>
  <conditionalFormatting sqref="G53">
    <cfRule type="expression" dxfId="72" priority="12" stopIfTrue="1">
      <formula>$H$53="超过30%"</formula>
    </cfRule>
  </conditionalFormatting>
  <conditionalFormatting sqref="H53">
    <cfRule type="containsText" dxfId="71" priority="16" stopIfTrue="1" operator="containsText" text="超过">
      <formula>NOT(ISERROR(SEARCH("超过",H53)))</formula>
    </cfRule>
  </conditionalFormatting>
  <conditionalFormatting sqref="I53">
    <cfRule type="expression" dxfId="70" priority="5" stopIfTrue="1">
      <formula>$J$53="超过30%"</formula>
    </cfRule>
  </conditionalFormatting>
  <conditionalFormatting sqref="J53">
    <cfRule type="containsText" dxfId="69" priority="17" stopIfTrue="1" operator="containsText" text="超过">
      <formula>NOT(ISERROR(SEARCH("超过",J53)))</formula>
    </cfRule>
  </conditionalFormatting>
  <conditionalFormatting sqref="F7:F45 H7:H45 J7:J45">
    <cfRule type="cellIs" dxfId="68" priority="1" operator="notEqual">
      <formula>100</formula>
    </cfRule>
  </conditionalFormatting>
  <conditionalFormatting sqref="F51 H51 J51">
    <cfRule type="containsText" dxfId="67" priority="18" stopIfTrue="1" operator="containsText" text="超过">
      <formula>NOT(ISERROR(SEARCH("超过",F51)))</formula>
    </cfRule>
  </conditionalFormatting>
  <conditionalFormatting sqref="F52 H52 J52">
    <cfRule type="containsText" dxfId="66"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203125" style="1358" customWidth="1"/>
    <col min="2" max="2" width="15.77734375" style="1358" customWidth="1"/>
    <col min="3" max="3" width="14.33203125" style="1358" customWidth="1"/>
    <col min="4" max="4" width="12.21875" style="1358" customWidth="1"/>
    <col min="5" max="5" width="14.33203125" style="1358" customWidth="1"/>
    <col min="6" max="6" width="12.21875" style="1358" customWidth="1"/>
    <col min="7" max="7" width="14.44140625" style="1358" customWidth="1"/>
    <col min="8" max="8" width="12.21875" style="1358" customWidth="1"/>
    <col min="9" max="9" width="14.44140625" style="1358" customWidth="1"/>
    <col min="10" max="10" width="12.21875" style="1358" customWidth="1"/>
    <col min="11" max="11" width="12.21875" style="1359" customWidth="1"/>
    <col min="12" max="12" width="12.21875" style="1360" customWidth="1"/>
    <col min="13" max="15" width="12.21875" style="1358" customWidth="1"/>
    <col min="16" max="16" width="4.77734375" style="1358" customWidth="1"/>
    <col min="17" max="17" width="19.44140625" style="1358" customWidth="1"/>
    <col min="18" max="22" width="6.109375" style="1358" customWidth="1"/>
    <col min="23" max="23" width="5.77734375" style="1358" customWidth="1"/>
    <col min="24" max="24" width="4.21875" style="1358" customWidth="1"/>
    <col min="25" max="25" width="3.44140625" style="1358" customWidth="1"/>
    <col min="26" max="26" width="19.77734375" style="1358" customWidth="1"/>
    <col min="27" max="28" width="9.33203125" style="1358" customWidth="1"/>
    <col min="29" max="16384" width="9" style="1358"/>
  </cols>
  <sheetData>
    <row r="1" spans="1:29" s="1352" customFormat="1" ht="28.5" customHeight="1">
      <c r="A1" s="1983" t="s">
        <v>3505</v>
      </c>
      <c r="B1" s="1984"/>
      <c r="C1" s="1985" t="s">
        <v>3501</v>
      </c>
      <c r="D1" s="1986"/>
      <c r="E1" s="1986"/>
      <c r="F1" s="1987" t="s">
        <v>2863</v>
      </c>
      <c r="G1" s="1986"/>
      <c r="H1" s="1986"/>
      <c r="I1" s="1986"/>
      <c r="J1" s="1986"/>
      <c r="K1" s="2063"/>
      <c r="L1" s="2064"/>
      <c r="M1" s="2065"/>
      <c r="N1" s="2065"/>
      <c r="O1" s="2065"/>
      <c r="P1" s="2066"/>
      <c r="Q1" s="2066"/>
      <c r="R1" s="2066"/>
      <c r="S1" s="2066"/>
      <c r="T1" s="2066"/>
      <c r="U1" s="2066"/>
      <c r="V1" s="2066"/>
      <c r="W1" s="2066"/>
      <c r="X1" s="2066"/>
      <c r="Y1" s="2066"/>
      <c r="Z1" s="2066"/>
      <c r="AA1" s="2066"/>
      <c r="AB1" s="2066"/>
      <c r="AC1" s="2082"/>
    </row>
    <row r="2" spans="1:29" s="1352" customFormat="1" ht="28.5" customHeight="1">
      <c r="A2" s="377" t="s">
        <v>2864</v>
      </c>
      <c r="B2" s="1988" t="e">
        <f>F61</f>
        <v>#DIV/0!</v>
      </c>
      <c r="C2" s="1376"/>
      <c r="D2" s="1376"/>
      <c r="E2" s="1376"/>
      <c r="F2" s="1381"/>
      <c r="G2" s="1376"/>
      <c r="H2" s="1376"/>
      <c r="I2" s="1376"/>
      <c r="J2" s="1376"/>
      <c r="K2" s="1525"/>
      <c r="L2" s="1522"/>
      <c r="M2" s="1523"/>
      <c r="N2" s="1523"/>
      <c r="O2" s="1523"/>
      <c r="P2" s="2066"/>
      <c r="Q2" s="2066"/>
      <c r="R2" s="2066"/>
      <c r="S2" s="2066"/>
      <c r="T2" s="2066"/>
      <c r="U2" s="2066"/>
      <c r="V2" s="2066"/>
      <c r="W2" s="2066"/>
      <c r="X2" s="2066"/>
      <c r="Y2" s="2066"/>
      <c r="Z2" s="2066"/>
      <c r="AA2" s="2066"/>
      <c r="AB2" s="2066"/>
      <c r="AC2" s="2082"/>
    </row>
    <row r="3" spans="1:29" s="1352" customFormat="1" ht="28.5" customHeight="1">
      <c r="A3" s="380" t="s">
        <v>2866</v>
      </c>
      <c r="B3" s="1377" t="e">
        <f>ROUND(IF(D3="",B2*10000/'数据-汇总表'!E3,B2*10000/D3),0)</f>
        <v>#DIV/0!</v>
      </c>
      <c r="C3" s="380" t="s">
        <v>2867</v>
      </c>
      <c r="D3" s="1989"/>
      <c r="E3" s="1376"/>
      <c r="F3" s="1381"/>
      <c r="G3" s="1376"/>
      <c r="H3" s="1376"/>
      <c r="I3" s="1376"/>
      <c r="J3" s="1376"/>
      <c r="K3" s="1525"/>
      <c r="L3" s="1522"/>
      <c r="M3" s="1523"/>
      <c r="N3" s="1523"/>
      <c r="O3" s="1523"/>
      <c r="P3" s="2066"/>
      <c r="Q3" s="2066"/>
      <c r="R3" s="2066"/>
      <c r="S3" s="2066"/>
      <c r="T3" s="2066"/>
      <c r="U3" s="2066"/>
      <c r="V3" s="2066"/>
      <c r="W3" s="2066"/>
      <c r="X3" s="2066"/>
      <c r="Y3" s="2066"/>
      <c r="Z3" s="2066"/>
      <c r="AA3" s="2066"/>
      <c r="AB3" s="2083"/>
      <c r="AC3" s="670"/>
    </row>
    <row r="4" spans="1:29" ht="14.4">
      <c r="A4" s="1382" t="s">
        <v>2869</v>
      </c>
      <c r="B4" s="1383"/>
      <c r="C4" s="3681" t="s">
        <v>2870</v>
      </c>
      <c r="D4" s="3682"/>
      <c r="E4" s="3683" t="s">
        <v>2871</v>
      </c>
      <c r="F4" s="3684"/>
      <c r="G4" s="3681" t="s">
        <v>2872</v>
      </c>
      <c r="H4" s="3682"/>
      <c r="I4" s="3681" t="s">
        <v>2873</v>
      </c>
      <c r="J4" s="3682"/>
      <c r="K4" s="1526" t="s">
        <v>2874</v>
      </c>
      <c r="L4" s="1527"/>
      <c r="M4" s="1528"/>
      <c r="N4" s="1528"/>
      <c r="O4" s="1528"/>
      <c r="P4" s="3652" t="s">
        <v>2875</v>
      </c>
      <c r="Q4" s="3653"/>
      <c r="R4" s="3658" t="s">
        <v>2871</v>
      </c>
      <c r="S4" s="3659"/>
      <c r="T4" s="3658" t="s">
        <v>2872</v>
      </c>
      <c r="U4" s="3659"/>
      <c r="V4" s="3664" t="s">
        <v>2873</v>
      </c>
      <c r="W4" s="3664"/>
      <c r="X4" s="1575"/>
      <c r="Y4" s="3658" t="s">
        <v>2875</v>
      </c>
      <c r="Z4" s="3659"/>
      <c r="AA4" s="3649" t="s">
        <v>2871</v>
      </c>
      <c r="AB4" s="3650" t="s">
        <v>2872</v>
      </c>
      <c r="AC4" s="3649" t="s">
        <v>2873</v>
      </c>
    </row>
    <row r="5" spans="1:29">
      <c r="A5" s="1384"/>
      <c r="B5" s="1385"/>
      <c r="C5" s="3685" t="s">
        <v>2876</v>
      </c>
      <c r="D5" s="3686"/>
      <c r="E5" s="3733" t="s">
        <v>3455</v>
      </c>
      <c r="F5" s="3688"/>
      <c r="G5" s="3685" t="s">
        <v>3456</v>
      </c>
      <c r="H5" s="3686"/>
      <c r="I5" s="3685" t="s">
        <v>3457</v>
      </c>
      <c r="J5" s="3686"/>
      <c r="K5" s="1526"/>
      <c r="L5" s="1527"/>
      <c r="M5" s="1528"/>
      <c r="N5" s="1528"/>
      <c r="O5" s="1528"/>
      <c r="P5" s="3654"/>
      <c r="Q5" s="3655"/>
      <c r="R5" s="3660"/>
      <c r="S5" s="3661"/>
      <c r="T5" s="3660"/>
      <c r="U5" s="3661"/>
      <c r="V5" s="3664"/>
      <c r="W5" s="3664"/>
      <c r="X5" s="1575"/>
      <c r="Y5" s="3660"/>
      <c r="Z5" s="3661"/>
      <c r="AA5" s="3650"/>
      <c r="AB5" s="3650"/>
      <c r="AC5" s="3650"/>
    </row>
    <row r="6" spans="1:29" ht="14.4">
      <c r="A6" s="1386"/>
      <c r="B6" s="1387"/>
      <c r="C6" s="3752" t="s">
        <v>3549</v>
      </c>
      <c r="D6" s="3753"/>
      <c r="E6" s="3754" t="s">
        <v>3549</v>
      </c>
      <c r="F6" s="3755"/>
      <c r="G6" s="3752" t="s">
        <v>3549</v>
      </c>
      <c r="H6" s="3753"/>
      <c r="I6" s="3752" t="s">
        <v>3549</v>
      </c>
      <c r="J6" s="3753"/>
      <c r="K6" s="1526" t="s">
        <v>2881</v>
      </c>
      <c r="L6" s="1527"/>
      <c r="M6" s="1528"/>
      <c r="N6" s="1528"/>
      <c r="O6" s="1528"/>
      <c r="P6" s="3656"/>
      <c r="Q6" s="3657"/>
      <c r="R6" s="3660"/>
      <c r="S6" s="3661"/>
      <c r="T6" s="3662"/>
      <c r="U6" s="3663"/>
      <c r="V6" s="3664"/>
      <c r="W6" s="3664"/>
      <c r="X6" s="1575"/>
      <c r="Y6" s="3662"/>
      <c r="Z6" s="3663"/>
      <c r="AA6" s="3651"/>
      <c r="AB6" s="3651"/>
      <c r="AC6" s="3651"/>
    </row>
    <row r="7" spans="1:29" s="1353" customFormat="1" ht="14.4">
      <c r="A7" s="1388" t="s">
        <v>2882</v>
      </c>
      <c r="B7" s="1389"/>
      <c r="C7" s="1390">
        <f>'数据-取费表'!B2</f>
        <v>45311</v>
      </c>
      <c r="D7" s="1391">
        <v>100</v>
      </c>
      <c r="E7" s="1392"/>
      <c r="F7" s="1393">
        <f>SUMIF(65:65,YEAR(E7)&amp;"-"&amp;INT((MONTH(E7)+2)/3),66:66)</f>
        <v>0</v>
      </c>
      <c r="G7" s="1990"/>
      <c r="H7" s="1391">
        <f>SUMIF(65:65,YEAR(G7)&amp;"-"&amp;INT((MONTH(G7)+2)/3),66:66)</f>
        <v>0</v>
      </c>
      <c r="I7" s="1990"/>
      <c r="J7" s="1391">
        <f>SUMIF(65:65,YEAR(I7)&amp;"-"&amp;INT((MONTH(I7)+2)/3),66:66)</f>
        <v>0</v>
      </c>
      <c r="K7" s="1529"/>
      <c r="L7" s="1530"/>
      <c r="M7" s="1531"/>
      <c r="N7" s="1531"/>
      <c r="O7" s="1531"/>
      <c r="P7" s="3670" t="s">
        <v>2883</v>
      </c>
      <c r="Q7" s="3680"/>
      <c r="R7" s="1576" t="s">
        <v>2884</v>
      </c>
      <c r="S7" s="1577">
        <f t="shared" ref="S7:S15" si="0">F7</f>
        <v>0</v>
      </c>
      <c r="T7" s="1576" t="s">
        <v>2884</v>
      </c>
      <c r="U7" s="1577">
        <f t="shared" ref="U7:U15" si="1">H7</f>
        <v>0</v>
      </c>
      <c r="V7" s="1576" t="s">
        <v>2884</v>
      </c>
      <c r="W7" s="1577">
        <f t="shared" ref="W7:W15" si="2">J7</f>
        <v>0</v>
      </c>
      <c r="X7" s="1578"/>
      <c r="Y7" s="3670" t="s">
        <v>2883</v>
      </c>
      <c r="Z7" s="3671"/>
      <c r="AA7" s="1593" t="e">
        <f>D7/F7</f>
        <v>#DIV/0!</v>
      </c>
      <c r="AB7" s="1593" t="e">
        <f>D7/H7</f>
        <v>#DIV/0!</v>
      </c>
      <c r="AC7" s="1593" t="e">
        <f>D7/J7</f>
        <v>#DIV/0!</v>
      </c>
    </row>
    <row r="8" spans="1:29" s="1353" customFormat="1" ht="14.4">
      <c r="A8" s="1388" t="s">
        <v>2885</v>
      </c>
      <c r="B8" s="1389"/>
      <c r="C8" s="1394" t="s">
        <v>2930</v>
      </c>
      <c r="D8" s="1391">
        <v>100</v>
      </c>
      <c r="E8" s="1394"/>
      <c r="F8" s="1393">
        <f>SUMIF(68:68,E8,69:69)-SUMIF(68:68,C8,69:69)+100</f>
        <v>0</v>
      </c>
      <c r="G8" s="1394"/>
      <c r="H8" s="1391">
        <f>SUMIF(68:68,G8,69:69)-SUMIF(68:68,C8,69:69)+100</f>
        <v>0</v>
      </c>
      <c r="I8" s="1394"/>
      <c r="J8" s="1391">
        <f>SUMIF(68:68,I8,69:69)-SUMIF(68:68,C8,69:69)+100</f>
        <v>0</v>
      </c>
      <c r="K8" s="1529"/>
      <c r="L8" s="1530"/>
      <c r="M8" s="1531"/>
      <c r="N8" s="1531"/>
      <c r="O8" s="1531"/>
      <c r="P8" s="3670" t="s">
        <v>2887</v>
      </c>
      <c r="Q8" s="3671"/>
      <c r="R8" s="1576" t="s">
        <v>2884</v>
      </c>
      <c r="S8" s="1577">
        <f t="shared" si="0"/>
        <v>0</v>
      </c>
      <c r="T8" s="1576" t="s">
        <v>2884</v>
      </c>
      <c r="U8" s="1577">
        <f t="shared" si="1"/>
        <v>0</v>
      </c>
      <c r="V8" s="1576" t="s">
        <v>2884</v>
      </c>
      <c r="W8" s="1577">
        <f t="shared" si="2"/>
        <v>0</v>
      </c>
      <c r="X8" s="1578"/>
      <c r="Y8" s="3670" t="s">
        <v>2887</v>
      </c>
      <c r="Z8" s="3671"/>
      <c r="AA8" s="1593" t="e">
        <f t="shared" ref="AA8:AA40" si="3">D8/F8</f>
        <v>#DIV/0!</v>
      </c>
      <c r="AB8" s="1593" t="e">
        <f t="shared" ref="AB8:AB40" si="4">D8/H8</f>
        <v>#DIV/0!</v>
      </c>
      <c r="AC8" s="1593" t="e">
        <f t="shared" ref="AC8:AC40" si="5">D8/J8</f>
        <v>#DIV/0!</v>
      </c>
    </row>
    <row r="9" spans="1:29" s="1353" customFormat="1" ht="14.4">
      <c r="A9" s="1395" t="s">
        <v>2888</v>
      </c>
      <c r="B9" s="1396" t="s">
        <v>2889</v>
      </c>
      <c r="C9" s="1991"/>
      <c r="D9" s="1398">
        <v>100</v>
      </c>
      <c r="E9" s="1991"/>
      <c r="F9" s="1398">
        <f>SUMIF(70:70,E9,71:71)-SUMIF(70:70,C9,71:71)+100</f>
        <v>100</v>
      </c>
      <c r="G9" s="1991"/>
      <c r="H9" s="1398">
        <f>SUMIF(70:70,G9,71:71)-SUMIF(70:70,C9,71:71)+100</f>
        <v>100</v>
      </c>
      <c r="I9" s="1991"/>
      <c r="J9" s="1398">
        <f>SUMIF(70:70,I9,71:71)-SUMIF(70:70,C9,71:71)+100</f>
        <v>100</v>
      </c>
      <c r="K9" s="1529"/>
      <c r="L9" s="1530"/>
      <c r="M9" s="1531"/>
      <c r="N9" s="1531"/>
      <c r="O9" s="2067"/>
      <c r="P9" s="3665" t="s">
        <v>2891</v>
      </c>
      <c r="Q9" s="1580" t="str">
        <f t="shared" ref="Q9:Q15" si="6">B9</f>
        <v>用途</v>
      </c>
      <c r="R9" s="1576" t="s">
        <v>2884</v>
      </c>
      <c r="S9" s="1577">
        <f t="shared" si="0"/>
        <v>100</v>
      </c>
      <c r="T9" s="1576" t="s">
        <v>2884</v>
      </c>
      <c r="U9" s="1577">
        <f t="shared" si="1"/>
        <v>100</v>
      </c>
      <c r="V9" s="1576" t="s">
        <v>2884</v>
      </c>
      <c r="W9" s="1577">
        <f t="shared" si="2"/>
        <v>100</v>
      </c>
      <c r="X9" s="1578"/>
      <c r="Y9" s="3573" t="s">
        <v>2892</v>
      </c>
      <c r="Z9" s="1594" t="str">
        <f t="shared" ref="Z9:Z15" si="7">Q9</f>
        <v>用途</v>
      </c>
      <c r="AA9" s="1593">
        <f t="shared" si="3"/>
        <v>1</v>
      </c>
      <c r="AB9" s="1593">
        <f t="shared" si="4"/>
        <v>1</v>
      </c>
      <c r="AC9" s="1593">
        <f t="shared" si="5"/>
        <v>1</v>
      </c>
    </row>
    <row r="10" spans="1:29" s="1354" customFormat="1" ht="28.8">
      <c r="A10" s="1401"/>
      <c r="B10" s="1402" t="s">
        <v>2893</v>
      </c>
      <c r="C10" s="1411"/>
      <c r="D10" s="1404">
        <v>100</v>
      </c>
      <c r="E10" s="1411"/>
      <c r="F10" s="1404">
        <f>ROUND(100/'数据-取费表'!G16,0)</f>
        <v>102</v>
      </c>
      <c r="G10" s="1411"/>
      <c r="H10" s="1404">
        <f>ROUND(100/'数据-取费表'!G16,0)</f>
        <v>102</v>
      </c>
      <c r="I10" s="1411"/>
      <c r="J10" s="1404">
        <f>ROUND(100/'数据-取费表'!G16,0)</f>
        <v>102</v>
      </c>
      <c r="K10" s="2068"/>
      <c r="L10" s="1532"/>
      <c r="M10" s="1533"/>
      <c r="N10" s="1533"/>
      <c r="O10" s="2069"/>
      <c r="P10" s="3665"/>
      <c r="Q10" s="1580" t="str">
        <f t="shared" si="6"/>
        <v>土地使用年限（年）</v>
      </c>
      <c r="R10" s="1576" t="s">
        <v>2884</v>
      </c>
      <c r="S10" s="1577">
        <f t="shared" si="0"/>
        <v>102</v>
      </c>
      <c r="T10" s="1576" t="s">
        <v>2884</v>
      </c>
      <c r="U10" s="1577">
        <f t="shared" si="1"/>
        <v>102</v>
      </c>
      <c r="V10" s="1576" t="s">
        <v>2884</v>
      </c>
      <c r="W10" s="1577">
        <f t="shared" si="2"/>
        <v>102</v>
      </c>
      <c r="X10" s="1578"/>
      <c r="Y10" s="3573"/>
      <c r="Z10" s="1594" t="str">
        <f t="shared" si="7"/>
        <v>土地使用年限（年）</v>
      </c>
      <c r="AA10" s="1593">
        <f t="shared" si="3"/>
        <v>0.98039215686274495</v>
      </c>
      <c r="AB10" s="1593">
        <f t="shared" si="4"/>
        <v>0.98039215686274495</v>
      </c>
      <c r="AC10" s="1593">
        <f t="shared" si="5"/>
        <v>0.98039215686274495</v>
      </c>
    </row>
    <row r="11" spans="1:29" ht="15">
      <c r="A11" s="1406"/>
      <c r="B11" s="1402" t="s">
        <v>3458</v>
      </c>
      <c r="C11" s="1407"/>
      <c r="D11" s="1404">
        <v>100</v>
      </c>
      <c r="E11" s="1407"/>
      <c r="F11" s="1404" t="e">
        <f>LOOKUP(E11,75:75,76:76)-LOOKUP(C11,75:75,76:76)+100</f>
        <v>#N/A</v>
      </c>
      <c r="G11" s="1408"/>
      <c r="H11" s="1404" t="e">
        <f>LOOKUP(G11,75:75,76:76)-LOOKUP(C11,75:75,76:76)+100</f>
        <v>#N/A</v>
      </c>
      <c r="I11" s="1407"/>
      <c r="J11" s="1404" t="e">
        <f>LOOKUP(I11,75:75,76:76)-LOOKUP(C11,75:75,76:76)+100</f>
        <v>#N/A</v>
      </c>
      <c r="K11" s="2070"/>
      <c r="L11" s="1535"/>
      <c r="M11" s="1528"/>
      <c r="N11" s="1528"/>
      <c r="O11" s="2071"/>
      <c r="P11" s="3665"/>
      <c r="Q11" s="1580" t="str">
        <f t="shared" si="6"/>
        <v>容积率</v>
      </c>
      <c r="R11" s="1576" t="s">
        <v>2884</v>
      </c>
      <c r="S11" s="1577" t="e">
        <f t="shared" si="0"/>
        <v>#N/A</v>
      </c>
      <c r="T11" s="1576" t="s">
        <v>2884</v>
      </c>
      <c r="U11" s="1577" t="e">
        <f t="shared" si="1"/>
        <v>#N/A</v>
      </c>
      <c r="V11" s="1576" t="s">
        <v>2884</v>
      </c>
      <c r="W11" s="1577" t="e">
        <f t="shared" si="2"/>
        <v>#N/A</v>
      </c>
      <c r="X11" s="1578"/>
      <c r="Y11" s="3573"/>
      <c r="Z11" s="1594" t="str">
        <f t="shared" si="7"/>
        <v>容积率</v>
      </c>
      <c r="AA11" s="1593" t="e">
        <f t="shared" si="3"/>
        <v>#N/A</v>
      </c>
      <c r="AB11" s="1593" t="e">
        <f t="shared" si="4"/>
        <v>#N/A</v>
      </c>
      <c r="AC11" s="1593" t="e">
        <f t="shared" si="5"/>
        <v>#N/A</v>
      </c>
    </row>
    <row r="12" spans="1:29" s="1353" customFormat="1" ht="15">
      <c r="A12" s="1409"/>
      <c r="B12" s="1410">
        <v>111</v>
      </c>
      <c r="C12" s="1411"/>
      <c r="D12" s="1412">
        <v>100</v>
      </c>
      <c r="E12" s="1603"/>
      <c r="F12" s="1404">
        <f>SUMIF(77:77,E12,78:78)-SUMIF(77:77,C12,78:78)+100</f>
        <v>100</v>
      </c>
      <c r="G12" s="1992"/>
      <c r="H12" s="1404">
        <f>SUMIF(77:77,G12,78:78)-SUMIF(77:77,C12,78:78)+100</f>
        <v>100</v>
      </c>
      <c r="I12" s="1603"/>
      <c r="J12" s="1404">
        <f>SUMIF(77:77,I12,78:78)-SUMIF(77:77,C12,78:78)+100</f>
        <v>100</v>
      </c>
      <c r="K12" s="2068"/>
      <c r="L12" s="1530"/>
      <c r="M12" s="1531"/>
      <c r="N12" s="1531"/>
      <c r="O12" s="2067"/>
      <c r="P12" s="3665"/>
      <c r="Q12" s="1580">
        <f t="shared" si="6"/>
        <v>111</v>
      </c>
      <c r="R12" s="1576" t="s">
        <v>2884</v>
      </c>
      <c r="S12" s="1577">
        <f t="shared" si="0"/>
        <v>100</v>
      </c>
      <c r="T12" s="1576" t="s">
        <v>2884</v>
      </c>
      <c r="U12" s="1577">
        <f t="shared" si="1"/>
        <v>100</v>
      </c>
      <c r="V12" s="1576" t="s">
        <v>2884</v>
      </c>
      <c r="W12" s="1577">
        <f t="shared" si="2"/>
        <v>100</v>
      </c>
      <c r="X12" s="1578"/>
      <c r="Y12" s="3573"/>
      <c r="Z12" s="1594">
        <f t="shared" si="7"/>
        <v>111</v>
      </c>
      <c r="AA12" s="1593">
        <f t="shared" si="3"/>
        <v>1</v>
      </c>
      <c r="AB12" s="1593">
        <f t="shared" si="4"/>
        <v>1</v>
      </c>
      <c r="AC12" s="1593">
        <f t="shared" si="5"/>
        <v>1</v>
      </c>
    </row>
    <row r="13" spans="1:29" ht="15">
      <c r="A13" s="1406"/>
      <c r="B13" s="1410">
        <v>111</v>
      </c>
      <c r="C13" s="1413"/>
      <c r="D13" s="1414">
        <v>100</v>
      </c>
      <c r="E13" s="1603"/>
      <c r="F13" s="1404">
        <f>SUMIF(79:79,E13,80:80)-SUMIF(79:79,C13,80:80)+100</f>
        <v>100</v>
      </c>
      <c r="G13" s="1992"/>
      <c r="H13" s="1414">
        <f>SUMIF(79:79,G13,80:80)-SUMIF(79:79,C13,80:80)+100</f>
        <v>100</v>
      </c>
      <c r="I13" s="1603"/>
      <c r="J13" s="1414">
        <f>SUMIF(79:79,I13,80:80)-SUMIF(79:79,C13,80:80)+100</f>
        <v>100</v>
      </c>
      <c r="K13" s="2068"/>
      <c r="L13" s="1537"/>
      <c r="M13" s="1528"/>
      <c r="N13" s="1528"/>
      <c r="O13" s="2071"/>
      <c r="P13" s="3665"/>
      <c r="Q13" s="1580">
        <f t="shared" si="6"/>
        <v>111</v>
      </c>
      <c r="R13" s="1576" t="s">
        <v>2884</v>
      </c>
      <c r="S13" s="1577">
        <f t="shared" si="0"/>
        <v>100</v>
      </c>
      <c r="T13" s="1576" t="s">
        <v>2884</v>
      </c>
      <c r="U13" s="1577">
        <f t="shared" si="1"/>
        <v>100</v>
      </c>
      <c r="V13" s="1576" t="s">
        <v>2884</v>
      </c>
      <c r="W13" s="1577">
        <f t="shared" si="2"/>
        <v>100</v>
      </c>
      <c r="X13" s="1578"/>
      <c r="Y13" s="3573"/>
      <c r="Z13" s="1594">
        <f t="shared" si="7"/>
        <v>111</v>
      </c>
      <c r="AA13" s="1593">
        <f t="shared" si="3"/>
        <v>1</v>
      </c>
      <c r="AB13" s="1593">
        <f t="shared" si="4"/>
        <v>1</v>
      </c>
      <c r="AC13" s="1593">
        <f t="shared" si="5"/>
        <v>1</v>
      </c>
    </row>
    <row r="14" spans="1:29" ht="15">
      <c r="A14" s="1415"/>
      <c r="B14" s="1416">
        <v>111</v>
      </c>
      <c r="C14" s="1417"/>
      <c r="D14" s="1418">
        <v>100</v>
      </c>
      <c r="E14" s="1603"/>
      <c r="F14" s="1418">
        <f>SUMIF(81:81,E14,82:82)-SUMIF(81:81,C14,82:82)+100</f>
        <v>100</v>
      </c>
      <c r="G14" s="1992"/>
      <c r="H14" s="1418">
        <f>SUMIF(81:81,G14,82:82)-SUMIF(81:81,C14,82:82)+100</f>
        <v>100</v>
      </c>
      <c r="I14" s="1603"/>
      <c r="J14" s="1418">
        <f>SUMIF(81:81,I14,82:82)-SUMIF(81:81,C14,82:82)+100</f>
        <v>100</v>
      </c>
      <c r="K14" s="2068"/>
      <c r="L14" s="1537"/>
      <c r="M14" s="1528"/>
      <c r="N14" s="1528"/>
      <c r="O14" s="2071"/>
      <c r="P14" s="3665"/>
      <c r="Q14" s="1580">
        <f t="shared" si="6"/>
        <v>111</v>
      </c>
      <c r="R14" s="1576" t="s">
        <v>2884</v>
      </c>
      <c r="S14" s="1577">
        <f t="shared" si="0"/>
        <v>100</v>
      </c>
      <c r="T14" s="1576" t="s">
        <v>2884</v>
      </c>
      <c r="U14" s="1577">
        <f t="shared" si="1"/>
        <v>100</v>
      </c>
      <c r="V14" s="1576" t="s">
        <v>2884</v>
      </c>
      <c r="W14" s="1577">
        <f t="shared" si="2"/>
        <v>100</v>
      </c>
      <c r="X14" s="1578"/>
      <c r="Y14" s="3573"/>
      <c r="Z14" s="1594">
        <f t="shared" si="7"/>
        <v>111</v>
      </c>
      <c r="AA14" s="1593">
        <f t="shared" si="3"/>
        <v>1</v>
      </c>
      <c r="AB14" s="1593">
        <f t="shared" si="4"/>
        <v>1</v>
      </c>
      <c r="AC14" s="1593">
        <f t="shared" si="5"/>
        <v>1</v>
      </c>
    </row>
    <row r="15" spans="1:29" ht="69">
      <c r="A15" s="1420" t="s">
        <v>2895</v>
      </c>
      <c r="B15" s="1993" t="s">
        <v>3502</v>
      </c>
      <c r="C15" s="1994" t="str">
        <f>估价对象房地状况!G15</f>
        <v>估价对象位于XX开发区，园区建设成熟度XX，产业集聚程度XX</v>
      </c>
      <c r="D15" s="1423">
        <v>100</v>
      </c>
      <c r="E15" s="1424"/>
      <c r="F15" s="1423">
        <f>SUMIF(83:83,E16,84:84)-SUMIF(83:83,C16,84:84)+100</f>
        <v>100</v>
      </c>
      <c r="G15" s="1424"/>
      <c r="H15" s="1423">
        <f>SUMIF(83:83,G16,84:84)-SUMIF(83:83,C16,84:84)+100</f>
        <v>100</v>
      </c>
      <c r="I15" s="1426"/>
      <c r="J15" s="1423">
        <f>SUMIF(83:83,I16,84:84)-SUMIF(83:83,C16,84:84)+100</f>
        <v>100</v>
      </c>
      <c r="K15" s="2070"/>
      <c r="L15" s="1537"/>
      <c r="M15" s="1528"/>
      <c r="N15" s="1528"/>
      <c r="O15" s="2071"/>
      <c r="P15" s="3672" t="s">
        <v>2897</v>
      </c>
      <c r="Q15" s="1076" t="str">
        <f t="shared" si="6"/>
        <v>产业集聚程度</v>
      </c>
      <c r="R15" s="1581" t="s">
        <v>2884</v>
      </c>
      <c r="S15" s="1582">
        <f t="shared" si="0"/>
        <v>100</v>
      </c>
      <c r="T15" s="1581" t="s">
        <v>2884</v>
      </c>
      <c r="U15" s="1582">
        <f t="shared" si="1"/>
        <v>100</v>
      </c>
      <c r="V15" s="1581" t="s">
        <v>2884</v>
      </c>
      <c r="W15" s="1582">
        <f t="shared" si="2"/>
        <v>100</v>
      </c>
      <c r="X15" s="1575"/>
      <c r="Y15" s="3672" t="s">
        <v>2897</v>
      </c>
      <c r="Z15" s="1574" t="str">
        <f t="shared" si="7"/>
        <v>产业集聚程度</v>
      </c>
      <c r="AA15" s="1587">
        <f t="shared" si="3"/>
        <v>1</v>
      </c>
      <c r="AB15" s="1587">
        <f t="shared" si="4"/>
        <v>1</v>
      </c>
      <c r="AC15" s="1587">
        <f t="shared" si="5"/>
        <v>1</v>
      </c>
    </row>
    <row r="16" spans="1:29" ht="15">
      <c r="A16" s="1406"/>
      <c r="B16" s="1995"/>
      <c r="C16" s="1428"/>
      <c r="D16" s="1429"/>
      <c r="E16" s="1996"/>
      <c r="F16" s="1429"/>
      <c r="G16" s="1996"/>
      <c r="H16" s="1431"/>
      <c r="I16" s="1996"/>
      <c r="J16" s="1429"/>
      <c r="K16" s="2068"/>
      <c r="L16" s="1537"/>
      <c r="M16" s="1528"/>
      <c r="N16" s="1528"/>
      <c r="O16" s="2071"/>
      <c r="P16" s="3673"/>
      <c r="Q16" s="1076"/>
      <c r="R16" s="1581"/>
      <c r="S16" s="1582"/>
      <c r="T16" s="1581"/>
      <c r="U16" s="1582"/>
      <c r="V16" s="1581"/>
      <c r="W16" s="1582"/>
      <c r="X16" s="1575"/>
      <c r="Y16" s="3673"/>
      <c r="Z16" s="1574"/>
      <c r="AA16" s="1587">
        <v>1</v>
      </c>
      <c r="AB16" s="1587">
        <v>1</v>
      </c>
      <c r="AC16" s="1587">
        <v>1</v>
      </c>
    </row>
    <row r="17" spans="1:29" ht="96.6">
      <c r="A17" s="1406"/>
      <c r="B17" s="1997" t="s">
        <v>2896</v>
      </c>
      <c r="C17" s="1433" t="str">
        <f>估价对象房地状况!G16</f>
        <v>估价对象周边道路状况、公共交通通达情况、停车便捷程度，综合评价交通便捷度较好</v>
      </c>
      <c r="D17" s="1431">
        <v>100</v>
      </c>
      <c r="E17" s="1434"/>
      <c r="F17" s="1437">
        <f>SUMIF(85:85,E18,86:86)-SUMIF(85:85,C18,86:86)+100</f>
        <v>100</v>
      </c>
      <c r="G17" s="1434"/>
      <c r="H17" s="1437">
        <f>SUMIF(85:85,G18,86:86)-SUMIF(85:85,C18,86:86)+100</f>
        <v>100</v>
      </c>
      <c r="I17" s="1436"/>
      <c r="J17" s="1431">
        <f>SUMIF(85:85,I18,86:86)-SUMIF(85:85,C18,86:86)+100</f>
        <v>100</v>
      </c>
      <c r="K17" s="2070"/>
      <c r="L17" s="1537"/>
      <c r="M17" s="1528"/>
      <c r="N17" s="1528"/>
      <c r="O17" s="2071"/>
      <c r="P17" s="3673"/>
      <c r="Q17" s="1076" t="str">
        <f>B17</f>
        <v>交通便捷度</v>
      </c>
      <c r="R17" s="1581" t="s">
        <v>2884</v>
      </c>
      <c r="S17" s="1582">
        <f>F17</f>
        <v>100</v>
      </c>
      <c r="T17" s="1581" t="s">
        <v>2884</v>
      </c>
      <c r="U17" s="1582">
        <f>H17</f>
        <v>100</v>
      </c>
      <c r="V17" s="1581" t="s">
        <v>2884</v>
      </c>
      <c r="W17" s="1582">
        <f>J17</f>
        <v>100</v>
      </c>
      <c r="X17" s="1575"/>
      <c r="Y17" s="3673"/>
      <c r="Z17" s="1574" t="str">
        <f>Q17</f>
        <v>交通便捷度</v>
      </c>
      <c r="AA17" s="1587">
        <f t="shared" si="3"/>
        <v>1</v>
      </c>
      <c r="AB17" s="1587">
        <f t="shared" si="4"/>
        <v>1</v>
      </c>
      <c r="AC17" s="1587">
        <f t="shared" si="5"/>
        <v>1</v>
      </c>
    </row>
    <row r="18" spans="1:29" ht="15">
      <c r="A18" s="1406"/>
      <c r="B18" s="1998"/>
      <c r="C18" s="1428"/>
      <c r="D18" s="1429"/>
      <c r="E18" s="1445"/>
      <c r="F18" s="1429"/>
      <c r="G18" s="1445"/>
      <c r="H18" s="1429"/>
      <c r="I18" s="1446"/>
      <c r="J18" s="1429"/>
      <c r="K18" s="2068"/>
      <c r="L18" s="1537"/>
      <c r="M18" s="1528"/>
      <c r="N18" s="1528"/>
      <c r="O18" s="2071"/>
      <c r="P18" s="3673"/>
      <c r="Q18" s="1076"/>
      <c r="R18" s="1581"/>
      <c r="S18" s="1582"/>
      <c r="T18" s="1581"/>
      <c r="U18" s="1582"/>
      <c r="V18" s="1581"/>
      <c r="W18" s="1582"/>
      <c r="X18" s="1575"/>
      <c r="Y18" s="3673"/>
      <c r="Z18" s="1574"/>
      <c r="AA18" s="1587">
        <v>1</v>
      </c>
      <c r="AB18" s="1587">
        <v>1</v>
      </c>
      <c r="AC18" s="1587">
        <v>1</v>
      </c>
    </row>
    <row r="19" spans="1:29" ht="28.8">
      <c r="A19" s="1406"/>
      <c r="B19" s="1997" t="s">
        <v>3509</v>
      </c>
      <c r="C19" s="1433">
        <f>估价对象房地状况!G17</f>
        <v>0</v>
      </c>
      <c r="D19" s="1431">
        <v>100</v>
      </c>
      <c r="E19" s="1434"/>
      <c r="F19" s="1437">
        <f>SUMIF(87:87,E20,88:88)-SUMIF(87:87,C20,88:88)+100</f>
        <v>100</v>
      </c>
      <c r="G19" s="1434"/>
      <c r="H19" s="1437">
        <f>SUMIF(87:87,G20,88:88)-SUMIF(87:87,C20,88:88)+100</f>
        <v>100</v>
      </c>
      <c r="I19" s="1434"/>
      <c r="J19" s="1437">
        <f>SUMIF(87:87,I20,88:88)-SUMIF(87:87,C20,88:88)+100</f>
        <v>100</v>
      </c>
      <c r="K19" s="2070"/>
      <c r="L19" s="1537"/>
      <c r="M19" s="1528"/>
      <c r="N19" s="1528"/>
      <c r="O19" s="2071"/>
      <c r="P19" s="3673"/>
      <c r="Q19" s="1076" t="str">
        <f t="shared" ref="Q19:Q34" si="8">B19</f>
        <v>区域土地利用方向</v>
      </c>
      <c r="R19" s="1581" t="s">
        <v>2884</v>
      </c>
      <c r="S19" s="1582">
        <f>F19</f>
        <v>100</v>
      </c>
      <c r="T19" s="1581" t="s">
        <v>2884</v>
      </c>
      <c r="U19" s="1582">
        <f>H19</f>
        <v>100</v>
      </c>
      <c r="V19" s="1581" t="s">
        <v>2884</v>
      </c>
      <c r="W19" s="1582">
        <f>J19</f>
        <v>100</v>
      </c>
      <c r="X19" s="1575"/>
      <c r="Y19" s="3673"/>
      <c r="Z19" s="1574" t="str">
        <f>Q19</f>
        <v>区域土地利用方向</v>
      </c>
      <c r="AA19" s="1587">
        <f t="shared" si="3"/>
        <v>1</v>
      </c>
      <c r="AB19" s="1587">
        <f t="shared" si="4"/>
        <v>1</v>
      </c>
      <c r="AC19" s="1587">
        <f t="shared" si="5"/>
        <v>1</v>
      </c>
    </row>
    <row r="20" spans="1:29" ht="15">
      <c r="A20" s="1384"/>
      <c r="B20" s="1998"/>
      <c r="C20" s="1428"/>
      <c r="D20" s="1429"/>
      <c r="E20" s="1445"/>
      <c r="F20" s="1429"/>
      <c r="G20" s="1445"/>
      <c r="H20" s="1429"/>
      <c r="I20" s="1445"/>
      <c r="J20" s="1429"/>
      <c r="K20" s="2072"/>
      <c r="L20" s="1537"/>
      <c r="M20" s="1528"/>
      <c r="N20" s="1528"/>
      <c r="O20" s="2071"/>
      <c r="P20" s="3673"/>
      <c r="Q20" s="1076"/>
      <c r="R20" s="1581"/>
      <c r="S20" s="1582"/>
      <c r="T20" s="1581"/>
      <c r="U20" s="1582"/>
      <c r="V20" s="1581"/>
      <c r="W20" s="1582"/>
      <c r="X20" s="1575"/>
      <c r="Y20" s="3673"/>
      <c r="Z20" s="1574"/>
      <c r="AA20" s="1587"/>
      <c r="AB20" s="1587"/>
      <c r="AC20" s="1587"/>
    </row>
    <row r="21" spans="1:29" ht="82.8">
      <c r="A21" s="1384"/>
      <c r="B21" s="1997" t="s">
        <v>3550</v>
      </c>
      <c r="C21" s="1433" t="str">
        <f>估价对象房地状况!G18</f>
        <v>该园区内是否有污染型企业，绿化情况，卫生条件，整体环境状况判断</v>
      </c>
      <c r="D21" s="1431">
        <v>100</v>
      </c>
      <c r="E21" s="1434"/>
      <c r="F21" s="1431">
        <f>SUMIF(89:89,E22,90:90)-SUMIF(89:89,C22,90:90)+100</f>
        <v>100</v>
      </c>
      <c r="G21" s="1434"/>
      <c r="H21" s="1431">
        <f>SUMIF(89:89,G22,90:90)-SUMIF(89:89,C22,90:90)+100</f>
        <v>100</v>
      </c>
      <c r="I21" s="1436"/>
      <c r="J21" s="1431">
        <f>SUMIF(89:89,I22,90:90)-SUMIF(89:89,C22,90:90)+100</f>
        <v>100</v>
      </c>
      <c r="K21" s="2070"/>
      <c r="L21" s="1537"/>
      <c r="M21" s="1528"/>
      <c r="N21" s="1528"/>
      <c r="O21" s="2071"/>
      <c r="P21" s="3673"/>
      <c r="Q21" s="1076" t="str">
        <f t="shared" si="8"/>
        <v>环境状况</v>
      </c>
      <c r="R21" s="1581" t="s">
        <v>2884</v>
      </c>
      <c r="S21" s="1582">
        <f>F21</f>
        <v>100</v>
      </c>
      <c r="T21" s="1581" t="s">
        <v>2884</v>
      </c>
      <c r="U21" s="1582">
        <f>H21</f>
        <v>100</v>
      </c>
      <c r="V21" s="1581" t="s">
        <v>2884</v>
      </c>
      <c r="W21" s="1582">
        <f>J21</f>
        <v>100</v>
      </c>
      <c r="X21" s="1575"/>
      <c r="Y21" s="3673"/>
      <c r="Z21" s="1574" t="str">
        <f>Q21</f>
        <v>环境状况</v>
      </c>
      <c r="AA21" s="1587">
        <f t="shared" si="3"/>
        <v>1</v>
      </c>
      <c r="AB21" s="1587">
        <f t="shared" si="4"/>
        <v>1</v>
      </c>
      <c r="AC21" s="1587">
        <f t="shared" si="5"/>
        <v>1</v>
      </c>
    </row>
    <row r="22" spans="1:29" ht="15">
      <c r="A22" s="1384"/>
      <c r="B22" s="1998"/>
      <c r="C22" s="1428"/>
      <c r="D22" s="1429"/>
      <c r="E22" s="1996"/>
      <c r="F22" s="1429"/>
      <c r="G22" s="1996"/>
      <c r="H22" s="1429"/>
      <c r="I22" s="1428"/>
      <c r="J22" s="1429"/>
      <c r="K22" s="2068"/>
      <c r="L22" s="1537"/>
      <c r="M22" s="1528"/>
      <c r="N22" s="1528"/>
      <c r="O22" s="2071"/>
      <c r="P22" s="3673"/>
      <c r="Q22" s="1076"/>
      <c r="R22" s="1581"/>
      <c r="S22" s="1582"/>
      <c r="T22" s="1581"/>
      <c r="U22" s="1582"/>
      <c r="V22" s="1581"/>
      <c r="W22" s="1582"/>
      <c r="X22" s="1575"/>
      <c r="Y22" s="3673"/>
      <c r="Z22" s="1574"/>
      <c r="AA22" s="1587">
        <v>1</v>
      </c>
      <c r="AB22" s="1587">
        <v>1</v>
      </c>
      <c r="AC22" s="1587">
        <v>1</v>
      </c>
    </row>
    <row r="23" spans="1:29" s="1353" customFormat="1" ht="41.4">
      <c r="A23" s="1999"/>
      <c r="B23" s="2000" t="s">
        <v>2899</v>
      </c>
      <c r="C23" s="1433" t="str">
        <f>估价对象房地状况!G19</f>
        <v>估价对象所在区域公共配套设施齐备情况</v>
      </c>
      <c r="D23" s="1431">
        <v>100</v>
      </c>
      <c r="E23" s="1434"/>
      <c r="F23" s="1431">
        <f>SUMIF(91:91,E24,92:92)-SUMIF(91:91,C24,92:92)+100</f>
        <v>100</v>
      </c>
      <c r="G23" s="1434"/>
      <c r="H23" s="1431">
        <f>SUMIF(91:91,G24,92:92)-SUMIF(91:91,C24,92:92)+100</f>
        <v>100</v>
      </c>
      <c r="I23" s="1436"/>
      <c r="J23" s="1431">
        <f>SUMIF(91:91,I24,92:92)-SUMIF(91:91,C24,92:92)+100</f>
        <v>100</v>
      </c>
      <c r="K23" s="2070"/>
      <c r="L23" s="1530"/>
      <c r="M23" s="1531"/>
      <c r="N23" s="1531"/>
      <c r="O23" s="2067"/>
      <c r="P23" s="3673"/>
      <c r="Q23" s="1580" t="str">
        <f t="shared" si="8"/>
        <v>公共配套设施</v>
      </c>
      <c r="R23" s="1576" t="s">
        <v>2884</v>
      </c>
      <c r="S23" s="1577">
        <f>F23</f>
        <v>100</v>
      </c>
      <c r="T23" s="1576" t="s">
        <v>2884</v>
      </c>
      <c r="U23" s="1577">
        <f>H23</f>
        <v>100</v>
      </c>
      <c r="V23" s="1576" t="s">
        <v>2884</v>
      </c>
      <c r="W23" s="1577">
        <f>J23</f>
        <v>100</v>
      </c>
      <c r="X23" s="1578"/>
      <c r="Y23" s="3673"/>
      <c r="Z23" s="1594" t="str">
        <f>Q23</f>
        <v>公共配套设施</v>
      </c>
      <c r="AA23" s="1587">
        <f>D23/F23</f>
        <v>1</v>
      </c>
      <c r="AB23" s="1587">
        <f>D23/H23</f>
        <v>1</v>
      </c>
      <c r="AC23" s="1587">
        <f>D23/J23</f>
        <v>1</v>
      </c>
    </row>
    <row r="24" spans="1:29" s="1353" customFormat="1" ht="15">
      <c r="A24" s="1999"/>
      <c r="B24" s="1998"/>
      <c r="C24" s="2001"/>
      <c r="D24" s="1429"/>
      <c r="E24" s="1996"/>
      <c r="F24" s="1429"/>
      <c r="G24" s="1996"/>
      <c r="H24" s="1429"/>
      <c r="I24" s="1428"/>
      <c r="J24" s="1429"/>
      <c r="K24" s="2068"/>
      <c r="L24" s="1530"/>
      <c r="M24" s="1531"/>
      <c r="N24" s="1531"/>
      <c r="O24" s="2067"/>
      <c r="P24" s="3673"/>
      <c r="Q24" s="1580"/>
      <c r="R24" s="1576"/>
      <c r="S24" s="1577"/>
      <c r="T24" s="1576"/>
      <c r="U24" s="1577"/>
      <c r="V24" s="1576"/>
      <c r="W24" s="1577"/>
      <c r="X24" s="1578"/>
      <c r="Y24" s="3673"/>
      <c r="Z24" s="1594"/>
      <c r="AA24" s="1593">
        <v>1</v>
      </c>
      <c r="AB24" s="1593">
        <v>1</v>
      </c>
      <c r="AC24" s="1593">
        <v>1</v>
      </c>
    </row>
    <row r="25" spans="1:29" s="1353" customFormat="1" ht="41.4">
      <c r="A25" s="1999"/>
      <c r="B25" s="2000" t="s">
        <v>2901</v>
      </c>
      <c r="C25" s="1433" t="str">
        <f>估价对象房地状况!G20</f>
        <v>估价对象所在区域基础设施水平</v>
      </c>
      <c r="D25" s="1431">
        <v>100</v>
      </c>
      <c r="E25" s="1434"/>
      <c r="F25" s="1431">
        <f>SUMIF(93:93,E26,94:94)-SUMIF(93:93,C26,94:94)+100</f>
        <v>100</v>
      </c>
      <c r="G25" s="1434"/>
      <c r="H25" s="1431">
        <f>SUMIF(93:93,G26,94:94)-SUMIF(93:93,C26,94:94)+100</f>
        <v>100</v>
      </c>
      <c r="I25" s="1436"/>
      <c r="J25" s="1431">
        <f>SUMIF(93:93,I26,94:94)-SUMIF(93:93,C26,94:94)+100</f>
        <v>100</v>
      </c>
      <c r="K25" s="2070"/>
      <c r="L25" s="1530"/>
      <c r="M25" s="1531"/>
      <c r="N25" s="1531"/>
      <c r="O25" s="2067"/>
      <c r="P25" s="3673"/>
      <c r="Q25" s="1580" t="str">
        <f t="shared" ref="Q25" si="9">B25</f>
        <v>基础设施水平</v>
      </c>
      <c r="R25" s="1576" t="s">
        <v>2884</v>
      </c>
      <c r="S25" s="1577">
        <f>F25</f>
        <v>100</v>
      </c>
      <c r="T25" s="1576" t="s">
        <v>2884</v>
      </c>
      <c r="U25" s="1577">
        <f>H25</f>
        <v>100</v>
      </c>
      <c r="V25" s="1576" t="s">
        <v>2884</v>
      </c>
      <c r="W25" s="1577">
        <f>J25</f>
        <v>100</v>
      </c>
      <c r="X25" s="1578"/>
      <c r="Y25" s="3673"/>
      <c r="Z25" s="1594" t="str">
        <f>Q25</f>
        <v>基础设施水平</v>
      </c>
      <c r="AA25" s="1587">
        <f>D25/F25</f>
        <v>1</v>
      </c>
      <c r="AB25" s="1587">
        <f>D25/H25</f>
        <v>1</v>
      </c>
      <c r="AC25" s="1587">
        <f>D25/J25</f>
        <v>1</v>
      </c>
    </row>
    <row r="26" spans="1:29" s="1353" customFormat="1" ht="15">
      <c r="A26" s="1999"/>
      <c r="B26" s="1998"/>
      <c r="C26" s="2001"/>
      <c r="D26" s="1429"/>
      <c r="E26" s="2002"/>
      <c r="F26" s="1429"/>
      <c r="G26" s="2002"/>
      <c r="H26" s="1429"/>
      <c r="I26" s="2002"/>
      <c r="J26" s="1429"/>
      <c r="K26" s="2068"/>
      <c r="L26" s="1530"/>
      <c r="M26" s="1531"/>
      <c r="N26" s="1531"/>
      <c r="O26" s="2067"/>
      <c r="P26" s="3673"/>
      <c r="Q26" s="1580"/>
      <c r="R26" s="1576"/>
      <c r="S26" s="1577"/>
      <c r="T26" s="1576"/>
      <c r="U26" s="1577"/>
      <c r="V26" s="1576"/>
      <c r="W26" s="1577"/>
      <c r="X26" s="1578"/>
      <c r="Y26" s="3673"/>
      <c r="Z26" s="1594"/>
      <c r="AA26" s="1593">
        <v>1</v>
      </c>
      <c r="AB26" s="1593">
        <v>1</v>
      </c>
      <c r="AC26" s="1593">
        <v>1</v>
      </c>
    </row>
    <row r="27" spans="1:29" ht="15">
      <c r="A27" s="1406"/>
      <c r="B27" s="1998" t="s">
        <v>3511</v>
      </c>
      <c r="C27" s="1448"/>
      <c r="D27" s="1414">
        <v>100</v>
      </c>
      <c r="E27" s="2003"/>
      <c r="F27" s="1414">
        <f>SUMIF(95:95,E27,96:96)-SUMIF(95:95,C27,96:96)+100</f>
        <v>100</v>
      </c>
      <c r="G27" s="2003"/>
      <c r="H27" s="1414">
        <f>SUMIF(95:95,G27,96:96)-SUMIF(95:95,C27,96:96)+100</f>
        <v>100</v>
      </c>
      <c r="I27" s="2003"/>
      <c r="J27" s="1414">
        <f>SUMIF(95:95,I27,96:96)-SUMIF(95:95,C27,96:96)+100</f>
        <v>100</v>
      </c>
      <c r="K27" s="2070"/>
      <c r="L27" s="1537"/>
      <c r="M27" s="1528"/>
      <c r="N27" s="1528"/>
      <c r="O27" s="2071"/>
      <c r="P27" s="3673"/>
      <c r="Q27" s="1076" t="str">
        <f t="shared" si="8"/>
        <v>临街状况</v>
      </c>
      <c r="R27" s="1581" t="s">
        <v>2884</v>
      </c>
      <c r="S27" s="1582">
        <f t="shared" ref="S27:S40" si="10">F27</f>
        <v>100</v>
      </c>
      <c r="T27" s="1581" t="s">
        <v>2884</v>
      </c>
      <c r="U27" s="1582">
        <f t="shared" ref="U27:U40" si="11">H27</f>
        <v>100</v>
      </c>
      <c r="V27" s="1581" t="s">
        <v>2884</v>
      </c>
      <c r="W27" s="1582">
        <f t="shared" ref="W27:W40" si="12">J27</f>
        <v>100</v>
      </c>
      <c r="X27" s="1575"/>
      <c r="Y27" s="3673"/>
      <c r="Z27" s="1574" t="str">
        <f t="shared" ref="Z27:Z40" si="13">Q27</f>
        <v>临街状况</v>
      </c>
      <c r="AA27" s="1587">
        <f t="shared" si="3"/>
        <v>1</v>
      </c>
      <c r="AB27" s="1587">
        <f t="shared" si="4"/>
        <v>1</v>
      </c>
      <c r="AC27" s="1587">
        <f t="shared" si="5"/>
        <v>1</v>
      </c>
    </row>
    <row r="28" spans="1:29" ht="28.8">
      <c r="A28" s="1406"/>
      <c r="B28" s="2000" t="s">
        <v>3495</v>
      </c>
      <c r="C28" s="2004">
        <f>估价对象房地状况!G22</f>
        <v>0</v>
      </c>
      <c r="D28" s="1431">
        <v>100</v>
      </c>
      <c r="E28" s="1434"/>
      <c r="F28" s="1431">
        <f>SUMIF(97:97,E29,98:98)-SUMIF(97:97,C29,98:98)+100</f>
        <v>100</v>
      </c>
      <c r="G28" s="1434"/>
      <c r="H28" s="1431">
        <f>SUMIF(97:97,G29,98:98)-SUMIF(97:97,C29,98:98)+100</f>
        <v>100</v>
      </c>
      <c r="I28" s="1436"/>
      <c r="J28" s="1431">
        <f>SUMIF(97:97,I29,98:98)-SUMIF(97:97,C29,98:98)+100</f>
        <v>100</v>
      </c>
      <c r="K28" s="2070"/>
      <c r="L28" s="1537"/>
      <c r="M28" s="1528"/>
      <c r="N28" s="1528"/>
      <c r="O28" s="2071"/>
      <c r="P28" s="3673"/>
      <c r="Q28" s="1076" t="str">
        <f t="shared" si="8"/>
        <v>毗邻道路的类型与等级</v>
      </c>
      <c r="R28" s="1581" t="s">
        <v>2884</v>
      </c>
      <c r="S28" s="1582">
        <f t="shared" si="10"/>
        <v>100</v>
      </c>
      <c r="T28" s="1581" t="s">
        <v>2884</v>
      </c>
      <c r="U28" s="1582">
        <f t="shared" si="11"/>
        <v>100</v>
      </c>
      <c r="V28" s="1581" t="s">
        <v>2884</v>
      </c>
      <c r="W28" s="1582">
        <f t="shared" si="12"/>
        <v>100</v>
      </c>
      <c r="X28" s="1575"/>
      <c r="Y28" s="3673"/>
      <c r="Z28" s="1574" t="str">
        <f t="shared" si="13"/>
        <v>毗邻道路的类型与等级</v>
      </c>
      <c r="AA28" s="1587">
        <f t="shared" si="3"/>
        <v>1</v>
      </c>
      <c r="AB28" s="1587">
        <f t="shared" si="4"/>
        <v>1</v>
      </c>
      <c r="AC28" s="1587">
        <f t="shared" si="5"/>
        <v>1</v>
      </c>
    </row>
    <row r="29" spans="1:29" ht="15">
      <c r="A29" s="1406"/>
      <c r="B29" s="1998"/>
      <c r="C29" s="1428"/>
      <c r="D29" s="1429"/>
      <c r="E29" s="1996"/>
      <c r="F29" s="1429"/>
      <c r="G29" s="1996"/>
      <c r="H29" s="1429"/>
      <c r="I29" s="1996"/>
      <c r="J29" s="1429"/>
      <c r="K29" s="1536"/>
      <c r="L29" s="1537"/>
      <c r="M29" s="1528"/>
      <c r="N29" s="1528"/>
      <c r="O29" s="2071"/>
      <c r="P29" s="3673"/>
      <c r="Q29" s="1076"/>
      <c r="R29" s="1581"/>
      <c r="S29" s="1582"/>
      <c r="T29" s="1581"/>
      <c r="U29" s="1582"/>
      <c r="V29" s="1581"/>
      <c r="W29" s="1582"/>
      <c r="X29" s="1575"/>
      <c r="Y29" s="3673"/>
      <c r="Z29" s="1574"/>
      <c r="AA29" s="1587">
        <v>1</v>
      </c>
      <c r="AB29" s="1587">
        <v>1</v>
      </c>
      <c r="AC29" s="1587">
        <v>1</v>
      </c>
    </row>
    <row r="30" spans="1:29" ht="15">
      <c r="A30" s="1406"/>
      <c r="B30" s="2005" t="s">
        <v>3512</v>
      </c>
      <c r="C30" s="2006">
        <f>估价对象房地状况!G23</f>
        <v>0</v>
      </c>
      <c r="D30" s="1414">
        <v>100</v>
      </c>
      <c r="E30" s="2003"/>
      <c r="F30" s="1414">
        <f>SUMIF(99:99,E30,100:100)-SUMIF(99:99,C30,100:100)+100</f>
        <v>100</v>
      </c>
      <c r="G30" s="2003"/>
      <c r="H30" s="1414">
        <f>SUMIF(99:99,G30,100:100)-SUMIF(99:99,C30,100:100)+100</f>
        <v>100</v>
      </c>
      <c r="I30" s="2003"/>
      <c r="J30" s="1414">
        <f>SUMIF(99:99,I30,100:100)-SUMIF(99:99,C30,100:100)+100</f>
        <v>100</v>
      </c>
      <c r="K30" s="1534"/>
      <c r="L30" s="1537"/>
      <c r="M30" s="1528"/>
      <c r="N30" s="1528"/>
      <c r="O30" s="2071"/>
      <c r="P30" s="3673"/>
      <c r="Q30" s="1076" t="str">
        <f t="shared" si="8"/>
        <v>土地级别</v>
      </c>
      <c r="R30" s="1581" t="s">
        <v>2884</v>
      </c>
      <c r="S30" s="1582">
        <f t="shared" si="10"/>
        <v>100</v>
      </c>
      <c r="T30" s="1581" t="s">
        <v>2884</v>
      </c>
      <c r="U30" s="1582">
        <f t="shared" si="11"/>
        <v>100</v>
      </c>
      <c r="V30" s="1581" t="s">
        <v>2884</v>
      </c>
      <c r="W30" s="1582">
        <f t="shared" si="12"/>
        <v>100</v>
      </c>
      <c r="X30" s="1575"/>
      <c r="Y30" s="3673"/>
      <c r="Z30" s="1574" t="str">
        <f t="shared" si="13"/>
        <v>土地级别</v>
      </c>
      <c r="AA30" s="1587">
        <f t="shared" si="3"/>
        <v>1</v>
      </c>
      <c r="AB30" s="1587">
        <f t="shared" si="4"/>
        <v>1</v>
      </c>
      <c r="AC30" s="1587">
        <f t="shared" si="5"/>
        <v>1</v>
      </c>
    </row>
    <row r="31" spans="1:29" ht="15">
      <c r="A31" s="1384"/>
      <c r="B31" s="2007">
        <v>111</v>
      </c>
      <c r="C31" s="1992"/>
      <c r="D31" s="1414">
        <v>100</v>
      </c>
      <c r="E31" s="2008"/>
      <c r="F31" s="1414">
        <f>SUMIF(101:101,E31,102:102)-SUMIF(101:101,C31,102:102)+100</f>
        <v>100</v>
      </c>
      <c r="G31" s="2008"/>
      <c r="H31" s="1414">
        <f>SUMIF(101:101,G31,102:102)-SUMIF(101:101,C31,102:102)+100</f>
        <v>100</v>
      </c>
      <c r="I31" s="1603"/>
      <c r="J31" s="1414">
        <f>SUMIF(101:101,I31,102:102)-SUMIF(101:101,C31,102:102)+100</f>
        <v>100</v>
      </c>
      <c r="K31" s="1536"/>
      <c r="L31" s="1537"/>
      <c r="M31" s="1528"/>
      <c r="N31" s="1528"/>
      <c r="O31" s="2071"/>
      <c r="P31" s="3673"/>
      <c r="Q31" s="1076">
        <f t="shared" si="8"/>
        <v>111</v>
      </c>
      <c r="R31" s="1581" t="s">
        <v>2884</v>
      </c>
      <c r="S31" s="1582">
        <f t="shared" si="10"/>
        <v>100</v>
      </c>
      <c r="T31" s="1581" t="s">
        <v>2884</v>
      </c>
      <c r="U31" s="1582">
        <f t="shared" si="11"/>
        <v>100</v>
      </c>
      <c r="V31" s="1581" t="s">
        <v>2884</v>
      </c>
      <c r="W31" s="1582">
        <f t="shared" si="12"/>
        <v>100</v>
      </c>
      <c r="X31" s="1575"/>
      <c r="Y31" s="3673"/>
      <c r="Z31" s="1574">
        <f t="shared" si="13"/>
        <v>111</v>
      </c>
      <c r="AA31" s="1587">
        <f t="shared" si="3"/>
        <v>1</v>
      </c>
      <c r="AB31" s="1587">
        <f t="shared" si="4"/>
        <v>1</v>
      </c>
      <c r="AC31" s="1587">
        <f t="shared" si="5"/>
        <v>1</v>
      </c>
    </row>
    <row r="32" spans="1:29" ht="15">
      <c r="A32" s="2009"/>
      <c r="B32" s="2010">
        <v>111</v>
      </c>
      <c r="C32" s="1992"/>
      <c r="D32" s="1414">
        <v>100</v>
      </c>
      <c r="E32" s="2008"/>
      <c r="F32" s="1414">
        <f>SUMIF(103:103,E33,104:104)-SUMIF(103:103,C33,104:104)+100</f>
        <v>100</v>
      </c>
      <c r="G32" s="2008"/>
      <c r="H32" s="1414">
        <f>SUMIF(103:103,G32,104:104)-SUMIF(103:103,C32,104:104)+100</f>
        <v>100</v>
      </c>
      <c r="I32" s="1992"/>
      <c r="J32" s="1414">
        <f>SUMIF(103:103,I32,104:104)-SUMIF(103:103,C32,104:104)+100</f>
        <v>100</v>
      </c>
      <c r="K32" s="1536"/>
      <c r="L32" s="1537"/>
      <c r="M32" s="1528"/>
      <c r="N32" s="1528"/>
      <c r="O32" s="2071"/>
      <c r="P32" s="3674" t="s">
        <v>2906</v>
      </c>
      <c r="Q32" s="1076">
        <f t="shared" si="8"/>
        <v>111</v>
      </c>
      <c r="R32" s="1581" t="s">
        <v>2884</v>
      </c>
      <c r="S32" s="1582">
        <f t="shared" si="10"/>
        <v>100</v>
      </c>
      <c r="T32" s="1581" t="s">
        <v>2884</v>
      </c>
      <c r="U32" s="1582">
        <f t="shared" si="11"/>
        <v>100</v>
      </c>
      <c r="V32" s="1581" t="s">
        <v>2884</v>
      </c>
      <c r="W32" s="1582">
        <f t="shared" si="12"/>
        <v>100</v>
      </c>
      <c r="X32" s="1575"/>
      <c r="Y32" s="3675" t="s">
        <v>2906</v>
      </c>
      <c r="Z32" s="1574">
        <f t="shared" si="13"/>
        <v>111</v>
      </c>
      <c r="AA32" s="1587">
        <f t="shared" si="3"/>
        <v>1</v>
      </c>
      <c r="AB32" s="1587">
        <f t="shared" si="4"/>
        <v>1</v>
      </c>
      <c r="AC32" s="1587">
        <f t="shared" si="5"/>
        <v>1</v>
      </c>
    </row>
    <row r="33" spans="1:31" s="1355" customFormat="1" ht="15">
      <c r="A33" s="2011"/>
      <c r="B33" s="2012">
        <v>111</v>
      </c>
      <c r="C33" s="2013"/>
      <c r="D33" s="2014">
        <v>100</v>
      </c>
      <c r="E33" s="2015"/>
      <c r="F33" s="1418">
        <f>SUMIF(105:105,E33,106:106)-SUMIF(105:105,C33,106:106)+100</f>
        <v>100</v>
      </c>
      <c r="G33" s="2015"/>
      <c r="H33" s="1418">
        <f>SUMIF(105:105,G33,106:106)-SUMIF(105:105,C33,106:106)+100</f>
        <v>100</v>
      </c>
      <c r="I33" s="2013"/>
      <c r="J33" s="1418">
        <f>SUMIF(105:105,I33,106:106)-SUMIF(105:105,C33,106:106)+100</f>
        <v>100</v>
      </c>
      <c r="K33" s="1536"/>
      <c r="L33" s="1535"/>
      <c r="M33" s="1541"/>
      <c r="N33" s="1541"/>
      <c r="O33" s="2073"/>
      <c r="P33" s="3675"/>
      <c r="Q33" s="1076">
        <f t="shared" si="8"/>
        <v>111</v>
      </c>
      <c r="R33" s="1584" t="s">
        <v>2884</v>
      </c>
      <c r="S33" s="1585">
        <f t="shared" si="10"/>
        <v>100</v>
      </c>
      <c r="T33" s="1584" t="s">
        <v>2884</v>
      </c>
      <c r="U33" s="1585">
        <f t="shared" si="11"/>
        <v>100</v>
      </c>
      <c r="V33" s="1584" t="s">
        <v>2884</v>
      </c>
      <c r="W33" s="1585">
        <f t="shared" si="12"/>
        <v>100</v>
      </c>
      <c r="X33" s="1586"/>
      <c r="Y33" s="3675"/>
      <c r="Z33" s="1595">
        <f t="shared" si="13"/>
        <v>111</v>
      </c>
      <c r="AA33" s="1587">
        <f t="shared" si="3"/>
        <v>1</v>
      </c>
      <c r="AB33" s="1587">
        <f t="shared" si="4"/>
        <v>1</v>
      </c>
      <c r="AC33" s="1587">
        <f t="shared" si="5"/>
        <v>1</v>
      </c>
    </row>
    <row r="34" spans="1:31" ht="15">
      <c r="A34" s="1420" t="s">
        <v>2904</v>
      </c>
      <c r="B34" s="1438" t="s">
        <v>3513</v>
      </c>
      <c r="C34" s="2016"/>
      <c r="D34" s="1455">
        <v>100</v>
      </c>
      <c r="E34" s="2016"/>
      <c r="F34" s="1455" t="e">
        <f>LOOKUP(E34,108:108,109:109)-LOOKUP(C34,108:108,109:109)+100</f>
        <v>#N/A</v>
      </c>
      <c r="G34" s="2016"/>
      <c r="H34" s="1455" t="e">
        <f>LOOKUP(G34,108:108,109:109)-LOOKUP(C34,108:108,109:109)+100</f>
        <v>#N/A</v>
      </c>
      <c r="I34" s="1515"/>
      <c r="J34" s="1455" t="e">
        <f>LOOKUP(I34,108:108,109:109)-LOOKUP(C34,108:108,109:109)+100</f>
        <v>#N/A</v>
      </c>
      <c r="K34" s="1536"/>
      <c r="L34" s="1537"/>
      <c r="M34" s="1528"/>
      <c r="N34" s="1528"/>
      <c r="O34" s="2071"/>
      <c r="P34" s="3675"/>
      <c r="Q34" s="1076" t="str">
        <f t="shared" si="8"/>
        <v>宗地面积</v>
      </c>
      <c r="R34" s="1581" t="s">
        <v>2884</v>
      </c>
      <c r="S34" s="1582" t="e">
        <f t="shared" si="10"/>
        <v>#N/A</v>
      </c>
      <c r="T34" s="1581" t="s">
        <v>2884</v>
      </c>
      <c r="U34" s="1582" t="e">
        <f t="shared" si="11"/>
        <v>#N/A</v>
      </c>
      <c r="V34" s="1581" t="s">
        <v>2884</v>
      </c>
      <c r="W34" s="1582" t="e">
        <f t="shared" si="12"/>
        <v>#N/A</v>
      </c>
      <c r="X34" s="1575"/>
      <c r="Y34" s="3675"/>
      <c r="Z34" s="1574" t="str">
        <f t="shared" si="13"/>
        <v>宗地面积</v>
      </c>
      <c r="AA34" s="1587" t="e">
        <f t="shared" si="3"/>
        <v>#N/A</v>
      </c>
      <c r="AB34" s="1587" t="e">
        <f t="shared" si="4"/>
        <v>#N/A</v>
      </c>
      <c r="AC34" s="1587" t="e">
        <f t="shared" si="5"/>
        <v>#N/A</v>
      </c>
    </row>
    <row r="35" spans="1:31" ht="15">
      <c r="A35" s="1458"/>
      <c r="B35" s="1402" t="s">
        <v>3514</v>
      </c>
      <c r="C35" s="1460"/>
      <c r="D35" s="1414">
        <v>100</v>
      </c>
      <c r="E35" s="1460"/>
      <c r="F35" s="1414">
        <f>SUMIF(110:110,E35,111:111)-SUMIF(110:110,C35,111:111)+100</f>
        <v>100</v>
      </c>
      <c r="G35" s="1460"/>
      <c r="H35" s="1414">
        <f>SUMIF(110:110,G35,111:111)-SUMIF(110:110,C35,111:111)+100</f>
        <v>100</v>
      </c>
      <c r="I35" s="1460"/>
      <c r="J35" s="1414">
        <f>SUMIF(110:110,I35,111:111)-SUMIF(110:110,C35,111:111)+100</f>
        <v>100</v>
      </c>
      <c r="K35" s="1534"/>
      <c r="L35" s="1537"/>
      <c r="M35" s="1528"/>
      <c r="N35" s="1528"/>
      <c r="O35" s="2071"/>
      <c r="P35" s="3675"/>
      <c r="Q35" s="1076" t="str">
        <f t="shared" ref="Q35:Q40" si="14">B35</f>
        <v>宗地形状</v>
      </c>
      <c r="R35" s="1581" t="s">
        <v>2884</v>
      </c>
      <c r="S35" s="1582">
        <f t="shared" si="10"/>
        <v>100</v>
      </c>
      <c r="T35" s="1581" t="s">
        <v>2884</v>
      </c>
      <c r="U35" s="1582">
        <f t="shared" si="11"/>
        <v>100</v>
      </c>
      <c r="V35" s="1581" t="s">
        <v>2884</v>
      </c>
      <c r="W35" s="1582">
        <f t="shared" si="12"/>
        <v>100</v>
      </c>
      <c r="X35" s="1575"/>
      <c r="Y35" s="3675"/>
      <c r="Z35" s="1574" t="str">
        <f t="shared" si="13"/>
        <v>宗地形状</v>
      </c>
      <c r="AA35" s="1587">
        <f t="shared" si="3"/>
        <v>1</v>
      </c>
      <c r="AB35" s="1587">
        <f t="shared" si="4"/>
        <v>1</v>
      </c>
      <c r="AC35" s="1587">
        <f t="shared" si="5"/>
        <v>1</v>
      </c>
    </row>
    <row r="36" spans="1:31" s="1353" customFormat="1" ht="15">
      <c r="A36" s="1462"/>
      <c r="B36" s="1402" t="s">
        <v>3516</v>
      </c>
      <c r="C36" s="2017"/>
      <c r="D36" s="1404">
        <v>100</v>
      </c>
      <c r="E36" s="2017"/>
      <c r="F36" s="1414">
        <f>SUMIF(112:112,E36,113:113)-SUMIF(112:112,C36,113:113)+100</f>
        <v>100</v>
      </c>
      <c r="G36" s="2017"/>
      <c r="H36" s="1414">
        <f>SUMIF(112:112,G36,113:113)-SUMIF(112:112,C36,113:113)+100</f>
        <v>100</v>
      </c>
      <c r="I36" s="2017"/>
      <c r="J36" s="1414">
        <f>SUMIF(112:112,I36,113:113)-SUMIF(112:112,C36,113:113)+100</f>
        <v>100</v>
      </c>
      <c r="K36" s="1534"/>
      <c r="L36" s="1530"/>
      <c r="M36" s="1531"/>
      <c r="N36" s="1531"/>
      <c r="O36" s="2067"/>
      <c r="P36" s="3675"/>
      <c r="Q36" s="1076" t="str">
        <f t="shared" si="14"/>
        <v>宗地开发程度</v>
      </c>
      <c r="R36" s="1576" t="s">
        <v>2884</v>
      </c>
      <c r="S36" s="1577">
        <f t="shared" si="10"/>
        <v>100</v>
      </c>
      <c r="T36" s="1576" t="s">
        <v>2884</v>
      </c>
      <c r="U36" s="1577">
        <f t="shared" si="11"/>
        <v>100</v>
      </c>
      <c r="V36" s="1576" t="s">
        <v>2884</v>
      </c>
      <c r="W36" s="1577">
        <f t="shared" si="12"/>
        <v>100</v>
      </c>
      <c r="X36" s="1578"/>
      <c r="Y36" s="3675"/>
      <c r="Z36" s="1594" t="str">
        <f t="shared" si="13"/>
        <v>宗地开发程度</v>
      </c>
      <c r="AA36" s="1593">
        <f t="shared" si="3"/>
        <v>1</v>
      </c>
      <c r="AB36" s="1593">
        <f t="shared" si="4"/>
        <v>1</v>
      </c>
      <c r="AC36" s="1593">
        <f t="shared" si="5"/>
        <v>1</v>
      </c>
    </row>
    <row r="37" spans="1:31" ht="15">
      <c r="A37" s="1458"/>
      <c r="B37" s="1402" t="s">
        <v>3517</v>
      </c>
      <c r="C37" s="1460"/>
      <c r="D37" s="1414">
        <v>100</v>
      </c>
      <c r="E37" s="1460"/>
      <c r="F37" s="1414">
        <f>SUMIF(114:114,E37,115:115)-SUMIF(114:114,C37,115:115)+100</f>
        <v>100</v>
      </c>
      <c r="G37" s="1460"/>
      <c r="H37" s="1414">
        <f>SUMIF(114:114,G37,115:115)-SUMIF(114:114,C37,115:115)+100</f>
        <v>100</v>
      </c>
      <c r="I37" s="1460"/>
      <c r="J37" s="1414">
        <f>SUMIF(114:114,I37,115:115)-SUMIF(114:114,C37,115:115)+100</f>
        <v>100</v>
      </c>
      <c r="K37" s="1534"/>
      <c r="L37" s="1537"/>
      <c r="M37" s="1528"/>
      <c r="N37" s="1528"/>
      <c r="O37" s="2071"/>
      <c r="P37" s="3675" t="s">
        <v>2906</v>
      </c>
      <c r="Q37" s="1076" t="str">
        <f t="shared" si="14"/>
        <v>工程地质条件</v>
      </c>
      <c r="R37" s="1581" t="s">
        <v>2884</v>
      </c>
      <c r="S37" s="1582">
        <f t="shared" si="10"/>
        <v>100</v>
      </c>
      <c r="T37" s="1581" t="s">
        <v>2884</v>
      </c>
      <c r="U37" s="1582">
        <f t="shared" si="11"/>
        <v>100</v>
      </c>
      <c r="V37" s="1581" t="s">
        <v>2884</v>
      </c>
      <c r="W37" s="1582">
        <f t="shared" si="12"/>
        <v>100</v>
      </c>
      <c r="X37" s="1575"/>
      <c r="Y37" s="3675" t="s">
        <v>2906</v>
      </c>
      <c r="Z37" s="1574" t="str">
        <f t="shared" si="13"/>
        <v>工程地质条件</v>
      </c>
      <c r="AA37" s="1587">
        <f t="shared" si="3"/>
        <v>1</v>
      </c>
      <c r="AB37" s="1587">
        <f t="shared" si="4"/>
        <v>1</v>
      </c>
      <c r="AC37" s="1587">
        <f t="shared" si="5"/>
        <v>1</v>
      </c>
    </row>
    <row r="38" spans="1:31" ht="15">
      <c r="A38" s="1458"/>
      <c r="B38" s="2018">
        <v>111</v>
      </c>
      <c r="C38" s="1992"/>
      <c r="D38" s="1414">
        <v>100</v>
      </c>
      <c r="E38" s="1992"/>
      <c r="F38" s="1414">
        <f>SUMIF(116:116,E38,117:117)-SUMIF(116:116,C38,117:117)+100</f>
        <v>100</v>
      </c>
      <c r="G38" s="1992"/>
      <c r="H38" s="1414">
        <f>SUMIF(116:116,G38,117:117)-SUMIF(116:116,C38,117:117)+100</f>
        <v>100</v>
      </c>
      <c r="I38" s="1603"/>
      <c r="J38" s="1414">
        <f>SUMIF(116:116,I38,117:117)-SUMIF(116:116,C38,117:117)+100</f>
        <v>100</v>
      </c>
      <c r="K38" s="1536"/>
      <c r="L38" s="1537"/>
      <c r="M38" s="1528"/>
      <c r="N38" s="1528"/>
      <c r="O38" s="2071"/>
      <c r="P38" s="3675"/>
      <c r="Q38" s="1076">
        <f t="shared" si="14"/>
        <v>111</v>
      </c>
      <c r="R38" s="1581" t="s">
        <v>2884</v>
      </c>
      <c r="S38" s="1582">
        <f t="shared" si="10"/>
        <v>100</v>
      </c>
      <c r="T38" s="1581" t="s">
        <v>2884</v>
      </c>
      <c r="U38" s="1582">
        <f t="shared" si="11"/>
        <v>100</v>
      </c>
      <c r="V38" s="1581" t="s">
        <v>2884</v>
      </c>
      <c r="W38" s="1582">
        <f t="shared" si="12"/>
        <v>100</v>
      </c>
      <c r="X38" s="1575"/>
      <c r="Y38" s="3675"/>
      <c r="Z38" s="1574">
        <f t="shared" si="13"/>
        <v>111</v>
      </c>
      <c r="AA38" s="1587">
        <f t="shared" si="3"/>
        <v>1</v>
      </c>
      <c r="AB38" s="1587">
        <f t="shared" si="4"/>
        <v>1</v>
      </c>
      <c r="AC38" s="1587">
        <f t="shared" si="5"/>
        <v>1</v>
      </c>
    </row>
    <row r="39" spans="1:31" ht="15">
      <c r="A39" s="1458"/>
      <c r="B39" s="2018">
        <v>111</v>
      </c>
      <c r="C39" s="1992"/>
      <c r="D39" s="1414">
        <v>100</v>
      </c>
      <c r="E39" s="1992"/>
      <c r="F39" s="1414">
        <f>SUMIF(118:118,E39,119:119)-SUMIF(118:118,C39,119:119)+100</f>
        <v>100</v>
      </c>
      <c r="G39" s="1992"/>
      <c r="H39" s="1414">
        <f>SUMIF(118:118,G39,119:119)-SUMIF(118:118,C39,119:119)+100</f>
        <v>100</v>
      </c>
      <c r="I39" s="1603"/>
      <c r="J39" s="1414">
        <f>SUMIF(118:118,I39,119:119)-SUMIF(118:118,C39,119:119)+100</f>
        <v>100</v>
      </c>
      <c r="K39" s="1536"/>
      <c r="L39" s="1537"/>
      <c r="M39" s="1528"/>
      <c r="N39" s="1528"/>
      <c r="O39" s="2071"/>
      <c r="P39" s="3675"/>
      <c r="Q39" s="1076">
        <f t="shared" si="14"/>
        <v>111</v>
      </c>
      <c r="R39" s="1581" t="s">
        <v>2884</v>
      </c>
      <c r="S39" s="1582">
        <f t="shared" si="10"/>
        <v>100</v>
      </c>
      <c r="T39" s="1581" t="s">
        <v>2884</v>
      </c>
      <c r="U39" s="1582">
        <f t="shared" si="11"/>
        <v>100</v>
      </c>
      <c r="V39" s="1581" t="s">
        <v>2884</v>
      </c>
      <c r="W39" s="1582">
        <f t="shared" si="12"/>
        <v>100</v>
      </c>
      <c r="X39" s="1575"/>
      <c r="Y39" s="3675"/>
      <c r="Z39" s="1574">
        <f t="shared" si="13"/>
        <v>111</v>
      </c>
      <c r="AA39" s="1587">
        <f t="shared" si="3"/>
        <v>1</v>
      </c>
      <c r="AB39" s="1587">
        <f t="shared" si="4"/>
        <v>1</v>
      </c>
      <c r="AC39" s="1587">
        <f t="shared" si="5"/>
        <v>1</v>
      </c>
    </row>
    <row r="40" spans="1:31" s="1355" customFormat="1" ht="15">
      <c r="A40" s="1456"/>
      <c r="B40" s="2018">
        <v>111</v>
      </c>
      <c r="C40" s="2019"/>
      <c r="D40" s="2014">
        <v>100</v>
      </c>
      <c r="E40" s="1992"/>
      <c r="F40" s="1418">
        <f>SUMIF(120:120,E40,121:121)-SUMIF(120:120,C40,121:121)+100</f>
        <v>100</v>
      </c>
      <c r="G40" s="1992"/>
      <c r="H40" s="1418">
        <f>SUMIF(120:120,G40,121:121)-SUMIF(120:120,C40,121:121)+100</f>
        <v>100</v>
      </c>
      <c r="I40" s="1603"/>
      <c r="J40" s="1418">
        <f>SUMIF(120:120,I40,121:121)-SUMIF(120:120,C40,121:121)+100</f>
        <v>100</v>
      </c>
      <c r="K40" s="2074"/>
      <c r="L40" s="1535"/>
      <c r="M40" s="1541"/>
      <c r="N40" s="1541"/>
      <c r="O40" s="2073"/>
      <c r="P40" s="3675"/>
      <c r="Q40" s="1076">
        <f t="shared" si="14"/>
        <v>111</v>
      </c>
      <c r="R40" s="1584" t="s">
        <v>2884</v>
      </c>
      <c r="S40" s="1585">
        <f t="shared" si="10"/>
        <v>100</v>
      </c>
      <c r="T40" s="1584" t="s">
        <v>2884</v>
      </c>
      <c r="U40" s="1585">
        <f t="shared" si="11"/>
        <v>100</v>
      </c>
      <c r="V40" s="1584" t="s">
        <v>2884</v>
      </c>
      <c r="W40" s="1585">
        <f t="shared" si="12"/>
        <v>100</v>
      </c>
      <c r="X40" s="1586"/>
      <c r="Y40" s="3675"/>
      <c r="Z40" s="1595">
        <f t="shared" si="13"/>
        <v>111</v>
      </c>
      <c r="AA40" s="1587">
        <f t="shared" si="3"/>
        <v>1</v>
      </c>
      <c r="AB40" s="1587">
        <f t="shared" si="4"/>
        <v>1</v>
      </c>
      <c r="AC40" s="1587">
        <f t="shared" si="5"/>
        <v>1</v>
      </c>
    </row>
    <row r="41" spans="1:31" ht="14.4">
      <c r="A41" s="1467" t="s">
        <v>2920</v>
      </c>
      <c r="B41" s="2020" t="s">
        <v>3551</v>
      </c>
      <c r="C41" s="2021" t="s">
        <v>124</v>
      </c>
      <c r="D41" s="2022"/>
      <c r="E41" s="2023"/>
      <c r="F41" s="2024"/>
      <c r="G41" s="2025"/>
      <c r="H41" s="2026"/>
      <c r="I41" s="2023"/>
      <c r="J41" s="2026"/>
      <c r="K41" s="1542"/>
      <c r="L41" s="1543"/>
      <c r="M41" s="1528"/>
      <c r="N41" s="1528"/>
      <c r="O41" s="1484"/>
      <c r="P41" s="3665" t="str">
        <f>A41</f>
        <v>成交单价</v>
      </c>
      <c r="Q41" s="3665"/>
      <c r="R41" s="3664">
        <f>E41</f>
        <v>0</v>
      </c>
      <c r="S41" s="3664"/>
      <c r="T41" s="3664">
        <f>G41</f>
        <v>0</v>
      </c>
      <c r="U41" s="3664"/>
      <c r="V41" s="3664">
        <f>I41</f>
        <v>0</v>
      </c>
      <c r="W41" s="3664"/>
      <c r="X41" s="1493"/>
      <c r="Y41" s="1596"/>
      <c r="Z41" s="1493"/>
      <c r="AA41" s="1493"/>
      <c r="AB41" s="1493"/>
      <c r="AC41" s="1493"/>
    </row>
    <row r="42" spans="1:31" ht="14.4">
      <c r="A42" s="1475" t="s">
        <v>2922</v>
      </c>
      <c r="B42" s="2027"/>
      <c r="C42" s="2028" t="e">
        <f>R43</f>
        <v>#DIV/0!</v>
      </c>
      <c r="D42" s="1478" t="s">
        <v>2923</v>
      </c>
      <c r="E42" s="2028" t="e">
        <f>R42</f>
        <v>#DIV/0!</v>
      </c>
      <c r="F42" s="1480"/>
      <c r="G42" s="2029" t="e">
        <f>T42</f>
        <v>#DIV/0!</v>
      </c>
      <c r="H42" s="1480"/>
      <c r="I42" s="2028" t="e">
        <f>V42</f>
        <v>#DIV/0!</v>
      </c>
      <c r="J42" s="1480"/>
      <c r="K42" s="1544">
        <f>F42+H42+J42</f>
        <v>0</v>
      </c>
      <c r="L42" s="1543"/>
      <c r="M42" s="1528"/>
      <c r="N42" s="1528"/>
      <c r="O42" s="1484"/>
      <c r="P42" s="3665" t="str">
        <f>A42</f>
        <v>比较价值（元/平方米）</v>
      </c>
      <c r="Q42" s="3665"/>
      <c r="R42" s="3750" t="e">
        <f>ROUND(PRODUCT(R41,AA7:AA40),0)</f>
        <v>#DIV/0!</v>
      </c>
      <c r="S42" s="3750"/>
      <c r="T42" s="3750" t="e">
        <f>ROUND(PRODUCT(T41,AB7:AB40),0)</f>
        <v>#DIV/0!</v>
      </c>
      <c r="U42" s="3750"/>
      <c r="V42" s="3750" t="e">
        <f>ROUND(PRODUCT(V41,AC7:AC40),0)</f>
        <v>#DIV/0!</v>
      </c>
      <c r="W42" s="3750"/>
      <c r="X42" s="1493"/>
      <c r="Y42" s="1493"/>
      <c r="Z42" s="1493"/>
      <c r="AA42" s="1493"/>
      <c r="AB42" s="1493"/>
      <c r="AC42" s="1493"/>
    </row>
    <row r="43" spans="1:31" ht="14.4">
      <c r="A43" s="1481" t="s">
        <v>3325</v>
      </c>
      <c r="B43" s="1482"/>
      <c r="C43" s="2030" t="e">
        <f>R43</f>
        <v>#DIV/0!</v>
      </c>
      <c r="D43" s="2030"/>
      <c r="E43" s="2030"/>
      <c r="F43" s="2030"/>
      <c r="G43" s="2030"/>
      <c r="H43" s="2030"/>
      <c r="I43" s="2030"/>
      <c r="J43" s="2030"/>
      <c r="K43" s="1545"/>
      <c r="L43" s="1543"/>
      <c r="M43" s="1528"/>
      <c r="N43" s="1528"/>
      <c r="O43" s="1484"/>
      <c r="P43" s="3667" t="str">
        <f>A43</f>
        <v>估价对象XX用房的比较价值（楼面单价，元/平方米）</v>
      </c>
      <c r="Q43" s="3668"/>
      <c r="R43" s="3751" t="e">
        <f>ROUND(IF(D42="简单平均",AVERAGE(R42:W42),R42*F42+T42*H42+V42*J42),0)</f>
        <v>#DIV/0!</v>
      </c>
      <c r="S43" s="3751"/>
      <c r="T43" s="3751"/>
      <c r="U43" s="3751"/>
      <c r="V43" s="3751"/>
      <c r="W43" s="3751"/>
      <c r="X43" s="1493"/>
      <c r="Y43" s="1493"/>
      <c r="Z43" s="1493"/>
      <c r="AA43" s="1493"/>
      <c r="AB43" s="1493"/>
      <c r="AC43" s="1493"/>
    </row>
    <row r="44" spans="1:31">
      <c r="A44" s="1484"/>
      <c r="B44" s="1484"/>
      <c r="C44" s="1484"/>
      <c r="D44" s="1484"/>
      <c r="E44" s="1484"/>
      <c r="F44" s="1484"/>
      <c r="G44" s="1485"/>
      <c r="H44" s="1484"/>
      <c r="I44" s="1484"/>
      <c r="J44" s="1484"/>
      <c r="K44" s="1546"/>
      <c r="L44" s="1547"/>
      <c r="M44" s="1528"/>
      <c r="N44" s="1528"/>
      <c r="O44" s="1484"/>
      <c r="P44" s="1484"/>
      <c r="Q44" s="1484"/>
      <c r="R44" s="1484"/>
      <c r="S44" s="1484"/>
      <c r="T44" s="1484"/>
      <c r="U44" s="1484"/>
      <c r="V44" s="1484"/>
      <c r="W44" s="1484"/>
      <c r="X44" s="1484"/>
      <c r="Y44" s="1484"/>
      <c r="Z44" s="1484"/>
      <c r="AA44" s="1484"/>
      <c r="AB44" s="1484"/>
      <c r="AC44" s="1484"/>
      <c r="AD44" s="1484"/>
      <c r="AE44" s="1484"/>
    </row>
    <row r="45" spans="1:31">
      <c r="A45" s="1484"/>
      <c r="B45" s="1484"/>
      <c r="C45" s="1484"/>
      <c r="D45" s="1484"/>
      <c r="E45" s="1484"/>
      <c r="F45" s="1484"/>
      <c r="G45" s="1484"/>
      <c r="H45" s="1484"/>
      <c r="I45" s="1484"/>
      <c r="J45" s="1484"/>
      <c r="K45" s="1546"/>
      <c r="L45" s="1547"/>
      <c r="M45" s="1528"/>
      <c r="N45" s="1528"/>
      <c r="O45" s="1484"/>
      <c r="P45" s="1484"/>
      <c r="Q45" s="1484"/>
      <c r="R45" s="1484"/>
      <c r="S45" s="1484"/>
      <c r="T45" s="1484"/>
      <c r="U45" s="1484"/>
      <c r="V45" s="1484"/>
      <c r="W45" s="1484"/>
      <c r="X45" s="1484"/>
      <c r="Y45" s="1484"/>
      <c r="Z45" s="1484"/>
      <c r="AA45" s="1484"/>
      <c r="AB45" s="1484"/>
      <c r="AC45" s="1484"/>
      <c r="AD45" s="1484"/>
      <c r="AE45" s="1484"/>
    </row>
    <row r="46" spans="1:31" ht="13.5" customHeight="1">
      <c r="A46" s="1484"/>
      <c r="B46" s="1484"/>
      <c r="C46" s="1486" t="s">
        <v>2925</v>
      </c>
      <c r="D46" s="1120"/>
      <c r="E46" s="1487" t="e">
        <f>IF(E41&lt;E42,E42/E41-1,E41/E42-1)</f>
        <v>#DIV/0!</v>
      </c>
      <c r="F46" s="1488" t="e">
        <f>IF(OR(E46&gt;=0.3,E46&lt;=-0.3),"超过30%","")</f>
        <v>#DIV/0!</v>
      </c>
      <c r="G46" s="1487" t="e">
        <f>IF(G41&lt;G42,G42/G41-1,G41/G42-1)</f>
        <v>#DIV/0!</v>
      </c>
      <c r="H46" s="1488" t="e">
        <f>IF(OR(G46&gt;=0.3,G46&lt;=-0.3),"超过30%","")</f>
        <v>#DIV/0!</v>
      </c>
      <c r="I46" s="1487" t="e">
        <f>IF(I41&lt;I42,I42/I41-1,I41/I42-1)</f>
        <v>#DIV/0!</v>
      </c>
      <c r="J46" s="1488" t="e">
        <f>IF(OR(I46&gt;=0.3,I46&lt;=-0.3),"超过30%","")</f>
        <v>#DIV/0!</v>
      </c>
      <c r="K46" s="1546"/>
      <c r="L46" s="1547"/>
      <c r="M46" s="1528"/>
      <c r="N46" s="1528"/>
      <c r="O46" s="1484"/>
      <c r="P46" s="1484"/>
      <c r="Q46" s="1484"/>
      <c r="R46" s="1484"/>
      <c r="S46" s="1484"/>
      <c r="T46" s="1484"/>
      <c r="U46" s="1484"/>
      <c r="V46" s="1484"/>
      <c r="W46" s="1484"/>
      <c r="X46" s="1484"/>
      <c r="Y46" s="1484"/>
      <c r="Z46" s="1484"/>
      <c r="AA46" s="1484"/>
      <c r="AB46" s="1484"/>
      <c r="AC46" s="1484"/>
      <c r="AD46" s="1484"/>
      <c r="AE46" s="1484"/>
    </row>
    <row r="47" spans="1:31" ht="13.5" customHeight="1">
      <c r="A47" s="1484"/>
      <c r="B47" s="1484"/>
      <c r="C47" s="1486" t="s">
        <v>2926</v>
      </c>
      <c r="D47" s="1119"/>
      <c r="E47" s="1487" t="e">
        <f>IF(E42&lt;G42,G42/E42-1,E42/G42-1)</f>
        <v>#DIV/0!</v>
      </c>
      <c r="F47" s="1488" t="e">
        <f>IF(OR(E47&gt;=0.2,E47&lt;=-0.2),"超过20%","")</f>
        <v>#DIV/0!</v>
      </c>
      <c r="G47" s="1487" t="e">
        <f>IF(G42&lt;I42,I42/G42-1,G42/I42-1)</f>
        <v>#DIV/0!</v>
      </c>
      <c r="H47" s="1488" t="e">
        <f>IF(OR(G47&gt;=0.2,G47&lt;=-0.2),"超过20%","")</f>
        <v>#DIV/0!</v>
      </c>
      <c r="I47" s="1487" t="e">
        <f>IF(I42&lt;E42,E42/I42-1,I42/E42-1)</f>
        <v>#DIV/0!</v>
      </c>
      <c r="J47" s="1488" t="e">
        <f>IF(OR(I47&gt;=0.2,I47&lt;=-0.2),"超过20%","")</f>
        <v>#DIV/0!</v>
      </c>
      <c r="K47" s="1546"/>
      <c r="L47" s="1547"/>
      <c r="M47" s="1484"/>
      <c r="N47" s="1484"/>
      <c r="O47" s="1484"/>
      <c r="P47" s="1484"/>
      <c r="Q47" s="1484"/>
      <c r="R47" s="1484"/>
      <c r="S47" s="1484"/>
      <c r="T47" s="1484"/>
      <c r="U47" s="1484"/>
      <c r="V47" s="1484"/>
      <c r="W47" s="1484"/>
      <c r="X47" s="1484"/>
      <c r="Y47" s="1484"/>
      <c r="Z47" s="1484"/>
      <c r="AA47" s="1484"/>
      <c r="AB47" s="1484"/>
      <c r="AC47" s="1484"/>
      <c r="AD47" s="1484"/>
      <c r="AE47" s="1484"/>
    </row>
    <row r="48" spans="1:31" s="1356" customFormat="1" ht="13.5" customHeight="1">
      <c r="A48" s="1489"/>
      <c r="B48" s="1489"/>
      <c r="C48" s="1486" t="s">
        <v>2927</v>
      </c>
      <c r="D48" s="1119"/>
      <c r="E48" s="1487" t="e">
        <f>IF(E41&lt;G41,G41/E41-1,E41/G41-1)</f>
        <v>#DIV/0!</v>
      </c>
      <c r="F48" s="1488" t="e">
        <f>IF(OR(E48&gt;=0.3,E48&lt;=-0.3),"超过30%","")</f>
        <v>#DIV/0!</v>
      </c>
      <c r="G48" s="1487" t="e">
        <f>IF(G41&lt;I41,I41/G41-1,G41/I41-1)</f>
        <v>#DIV/0!</v>
      </c>
      <c r="H48" s="1488" t="e">
        <f>IF(OR(G48&gt;=0.3,G48&lt;=-0.3),"超过30%","")</f>
        <v>#DIV/0!</v>
      </c>
      <c r="I48" s="1487" t="e">
        <f>IF(I41&lt;E41,E41/I41-1,I41/E41-1)</f>
        <v>#DIV/0!</v>
      </c>
      <c r="J48" s="1488" t="e">
        <f>IF(OR(I48&gt;=0.3,I48&lt;=-0.3),"超过30%","")</f>
        <v>#DIV/0!</v>
      </c>
      <c r="K48" s="1549"/>
      <c r="L48" s="1550"/>
      <c r="M48" s="1489"/>
      <c r="N48" s="1489"/>
      <c r="O48" s="1489"/>
      <c r="P48" s="1489"/>
      <c r="Q48" s="1489"/>
      <c r="R48" s="1489"/>
      <c r="S48" s="1489"/>
      <c r="T48" s="1489"/>
      <c r="U48" s="1489"/>
      <c r="V48" s="1489"/>
      <c r="W48" s="1489"/>
      <c r="X48" s="1489"/>
      <c r="Y48" s="1489"/>
      <c r="Z48" s="1489"/>
      <c r="AA48" s="1489"/>
      <c r="AB48" s="1489"/>
      <c r="AC48" s="1489"/>
      <c r="AD48" s="1489"/>
      <c r="AE48" s="1489"/>
    </row>
    <row r="49" spans="1:31" s="1356" customFormat="1">
      <c r="A49" s="1489"/>
      <c r="B49" s="1490"/>
      <c r="C49" s="2031"/>
      <c r="D49" s="2032"/>
      <c r="E49" s="2032"/>
      <c r="F49" s="2032"/>
      <c r="G49" s="2032"/>
      <c r="H49" s="2032"/>
      <c r="I49" s="2032"/>
      <c r="J49" s="2032"/>
      <c r="K49" s="1549"/>
      <c r="L49" s="1550"/>
      <c r="M49" s="1489"/>
      <c r="N49" s="1489"/>
      <c r="O49" s="1489"/>
      <c r="P49" s="1489"/>
      <c r="Q49" s="1489"/>
      <c r="R49" s="1489"/>
      <c r="S49" s="1489"/>
      <c r="T49" s="1489"/>
      <c r="U49" s="1489"/>
      <c r="V49" s="1489"/>
      <c r="W49" s="1489"/>
      <c r="X49" s="1489"/>
      <c r="Y49" s="1489"/>
      <c r="Z49" s="1489"/>
      <c r="AA49" s="1489"/>
      <c r="AB49" s="1489"/>
      <c r="AC49" s="1489"/>
      <c r="AD49" s="1489"/>
      <c r="AE49" s="1489"/>
    </row>
    <row r="50" spans="1:31" ht="28.8">
      <c r="A50" s="2033" t="s">
        <v>3520</v>
      </c>
      <c r="B50" s="2034" t="s">
        <v>3521</v>
      </c>
      <c r="C50" s="2035" t="s">
        <v>3522</v>
      </c>
      <c r="D50" s="2036" t="s">
        <v>3523</v>
      </c>
      <c r="E50" s="2037" t="s">
        <v>3524</v>
      </c>
      <c r="F50" s="2038" t="s">
        <v>3525</v>
      </c>
      <c r="G50" s="3681" t="s">
        <v>3526</v>
      </c>
      <c r="H50" s="3749"/>
      <c r="I50" s="1574" t="s">
        <v>3552</v>
      </c>
      <c r="J50" s="1574">
        <f>项目基本情况!F35</f>
        <v>0</v>
      </c>
      <c r="K50" s="2075" t="s">
        <v>3528</v>
      </c>
      <c r="L50" s="1547"/>
      <c r="M50" s="1484"/>
      <c r="N50" s="1484"/>
      <c r="O50" s="1484"/>
      <c r="P50" s="1484"/>
      <c r="Q50" s="1484"/>
      <c r="R50" s="1484"/>
      <c r="S50" s="1484"/>
      <c r="T50" s="1484"/>
      <c r="U50" s="1484"/>
      <c r="V50" s="1484"/>
      <c r="W50" s="1484"/>
      <c r="X50" s="1484"/>
      <c r="Y50" s="1484"/>
      <c r="Z50" s="1484"/>
      <c r="AA50" s="1484"/>
      <c r="AB50" s="1484"/>
      <c r="AC50" s="1484"/>
      <c r="AD50" s="1484"/>
      <c r="AE50" s="1484"/>
    </row>
    <row r="51" spans="1:31" s="1982" customFormat="1">
      <c r="A51" s="2039" t="s">
        <v>3529</v>
      </c>
      <c r="B51" s="2040" t="e">
        <f>C43</f>
        <v>#DIV/0!</v>
      </c>
      <c r="C51" s="2041">
        <v>1</v>
      </c>
      <c r="D51" s="2042">
        <v>1</v>
      </c>
      <c r="E51" s="2041">
        <f>'数据-汇总表'!E8+'数据-汇总表'!E9</f>
        <v>0</v>
      </c>
      <c r="F51" s="2043" t="e">
        <f t="shared" ref="F51:F60" si="15">ROUND(B51*E51/10000,0)</f>
        <v>#DIV/0!</v>
      </c>
      <c r="G51" s="3726"/>
      <c r="H51" s="3665"/>
      <c r="I51" s="1106">
        <v>1</v>
      </c>
      <c r="J51" s="1106">
        <v>1</v>
      </c>
      <c r="K51" s="1489"/>
      <c r="L51" s="2076"/>
      <c r="M51" s="2076"/>
      <c r="N51" s="2076"/>
      <c r="O51" s="2076"/>
      <c r="P51" s="2076"/>
      <c r="Q51" s="2076"/>
      <c r="R51" s="2076"/>
      <c r="S51" s="2076"/>
      <c r="T51" s="2076"/>
      <c r="U51" s="2076"/>
      <c r="V51" s="2076"/>
      <c r="W51" s="2076"/>
      <c r="X51" s="2076"/>
      <c r="Y51" s="2076"/>
      <c r="Z51" s="2076"/>
      <c r="AA51" s="2076"/>
      <c r="AB51" s="2076"/>
      <c r="AC51" s="2076"/>
      <c r="AD51" s="2076"/>
      <c r="AE51" s="2076"/>
    </row>
    <row r="52" spans="1:31" s="1982" customFormat="1">
      <c r="A52" s="2044" t="s">
        <v>3530</v>
      </c>
      <c r="B52" s="394" t="e">
        <f>ROUND($C$43*C52*D52,0)</f>
        <v>#DIV/0!</v>
      </c>
      <c r="C52" s="994">
        <f t="shared" ref="C52:C60" si="16">IF($C$50="北京市系数",I52,J52)</f>
        <v>0.6</v>
      </c>
      <c r="D52" s="2045">
        <v>0.25</v>
      </c>
      <c r="E52" s="2046"/>
      <c r="F52" s="2043" t="e">
        <f t="shared" si="15"/>
        <v>#DIV/0!</v>
      </c>
      <c r="G52" s="2047" t="s">
        <v>3531</v>
      </c>
      <c r="H52" s="2048" t="str">
        <f>项目基本情况!B37</f>
        <v>四级</v>
      </c>
      <c r="I52" s="1106">
        <f>SUMIF(修正!A57:A68,H52,修正!B57:B68)</f>
        <v>0.6</v>
      </c>
      <c r="J52" s="2077"/>
      <c r="K52" s="1484"/>
      <c r="L52" s="2076"/>
      <c r="M52" s="2076"/>
      <c r="N52" s="2076"/>
      <c r="O52" s="2076"/>
      <c r="P52" s="2076"/>
      <c r="Q52" s="2076"/>
      <c r="R52" s="2076"/>
      <c r="S52" s="2076"/>
      <c r="T52" s="2076"/>
      <c r="U52" s="2076"/>
      <c r="V52" s="2076"/>
      <c r="W52" s="2076"/>
      <c r="X52" s="2076"/>
      <c r="Y52" s="2076"/>
      <c r="Z52" s="2076"/>
      <c r="AA52" s="2076"/>
      <c r="AB52" s="2076"/>
      <c r="AC52" s="2076"/>
      <c r="AD52" s="2076"/>
      <c r="AE52" s="2076"/>
    </row>
    <row r="53" spans="1:31" s="1982" customFormat="1">
      <c r="A53" s="2044" t="s">
        <v>3532</v>
      </c>
      <c r="B53" s="394" t="e">
        <f t="shared" ref="B53:B60" si="17">ROUND($C$43*C53*D53,0)</f>
        <v>#DIV/0!</v>
      </c>
      <c r="C53" s="994">
        <f t="shared" si="16"/>
        <v>0.3</v>
      </c>
      <c r="D53" s="2045">
        <v>0.25</v>
      </c>
      <c r="E53" s="2046"/>
      <c r="F53" s="2043" t="e">
        <f t="shared" si="15"/>
        <v>#DIV/0!</v>
      </c>
      <c r="G53" s="2049"/>
      <c r="H53" s="2048" t="str">
        <f>项目基本情况!B37</f>
        <v>四级</v>
      </c>
      <c r="I53" s="1106">
        <f>SUMIF(修正!A57:A68,H53,修正!C57:C68)</f>
        <v>0.3</v>
      </c>
      <c r="J53" s="2077"/>
      <c r="K53" s="1489"/>
      <c r="L53" s="2076"/>
      <c r="M53" s="2076"/>
      <c r="N53" s="2076"/>
      <c r="O53" s="2076"/>
      <c r="P53" s="2076"/>
      <c r="Q53" s="2076"/>
      <c r="R53" s="2076"/>
      <c r="S53" s="2076"/>
      <c r="T53" s="2076"/>
      <c r="U53" s="2076"/>
      <c r="V53" s="2076"/>
      <c r="W53" s="2076"/>
      <c r="X53" s="2076"/>
      <c r="Y53" s="2076"/>
      <c r="Z53" s="2076"/>
      <c r="AA53" s="2076"/>
      <c r="AB53" s="2076"/>
      <c r="AC53" s="2076"/>
      <c r="AD53" s="2076"/>
      <c r="AE53" s="2076"/>
    </row>
    <row r="54" spans="1:31" s="1982" customFormat="1">
      <c r="A54" s="2044" t="s">
        <v>3533</v>
      </c>
      <c r="B54" s="394" t="e">
        <f t="shared" si="17"/>
        <v>#DIV/0!</v>
      </c>
      <c r="C54" s="994">
        <f t="shared" si="16"/>
        <v>0.25</v>
      </c>
      <c r="D54" s="2045">
        <v>0.25</v>
      </c>
      <c r="E54" s="2046"/>
      <c r="F54" s="2043" t="e">
        <f t="shared" si="15"/>
        <v>#DIV/0!</v>
      </c>
      <c r="G54" s="2049"/>
      <c r="H54" s="2048" t="str">
        <f>项目基本情况!B37</f>
        <v>四级</v>
      </c>
      <c r="I54" s="1106">
        <f>SUMIF(修正!A57:A68,H54,修正!D57:D68)</f>
        <v>0.25</v>
      </c>
      <c r="J54" s="2077"/>
      <c r="K54" s="1484"/>
      <c r="L54" s="2076"/>
      <c r="M54" s="2076"/>
      <c r="N54" s="2076"/>
      <c r="O54" s="2076"/>
      <c r="P54" s="2076"/>
      <c r="Q54" s="2076"/>
      <c r="R54" s="2076"/>
      <c r="S54" s="2076"/>
      <c r="T54" s="2076"/>
      <c r="U54" s="2076"/>
      <c r="V54" s="2076"/>
      <c r="W54" s="2076"/>
      <c r="X54" s="2076"/>
      <c r="Y54" s="2076"/>
      <c r="Z54" s="2076"/>
      <c r="AA54" s="2076"/>
      <c r="AB54" s="2076"/>
      <c r="AC54" s="2076"/>
      <c r="AD54" s="2076"/>
      <c r="AE54" s="2076"/>
    </row>
    <row r="55" spans="1:31" s="1982" customFormat="1" hidden="1">
      <c r="A55" s="2044"/>
      <c r="B55" s="394"/>
      <c r="C55" s="994"/>
      <c r="D55" s="2045"/>
      <c r="E55" s="2046"/>
      <c r="F55" s="2043"/>
      <c r="G55" s="2050"/>
      <c r="H55" s="2048"/>
      <c r="I55" s="1106"/>
      <c r="J55" s="2077"/>
      <c r="K55" s="1489"/>
      <c r="L55" s="2076"/>
      <c r="M55" s="2076"/>
      <c r="N55" s="2076"/>
      <c r="O55" s="2076"/>
      <c r="P55" s="2076"/>
      <c r="Q55" s="2076"/>
      <c r="R55" s="2076"/>
      <c r="S55" s="2076"/>
      <c r="T55" s="2076"/>
      <c r="U55" s="2076"/>
      <c r="V55" s="2076"/>
      <c r="W55" s="2076"/>
      <c r="X55" s="2076"/>
      <c r="Y55" s="2076"/>
      <c r="Z55" s="2076"/>
      <c r="AA55" s="2076"/>
      <c r="AB55" s="2076"/>
      <c r="AC55" s="2076"/>
      <c r="AD55" s="2076"/>
      <c r="AE55" s="2076"/>
    </row>
    <row r="56" spans="1:31" s="1982" customFormat="1">
      <c r="A56" s="2044" t="s">
        <v>3534</v>
      </c>
      <c r="B56" s="394" t="e">
        <f t="shared" si="17"/>
        <v>#DIV/0!</v>
      </c>
      <c r="C56" s="994">
        <f t="shared" si="16"/>
        <v>0</v>
      </c>
      <c r="D56" s="2045">
        <v>0.25</v>
      </c>
      <c r="E56" s="393">
        <f>'数据-汇总表'!E11</f>
        <v>0</v>
      </c>
      <c r="F56" s="2043" t="e">
        <f t="shared" si="15"/>
        <v>#DIV/0!</v>
      </c>
      <c r="G56" s="2051" t="s">
        <v>3535</v>
      </c>
      <c r="H56" s="2048">
        <f>项目基本情况!C37</f>
        <v>0</v>
      </c>
      <c r="I56" s="1106">
        <f>SUMIF(修正!A57:A68,H56,修正!E57:E68)</f>
        <v>0</v>
      </c>
      <c r="J56" s="2077"/>
      <c r="K56" s="1484"/>
      <c r="L56" s="2076"/>
      <c r="M56" s="2076"/>
      <c r="N56" s="2076"/>
      <c r="O56" s="2076"/>
      <c r="P56" s="2076"/>
      <c r="Q56" s="2076"/>
      <c r="R56" s="2076"/>
      <c r="S56" s="2076"/>
      <c r="T56" s="2076"/>
      <c r="U56" s="2076"/>
      <c r="V56" s="2076"/>
      <c r="W56" s="2076"/>
      <c r="X56" s="2076"/>
      <c r="Y56" s="2076"/>
      <c r="Z56" s="2076"/>
      <c r="AA56" s="2076"/>
      <c r="AB56" s="2076"/>
      <c r="AC56" s="2076"/>
      <c r="AD56" s="2076"/>
      <c r="AE56" s="2076"/>
    </row>
    <row r="57" spans="1:31" s="1982" customFormat="1">
      <c r="A57" s="2044" t="s">
        <v>3536</v>
      </c>
      <c r="B57" s="394" t="e">
        <f t="shared" si="17"/>
        <v>#DIV/0!</v>
      </c>
      <c r="C57" s="994">
        <f t="shared" si="16"/>
        <v>0</v>
      </c>
      <c r="D57" s="2045">
        <v>0.25</v>
      </c>
      <c r="E57" s="393">
        <f>'数据-汇总表'!E12</f>
        <v>6410.4</v>
      </c>
      <c r="F57" s="2043" t="e">
        <f t="shared" si="15"/>
        <v>#DIV/0!</v>
      </c>
      <c r="G57" s="2052" t="s">
        <v>3537</v>
      </c>
      <c r="H57" s="2048">
        <f>IF(G57="商业",项目基本情况!B37,IF(G57="办公",项目基本情况!C37,IF(G57="住宅",项目基本情况!D37,项目基本情况!E37)))</f>
        <v>0</v>
      </c>
      <c r="I57" s="1106">
        <f>SUMIF(修正!A57:A68,H57,修正!F57:F68)</f>
        <v>0</v>
      </c>
      <c r="J57" s="2077"/>
      <c r="K57" s="1489"/>
      <c r="L57" s="2076"/>
      <c r="M57" s="2076"/>
      <c r="N57" s="2076"/>
      <c r="O57" s="2076"/>
      <c r="P57" s="2076"/>
      <c r="Q57" s="2076"/>
      <c r="R57" s="2076"/>
      <c r="S57" s="2076"/>
      <c r="T57" s="2076"/>
      <c r="U57" s="2076"/>
      <c r="V57" s="2076"/>
      <c r="W57" s="2076"/>
      <c r="X57" s="2076"/>
      <c r="Y57" s="2076"/>
      <c r="Z57" s="2076"/>
      <c r="AA57" s="2076"/>
      <c r="AB57" s="2076"/>
      <c r="AC57" s="2076"/>
      <c r="AD57" s="2076"/>
      <c r="AE57" s="2076"/>
    </row>
    <row r="58" spans="1:31" s="1982" customFormat="1">
      <c r="A58" s="2044" t="s">
        <v>3538</v>
      </c>
      <c r="B58" s="394" t="e">
        <f t="shared" si="17"/>
        <v>#DIV/0!</v>
      </c>
      <c r="C58" s="994">
        <f t="shared" si="16"/>
        <v>0.15</v>
      </c>
      <c r="D58" s="2045">
        <v>0.25</v>
      </c>
      <c r="E58" s="393">
        <f>'数据-汇总表'!E13</f>
        <v>1032</v>
      </c>
      <c r="F58" s="2043" t="e">
        <f t="shared" si="15"/>
        <v>#DIV/0!</v>
      </c>
      <c r="G58" s="2052" t="s">
        <v>3539</v>
      </c>
      <c r="H58" s="2048" t="str">
        <f>IF(G58="商业",项目基本情况!B37,IF(G58="办公",项目基本情况!C37,IF(G58="住宅",项目基本情况!D37,项目基本情况!E37)))</f>
        <v>四级</v>
      </c>
      <c r="I58" s="1106">
        <f>SUMIF(修正!A57:A68,H58,修正!G57:G68)</f>
        <v>0.15</v>
      </c>
      <c r="J58" s="2077"/>
      <c r="K58" s="1484"/>
      <c r="L58" s="2076"/>
      <c r="M58" s="2076"/>
      <c r="N58" s="2076"/>
      <c r="O58" s="2076"/>
      <c r="P58" s="2076"/>
      <c r="Q58" s="2076"/>
      <c r="R58" s="2076"/>
      <c r="S58" s="2076"/>
      <c r="T58" s="2076"/>
      <c r="U58" s="2076"/>
      <c r="V58" s="2076"/>
      <c r="W58" s="2076"/>
      <c r="X58" s="2076"/>
      <c r="Y58" s="2076"/>
      <c r="Z58" s="2076"/>
      <c r="AA58" s="2076"/>
      <c r="AB58" s="2076"/>
      <c r="AC58" s="2076"/>
      <c r="AD58" s="2076"/>
      <c r="AE58" s="2076"/>
    </row>
    <row r="59" spans="1:31" s="1982" customFormat="1">
      <c r="A59" s="2044" t="s">
        <v>3540</v>
      </c>
      <c r="B59" s="394" t="e">
        <f t="shared" si="17"/>
        <v>#DIV/0!</v>
      </c>
      <c r="C59" s="994">
        <f t="shared" si="16"/>
        <v>0.15</v>
      </c>
      <c r="D59" s="2045">
        <v>0.25</v>
      </c>
      <c r="E59" s="393">
        <f>'数据-汇总表'!E14</f>
        <v>0</v>
      </c>
      <c r="F59" s="2043" t="e">
        <f t="shared" si="15"/>
        <v>#DIV/0!</v>
      </c>
      <c r="G59" s="2051" t="s">
        <v>3531</v>
      </c>
      <c r="H59" s="2048" t="str">
        <f>项目基本情况!B37</f>
        <v>四级</v>
      </c>
      <c r="I59" s="1106">
        <f>SUMIF(修正!A57:A68,H59,修正!G57:G68)</f>
        <v>0.15</v>
      </c>
      <c r="J59" s="2077"/>
      <c r="K59" s="1489"/>
      <c r="L59" s="2076"/>
      <c r="M59" s="2076"/>
      <c r="N59" s="2076"/>
      <c r="O59" s="2076"/>
      <c r="P59" s="2076"/>
      <c r="Q59" s="2076"/>
      <c r="R59" s="2076"/>
      <c r="S59" s="2076"/>
      <c r="T59" s="2076"/>
      <c r="U59" s="2076"/>
      <c r="V59" s="2076"/>
      <c r="W59" s="2076"/>
      <c r="X59" s="2076"/>
      <c r="Y59" s="2076"/>
      <c r="Z59" s="2076"/>
      <c r="AA59" s="2076"/>
      <c r="AB59" s="2076"/>
      <c r="AC59" s="2076"/>
      <c r="AD59" s="2076"/>
      <c r="AE59" s="2076"/>
    </row>
    <row r="60" spans="1:31" s="1982" customFormat="1">
      <c r="A60" s="2044" t="s">
        <v>3541</v>
      </c>
      <c r="B60" s="394" t="e">
        <f t="shared" si="17"/>
        <v>#DIV/0!</v>
      </c>
      <c r="C60" s="994">
        <f t="shared" si="16"/>
        <v>0</v>
      </c>
      <c r="D60" s="2045">
        <v>0.25</v>
      </c>
      <c r="E60" s="393">
        <f>'数据-汇总表'!E15</f>
        <v>0</v>
      </c>
      <c r="F60" s="2043" t="e">
        <f t="shared" si="15"/>
        <v>#DIV/0!</v>
      </c>
      <c r="G60" s="2053" t="s">
        <v>3535</v>
      </c>
      <c r="H60" s="2054">
        <f>项目基本情况!C37</f>
        <v>0</v>
      </c>
      <c r="I60" s="1106">
        <f>SUMIF(修正!A57:A68,H60,修正!G57:G68)</f>
        <v>0</v>
      </c>
      <c r="J60" s="2077"/>
      <c r="K60" s="1484"/>
      <c r="L60" s="2076"/>
      <c r="M60" s="2076"/>
      <c r="N60" s="2076"/>
      <c r="O60" s="2076"/>
      <c r="P60" s="2076"/>
      <c r="Q60" s="2076"/>
      <c r="R60" s="2076"/>
      <c r="S60" s="2076"/>
      <c r="T60" s="2076"/>
      <c r="U60" s="2076"/>
      <c r="V60" s="2076"/>
      <c r="W60" s="2076"/>
      <c r="X60" s="2076"/>
      <c r="Y60" s="2076"/>
      <c r="Z60" s="2076"/>
      <c r="AA60" s="2076"/>
      <c r="AB60" s="2076"/>
      <c r="AC60" s="2076"/>
      <c r="AD60" s="2076"/>
      <c r="AE60" s="2076"/>
    </row>
    <row r="61" spans="1:31" s="1982" customFormat="1">
      <c r="A61" s="2055" t="s">
        <v>3542</v>
      </c>
      <c r="B61" s="2056" t="s">
        <v>2478</v>
      </c>
      <c r="C61" s="2056" t="s">
        <v>2478</v>
      </c>
      <c r="D61" s="2056" t="s">
        <v>2478</v>
      </c>
      <c r="E61" s="2056">
        <f>IF(B41="楼面地价",SUM(E51:E60),'数据-汇总表'!D3)</f>
        <v>0</v>
      </c>
      <c r="F61" s="2057" t="e">
        <f>IF(B41="楼面地价",SUM(F51:F60),ROUND(C43*E61/10000,0))</f>
        <v>#DIV/0!</v>
      </c>
      <c r="G61" s="2058"/>
      <c r="H61" s="2058"/>
      <c r="I61" s="2058"/>
      <c r="J61" s="2058"/>
      <c r="K61" s="1546"/>
      <c r="L61" s="2076"/>
      <c r="M61" s="2076"/>
      <c r="N61" s="2076"/>
      <c r="O61" s="2076"/>
      <c r="P61" s="2076"/>
      <c r="Q61" s="2076"/>
      <c r="R61" s="2076"/>
      <c r="S61" s="2076"/>
      <c r="T61" s="2076"/>
      <c r="U61" s="2076"/>
      <c r="V61" s="2076"/>
      <c r="W61" s="2076"/>
      <c r="X61" s="2076"/>
      <c r="Y61" s="2076"/>
      <c r="Z61" s="2076"/>
      <c r="AA61" s="2076"/>
      <c r="AB61" s="2076"/>
      <c r="AC61" s="2076"/>
      <c r="AD61" s="2076"/>
      <c r="AE61" s="2076"/>
    </row>
    <row r="62" spans="1:31">
      <c r="A62" s="2059"/>
      <c r="B62" s="2060"/>
      <c r="C62" s="2061"/>
      <c r="D62" s="2059"/>
      <c r="E62" s="2059"/>
      <c r="F62" s="2059"/>
      <c r="G62" s="2059"/>
      <c r="H62" s="2059"/>
      <c r="I62" s="2059"/>
      <c r="J62" s="2059"/>
      <c r="K62" s="2078"/>
      <c r="L62" s="2079"/>
      <c r="M62" s="2059"/>
      <c r="N62" s="2059"/>
      <c r="O62" s="2059"/>
      <c r="P62" s="1484"/>
      <c r="Q62" s="1484"/>
      <c r="R62" s="1484"/>
      <c r="S62" s="1484"/>
      <c r="T62" s="1484"/>
      <c r="U62" s="1484"/>
      <c r="V62" s="1484"/>
      <c r="W62" s="1484"/>
      <c r="X62" s="1484"/>
      <c r="Y62" s="1484"/>
      <c r="Z62" s="1484"/>
      <c r="AA62" s="1484"/>
      <c r="AB62" s="1484"/>
      <c r="AC62" s="1484"/>
      <c r="AD62" s="1484"/>
      <c r="AE62" s="1484"/>
    </row>
    <row r="63" spans="1:31">
      <c r="A63" s="2059"/>
      <c r="B63" s="2060"/>
      <c r="C63" s="2062" t="str">
        <f>YEAR(C7)&amp;"-"&amp;MONTH(C7)&amp;"-1"</f>
        <v>2024-1-1</v>
      </c>
      <c r="D63" s="2062">
        <f>EDATE(C63,-3)</f>
        <v>45200</v>
      </c>
      <c r="E63" s="2062">
        <f>EDATE(D63,-3)</f>
        <v>45108</v>
      </c>
      <c r="F63" s="2062">
        <f t="shared" ref="F63:O63" si="18">EDATE(E63,-3)</f>
        <v>45017</v>
      </c>
      <c r="G63" s="2062">
        <f t="shared" si="18"/>
        <v>44927</v>
      </c>
      <c r="H63" s="2062">
        <f t="shared" si="18"/>
        <v>44835</v>
      </c>
      <c r="I63" s="2062">
        <f t="shared" si="18"/>
        <v>44743</v>
      </c>
      <c r="J63" s="2062">
        <f t="shared" si="18"/>
        <v>44652</v>
      </c>
      <c r="K63" s="2062">
        <f t="shared" si="18"/>
        <v>44562</v>
      </c>
      <c r="L63" s="2062">
        <f t="shared" si="18"/>
        <v>44470</v>
      </c>
      <c r="M63" s="2062">
        <f t="shared" si="18"/>
        <v>44378</v>
      </c>
      <c r="N63" s="2062">
        <f t="shared" si="18"/>
        <v>44287</v>
      </c>
      <c r="O63" s="2062">
        <f t="shared" si="18"/>
        <v>44197</v>
      </c>
      <c r="P63" s="1484"/>
      <c r="Q63" s="1484"/>
      <c r="R63" s="1484"/>
      <c r="S63" s="1484"/>
      <c r="T63" s="1484"/>
      <c r="U63" s="1484"/>
      <c r="V63" s="1484"/>
      <c r="W63" s="1484"/>
      <c r="X63" s="1484"/>
      <c r="Y63" s="1484"/>
      <c r="Z63" s="1484"/>
      <c r="AA63" s="1484"/>
      <c r="AB63" s="1484"/>
      <c r="AC63" s="1484"/>
      <c r="AD63" s="1484"/>
      <c r="AE63" s="1484"/>
    </row>
    <row r="64" spans="1:31" ht="21.6">
      <c r="A64" s="1492" t="s">
        <v>2928</v>
      </c>
      <c r="B64" s="1493"/>
      <c r="C64" s="1494"/>
      <c r="D64" s="1494"/>
      <c r="E64" s="1494"/>
      <c r="F64" s="1495"/>
      <c r="G64" s="1495"/>
      <c r="H64" s="1494"/>
      <c r="I64" s="1494"/>
      <c r="J64" s="1494"/>
      <c r="K64" s="1552"/>
      <c r="L64" s="2080"/>
      <c r="M64" s="1494"/>
      <c r="N64" s="1494"/>
      <c r="O64" s="1554"/>
      <c r="P64" s="2081"/>
      <c r="Q64" s="1588"/>
      <c r="R64" s="1484"/>
      <c r="S64" s="1484"/>
      <c r="T64" s="1484"/>
      <c r="U64" s="1484"/>
      <c r="V64" s="1484"/>
      <c r="W64" s="1484"/>
      <c r="X64" s="1484"/>
      <c r="Y64" s="1484"/>
      <c r="Z64" s="1484"/>
      <c r="AA64" s="1484"/>
      <c r="AB64" s="1484"/>
      <c r="AC64" s="1484"/>
      <c r="AD64" s="1484"/>
      <c r="AE64" s="1484"/>
    </row>
    <row r="65" spans="1:31" s="1357" customFormat="1" ht="14.4">
      <c r="A65" s="2084" t="s">
        <v>3543</v>
      </c>
      <c r="B65" s="2085"/>
      <c r="C65" s="2086" t="str">
        <f>YEAR(C63)&amp;"-"&amp;ROUNDUP(MONTH(C63)/3,0)</f>
        <v>2024-1</v>
      </c>
      <c r="D65" s="2086" t="str">
        <f t="shared" ref="D65:O65" si="19">YEAR(D63)&amp;"-"&amp;ROUNDUP(MONTH(D63)/3,0)</f>
        <v>2023-4</v>
      </c>
      <c r="E65" s="2086" t="str">
        <f t="shared" si="19"/>
        <v>2023-3</v>
      </c>
      <c r="F65" s="2086" t="str">
        <f t="shared" si="19"/>
        <v>2023-2</v>
      </c>
      <c r="G65" s="2086" t="str">
        <f t="shared" si="19"/>
        <v>2023-1</v>
      </c>
      <c r="H65" s="2086" t="str">
        <f t="shared" si="19"/>
        <v>2022-4</v>
      </c>
      <c r="I65" s="2086" t="str">
        <f t="shared" si="19"/>
        <v>2022-3</v>
      </c>
      <c r="J65" s="2086" t="str">
        <f t="shared" si="19"/>
        <v>2022-2</v>
      </c>
      <c r="K65" s="2086" t="str">
        <f t="shared" si="19"/>
        <v>2022-1</v>
      </c>
      <c r="L65" s="2086" t="str">
        <f t="shared" si="19"/>
        <v>2021-4</v>
      </c>
      <c r="M65" s="2086" t="str">
        <f t="shared" si="19"/>
        <v>2021-3</v>
      </c>
      <c r="N65" s="2086" t="str">
        <f t="shared" si="19"/>
        <v>2021-2</v>
      </c>
      <c r="O65" s="2086" t="str">
        <f t="shared" si="19"/>
        <v>2021-1</v>
      </c>
      <c r="P65" s="2094"/>
      <c r="Q65" s="1589"/>
      <c r="R65" s="1589"/>
      <c r="S65" s="1589"/>
      <c r="T65" s="1589"/>
      <c r="U65" s="1589"/>
      <c r="V65" s="1589"/>
      <c r="W65" s="1589"/>
      <c r="X65" s="1589"/>
      <c r="Y65" s="1589"/>
      <c r="Z65" s="1589"/>
      <c r="AA65" s="1589"/>
      <c r="AB65" s="1589"/>
      <c r="AC65" s="1589"/>
      <c r="AD65" s="1589"/>
      <c r="AE65" s="1589"/>
    </row>
    <row r="66" spans="1:31" s="1353" customFormat="1" ht="30.75" customHeight="1">
      <c r="A66" s="2087" t="s">
        <v>3553</v>
      </c>
      <c r="B66" s="2088" t="str">
        <f>"北京市平均增长率"&amp;TEXT(基准地价修正!P28,"0.00%")</f>
        <v>北京市平均增长率0.00%</v>
      </c>
      <c r="C66" s="1251">
        <v>100</v>
      </c>
      <c r="D66" s="1628"/>
      <c r="E66" s="1628"/>
      <c r="F66" s="1628"/>
      <c r="G66" s="1628"/>
      <c r="H66" s="1628"/>
      <c r="I66" s="1628"/>
      <c r="J66" s="1628"/>
      <c r="K66" s="1628"/>
      <c r="L66" s="1628"/>
      <c r="M66" s="2095"/>
      <c r="N66" s="2095"/>
      <c r="O66" s="2096"/>
      <c r="P66" s="1588"/>
      <c r="Q66" s="1590"/>
      <c r="R66" s="1590"/>
      <c r="S66" s="1590"/>
      <c r="T66" s="1590"/>
      <c r="U66" s="1590"/>
      <c r="V66" s="1590"/>
      <c r="W66" s="1590"/>
      <c r="X66" s="1590"/>
      <c r="Y66" s="1590"/>
      <c r="Z66" s="1590"/>
      <c r="AA66" s="1590"/>
      <c r="AB66" s="1590"/>
      <c r="AC66" s="1590"/>
      <c r="AD66" s="1590"/>
      <c r="AE66" s="1590"/>
    </row>
    <row r="67" spans="1:31" s="1353" customFormat="1" ht="14.4">
      <c r="A67" s="1504" t="s">
        <v>2929</v>
      </c>
      <c r="B67" s="1505"/>
      <c r="C67" s="1506"/>
      <c r="D67" s="1507"/>
      <c r="E67" s="1507"/>
      <c r="F67" s="1507"/>
      <c r="G67" s="1507"/>
      <c r="H67" s="1507"/>
      <c r="I67" s="1507"/>
      <c r="J67" s="1507"/>
      <c r="K67" s="1507"/>
      <c r="L67" s="1507"/>
      <c r="M67" s="1559"/>
      <c r="N67" s="1559"/>
      <c r="O67" s="2097"/>
      <c r="P67" s="1588"/>
      <c r="Q67" s="1588"/>
      <c r="R67" s="1590"/>
      <c r="S67" s="1590"/>
      <c r="T67" s="1590"/>
      <c r="U67" s="1590"/>
      <c r="V67" s="1590"/>
      <c r="W67" s="1590"/>
      <c r="X67" s="1590"/>
      <c r="Y67" s="1590"/>
      <c r="Z67" s="1590"/>
      <c r="AA67" s="1590"/>
      <c r="AB67" s="1590"/>
      <c r="AC67" s="1590"/>
      <c r="AD67" s="1590"/>
      <c r="AE67" s="1590"/>
    </row>
    <row r="68" spans="1:31" s="1353" customFormat="1" ht="14.4">
      <c r="A68" s="1508" t="s">
        <v>2885</v>
      </c>
      <c r="B68" s="1501"/>
      <c r="C68" s="1509" t="s">
        <v>2930</v>
      </c>
      <c r="D68" s="1510"/>
      <c r="E68" s="1510"/>
      <c r="F68" s="1510"/>
      <c r="G68" s="1510"/>
      <c r="H68" s="1510"/>
      <c r="I68" s="1510"/>
      <c r="J68" s="1510"/>
      <c r="K68" s="1510"/>
      <c r="L68" s="1560"/>
      <c r="M68" s="1561"/>
      <c r="N68" s="1562"/>
      <c r="O68" s="1562"/>
      <c r="P68" s="2098"/>
      <c r="Q68" s="1588"/>
      <c r="R68" s="1590"/>
      <c r="S68" s="1590"/>
      <c r="T68" s="1590"/>
      <c r="U68" s="1590"/>
      <c r="V68" s="1590"/>
      <c r="W68" s="1590"/>
      <c r="X68" s="1590"/>
      <c r="Y68" s="1590"/>
      <c r="Z68" s="1590"/>
      <c r="AA68" s="1590"/>
      <c r="AB68" s="1590"/>
      <c r="AC68" s="1590"/>
      <c r="AD68" s="1590"/>
      <c r="AE68" s="1590"/>
    </row>
    <row r="69" spans="1:31" s="1353" customFormat="1">
      <c r="A69" s="1508"/>
      <c r="B69" s="1501"/>
      <c r="C69" s="2089">
        <v>100</v>
      </c>
      <c r="D69" s="1503"/>
      <c r="E69" s="1503"/>
      <c r="F69" s="1503"/>
      <c r="G69" s="1503"/>
      <c r="H69" s="1503"/>
      <c r="I69" s="1503"/>
      <c r="J69" s="1503"/>
      <c r="K69" s="1503"/>
      <c r="L69" s="1503"/>
      <c r="M69" s="1564"/>
      <c r="N69" s="1562"/>
      <c r="O69" s="1562"/>
      <c r="P69" s="1588"/>
      <c r="Q69" s="1588"/>
      <c r="R69" s="1590"/>
      <c r="S69" s="1590"/>
      <c r="T69" s="1590"/>
      <c r="U69" s="1590"/>
      <c r="V69" s="1590"/>
      <c r="W69" s="1590"/>
      <c r="X69" s="1590"/>
      <c r="Y69" s="1590"/>
      <c r="Z69" s="1590"/>
      <c r="AA69" s="1590"/>
      <c r="AB69" s="1590"/>
      <c r="AC69" s="1590"/>
      <c r="AD69" s="1590"/>
      <c r="AE69" s="1590"/>
    </row>
    <row r="70" spans="1:31" ht="14.4">
      <c r="A70" s="1512" t="s">
        <v>2931</v>
      </c>
      <c r="B70" s="1513" t="s">
        <v>2889</v>
      </c>
      <c r="C70" s="1515"/>
      <c r="D70" s="1515"/>
      <c r="E70" s="1515"/>
      <c r="F70" s="1515"/>
      <c r="G70" s="1515"/>
      <c r="H70" s="1515"/>
      <c r="I70" s="1515"/>
      <c r="J70" s="1515"/>
      <c r="K70" s="1565"/>
      <c r="L70" s="1566"/>
      <c r="M70" s="1567"/>
      <c r="N70" s="1568"/>
      <c r="O70" s="1568"/>
      <c r="P70" s="2099"/>
      <c r="Q70" s="1588"/>
      <c r="R70" s="1484"/>
      <c r="S70" s="1484"/>
      <c r="T70" s="1484"/>
      <c r="U70" s="1484"/>
      <c r="V70" s="1484"/>
      <c r="W70" s="1484"/>
      <c r="X70" s="1484"/>
      <c r="Y70" s="1484"/>
      <c r="Z70" s="1484"/>
      <c r="AA70" s="1484"/>
      <c r="AB70" s="1484"/>
      <c r="AC70" s="1484"/>
      <c r="AD70" s="1484"/>
      <c r="AE70" s="1484"/>
    </row>
    <row r="71" spans="1:31">
      <c r="A71" s="1516"/>
      <c r="B71" s="1517"/>
      <c r="C71" s="1518"/>
      <c r="D71" s="1518"/>
      <c r="E71" s="1518"/>
      <c r="F71" s="1518"/>
      <c r="G71" s="1518"/>
      <c r="H71" s="1518"/>
      <c r="I71" s="1518"/>
      <c r="J71" s="1518"/>
      <c r="K71" s="1518"/>
      <c r="L71" s="1518"/>
      <c r="M71" s="1570"/>
      <c r="N71" s="1571"/>
      <c r="O71" s="1571"/>
      <c r="P71" s="2099"/>
      <c r="Q71" s="1588"/>
      <c r="R71" s="1484"/>
      <c r="S71" s="1484"/>
      <c r="T71" s="1484"/>
      <c r="U71" s="1484"/>
      <c r="V71" s="1484"/>
      <c r="W71" s="1484"/>
      <c r="X71" s="1484"/>
      <c r="Y71" s="1484"/>
      <c r="Z71" s="1484"/>
      <c r="AA71" s="1484"/>
      <c r="AB71" s="1484"/>
      <c r="AC71" s="1484"/>
      <c r="AD71" s="1484"/>
      <c r="AE71" s="1484"/>
    </row>
    <row r="72" spans="1:31" ht="28.8">
      <c r="A72" s="1516"/>
      <c r="B72" s="1597" t="s">
        <v>2893</v>
      </c>
      <c r="C72" s="1617"/>
      <c r="D72" s="1617"/>
      <c r="E72" s="1617"/>
      <c r="F72" s="1617"/>
      <c r="G72" s="1617"/>
      <c r="H72" s="1617"/>
      <c r="I72" s="1617"/>
      <c r="J72" s="1617"/>
      <c r="K72" s="1653"/>
      <c r="L72" s="1654"/>
      <c r="M72" s="1655"/>
      <c r="N72" s="1568"/>
      <c r="O72" s="1568"/>
      <c r="P72" s="2099"/>
      <c r="Q72" s="1588"/>
      <c r="R72" s="1484"/>
      <c r="S72" s="1484"/>
      <c r="T72" s="1484"/>
      <c r="U72" s="1484"/>
      <c r="V72" s="1484"/>
      <c r="W72" s="1484"/>
      <c r="X72" s="1484"/>
      <c r="Y72" s="1484"/>
      <c r="Z72" s="1484"/>
      <c r="AA72" s="1484"/>
      <c r="AB72" s="1484"/>
      <c r="AC72" s="1484"/>
      <c r="AD72" s="1484"/>
      <c r="AE72" s="1484"/>
    </row>
    <row r="73" spans="1:31">
      <c r="A73" s="1516"/>
      <c r="B73" s="1599"/>
      <c r="C73" s="1604"/>
      <c r="D73" s="1604"/>
      <c r="E73" s="1604"/>
      <c r="F73" s="1604"/>
      <c r="G73" s="1604"/>
      <c r="H73" s="1604"/>
      <c r="I73" s="1604"/>
      <c r="J73" s="1604"/>
      <c r="K73" s="1604"/>
      <c r="L73" s="1604"/>
      <c r="M73" s="1638"/>
      <c r="N73" s="1571"/>
      <c r="O73" s="1571"/>
      <c r="P73" s="2099"/>
      <c r="Q73" s="1588"/>
      <c r="R73" s="1484"/>
      <c r="S73" s="1484"/>
      <c r="T73" s="1484"/>
      <c r="U73" s="1484"/>
      <c r="V73" s="1484"/>
      <c r="W73" s="1484"/>
      <c r="X73" s="1484"/>
      <c r="Y73" s="1484"/>
      <c r="Z73" s="1484"/>
      <c r="AA73" s="1484"/>
      <c r="AB73" s="1484"/>
      <c r="AC73" s="1484"/>
      <c r="AD73" s="1484"/>
      <c r="AE73" s="1484"/>
    </row>
    <row r="74" spans="1:31" ht="14.4">
      <c r="A74" s="1516"/>
      <c r="B74" s="1600" t="s">
        <v>3458</v>
      </c>
      <c r="C74" s="1601" t="str">
        <f>C75&amp;"（含）"&amp;"-"&amp;D75</f>
        <v>（含）-</v>
      </c>
      <c r="D74" s="1601" t="str">
        <f t="shared" ref="D74:L74" si="20">D75&amp;"（含）"&amp;"-"&amp;E75</f>
        <v>（含）-</v>
      </c>
      <c r="E74" s="1601" t="str">
        <f t="shared" si="20"/>
        <v>（含）-</v>
      </c>
      <c r="F74" s="1601" t="str">
        <f t="shared" si="20"/>
        <v>（含）-</v>
      </c>
      <c r="G74" s="1601" t="str">
        <f t="shared" si="20"/>
        <v>（含）-</v>
      </c>
      <c r="H74" s="1601" t="str">
        <f t="shared" si="20"/>
        <v>（含）-</v>
      </c>
      <c r="I74" s="1601" t="str">
        <f t="shared" si="20"/>
        <v>（含）-</v>
      </c>
      <c r="J74" s="1601" t="str">
        <f t="shared" si="20"/>
        <v>（含）-</v>
      </c>
      <c r="K74" s="1601" t="str">
        <f t="shared" si="20"/>
        <v>（含）-</v>
      </c>
      <c r="L74" s="1601" t="str">
        <f t="shared" si="20"/>
        <v>（含）-</v>
      </c>
      <c r="M74" s="1429" t="str">
        <f>M75&amp;"（含）"&amp;"-"&amp;P75</f>
        <v>（含）-</v>
      </c>
      <c r="N74" s="1571"/>
      <c r="O74" s="1571"/>
      <c r="P74" s="2099"/>
      <c r="Q74" s="1588"/>
      <c r="R74" s="1484"/>
      <c r="S74" s="1484"/>
      <c r="T74" s="1484"/>
      <c r="U74" s="1484"/>
      <c r="V74" s="1484"/>
      <c r="W74" s="1484"/>
      <c r="X74" s="1484"/>
      <c r="Y74" s="1484"/>
      <c r="Z74" s="1484"/>
      <c r="AA74" s="1484"/>
      <c r="AB74" s="1484"/>
      <c r="AC74" s="1484"/>
      <c r="AD74" s="1484"/>
      <c r="AE74" s="1484"/>
    </row>
    <row r="75" spans="1:31">
      <c r="A75" s="1516"/>
      <c r="B75" s="1602"/>
      <c r="C75" s="1603"/>
      <c r="D75" s="1603"/>
      <c r="E75" s="1603"/>
      <c r="F75" s="1603"/>
      <c r="G75" s="1603"/>
      <c r="H75" s="1603"/>
      <c r="I75" s="1603"/>
      <c r="J75" s="1603"/>
      <c r="K75" s="1635"/>
      <c r="L75" s="1636"/>
      <c r="M75" s="1637"/>
      <c r="N75" s="1568"/>
      <c r="O75" s="1568"/>
      <c r="P75" s="2099"/>
      <c r="Q75" s="1588"/>
      <c r="R75" s="1484"/>
      <c r="S75" s="1484"/>
      <c r="T75" s="1484"/>
      <c r="U75" s="1484"/>
      <c r="V75" s="1484"/>
      <c r="W75" s="1484"/>
      <c r="X75" s="1484"/>
      <c r="Y75" s="1484"/>
      <c r="Z75" s="1484"/>
      <c r="AA75" s="1484"/>
      <c r="AB75" s="1484"/>
      <c r="AC75" s="1484"/>
      <c r="AD75" s="1484"/>
      <c r="AE75" s="1484"/>
    </row>
    <row r="76" spans="1:31">
      <c r="A76" s="1516"/>
      <c r="B76" s="1517"/>
      <c r="C76" s="1604">
        <v>100</v>
      </c>
      <c r="D76" s="1604">
        <f>IF($B$41="单位面积地价",C76+$K11,C76-$K11)</f>
        <v>100</v>
      </c>
      <c r="E76" s="1604">
        <f t="shared" ref="E76:M76" si="21">IF($B$41="单位面积地价",D76+$K11,D76-$K11)</f>
        <v>100</v>
      </c>
      <c r="F76" s="1604">
        <f t="shared" si="21"/>
        <v>100</v>
      </c>
      <c r="G76" s="1604">
        <f t="shared" si="21"/>
        <v>100</v>
      </c>
      <c r="H76" s="1604">
        <f t="shared" si="21"/>
        <v>100</v>
      </c>
      <c r="I76" s="1604">
        <f t="shared" si="21"/>
        <v>100</v>
      </c>
      <c r="J76" s="1604">
        <f t="shared" si="21"/>
        <v>100</v>
      </c>
      <c r="K76" s="1604">
        <f t="shared" si="21"/>
        <v>100</v>
      </c>
      <c r="L76" s="1604">
        <f t="shared" si="21"/>
        <v>100</v>
      </c>
      <c r="M76" s="1604">
        <f t="shared" si="21"/>
        <v>100</v>
      </c>
      <c r="N76" s="1571"/>
      <c r="O76" s="1571"/>
      <c r="P76" s="2099"/>
      <c r="Q76" s="1588"/>
      <c r="R76" s="1484"/>
      <c r="S76" s="1484"/>
      <c r="T76" s="1484"/>
      <c r="U76" s="1484"/>
      <c r="V76" s="1484"/>
      <c r="W76" s="1484"/>
      <c r="X76" s="1484"/>
      <c r="Y76" s="1484"/>
      <c r="Z76" s="1484"/>
      <c r="AA76" s="1484"/>
      <c r="AB76" s="1484"/>
      <c r="AC76" s="1484"/>
      <c r="AD76" s="1484"/>
      <c r="AE76" s="1484"/>
    </row>
    <row r="77" spans="1:31" s="1355" customFormat="1">
      <c r="A77" s="1605"/>
      <c r="B77" s="1597">
        <f>B12</f>
        <v>111</v>
      </c>
      <c r="C77" s="1606"/>
      <c r="D77" s="1606"/>
      <c r="E77" s="1606"/>
      <c r="F77" s="1606"/>
      <c r="G77" s="1606"/>
      <c r="H77" s="1607"/>
      <c r="I77" s="1607"/>
      <c r="J77" s="1607"/>
      <c r="K77" s="1607"/>
      <c r="L77" s="1639"/>
      <c r="M77" s="1640"/>
      <c r="N77" s="1641"/>
      <c r="O77" s="1641"/>
      <c r="P77" s="2100"/>
      <c r="Q77" s="1671"/>
      <c r="R77" s="1672"/>
      <c r="S77" s="1672"/>
      <c r="T77" s="1672"/>
      <c r="U77" s="1672"/>
      <c r="V77" s="1672"/>
      <c r="W77" s="1672"/>
      <c r="X77" s="1672"/>
      <c r="Y77" s="1672"/>
      <c r="Z77" s="1672"/>
      <c r="AA77" s="1672"/>
      <c r="AB77" s="1672"/>
      <c r="AC77" s="1672"/>
      <c r="AD77" s="1672"/>
      <c r="AE77" s="1672"/>
    </row>
    <row r="78" spans="1:31" s="1355" customFormat="1">
      <c r="A78" s="1605"/>
      <c r="B78" s="1599"/>
      <c r="C78" s="1608"/>
      <c r="D78" s="1518"/>
      <c r="E78" s="1518"/>
      <c r="F78" s="1518"/>
      <c r="G78" s="1518"/>
      <c r="H78" s="1518"/>
      <c r="I78" s="1518"/>
      <c r="J78" s="1518"/>
      <c r="K78" s="1518"/>
      <c r="L78" s="1518"/>
      <c r="M78" s="1570"/>
      <c r="N78" s="1571"/>
      <c r="O78" s="1571"/>
      <c r="P78" s="2100"/>
      <c r="Q78" s="1671"/>
      <c r="R78" s="1672"/>
      <c r="S78" s="1672"/>
      <c r="T78" s="1672"/>
      <c r="U78" s="1672"/>
      <c r="V78" s="1672"/>
      <c r="W78" s="1672"/>
      <c r="X78" s="1672"/>
      <c r="Y78" s="1672"/>
      <c r="Z78" s="1672"/>
      <c r="AA78" s="1672"/>
      <c r="AB78" s="1672"/>
      <c r="AC78" s="1672"/>
      <c r="AD78" s="1672"/>
      <c r="AE78" s="1672"/>
    </row>
    <row r="79" spans="1:31" s="1355" customFormat="1">
      <c r="A79" s="1605"/>
      <c r="B79" s="1597">
        <f>B13</f>
        <v>111</v>
      </c>
      <c r="C79" s="1606"/>
      <c r="D79" s="1606"/>
      <c r="E79" s="1606"/>
      <c r="F79" s="1606"/>
      <c r="G79" s="1606"/>
      <c r="H79" s="1607"/>
      <c r="I79" s="1607"/>
      <c r="J79" s="1607"/>
      <c r="K79" s="1607"/>
      <c r="L79" s="1639"/>
      <c r="M79" s="1640"/>
      <c r="N79" s="1641"/>
      <c r="O79" s="1641"/>
      <c r="P79" s="1541"/>
      <c r="Q79" s="1673"/>
      <c r="R79" s="1672"/>
      <c r="S79" s="1672"/>
      <c r="T79" s="1672"/>
      <c r="U79" s="1672"/>
      <c r="V79" s="1672"/>
      <c r="W79" s="1672"/>
      <c r="X79" s="1672"/>
      <c r="Y79" s="1672"/>
      <c r="Z79" s="1672"/>
      <c r="AA79" s="1672"/>
      <c r="AB79" s="1672"/>
      <c r="AC79" s="1672"/>
      <c r="AD79" s="1672"/>
      <c r="AE79" s="1672"/>
    </row>
    <row r="80" spans="1:31" s="1355" customFormat="1">
      <c r="A80" s="1605"/>
      <c r="B80" s="1599"/>
      <c r="C80" s="1608"/>
      <c r="D80" s="1608"/>
      <c r="E80" s="1608"/>
      <c r="F80" s="1608"/>
      <c r="G80" s="1608"/>
      <c r="H80" s="1609"/>
      <c r="I80" s="1609"/>
      <c r="J80" s="1609"/>
      <c r="K80" s="1609"/>
      <c r="L80" s="1609"/>
      <c r="M80" s="1644"/>
      <c r="N80" s="1641"/>
      <c r="O80" s="1641"/>
      <c r="P80" s="2100"/>
      <c r="Q80" s="1671"/>
      <c r="R80" s="1672"/>
      <c r="S80" s="1672"/>
      <c r="T80" s="1672"/>
      <c r="U80" s="1672"/>
      <c r="V80" s="1672"/>
      <c r="W80" s="1672"/>
      <c r="X80" s="1672"/>
      <c r="Y80" s="1672"/>
      <c r="Z80" s="1672"/>
      <c r="AA80" s="1672"/>
      <c r="AB80" s="1672"/>
      <c r="AC80" s="1672"/>
      <c r="AD80" s="1672"/>
      <c r="AE80" s="1672"/>
    </row>
    <row r="81" spans="1:31" s="1355" customFormat="1">
      <c r="A81" s="1605"/>
      <c r="B81" s="1600">
        <f>B14</f>
        <v>111</v>
      </c>
      <c r="C81" s="1510"/>
      <c r="D81" s="1510"/>
      <c r="E81" s="1510"/>
      <c r="F81" s="1510"/>
      <c r="G81" s="1510"/>
      <c r="H81" s="1610"/>
      <c r="I81" s="1610"/>
      <c r="J81" s="1610"/>
      <c r="K81" s="1610"/>
      <c r="L81" s="1645"/>
      <c r="M81" s="1646"/>
      <c r="N81" s="1641"/>
      <c r="O81" s="1641"/>
      <c r="P81" s="2101"/>
      <c r="Q81" s="1671"/>
      <c r="R81" s="1672"/>
      <c r="S81" s="1672"/>
      <c r="T81" s="1672"/>
      <c r="U81" s="1672"/>
      <c r="V81" s="1672"/>
      <c r="W81" s="1672"/>
      <c r="X81" s="1672"/>
      <c r="Y81" s="1672"/>
      <c r="Z81" s="1672"/>
      <c r="AA81" s="1672"/>
      <c r="AB81" s="1672"/>
      <c r="AC81" s="1672"/>
      <c r="AD81" s="1672"/>
      <c r="AE81" s="1672"/>
    </row>
    <row r="82" spans="1:31" s="1355" customFormat="1">
      <c r="A82" s="1611"/>
      <c r="B82" s="1612"/>
      <c r="C82" s="1613"/>
      <c r="D82" s="1613"/>
      <c r="E82" s="1613"/>
      <c r="F82" s="1613"/>
      <c r="G82" s="1613"/>
      <c r="H82" s="1614"/>
      <c r="I82" s="1614"/>
      <c r="J82" s="1614"/>
      <c r="K82" s="1614"/>
      <c r="L82" s="1614"/>
      <c r="M82" s="1648"/>
      <c r="N82" s="1641"/>
      <c r="O82" s="1641"/>
      <c r="P82" s="2100"/>
      <c r="Q82" s="1671"/>
      <c r="R82" s="1672"/>
      <c r="S82" s="1672"/>
      <c r="T82" s="1672"/>
      <c r="U82" s="1672"/>
      <c r="V82" s="1672"/>
      <c r="W82" s="1672"/>
      <c r="X82" s="1672"/>
      <c r="Y82" s="1672"/>
      <c r="Z82" s="1672"/>
      <c r="AA82" s="1672"/>
      <c r="AB82" s="1672"/>
      <c r="AC82" s="1672"/>
      <c r="AD82" s="1672"/>
      <c r="AE82" s="1672"/>
    </row>
    <row r="83" spans="1:31" ht="14.4">
      <c r="A83" s="1512" t="s">
        <v>2895</v>
      </c>
      <c r="B83" s="1513" t="s">
        <v>3502</v>
      </c>
      <c r="C83" s="1615" t="s">
        <v>2933</v>
      </c>
      <c r="D83" s="1615" t="s">
        <v>2934</v>
      </c>
      <c r="E83" s="1615" t="s">
        <v>2935</v>
      </c>
      <c r="F83" s="1615" t="s">
        <v>2936</v>
      </c>
      <c r="G83" s="1615" t="s">
        <v>2937</v>
      </c>
      <c r="H83" s="1514"/>
      <c r="I83" s="1514"/>
      <c r="J83" s="1514"/>
      <c r="K83" s="1649"/>
      <c r="L83" s="1650"/>
      <c r="M83" s="1651"/>
      <c r="N83" s="1568"/>
      <c r="O83" s="1568"/>
      <c r="P83" s="2102"/>
      <c r="Q83" s="1588"/>
      <c r="R83" s="1484"/>
      <c r="S83" s="1484"/>
      <c r="T83" s="1484"/>
      <c r="U83" s="1484"/>
      <c r="V83" s="1484"/>
      <c r="W83" s="1484"/>
      <c r="X83" s="1484"/>
      <c r="Y83" s="1484"/>
      <c r="Z83" s="1484"/>
      <c r="AA83" s="1484"/>
      <c r="AB83" s="1484"/>
      <c r="AC83" s="1484"/>
      <c r="AD83" s="1484"/>
      <c r="AE83" s="1484"/>
    </row>
    <row r="84" spans="1:31">
      <c r="A84" s="1516"/>
      <c r="B84" s="1599"/>
      <c r="C84" s="1604">
        <v>100</v>
      </c>
      <c r="D84" s="1604">
        <f>C84-$K15</f>
        <v>100</v>
      </c>
      <c r="E84" s="1604">
        <f>D84-$K15</f>
        <v>100</v>
      </c>
      <c r="F84" s="1604">
        <f>E84-$K15</f>
        <v>100</v>
      </c>
      <c r="G84" s="1604">
        <f>F84-$K15</f>
        <v>100</v>
      </c>
      <c r="H84" s="1604"/>
      <c r="I84" s="1604"/>
      <c r="J84" s="1604"/>
      <c r="K84" s="1604"/>
      <c r="L84" s="1604"/>
      <c r="M84" s="1638"/>
      <c r="N84" s="1571"/>
      <c r="O84" s="1571"/>
      <c r="P84" s="2099"/>
      <c r="Q84" s="1588"/>
      <c r="R84" s="1484"/>
      <c r="S84" s="1484"/>
      <c r="T84" s="1484"/>
      <c r="U84" s="1484"/>
      <c r="V84" s="1484"/>
      <c r="W84" s="1484"/>
      <c r="X84" s="1484"/>
      <c r="Y84" s="1484"/>
      <c r="Z84" s="1484"/>
      <c r="AA84" s="1484"/>
      <c r="AB84" s="1484"/>
      <c r="AC84" s="1484"/>
      <c r="AD84" s="1484"/>
      <c r="AE84" s="1484"/>
    </row>
    <row r="85" spans="1:31" ht="14.4">
      <c r="A85" s="1516"/>
      <c r="B85" s="1597" t="s">
        <v>2896</v>
      </c>
      <c r="C85" s="1616" t="s">
        <v>2933</v>
      </c>
      <c r="D85" s="1616" t="s">
        <v>2934</v>
      </c>
      <c r="E85" s="1616" t="s">
        <v>2935</v>
      </c>
      <c r="F85" s="1616" t="s">
        <v>2936</v>
      </c>
      <c r="G85" s="1616" t="s">
        <v>2937</v>
      </c>
      <c r="H85" s="1617"/>
      <c r="I85" s="1617"/>
      <c r="J85" s="1617"/>
      <c r="K85" s="1653"/>
      <c r="L85" s="1654"/>
      <c r="M85" s="1655"/>
      <c r="N85" s="1568"/>
      <c r="O85" s="1568"/>
      <c r="P85" s="2099"/>
      <c r="Q85" s="1588"/>
      <c r="R85" s="1484"/>
      <c r="S85" s="1484"/>
      <c r="T85" s="1484"/>
      <c r="U85" s="1484"/>
      <c r="V85" s="1484"/>
      <c r="W85" s="1484"/>
      <c r="X85" s="1484"/>
      <c r="Y85" s="1484"/>
      <c r="Z85" s="1484"/>
      <c r="AA85" s="1484"/>
      <c r="AB85" s="1484"/>
      <c r="AC85" s="1484"/>
      <c r="AD85" s="1484"/>
      <c r="AE85" s="1484"/>
    </row>
    <row r="86" spans="1:31">
      <c r="A86" s="1516"/>
      <c r="B86" s="1599"/>
      <c r="C86" s="1604">
        <v>100</v>
      </c>
      <c r="D86" s="1604">
        <f>C86-$K17</f>
        <v>100</v>
      </c>
      <c r="E86" s="1604">
        <f>D86-$K17</f>
        <v>100</v>
      </c>
      <c r="F86" s="1604">
        <f>E86-$K17</f>
        <v>100</v>
      </c>
      <c r="G86" s="1604">
        <f>F86-$K17</f>
        <v>100</v>
      </c>
      <c r="H86" s="1604"/>
      <c r="I86" s="1604"/>
      <c r="J86" s="1604"/>
      <c r="K86" s="1604"/>
      <c r="L86" s="1604"/>
      <c r="M86" s="1638"/>
      <c r="N86" s="1571"/>
      <c r="O86" s="1571"/>
      <c r="P86" s="2099"/>
      <c r="Q86" s="1588"/>
      <c r="R86" s="1484"/>
      <c r="S86" s="1484"/>
      <c r="T86" s="1484"/>
      <c r="U86" s="1484"/>
      <c r="V86" s="1484"/>
      <c r="W86" s="1484"/>
      <c r="X86" s="1484"/>
      <c r="Y86" s="1484"/>
      <c r="Z86" s="1484"/>
      <c r="AA86" s="1484"/>
      <c r="AB86" s="1484"/>
      <c r="AC86" s="1484"/>
      <c r="AD86" s="1484"/>
      <c r="AE86" s="1484"/>
    </row>
    <row r="87" spans="1:31" s="1353" customFormat="1" ht="28.8">
      <c r="A87" s="1619"/>
      <c r="B87" s="1597" t="s">
        <v>3509</v>
      </c>
      <c r="C87" s="1615" t="s">
        <v>2933</v>
      </c>
      <c r="D87" s="1615" t="s">
        <v>2934</v>
      </c>
      <c r="E87" s="1615" t="s">
        <v>2935</v>
      </c>
      <c r="F87" s="1615" t="s">
        <v>2936</v>
      </c>
      <c r="G87" s="1615" t="s">
        <v>2937</v>
      </c>
      <c r="H87" s="1616"/>
      <c r="I87" s="1616"/>
      <c r="J87" s="1616"/>
      <c r="K87" s="1616"/>
      <c r="L87" s="2103"/>
      <c r="M87" s="1663"/>
      <c r="N87" s="1562"/>
      <c r="O87" s="1562"/>
      <c r="P87" s="2099"/>
      <c r="Q87" s="1588"/>
      <c r="R87" s="1590"/>
      <c r="S87" s="1590"/>
      <c r="T87" s="1590"/>
      <c r="U87" s="1590"/>
      <c r="V87" s="1590"/>
      <c r="W87" s="1590"/>
      <c r="X87" s="1590"/>
      <c r="Y87" s="1590"/>
      <c r="Z87" s="1590"/>
      <c r="AA87" s="1590"/>
      <c r="AB87" s="1590"/>
      <c r="AC87" s="1590"/>
      <c r="AD87" s="1590"/>
      <c r="AE87" s="1590"/>
    </row>
    <row r="88" spans="1:31" s="1353" customFormat="1">
      <c r="A88" s="1619"/>
      <c r="B88" s="1599"/>
      <c r="C88" s="1620">
        <v>100</v>
      </c>
      <c r="D88" s="1604">
        <f>C88-$K19</f>
        <v>100</v>
      </c>
      <c r="E88" s="1604">
        <f>D88-$K19</f>
        <v>100</v>
      </c>
      <c r="F88" s="1604">
        <f>E88-$K19</f>
        <v>100</v>
      </c>
      <c r="G88" s="1604">
        <f>F88-$K19</f>
        <v>100</v>
      </c>
      <c r="H88" s="1604"/>
      <c r="I88" s="1604"/>
      <c r="J88" s="1604"/>
      <c r="K88" s="1604"/>
      <c r="L88" s="1604"/>
      <c r="M88" s="1638"/>
      <c r="N88" s="1571"/>
      <c r="O88" s="1571"/>
      <c r="P88" s="2099"/>
      <c r="Q88" s="1588"/>
      <c r="R88" s="1590"/>
      <c r="S88" s="1590"/>
      <c r="T88" s="1590"/>
      <c r="U88" s="1590"/>
      <c r="V88" s="1590"/>
      <c r="W88" s="1590"/>
      <c r="X88" s="1590"/>
      <c r="Y88" s="1590"/>
      <c r="Z88" s="1590"/>
      <c r="AA88" s="1590"/>
      <c r="AB88" s="1590"/>
      <c r="AC88" s="1590"/>
      <c r="AD88" s="1590"/>
      <c r="AE88" s="1590"/>
    </row>
    <row r="89" spans="1:31" s="1353" customFormat="1" ht="28.8">
      <c r="A89" s="1619"/>
      <c r="B89" s="1597" t="s">
        <v>3510</v>
      </c>
      <c r="C89" s="1615" t="s">
        <v>2933</v>
      </c>
      <c r="D89" s="1615" t="s">
        <v>2934</v>
      </c>
      <c r="E89" s="1615" t="s">
        <v>2935</v>
      </c>
      <c r="F89" s="1615" t="s">
        <v>2936</v>
      </c>
      <c r="G89" s="1615" t="s">
        <v>2937</v>
      </c>
      <c r="H89" s="1616"/>
      <c r="I89" s="1616"/>
      <c r="J89" s="1616"/>
      <c r="K89" s="1616"/>
      <c r="L89" s="1616"/>
      <c r="M89" s="1663"/>
      <c r="N89" s="1562"/>
      <c r="O89" s="1562"/>
      <c r="P89" s="2099"/>
      <c r="Q89" s="1588"/>
      <c r="R89" s="1590"/>
      <c r="S89" s="1590"/>
      <c r="T89" s="1590"/>
      <c r="U89" s="1590"/>
      <c r="V89" s="1590"/>
      <c r="W89" s="1590"/>
      <c r="X89" s="1590"/>
      <c r="Y89" s="1590"/>
      <c r="Z89" s="1590"/>
      <c r="AA89" s="1590"/>
      <c r="AB89" s="1590"/>
      <c r="AC89" s="1590"/>
      <c r="AD89" s="1590"/>
      <c r="AE89" s="1590"/>
    </row>
    <row r="90" spans="1:31" s="1353" customFormat="1">
      <c r="A90" s="1619"/>
      <c r="B90" s="1599"/>
      <c r="C90" s="1604">
        <v>100</v>
      </c>
      <c r="D90" s="1604">
        <f>C90-$K21</f>
        <v>100</v>
      </c>
      <c r="E90" s="1604">
        <f>D90-$K21</f>
        <v>100</v>
      </c>
      <c r="F90" s="1604">
        <f>E90-$K21</f>
        <v>100</v>
      </c>
      <c r="G90" s="1604">
        <f>F90-$K21</f>
        <v>100</v>
      </c>
      <c r="H90" s="1604"/>
      <c r="I90" s="1604"/>
      <c r="J90" s="1604"/>
      <c r="K90" s="1604"/>
      <c r="L90" s="1604"/>
      <c r="M90" s="1638"/>
      <c r="N90" s="1571"/>
      <c r="O90" s="1571"/>
      <c r="P90" s="2099"/>
      <c r="Q90" s="1588"/>
      <c r="R90" s="1590"/>
      <c r="S90" s="1590"/>
      <c r="T90" s="1590"/>
      <c r="U90" s="1590"/>
      <c r="V90" s="1590"/>
      <c r="W90" s="1590"/>
      <c r="X90" s="1590"/>
      <c r="Y90" s="1590"/>
      <c r="Z90" s="1590"/>
      <c r="AA90" s="1590"/>
      <c r="AB90" s="1590"/>
      <c r="AC90" s="1590"/>
      <c r="AD90" s="1590"/>
      <c r="AE90" s="1590"/>
    </row>
    <row r="91" spans="1:31" s="1355" customFormat="1" ht="14.4">
      <c r="A91" s="1605"/>
      <c r="B91" s="1597" t="s">
        <v>2899</v>
      </c>
      <c r="C91" s="1615" t="s">
        <v>2933</v>
      </c>
      <c r="D91" s="1615" t="s">
        <v>2934</v>
      </c>
      <c r="E91" s="1615" t="s">
        <v>2935</v>
      </c>
      <c r="F91" s="1615" t="s">
        <v>2936</v>
      </c>
      <c r="G91" s="1615" t="s">
        <v>2937</v>
      </c>
      <c r="H91" s="2090"/>
      <c r="I91" s="2090"/>
      <c r="J91" s="2090"/>
      <c r="K91" s="2090"/>
      <c r="L91" s="2104"/>
      <c r="M91" s="2105"/>
      <c r="N91" s="1641"/>
      <c r="O91" s="1641"/>
      <c r="P91" s="2100"/>
      <c r="Q91" s="1671"/>
      <c r="R91" s="1672"/>
      <c r="S91" s="1672"/>
      <c r="T91" s="1672"/>
      <c r="U91" s="1672"/>
      <c r="V91" s="1672"/>
      <c r="W91" s="1672"/>
      <c r="X91" s="1672"/>
      <c r="Y91" s="1672"/>
      <c r="Z91" s="1672"/>
      <c r="AA91" s="1672"/>
      <c r="AB91" s="1672"/>
      <c r="AC91" s="1672"/>
      <c r="AD91" s="1672"/>
      <c r="AE91" s="1672"/>
    </row>
    <row r="92" spans="1:31" s="1355" customFormat="1">
      <c r="A92" s="1605"/>
      <c r="B92" s="1599"/>
      <c r="C92" s="1604">
        <v>100</v>
      </c>
      <c r="D92" s="1604">
        <f>C92-$K23</f>
        <v>100</v>
      </c>
      <c r="E92" s="1604">
        <f>D92-$K23</f>
        <v>100</v>
      </c>
      <c r="F92" s="1604">
        <f>E92-$K23</f>
        <v>100</v>
      </c>
      <c r="G92" s="1604">
        <f>F92-$K23</f>
        <v>100</v>
      </c>
      <c r="H92" s="2091"/>
      <c r="I92" s="2091"/>
      <c r="J92" s="2091"/>
      <c r="K92" s="2091"/>
      <c r="L92" s="2091"/>
      <c r="M92" s="2106"/>
      <c r="N92" s="1641"/>
      <c r="O92" s="1641"/>
      <c r="P92" s="2100"/>
      <c r="Q92" s="1671"/>
      <c r="R92" s="1672"/>
      <c r="S92" s="1672"/>
      <c r="T92" s="1672"/>
      <c r="U92" s="1672"/>
      <c r="V92" s="1672"/>
      <c r="W92" s="1672"/>
      <c r="X92" s="1672"/>
      <c r="Y92" s="1672"/>
      <c r="Z92" s="1672"/>
      <c r="AA92" s="1672"/>
      <c r="AB92" s="1672"/>
      <c r="AC92" s="1672"/>
      <c r="AD92" s="1672"/>
      <c r="AE92" s="1672"/>
    </row>
    <row r="93" spans="1:31" s="1355" customFormat="1" ht="14.4">
      <c r="A93" s="1605"/>
      <c r="B93" s="1600" t="s">
        <v>2901</v>
      </c>
      <c r="C93" s="1618" t="s">
        <v>2938</v>
      </c>
      <c r="D93" s="1618" t="s">
        <v>2939</v>
      </c>
      <c r="E93" s="1618" t="s">
        <v>2940</v>
      </c>
      <c r="F93" s="1618" t="s">
        <v>2941</v>
      </c>
      <c r="G93" s="1618" t="s">
        <v>2942</v>
      </c>
      <c r="H93" s="2090"/>
      <c r="I93" s="2090"/>
      <c r="J93" s="2090"/>
      <c r="K93" s="2090"/>
      <c r="L93" s="2090"/>
      <c r="M93" s="2105"/>
      <c r="N93" s="1641"/>
      <c r="O93" s="1641"/>
      <c r="P93" s="2100"/>
      <c r="Q93" s="1671"/>
      <c r="R93" s="1672"/>
      <c r="S93" s="1672"/>
      <c r="T93" s="1672"/>
      <c r="U93" s="1672"/>
      <c r="V93" s="1672"/>
      <c r="W93" s="1672"/>
      <c r="X93" s="1672"/>
      <c r="Y93" s="1672"/>
      <c r="Z93" s="1672"/>
      <c r="AA93" s="1672"/>
      <c r="AB93" s="1672"/>
      <c r="AC93" s="1672"/>
      <c r="AD93" s="1672"/>
      <c r="AE93" s="1672"/>
    </row>
    <row r="94" spans="1:31" s="1355" customFormat="1">
      <c r="A94" s="1605"/>
      <c r="B94" s="1600"/>
      <c r="C94" s="1604">
        <v>100</v>
      </c>
      <c r="D94" s="1604">
        <f>C94-$K25</f>
        <v>100</v>
      </c>
      <c r="E94" s="1604">
        <f>D94-$K25</f>
        <v>100</v>
      </c>
      <c r="F94" s="1604">
        <f>E94-$K25</f>
        <v>100</v>
      </c>
      <c r="G94" s="1604">
        <f>F94-$K25</f>
        <v>100</v>
      </c>
      <c r="H94" s="1602"/>
      <c r="I94" s="1602"/>
      <c r="J94" s="1602"/>
      <c r="K94" s="1602"/>
      <c r="L94" s="1602"/>
      <c r="M94" s="2107"/>
      <c r="N94" s="1641"/>
      <c r="O94" s="1641"/>
      <c r="P94" s="2100"/>
      <c r="Q94" s="1671"/>
      <c r="R94" s="1672"/>
      <c r="S94" s="1672"/>
      <c r="T94" s="1672"/>
      <c r="U94" s="1672"/>
      <c r="V94" s="1672"/>
      <c r="W94" s="1672"/>
      <c r="X94" s="1672"/>
      <c r="Y94" s="1672"/>
      <c r="Z94" s="1672"/>
      <c r="AA94" s="1672"/>
      <c r="AB94" s="1672"/>
      <c r="AC94" s="1672"/>
      <c r="AD94" s="1672"/>
      <c r="AE94" s="1672"/>
    </row>
    <row r="95" spans="1:31" ht="14.4">
      <c r="A95" s="1516"/>
      <c r="B95" s="1597" t="str">
        <f>B27</f>
        <v>临街状况</v>
      </c>
      <c r="C95" s="1617" t="s">
        <v>3545</v>
      </c>
      <c r="D95" s="1617" t="s">
        <v>3546</v>
      </c>
      <c r="E95" s="1617" t="s">
        <v>3547</v>
      </c>
      <c r="F95" s="1617" t="s">
        <v>3548</v>
      </c>
      <c r="G95" s="1617"/>
      <c r="H95" s="1617"/>
      <c r="I95" s="1617"/>
      <c r="J95" s="1617"/>
      <c r="K95" s="1653"/>
      <c r="L95" s="1654"/>
      <c r="M95" s="1655"/>
      <c r="N95" s="1568"/>
      <c r="O95" s="1568"/>
      <c r="P95" s="2099"/>
      <c r="Q95" s="1588"/>
      <c r="R95" s="1484"/>
      <c r="S95" s="1484"/>
      <c r="T95" s="1484"/>
      <c r="U95" s="1484"/>
      <c r="V95" s="1484"/>
      <c r="W95" s="1484"/>
      <c r="X95" s="1484"/>
      <c r="Y95" s="1484"/>
      <c r="Z95" s="1484"/>
      <c r="AA95" s="1484"/>
      <c r="AB95" s="1484"/>
      <c r="AC95" s="1484"/>
      <c r="AD95" s="1484"/>
      <c r="AE95" s="1484"/>
    </row>
    <row r="96" spans="1:31">
      <c r="A96" s="1516"/>
      <c r="B96" s="1599"/>
      <c r="C96" s="1604">
        <v>100</v>
      </c>
      <c r="D96" s="1604">
        <f t="shared" ref="D96:M96" si="22">C96-$K27</f>
        <v>100</v>
      </c>
      <c r="E96" s="1604">
        <f t="shared" si="22"/>
        <v>100</v>
      </c>
      <c r="F96" s="1604">
        <f t="shared" si="22"/>
        <v>100</v>
      </c>
      <c r="G96" s="1604">
        <f t="shared" si="22"/>
        <v>100</v>
      </c>
      <c r="H96" s="1604">
        <f t="shared" si="22"/>
        <v>100</v>
      </c>
      <c r="I96" s="1604">
        <f t="shared" si="22"/>
        <v>100</v>
      </c>
      <c r="J96" s="1604">
        <f t="shared" si="22"/>
        <v>100</v>
      </c>
      <c r="K96" s="1604">
        <f t="shared" si="22"/>
        <v>100</v>
      </c>
      <c r="L96" s="1604">
        <f t="shared" si="22"/>
        <v>100</v>
      </c>
      <c r="M96" s="1604">
        <f t="shared" si="22"/>
        <v>100</v>
      </c>
      <c r="N96" s="1571"/>
      <c r="O96" s="1571"/>
      <c r="P96" s="2099"/>
      <c r="Q96" s="1588"/>
      <c r="R96" s="1484"/>
      <c r="S96" s="1484"/>
      <c r="T96" s="1484"/>
      <c r="U96" s="1484"/>
      <c r="V96" s="1484"/>
      <c r="W96" s="1484"/>
      <c r="X96" s="1484"/>
      <c r="Y96" s="1484"/>
      <c r="Z96" s="1484"/>
      <c r="AA96" s="1484"/>
      <c r="AB96" s="1484"/>
      <c r="AC96" s="1484"/>
      <c r="AD96" s="1484"/>
      <c r="AE96" s="1484"/>
    </row>
    <row r="97" spans="1:31" ht="28.8">
      <c r="A97" s="1516"/>
      <c r="B97" s="1597" t="s">
        <v>3495</v>
      </c>
      <c r="C97" s="1606"/>
      <c r="D97" s="1606"/>
      <c r="E97" s="1606"/>
      <c r="F97" s="1606"/>
      <c r="G97" s="1606"/>
      <c r="H97" s="1598"/>
      <c r="I97" s="1598"/>
      <c r="J97" s="1598"/>
      <c r="K97" s="1632"/>
      <c r="L97" s="1633"/>
      <c r="M97" s="1634"/>
      <c r="N97" s="1568"/>
      <c r="O97" s="1568"/>
      <c r="P97" s="2099"/>
      <c r="Q97" s="1588"/>
      <c r="R97" s="1484"/>
      <c r="S97" s="1484"/>
      <c r="T97" s="1484"/>
      <c r="U97" s="1484"/>
      <c r="V97" s="1484"/>
      <c r="W97" s="1484"/>
      <c r="X97" s="1484"/>
      <c r="Y97" s="1484"/>
      <c r="Z97" s="1484"/>
      <c r="AA97" s="1484"/>
      <c r="AB97" s="1484"/>
      <c r="AC97" s="1484"/>
      <c r="AD97" s="1484"/>
      <c r="AE97" s="1484"/>
    </row>
    <row r="98" spans="1:31">
      <c r="A98" s="1516"/>
      <c r="B98" s="1599"/>
      <c r="C98" s="1604">
        <v>100</v>
      </c>
      <c r="D98" s="1604">
        <f t="shared" ref="D98:M98" si="23">C98-$K28</f>
        <v>100</v>
      </c>
      <c r="E98" s="1604">
        <f t="shared" si="23"/>
        <v>100</v>
      </c>
      <c r="F98" s="1604">
        <f t="shared" si="23"/>
        <v>100</v>
      </c>
      <c r="G98" s="1604">
        <f t="shared" si="23"/>
        <v>100</v>
      </c>
      <c r="H98" s="1604">
        <f t="shared" si="23"/>
        <v>100</v>
      </c>
      <c r="I98" s="1604">
        <f t="shared" si="23"/>
        <v>100</v>
      </c>
      <c r="J98" s="1604">
        <f t="shared" si="23"/>
        <v>100</v>
      </c>
      <c r="K98" s="1604">
        <f t="shared" si="23"/>
        <v>100</v>
      </c>
      <c r="L98" s="1604">
        <f t="shared" si="23"/>
        <v>100</v>
      </c>
      <c r="M98" s="1604">
        <f t="shared" si="23"/>
        <v>100</v>
      </c>
      <c r="N98" s="1571"/>
      <c r="O98" s="1571"/>
      <c r="P98" s="2099"/>
      <c r="Q98" s="1588"/>
      <c r="R98" s="1484"/>
      <c r="S98" s="1484"/>
      <c r="T98" s="1484"/>
      <c r="U98" s="1484"/>
      <c r="V98" s="1484"/>
      <c r="W98" s="1484"/>
      <c r="X98" s="1484"/>
      <c r="Y98" s="1484"/>
      <c r="Z98" s="1484"/>
      <c r="AA98" s="1484"/>
      <c r="AB98" s="1484"/>
      <c r="AC98" s="1484"/>
      <c r="AD98" s="1484"/>
      <c r="AE98" s="1484"/>
    </row>
    <row r="99" spans="1:31" ht="14.4">
      <c r="A99" s="1516"/>
      <c r="B99" s="1597" t="s">
        <v>3512</v>
      </c>
      <c r="C99" s="1598"/>
      <c r="D99" s="1598"/>
      <c r="E99" s="1598"/>
      <c r="F99" s="1598"/>
      <c r="G99" s="1598"/>
      <c r="H99" s="1598"/>
      <c r="I99" s="1598"/>
      <c r="J99" s="1598"/>
      <c r="K99" s="1632"/>
      <c r="L99" s="1633"/>
      <c r="M99" s="1634"/>
      <c r="N99" s="1568"/>
      <c r="O99" s="1568"/>
      <c r="P99" s="2099"/>
      <c r="Q99" s="1588"/>
      <c r="R99" s="1484"/>
      <c r="S99" s="1484"/>
      <c r="T99" s="1484"/>
      <c r="U99" s="1484"/>
      <c r="V99" s="1484"/>
      <c r="W99" s="1484"/>
      <c r="X99" s="1484"/>
      <c r="Y99" s="1484"/>
      <c r="Z99" s="1484"/>
      <c r="AA99" s="1484"/>
      <c r="AB99" s="1484"/>
      <c r="AC99" s="1484"/>
      <c r="AD99" s="1484"/>
      <c r="AE99" s="1484"/>
    </row>
    <row r="100" spans="1:31">
      <c r="A100" s="1516"/>
      <c r="B100" s="1599"/>
      <c r="C100" s="1604">
        <v>100</v>
      </c>
      <c r="D100" s="1604">
        <f t="shared" ref="D100:M100" si="24">C100-$K30</f>
        <v>100</v>
      </c>
      <c r="E100" s="1604">
        <f t="shared" si="24"/>
        <v>100</v>
      </c>
      <c r="F100" s="1604">
        <f t="shared" si="24"/>
        <v>100</v>
      </c>
      <c r="G100" s="1604">
        <f t="shared" si="24"/>
        <v>100</v>
      </c>
      <c r="H100" s="1604">
        <f t="shared" si="24"/>
        <v>100</v>
      </c>
      <c r="I100" s="1604">
        <f t="shared" si="24"/>
        <v>100</v>
      </c>
      <c r="J100" s="1604">
        <f t="shared" si="24"/>
        <v>100</v>
      </c>
      <c r="K100" s="1604">
        <f t="shared" si="24"/>
        <v>100</v>
      </c>
      <c r="L100" s="1604">
        <f t="shared" si="24"/>
        <v>100</v>
      </c>
      <c r="M100" s="1604">
        <f t="shared" si="24"/>
        <v>100</v>
      </c>
      <c r="N100" s="1571"/>
      <c r="O100" s="1571"/>
      <c r="P100" s="2099"/>
      <c r="Q100" s="1588"/>
      <c r="R100" s="1484"/>
      <c r="S100" s="1484"/>
      <c r="T100" s="1484"/>
      <c r="U100" s="1484"/>
      <c r="V100" s="1484"/>
      <c r="W100" s="1484"/>
      <c r="X100" s="1484"/>
      <c r="Y100" s="1484"/>
      <c r="Z100" s="1484"/>
      <c r="AA100" s="1484"/>
      <c r="AB100" s="1484"/>
      <c r="AC100" s="1484"/>
      <c r="AD100" s="1484"/>
      <c r="AE100" s="1484"/>
    </row>
    <row r="101" spans="1:31">
      <c r="A101" s="1516"/>
      <c r="B101" s="1600">
        <f>B31</f>
        <v>111</v>
      </c>
      <c r="C101" s="1606"/>
      <c r="D101" s="1606"/>
      <c r="E101" s="1606"/>
      <c r="F101" s="1606"/>
      <c r="G101" s="1622"/>
      <c r="H101" s="1622"/>
      <c r="I101" s="1622"/>
      <c r="J101" s="1622"/>
      <c r="K101" s="1659"/>
      <c r="L101" s="1660"/>
      <c r="M101" s="1661"/>
      <c r="N101" s="1568"/>
      <c r="O101" s="1568"/>
      <c r="P101" s="2099"/>
      <c r="Q101" s="1588"/>
      <c r="R101" s="1484"/>
      <c r="S101" s="1484"/>
      <c r="T101" s="1484"/>
      <c r="U101" s="1484"/>
      <c r="V101" s="1484"/>
      <c r="W101" s="1484"/>
      <c r="X101" s="1484"/>
      <c r="Y101" s="1484"/>
      <c r="Z101" s="1484"/>
      <c r="AA101" s="1484"/>
      <c r="AB101" s="1484"/>
      <c r="AC101" s="1484"/>
      <c r="AD101" s="1484"/>
      <c r="AE101" s="1484"/>
    </row>
    <row r="102" spans="1:31">
      <c r="A102" s="1516"/>
      <c r="B102" s="1612"/>
      <c r="C102" s="1608"/>
      <c r="D102" s="1518"/>
      <c r="E102" s="1518"/>
      <c r="F102" s="1518"/>
      <c r="G102" s="1624"/>
      <c r="H102" s="1624"/>
      <c r="I102" s="1624"/>
      <c r="J102" s="1624"/>
      <c r="K102" s="1624"/>
      <c r="L102" s="1624"/>
      <c r="M102" s="1662"/>
      <c r="N102" s="1571"/>
      <c r="O102" s="1571"/>
      <c r="P102" s="2099"/>
      <c r="Q102" s="1588"/>
      <c r="R102" s="1484"/>
      <c r="S102" s="1484"/>
      <c r="T102" s="1484"/>
      <c r="U102" s="1484"/>
      <c r="V102" s="1484"/>
      <c r="W102" s="1484"/>
      <c r="X102" s="1484"/>
      <c r="Y102" s="1484"/>
      <c r="Z102" s="1484"/>
      <c r="AA102" s="1484"/>
      <c r="AB102" s="1484"/>
      <c r="AC102" s="1484"/>
      <c r="AD102" s="1484"/>
      <c r="AE102" s="1484"/>
    </row>
    <row r="103" spans="1:31">
      <c r="A103" s="2009"/>
      <c r="B103" s="1597">
        <f>B32</f>
        <v>111</v>
      </c>
      <c r="C103" s="1606"/>
      <c r="D103" s="1606"/>
      <c r="E103" s="1606"/>
      <c r="F103" s="1606"/>
      <c r="G103" s="1598"/>
      <c r="H103" s="1598"/>
      <c r="I103" s="1598"/>
      <c r="J103" s="1598"/>
      <c r="K103" s="1632"/>
      <c r="L103" s="1633"/>
      <c r="M103" s="1634"/>
      <c r="N103" s="1568"/>
      <c r="O103" s="1568"/>
      <c r="P103" s="2099"/>
      <c r="Q103" s="1588"/>
      <c r="R103" s="1484"/>
      <c r="S103" s="1484"/>
      <c r="T103" s="1484"/>
      <c r="U103" s="1484"/>
      <c r="V103" s="1484"/>
      <c r="W103" s="1484"/>
      <c r="X103" s="1484"/>
      <c r="Y103" s="1484"/>
      <c r="Z103" s="1484"/>
      <c r="AA103" s="1484"/>
      <c r="AB103" s="1484"/>
      <c r="AC103" s="1484"/>
      <c r="AD103" s="1484"/>
      <c r="AE103" s="1484"/>
    </row>
    <row r="104" spans="1:31">
      <c r="A104" s="1516"/>
      <c r="B104" s="1599"/>
      <c r="C104" s="1608"/>
      <c r="D104" s="1608"/>
      <c r="E104" s="1608"/>
      <c r="F104" s="1608"/>
      <c r="G104" s="1518"/>
      <c r="H104" s="1518"/>
      <c r="I104" s="1518"/>
      <c r="J104" s="1518"/>
      <c r="K104" s="1518"/>
      <c r="L104" s="1518"/>
      <c r="M104" s="1570"/>
      <c r="N104" s="1571"/>
      <c r="O104" s="1571"/>
      <c r="P104" s="2099"/>
      <c r="Q104" s="1588"/>
      <c r="R104" s="1484"/>
      <c r="S104" s="1484"/>
      <c r="T104" s="1484"/>
      <c r="U104" s="1484"/>
      <c r="V104" s="1484"/>
      <c r="W104" s="1484"/>
      <c r="X104" s="1484"/>
      <c r="Y104" s="1484"/>
      <c r="Z104" s="1484"/>
      <c r="AA104" s="1484"/>
      <c r="AB104" s="1484"/>
      <c r="AC104" s="1484"/>
      <c r="AD104" s="1484"/>
      <c r="AE104" s="1484"/>
    </row>
    <row r="105" spans="1:31" s="1355" customFormat="1">
      <c r="A105" s="1626"/>
      <c r="B105" s="1627">
        <f>B33</f>
        <v>111</v>
      </c>
      <c r="C105" s="1510"/>
      <c r="D105" s="1510"/>
      <c r="E105" s="1510"/>
      <c r="F105" s="1510"/>
      <c r="G105" s="1628"/>
      <c r="H105" s="1628"/>
      <c r="I105" s="1628"/>
      <c r="J105" s="1664"/>
      <c r="K105" s="1664"/>
      <c r="L105" s="1665"/>
      <c r="M105" s="1666"/>
      <c r="N105" s="1641"/>
      <c r="O105" s="1641"/>
      <c r="P105" s="2100"/>
      <c r="Q105" s="1671"/>
      <c r="R105" s="1672"/>
      <c r="S105" s="1672"/>
      <c r="T105" s="1672"/>
      <c r="U105" s="1672"/>
      <c r="V105" s="1672"/>
      <c r="W105" s="1672"/>
      <c r="X105" s="1672"/>
      <c r="Y105" s="1672"/>
      <c r="Z105" s="1672"/>
      <c r="AA105" s="1672"/>
      <c r="AB105" s="1672"/>
      <c r="AC105" s="1672"/>
      <c r="AD105" s="1672"/>
      <c r="AE105" s="1672"/>
    </row>
    <row r="106" spans="1:31" s="1355" customFormat="1">
      <c r="A106" s="1605"/>
      <c r="B106" s="1600"/>
      <c r="C106" s="1613"/>
      <c r="D106" s="1613"/>
      <c r="E106" s="1613"/>
      <c r="F106" s="1613"/>
      <c r="G106" s="2092"/>
      <c r="H106" s="2092"/>
      <c r="I106" s="2092"/>
      <c r="J106" s="2092"/>
      <c r="K106" s="2092"/>
      <c r="L106" s="2092"/>
      <c r="M106" s="2108"/>
      <c r="N106" s="1571"/>
      <c r="O106" s="1571"/>
      <c r="P106" s="2100"/>
      <c r="Q106" s="1671"/>
      <c r="R106" s="1672"/>
      <c r="S106" s="1672"/>
      <c r="T106" s="1672"/>
      <c r="U106" s="1672"/>
      <c r="V106" s="1672"/>
      <c r="W106" s="1672"/>
      <c r="X106" s="1672"/>
      <c r="Y106" s="1672"/>
      <c r="Z106" s="1672"/>
      <c r="AA106" s="1672"/>
      <c r="AB106" s="1672"/>
      <c r="AC106" s="1672"/>
      <c r="AD106" s="1672"/>
      <c r="AE106" s="1672"/>
    </row>
    <row r="107" spans="1:31" ht="14.4">
      <c r="A107" s="1512" t="s">
        <v>2904</v>
      </c>
      <c r="B107" s="1513" t="s">
        <v>3513</v>
      </c>
      <c r="C107" s="1514" t="str">
        <f t="shared" ref="C107:L107" si="25">C108&amp;"(含)"&amp;"-"&amp;D108</f>
        <v>(含)-</v>
      </c>
      <c r="D107" s="1514" t="str">
        <f t="shared" si="25"/>
        <v>(含)-</v>
      </c>
      <c r="E107" s="1514" t="str">
        <f t="shared" si="25"/>
        <v>(含)-</v>
      </c>
      <c r="F107" s="1514" t="str">
        <f t="shared" si="25"/>
        <v>(含)-</v>
      </c>
      <c r="G107" s="1514" t="str">
        <f t="shared" si="25"/>
        <v>(含)-</v>
      </c>
      <c r="H107" s="1514" t="str">
        <f t="shared" si="25"/>
        <v>(含)-</v>
      </c>
      <c r="I107" s="1514" t="str">
        <f t="shared" si="25"/>
        <v>(含)-</v>
      </c>
      <c r="J107" s="1514" t="str">
        <f t="shared" si="25"/>
        <v>(含)-</v>
      </c>
      <c r="K107" s="2109" t="str">
        <f t="shared" si="25"/>
        <v>(含)-</v>
      </c>
      <c r="L107" s="2109" t="str">
        <f t="shared" si="25"/>
        <v>(含)-</v>
      </c>
      <c r="M107" s="2110" t="str">
        <f>M108&amp;"(含)"&amp;"-"&amp;P108</f>
        <v>(含)-</v>
      </c>
      <c r="N107" s="1568"/>
      <c r="O107" s="1568"/>
      <c r="P107" s="2099"/>
      <c r="Q107" s="1588"/>
      <c r="R107" s="1484"/>
      <c r="S107" s="1484"/>
      <c r="T107" s="1484"/>
      <c r="U107" s="1484"/>
      <c r="V107" s="1484"/>
      <c r="W107" s="1484"/>
      <c r="X107" s="1484"/>
      <c r="Y107" s="1484"/>
      <c r="Z107" s="1484"/>
      <c r="AA107" s="1484"/>
      <c r="AB107" s="1484"/>
      <c r="AC107" s="1484"/>
      <c r="AD107" s="1484"/>
      <c r="AE107" s="1484"/>
    </row>
    <row r="108" spans="1:31">
      <c r="A108" s="1516"/>
      <c r="B108" s="1600"/>
      <c r="C108" s="1628"/>
      <c r="D108" s="1628"/>
      <c r="E108" s="1628"/>
      <c r="F108" s="1628"/>
      <c r="G108" s="1628"/>
      <c r="H108" s="1628"/>
      <c r="I108" s="1628"/>
      <c r="J108" s="1664"/>
      <c r="K108" s="1664"/>
      <c r="L108" s="1665"/>
      <c r="M108" s="1666"/>
      <c r="N108" s="1568"/>
      <c r="O108" s="1568"/>
      <c r="P108" s="2099"/>
      <c r="Q108" s="1588"/>
      <c r="R108" s="1484"/>
      <c r="S108" s="1484"/>
      <c r="T108" s="1484"/>
      <c r="U108" s="1484"/>
      <c r="V108" s="1484"/>
      <c r="W108" s="1484"/>
      <c r="X108" s="1484"/>
      <c r="Y108" s="1484"/>
      <c r="Z108" s="1484"/>
      <c r="AA108" s="1484"/>
      <c r="AB108" s="1484"/>
      <c r="AC108" s="1484"/>
      <c r="AD108" s="1484"/>
      <c r="AE108" s="1484"/>
    </row>
    <row r="109" spans="1:31">
      <c r="A109" s="1516"/>
      <c r="B109" s="1599"/>
      <c r="C109" s="1613"/>
      <c r="D109" s="1624"/>
      <c r="E109" s="1624"/>
      <c r="F109" s="1624"/>
      <c r="G109" s="1624"/>
      <c r="H109" s="1624"/>
      <c r="I109" s="1624"/>
      <c r="J109" s="1624"/>
      <c r="K109" s="1624"/>
      <c r="L109" s="1624"/>
      <c r="M109" s="1662"/>
      <c r="N109" s="1571"/>
      <c r="O109" s="1571"/>
      <c r="P109" s="2099"/>
      <c r="Q109" s="1588"/>
      <c r="R109" s="1484"/>
      <c r="S109" s="1484"/>
      <c r="T109" s="1484"/>
      <c r="U109" s="1484"/>
      <c r="V109" s="1484"/>
      <c r="W109" s="1484"/>
      <c r="X109" s="1484"/>
      <c r="Y109" s="1484"/>
      <c r="Z109" s="1484"/>
      <c r="AA109" s="1484"/>
      <c r="AB109" s="1484"/>
      <c r="AC109" s="1484"/>
      <c r="AD109" s="1484"/>
      <c r="AE109" s="1484"/>
    </row>
    <row r="110" spans="1:31" ht="14.4">
      <c r="A110" s="1629"/>
      <c r="B110" s="1597" t="s">
        <v>3514</v>
      </c>
      <c r="C110" s="1598"/>
      <c r="D110" s="1598"/>
      <c r="E110" s="1598"/>
      <c r="F110" s="1598"/>
      <c r="G110" s="1598"/>
      <c r="H110" s="1598"/>
      <c r="I110" s="1598"/>
      <c r="J110" s="1598"/>
      <c r="K110" s="1632"/>
      <c r="L110" s="1633"/>
      <c r="M110" s="1634"/>
      <c r="N110" s="1568"/>
      <c r="O110" s="1568"/>
      <c r="P110" s="2099"/>
      <c r="Q110" s="1588"/>
      <c r="R110" s="1484"/>
      <c r="S110" s="1484"/>
      <c r="T110" s="1484"/>
      <c r="U110" s="1484"/>
      <c r="V110" s="1484"/>
      <c r="W110" s="1484"/>
      <c r="X110" s="1484"/>
      <c r="Y110" s="1484"/>
      <c r="Z110" s="1484"/>
      <c r="AA110" s="1484"/>
      <c r="AB110" s="1484"/>
      <c r="AC110" s="1484"/>
      <c r="AD110" s="1484"/>
      <c r="AE110" s="1484"/>
    </row>
    <row r="111" spans="1:31">
      <c r="A111" s="1516"/>
      <c r="B111" s="1599"/>
      <c r="C111" s="1604">
        <v>100</v>
      </c>
      <c r="D111" s="1604">
        <f t="shared" ref="D111:M111" si="26">C111-$K35</f>
        <v>100</v>
      </c>
      <c r="E111" s="1604">
        <f t="shared" si="26"/>
        <v>100</v>
      </c>
      <c r="F111" s="1604">
        <f t="shared" si="26"/>
        <v>100</v>
      </c>
      <c r="G111" s="1604">
        <f t="shared" si="26"/>
        <v>100</v>
      </c>
      <c r="H111" s="1604">
        <f t="shared" si="26"/>
        <v>100</v>
      </c>
      <c r="I111" s="1604">
        <f t="shared" si="26"/>
        <v>100</v>
      </c>
      <c r="J111" s="1604">
        <f t="shared" si="26"/>
        <v>100</v>
      </c>
      <c r="K111" s="1604">
        <f t="shared" si="26"/>
        <v>100</v>
      </c>
      <c r="L111" s="1604">
        <f t="shared" si="26"/>
        <v>100</v>
      </c>
      <c r="M111" s="1638">
        <f t="shared" si="26"/>
        <v>100</v>
      </c>
      <c r="N111" s="1571"/>
      <c r="O111" s="1571"/>
      <c r="P111" s="2099"/>
      <c r="Q111" s="1588"/>
      <c r="R111" s="1484"/>
      <c r="S111" s="1484"/>
      <c r="T111" s="1484"/>
      <c r="U111" s="1484"/>
      <c r="V111" s="1484"/>
      <c r="W111" s="1484"/>
      <c r="X111" s="1484"/>
      <c r="Y111" s="1484"/>
      <c r="Z111" s="1484"/>
      <c r="AA111" s="1484"/>
      <c r="AB111" s="1484"/>
      <c r="AC111" s="1484"/>
      <c r="AD111" s="1484"/>
      <c r="AE111" s="1484"/>
    </row>
    <row r="112" spans="1:31" s="1355" customFormat="1" ht="14.4">
      <c r="A112" s="1626"/>
      <c r="B112" s="1597" t="s">
        <v>3516</v>
      </c>
      <c r="C112" s="1606"/>
      <c r="D112" s="1606"/>
      <c r="E112" s="1606"/>
      <c r="F112" s="1606"/>
      <c r="G112" s="1606"/>
      <c r="H112" s="1598"/>
      <c r="I112" s="1598"/>
      <c r="J112" s="1598"/>
      <c r="K112" s="1632"/>
      <c r="L112" s="1633"/>
      <c r="M112" s="1634"/>
      <c r="N112" s="1641"/>
      <c r="O112" s="1641"/>
      <c r="P112" s="2100"/>
      <c r="Q112" s="1671"/>
      <c r="R112" s="1672"/>
      <c r="S112" s="1672"/>
      <c r="T112" s="1672"/>
      <c r="U112" s="1672"/>
      <c r="V112" s="1672"/>
      <c r="W112" s="1672"/>
      <c r="X112" s="1672"/>
      <c r="Y112" s="1672"/>
      <c r="Z112" s="1672"/>
      <c r="AA112" s="1672"/>
      <c r="AB112" s="1672"/>
      <c r="AC112" s="1672"/>
      <c r="AD112" s="1672"/>
      <c r="AE112" s="1672"/>
    </row>
    <row r="113" spans="1:31" s="1355" customFormat="1">
      <c r="A113" s="1605"/>
      <c r="B113" s="1599"/>
      <c r="C113" s="1604">
        <v>100</v>
      </c>
      <c r="D113" s="1604">
        <f t="shared" ref="D113:M113" si="27">C113-$K36</f>
        <v>100</v>
      </c>
      <c r="E113" s="1604">
        <f t="shared" si="27"/>
        <v>100</v>
      </c>
      <c r="F113" s="1604">
        <f t="shared" si="27"/>
        <v>100</v>
      </c>
      <c r="G113" s="1604">
        <f t="shared" si="27"/>
        <v>100</v>
      </c>
      <c r="H113" s="1604">
        <f t="shared" si="27"/>
        <v>100</v>
      </c>
      <c r="I113" s="1604">
        <f t="shared" si="27"/>
        <v>100</v>
      </c>
      <c r="J113" s="1604">
        <f t="shared" si="27"/>
        <v>100</v>
      </c>
      <c r="K113" s="1604">
        <f t="shared" si="27"/>
        <v>100</v>
      </c>
      <c r="L113" s="1604">
        <f t="shared" si="27"/>
        <v>100</v>
      </c>
      <c r="M113" s="1638">
        <f t="shared" si="27"/>
        <v>100</v>
      </c>
      <c r="N113" s="1641"/>
      <c r="O113" s="1641"/>
      <c r="P113" s="2100"/>
      <c r="Q113" s="1671"/>
      <c r="R113" s="1672"/>
      <c r="S113" s="1672"/>
      <c r="T113" s="1672"/>
      <c r="U113" s="1672"/>
      <c r="V113" s="1672"/>
      <c r="W113" s="1672"/>
      <c r="X113" s="1672"/>
      <c r="Y113" s="1672"/>
      <c r="Z113" s="1672"/>
      <c r="AA113" s="1672"/>
      <c r="AB113" s="1672"/>
      <c r="AC113" s="1672"/>
      <c r="AD113" s="1672"/>
      <c r="AE113" s="1672"/>
    </row>
    <row r="114" spans="1:31" ht="14.4">
      <c r="A114" s="1629"/>
      <c r="B114" s="1597" t="s">
        <v>3517</v>
      </c>
      <c r="C114" s="1606"/>
      <c r="D114" s="1606"/>
      <c r="E114" s="1598"/>
      <c r="F114" s="1598"/>
      <c r="G114" s="1598"/>
      <c r="H114" s="1598"/>
      <c r="I114" s="1598"/>
      <c r="J114" s="1598"/>
      <c r="K114" s="1632"/>
      <c r="L114" s="1633"/>
      <c r="M114" s="1634"/>
      <c r="N114" s="1568"/>
      <c r="O114" s="1568"/>
      <c r="P114" s="2099"/>
      <c r="Q114" s="1588"/>
      <c r="R114" s="1484"/>
      <c r="S114" s="1484"/>
      <c r="T114" s="1484"/>
      <c r="U114" s="1484"/>
      <c r="V114" s="1484"/>
      <c r="W114" s="1484"/>
      <c r="X114" s="1484"/>
      <c r="Y114" s="1484"/>
      <c r="Z114" s="1484"/>
      <c r="AA114" s="1484"/>
      <c r="AB114" s="1484"/>
      <c r="AC114" s="1484"/>
      <c r="AD114" s="1484"/>
      <c r="AE114" s="1484"/>
    </row>
    <row r="115" spans="1:31">
      <c r="A115" s="1516"/>
      <c r="B115" s="1599"/>
      <c r="C115" s="1604">
        <v>100</v>
      </c>
      <c r="D115" s="1604">
        <f t="shared" ref="D115:M115" si="28">C115-$K37</f>
        <v>100</v>
      </c>
      <c r="E115" s="1604">
        <f t="shared" si="28"/>
        <v>100</v>
      </c>
      <c r="F115" s="1604">
        <f t="shared" si="28"/>
        <v>100</v>
      </c>
      <c r="G115" s="1604">
        <f t="shared" si="28"/>
        <v>100</v>
      </c>
      <c r="H115" s="1604">
        <f t="shared" si="28"/>
        <v>100</v>
      </c>
      <c r="I115" s="1604">
        <f t="shared" si="28"/>
        <v>100</v>
      </c>
      <c r="J115" s="1604">
        <f t="shared" si="28"/>
        <v>100</v>
      </c>
      <c r="K115" s="1604">
        <f t="shared" si="28"/>
        <v>100</v>
      </c>
      <c r="L115" s="1604">
        <f t="shared" si="28"/>
        <v>100</v>
      </c>
      <c r="M115" s="1638">
        <f t="shared" si="28"/>
        <v>100</v>
      </c>
      <c r="N115" s="1571"/>
      <c r="O115" s="1571"/>
      <c r="P115" s="2099"/>
      <c r="Q115" s="1588"/>
      <c r="R115" s="1484"/>
      <c r="S115" s="1484"/>
      <c r="T115" s="1484"/>
      <c r="U115" s="1484"/>
      <c r="V115" s="1484"/>
      <c r="W115" s="1484"/>
      <c r="X115" s="1484"/>
      <c r="Y115" s="1484"/>
      <c r="Z115" s="1484"/>
      <c r="AA115" s="1484"/>
      <c r="AB115" s="1484"/>
      <c r="AC115" s="1484"/>
      <c r="AD115" s="1484"/>
      <c r="AE115" s="1484"/>
    </row>
    <row r="116" spans="1:31">
      <c r="A116" s="1629"/>
      <c r="B116" s="1597">
        <f>B38</f>
        <v>111</v>
      </c>
      <c r="C116" s="1606"/>
      <c r="D116" s="1606"/>
      <c r="E116" s="1606"/>
      <c r="F116" s="1606"/>
      <c r="G116" s="1606"/>
      <c r="H116" s="1598"/>
      <c r="I116" s="1598"/>
      <c r="J116" s="1598"/>
      <c r="K116" s="1632"/>
      <c r="L116" s="1633"/>
      <c r="M116" s="1634"/>
      <c r="N116" s="1568"/>
      <c r="O116" s="1568"/>
      <c r="P116" s="2099"/>
      <c r="Q116" s="1588"/>
      <c r="R116" s="1484"/>
      <c r="S116" s="1484"/>
      <c r="T116" s="1484"/>
      <c r="U116" s="1484"/>
      <c r="V116" s="1484"/>
      <c r="W116" s="1484"/>
      <c r="X116" s="1484"/>
      <c r="Y116" s="1484"/>
      <c r="Z116" s="1484"/>
      <c r="AA116" s="1484"/>
      <c r="AB116" s="1484"/>
      <c r="AC116" s="1484"/>
      <c r="AD116" s="1484"/>
      <c r="AE116" s="1484"/>
    </row>
    <row r="117" spans="1:31">
      <c r="A117" s="1516"/>
      <c r="B117" s="1599"/>
      <c r="C117" s="1608"/>
      <c r="D117" s="1518"/>
      <c r="E117" s="1518"/>
      <c r="F117" s="1518"/>
      <c r="G117" s="1518"/>
      <c r="H117" s="1518"/>
      <c r="I117" s="1518"/>
      <c r="J117" s="1518"/>
      <c r="K117" s="1518"/>
      <c r="L117" s="1518"/>
      <c r="M117" s="1570"/>
      <c r="N117" s="1571"/>
      <c r="O117" s="1571"/>
      <c r="P117" s="2099"/>
      <c r="Q117" s="1588"/>
      <c r="R117" s="1484"/>
      <c r="S117" s="1484"/>
      <c r="T117" s="1484"/>
      <c r="U117" s="1484"/>
      <c r="V117" s="1484"/>
      <c r="W117" s="1484"/>
      <c r="X117" s="1484"/>
      <c r="Y117" s="1484"/>
      <c r="Z117" s="1484"/>
      <c r="AA117" s="1484"/>
      <c r="AB117" s="1484"/>
      <c r="AC117" s="1484"/>
      <c r="AD117" s="1484"/>
      <c r="AE117" s="1484"/>
    </row>
    <row r="118" spans="1:31">
      <c r="A118" s="1629"/>
      <c r="B118" s="1597">
        <f>B39</f>
        <v>111</v>
      </c>
      <c r="C118" s="1606"/>
      <c r="D118" s="1606"/>
      <c r="E118" s="1606"/>
      <c r="F118" s="1606"/>
      <c r="G118" s="1598"/>
      <c r="H118" s="1598"/>
      <c r="I118" s="1598"/>
      <c r="J118" s="1598"/>
      <c r="K118" s="1632"/>
      <c r="L118" s="1633"/>
      <c r="M118" s="1634"/>
      <c r="N118" s="1568"/>
      <c r="O118" s="1568"/>
      <c r="P118" s="2099"/>
      <c r="Q118" s="1588"/>
      <c r="R118" s="1484"/>
      <c r="S118" s="1484"/>
      <c r="T118" s="1484"/>
      <c r="U118" s="1484"/>
      <c r="V118" s="1484"/>
      <c r="W118" s="1484"/>
      <c r="X118" s="1484"/>
      <c r="Y118" s="1484"/>
      <c r="Z118" s="1484"/>
      <c r="AA118" s="1484"/>
      <c r="AB118" s="1484"/>
      <c r="AC118" s="1484"/>
      <c r="AD118" s="1484"/>
      <c r="AE118" s="1484"/>
    </row>
    <row r="119" spans="1:31">
      <c r="A119" s="1516"/>
      <c r="B119" s="1599"/>
      <c r="C119" s="1608"/>
      <c r="D119" s="1608"/>
      <c r="E119" s="1608"/>
      <c r="F119" s="1608"/>
      <c r="G119" s="1518"/>
      <c r="H119" s="1518"/>
      <c r="I119" s="1518"/>
      <c r="J119" s="1518"/>
      <c r="K119" s="1518"/>
      <c r="L119" s="1518"/>
      <c r="M119" s="1570"/>
      <c r="N119" s="1571"/>
      <c r="O119" s="1571"/>
      <c r="P119" s="2099"/>
      <c r="Q119" s="1588"/>
      <c r="R119" s="1484"/>
      <c r="S119" s="1484"/>
      <c r="T119" s="1484"/>
      <c r="U119" s="1484"/>
      <c r="V119" s="1484"/>
      <c r="W119" s="1484"/>
      <c r="X119" s="1484"/>
      <c r="Y119" s="1484"/>
      <c r="Z119" s="1484"/>
      <c r="AA119" s="1484"/>
      <c r="AB119" s="1484"/>
      <c r="AC119" s="1484"/>
      <c r="AD119" s="1484"/>
      <c r="AE119" s="1484"/>
    </row>
    <row r="120" spans="1:31" s="1355" customFormat="1">
      <c r="A120" s="1626"/>
      <c r="B120" s="1597">
        <f>B40</f>
        <v>111</v>
      </c>
      <c r="C120" s="1510"/>
      <c r="D120" s="1510"/>
      <c r="E120" s="1510"/>
      <c r="F120" s="1510"/>
      <c r="G120" s="1607"/>
      <c r="H120" s="1607"/>
      <c r="I120" s="1607"/>
      <c r="J120" s="1607"/>
      <c r="K120" s="1607"/>
      <c r="L120" s="1639"/>
      <c r="M120" s="1640"/>
      <c r="N120" s="1641"/>
      <c r="O120" s="1641"/>
      <c r="P120" s="2100"/>
      <c r="Q120" s="1671"/>
      <c r="R120" s="1672"/>
      <c r="S120" s="1672"/>
      <c r="T120" s="1672"/>
      <c r="U120" s="1672"/>
      <c r="V120" s="1672"/>
      <c r="W120" s="1672"/>
      <c r="X120" s="1672"/>
      <c r="Y120" s="1672"/>
      <c r="Z120" s="1672"/>
      <c r="AA120" s="1672"/>
      <c r="AB120" s="1672"/>
      <c r="AC120" s="1672"/>
      <c r="AD120" s="1672"/>
      <c r="AE120" s="1672"/>
    </row>
    <row r="121" spans="1:31" s="1355" customFormat="1">
      <c r="A121" s="1611"/>
      <c r="B121" s="2093"/>
      <c r="C121" s="1613"/>
      <c r="D121" s="1613"/>
      <c r="E121" s="1613"/>
      <c r="F121" s="1613"/>
      <c r="G121" s="1624"/>
      <c r="H121" s="1624"/>
      <c r="I121" s="1624"/>
      <c r="J121" s="1624"/>
      <c r="K121" s="1624"/>
      <c r="L121" s="1624"/>
      <c r="M121" s="1662"/>
      <c r="N121" s="1641"/>
      <c r="O121" s="1641"/>
      <c r="P121" s="2100"/>
      <c r="Q121" s="1671"/>
      <c r="R121" s="1672"/>
      <c r="S121" s="1672"/>
      <c r="T121" s="1672"/>
      <c r="U121" s="1672"/>
      <c r="V121" s="1672"/>
      <c r="W121" s="1672"/>
      <c r="X121" s="1672"/>
      <c r="Y121" s="1672"/>
      <c r="Z121" s="1672"/>
      <c r="AA121" s="1672"/>
      <c r="AB121" s="1672"/>
      <c r="AC121" s="1672"/>
      <c r="AD121" s="1672"/>
      <c r="AE121" s="1672"/>
    </row>
    <row r="122" spans="1:31">
      <c r="N122" s="1484"/>
      <c r="O122" s="1484"/>
      <c r="P122" s="1484"/>
      <c r="Q122" s="1484"/>
      <c r="R122" s="1484"/>
      <c r="S122" s="1484"/>
      <c r="T122" s="1484"/>
      <c r="U122" s="1484"/>
      <c r="V122" s="1484"/>
      <c r="W122" s="1484"/>
      <c r="X122" s="1484"/>
      <c r="Y122" s="1484"/>
      <c r="Z122" s="1484"/>
      <c r="AA122" s="1484"/>
      <c r="AB122" s="1484"/>
      <c r="AC122" s="1484"/>
      <c r="AD122" s="1484"/>
      <c r="AE122" s="1484"/>
    </row>
    <row r="123" spans="1:31">
      <c r="P123" s="1484"/>
      <c r="Q123" s="1484"/>
      <c r="R123" s="1484"/>
      <c r="S123" s="1484"/>
      <c r="T123" s="1484"/>
      <c r="U123" s="1484"/>
      <c r="V123" s="1484"/>
      <c r="W123" s="1484"/>
      <c r="X123" s="1484"/>
      <c r="Y123" s="1484"/>
      <c r="Z123" s="1484"/>
      <c r="AA123" s="1484"/>
      <c r="AB123" s="1484"/>
      <c r="AC123" s="1484"/>
      <c r="AD123" s="1484"/>
      <c r="AE123" s="148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9" type="noConversion"/>
  <conditionalFormatting sqref="F42">
    <cfRule type="expression" dxfId="65" priority="4">
      <formula>$D$42="简单平均"</formula>
    </cfRule>
  </conditionalFormatting>
  <conditionalFormatting sqref="H42">
    <cfRule type="expression" dxfId="64" priority="3">
      <formula>$D$42="简单平均"</formula>
    </cfRule>
  </conditionalFormatting>
  <conditionalFormatting sqref="J42">
    <cfRule type="expression" dxfId="63" priority="2">
      <formula>$D$42="简单平均"</formula>
    </cfRule>
  </conditionalFormatting>
  <conditionalFormatting sqref="E46">
    <cfRule type="expression" dxfId="62" priority="13" stopIfTrue="1">
      <formula>$F$46="超过30%"</formula>
    </cfRule>
  </conditionalFormatting>
  <conditionalFormatting sqref="G46">
    <cfRule type="expression" dxfId="61" priority="9" stopIfTrue="1">
      <formula>$H$46="超过30%"</formula>
    </cfRule>
  </conditionalFormatting>
  <conditionalFormatting sqref="I46">
    <cfRule type="expression" dxfId="60" priority="7" stopIfTrue="1">
      <formula>$J$46="超过30%"</formula>
    </cfRule>
  </conditionalFormatting>
  <conditionalFormatting sqref="E47">
    <cfRule type="expression" dxfId="59" priority="53" stopIfTrue="1">
      <formula>#REF!+$F$47="超过20%"</formula>
    </cfRule>
  </conditionalFormatting>
  <conditionalFormatting sqref="G47">
    <cfRule type="expression" dxfId="58" priority="8" stopIfTrue="1">
      <formula>$H$47="超过20%"</formula>
    </cfRule>
  </conditionalFormatting>
  <conditionalFormatting sqref="I47">
    <cfRule type="expression" dxfId="57" priority="6" stopIfTrue="1">
      <formula>$J$47="超过20%"</formula>
    </cfRule>
  </conditionalFormatting>
  <conditionalFormatting sqref="E48">
    <cfRule type="expression" dxfId="56" priority="10" stopIfTrue="1">
      <formula>$F$48="超过30%"</formula>
    </cfRule>
  </conditionalFormatting>
  <conditionalFormatting sqref="F48">
    <cfRule type="containsText" dxfId="55" priority="15" stopIfTrue="1" operator="containsText" text="超过">
      <formula>NOT(ISERROR(SEARCH("超过",F48)))</formula>
    </cfRule>
  </conditionalFormatting>
  <conditionalFormatting sqref="G48">
    <cfRule type="expression" dxfId="54" priority="12" stopIfTrue="1">
      <formula>$H$48="超过30%"</formula>
    </cfRule>
  </conditionalFormatting>
  <conditionalFormatting sqref="H48">
    <cfRule type="containsText" dxfId="53" priority="16" stopIfTrue="1" operator="containsText" text="超过">
      <formula>NOT(ISERROR(SEARCH("超过",H48)))</formula>
    </cfRule>
  </conditionalFormatting>
  <conditionalFormatting sqref="I48">
    <cfRule type="expression" dxfId="52" priority="5" stopIfTrue="1">
      <formula>$J$48="超过30%"</formula>
    </cfRule>
  </conditionalFormatting>
  <conditionalFormatting sqref="J48">
    <cfRule type="containsText" dxfId="51" priority="17" stopIfTrue="1" operator="containsText" text="超过">
      <formula>NOT(ISERROR(SEARCH("超过",J48)))</formula>
    </cfRule>
  </conditionalFormatting>
  <conditionalFormatting sqref="F7:F40 H7:H40 J7:J40">
    <cfRule type="cellIs" dxfId="50" priority="1" operator="notEqual">
      <formula>100</formula>
    </cfRule>
  </conditionalFormatting>
  <conditionalFormatting sqref="F46 H46 J46">
    <cfRule type="containsText" dxfId="49" priority="18" stopIfTrue="1" operator="containsText" text="超过">
      <formula>NOT(ISERROR(SEARCH("超过",F46)))</formula>
    </cfRule>
  </conditionalFormatting>
  <conditionalFormatting sqref="F47 H47 J47">
    <cfRule type="containsText" dxfId="48"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72" sqref="Q72"/>
    </sheetView>
  </sheetViews>
  <sheetFormatPr defaultColWidth="9" defaultRowHeight="13.8"/>
  <cols>
    <col min="1" max="1" width="23.33203125" style="1969" customWidth="1"/>
    <col min="2" max="2" width="12.44140625" style="1969" customWidth="1"/>
    <col min="3" max="3" width="12.109375" style="1969" customWidth="1"/>
    <col min="4" max="4" width="14.109375" style="1969" customWidth="1"/>
    <col min="5" max="5" width="12.44140625" style="1969" customWidth="1"/>
    <col min="6" max="16384" width="9" style="1969"/>
  </cols>
  <sheetData>
    <row r="1" spans="1:16" ht="21.6">
      <c r="A1" s="1970" t="s">
        <v>3554</v>
      </c>
      <c r="B1" s="1971"/>
      <c r="C1" s="1971"/>
      <c r="D1" s="1971"/>
      <c r="E1" s="1971"/>
      <c r="F1" s="1972"/>
      <c r="G1" s="1972"/>
      <c r="H1" s="1972"/>
      <c r="I1" s="1972"/>
      <c r="J1" s="1972"/>
      <c r="K1" s="1972"/>
      <c r="L1" s="1972"/>
      <c r="M1" s="1972"/>
      <c r="N1" s="1972"/>
      <c r="O1" s="1972"/>
      <c r="P1" s="1972"/>
    </row>
    <row r="2" spans="1:16" ht="15.6">
      <c r="A2" s="1973" t="s">
        <v>97</v>
      </c>
      <c r="B2" s="1974" t="e">
        <f ca="1">SUMIF(B6:B13,"&lt;&gt;#ref!",B6:B13)</f>
        <v>#DIV/0!</v>
      </c>
      <c r="C2" s="1973" t="s">
        <v>3555</v>
      </c>
      <c r="D2" s="1973" t="s">
        <v>3556</v>
      </c>
      <c r="E2" s="1975">
        <f ca="1">SUMIF(E6:E13,"&lt;&gt;#ref!",E6:E13)</f>
        <v>8450.66</v>
      </c>
      <c r="F2" s="1972"/>
      <c r="G2" s="1972"/>
      <c r="H2" s="1972"/>
      <c r="I2" s="1972"/>
      <c r="J2" s="1972"/>
      <c r="K2" s="1972"/>
      <c r="L2" s="1972"/>
      <c r="M2" s="1972"/>
      <c r="N2" s="1972"/>
      <c r="O2" s="1972"/>
      <c r="P2" s="1972"/>
    </row>
    <row r="3" spans="1:16" ht="15.6">
      <c r="A3" s="1973" t="s">
        <v>3557</v>
      </c>
      <c r="B3" s="1974" t="e">
        <f ca="1">ROUND(B2*10000/E2,0)</f>
        <v>#DIV/0!</v>
      </c>
      <c r="C3" s="1973" t="s">
        <v>3558</v>
      </c>
      <c r="D3" s="1972"/>
      <c r="E3" s="1972"/>
      <c r="F3" s="1972"/>
      <c r="G3" s="1972"/>
      <c r="H3" s="1972"/>
      <c r="I3" s="1972"/>
      <c r="J3" s="1972"/>
      <c r="K3" s="1972"/>
      <c r="L3" s="1972"/>
      <c r="M3" s="1972"/>
      <c r="N3" s="1972"/>
      <c r="O3" s="1972"/>
      <c r="P3" s="1972"/>
    </row>
    <row r="4" spans="1:16" ht="15.6">
      <c r="A4" s="1976"/>
      <c r="B4" s="1972"/>
      <c r="C4" s="1972"/>
      <c r="D4" s="1972"/>
      <c r="E4" s="1972"/>
      <c r="F4" s="1972"/>
      <c r="G4" s="1972"/>
      <c r="H4" s="1972"/>
      <c r="I4" s="1972"/>
      <c r="J4" s="1972"/>
      <c r="K4" s="1972"/>
      <c r="L4" s="1972"/>
      <c r="M4" s="1972"/>
      <c r="N4" s="1972"/>
      <c r="O4" s="1972"/>
      <c r="P4" s="1972"/>
    </row>
    <row r="5" spans="1:16" ht="31.2">
      <c r="A5" s="1977" t="s">
        <v>3559</v>
      </c>
      <c r="B5" s="1978" t="s">
        <v>3560</v>
      </c>
      <c r="C5" s="1979"/>
      <c r="D5" s="1972"/>
      <c r="E5" s="1980" t="s">
        <v>3561</v>
      </c>
      <c r="F5" s="1972"/>
      <c r="G5" s="1972"/>
      <c r="H5" s="1972"/>
      <c r="I5" s="1972"/>
      <c r="J5" s="1972"/>
      <c r="K5" s="1972"/>
      <c r="L5" s="1972"/>
      <c r="M5" s="1972"/>
      <c r="N5" s="1972"/>
      <c r="O5" s="1972"/>
      <c r="P5" s="1972"/>
    </row>
    <row r="6" spans="1:16" ht="15.6">
      <c r="A6" s="1981" t="s">
        <v>3562</v>
      </c>
      <c r="B6" s="1974" t="e">
        <f ca="1">SUMIF(INDIRECT("'"&amp;A6&amp;"'"&amp;"!A:A"),"总价",INDIRECT("'"&amp;A6&amp;"'"&amp;"!B:B"))</f>
        <v>#DIV/0!</v>
      </c>
      <c r="C6" s="1973" t="s">
        <v>3555</v>
      </c>
      <c r="D6" s="1972"/>
      <c r="E6" s="1975">
        <f ca="1">SUMIF(INDIRECT("'"&amp;A6&amp;"'"&amp;"!C:C"),"建筑面积",INDIRECT("'"&amp;A6&amp;"'"&amp;"!D:D"))</f>
        <v>8450.66</v>
      </c>
      <c r="F6" s="1972"/>
      <c r="G6" s="1972"/>
      <c r="H6" s="1972"/>
      <c r="I6" s="1972"/>
      <c r="J6" s="1972"/>
      <c r="K6" s="1972"/>
      <c r="L6" s="1972"/>
      <c r="M6" s="1972"/>
      <c r="N6" s="1972"/>
      <c r="O6" s="1972"/>
      <c r="P6" s="1972"/>
    </row>
    <row r="7" spans="1:16" ht="15.6">
      <c r="A7" s="1981"/>
      <c r="B7" s="1974" t="e">
        <f ca="1">SUMIF(INDIRECT("'"&amp;A7&amp;"'"&amp;"!A:A"),"总价",INDIRECT("'"&amp;A7&amp;"'"&amp;"!B:B"))</f>
        <v>#REF!</v>
      </c>
      <c r="C7" s="1973" t="s">
        <v>3555</v>
      </c>
      <c r="D7" s="1972"/>
      <c r="E7" s="1975" t="e">
        <f t="shared" ref="E7:E13" ca="1" si="0">SUMIF(INDIRECT("'"&amp;A7&amp;"'"&amp;"!C:C"),"建筑面积",INDIRECT("'"&amp;A7&amp;"'"&amp;"!D:D"))</f>
        <v>#REF!</v>
      </c>
      <c r="F7" s="1972"/>
      <c r="G7" s="1972"/>
      <c r="H7" s="1972"/>
      <c r="I7" s="1972"/>
      <c r="J7" s="1972"/>
      <c r="K7" s="1972"/>
      <c r="L7" s="1972"/>
      <c r="M7" s="1972"/>
      <c r="N7" s="1972"/>
      <c r="O7" s="1972"/>
      <c r="P7" s="1972"/>
    </row>
    <row r="8" spans="1:16" ht="15.6">
      <c r="A8" s="1981"/>
      <c r="B8" s="1974" t="e">
        <f t="shared" ref="B8:B13" ca="1" si="1">SUMIF(INDIRECT("'"&amp;A8&amp;"'"&amp;"!A:A"),"总价",INDIRECT("'"&amp;A8&amp;"'"&amp;"!B:B"))</f>
        <v>#REF!</v>
      </c>
      <c r="C8" s="1973" t="s">
        <v>3555</v>
      </c>
      <c r="D8" s="1972"/>
      <c r="E8" s="1975" t="e">
        <f t="shared" ca="1" si="0"/>
        <v>#REF!</v>
      </c>
      <c r="F8" s="1972"/>
      <c r="G8" s="1972"/>
      <c r="H8" s="1972"/>
      <c r="I8" s="1972"/>
      <c r="J8" s="1972"/>
      <c r="K8" s="1972"/>
      <c r="L8" s="1972"/>
      <c r="M8" s="1972"/>
      <c r="N8" s="1972"/>
      <c r="O8" s="1972"/>
      <c r="P8" s="1972"/>
    </row>
    <row r="9" spans="1:16" ht="15.6">
      <c r="A9" s="1981"/>
      <c r="B9" s="1974" t="e">
        <f t="shared" ca="1" si="1"/>
        <v>#REF!</v>
      </c>
      <c r="C9" s="1973" t="s">
        <v>3555</v>
      </c>
      <c r="D9" s="1972"/>
      <c r="E9" s="1975" t="e">
        <f t="shared" ca="1" si="0"/>
        <v>#REF!</v>
      </c>
      <c r="F9" s="1972"/>
      <c r="G9" s="1972"/>
      <c r="H9" s="1972"/>
      <c r="I9" s="1972"/>
      <c r="J9" s="1972"/>
      <c r="K9" s="1972"/>
      <c r="L9" s="1972"/>
      <c r="M9" s="1972"/>
      <c r="N9" s="1972"/>
      <c r="O9" s="1972"/>
      <c r="P9" s="1972"/>
    </row>
    <row r="10" spans="1:16" ht="15.6">
      <c r="A10" s="1981"/>
      <c r="B10" s="1974" t="e">
        <f t="shared" ca="1" si="1"/>
        <v>#REF!</v>
      </c>
      <c r="C10" s="1973" t="s">
        <v>3555</v>
      </c>
      <c r="D10" s="1972"/>
      <c r="E10" s="1975" t="e">
        <f t="shared" ca="1" si="0"/>
        <v>#REF!</v>
      </c>
      <c r="F10" s="1972"/>
      <c r="G10" s="1972"/>
      <c r="H10" s="1972"/>
      <c r="I10" s="1972"/>
      <c r="J10" s="1972"/>
      <c r="K10" s="1972"/>
      <c r="L10" s="1972"/>
      <c r="M10" s="1972"/>
      <c r="N10" s="1972"/>
      <c r="O10" s="1972"/>
      <c r="P10" s="1972"/>
    </row>
    <row r="11" spans="1:16" ht="15.6">
      <c r="A11" s="1981"/>
      <c r="B11" s="1974" t="e">
        <f t="shared" ca="1" si="1"/>
        <v>#REF!</v>
      </c>
      <c r="C11" s="1973" t="s">
        <v>3555</v>
      </c>
      <c r="D11" s="1972"/>
      <c r="E11" s="1975" t="e">
        <f t="shared" ca="1" si="0"/>
        <v>#REF!</v>
      </c>
      <c r="F11" s="1972"/>
      <c r="G11" s="1972"/>
      <c r="H11" s="1972"/>
      <c r="I11" s="1972"/>
      <c r="J11" s="1972"/>
      <c r="K11" s="1972"/>
      <c r="L11" s="1972"/>
      <c r="M11" s="1972"/>
      <c r="N11" s="1972"/>
      <c r="O11" s="1972"/>
      <c r="P11" s="1972"/>
    </row>
    <row r="12" spans="1:16" ht="15.6">
      <c r="A12" s="1981"/>
      <c r="B12" s="1974" t="e">
        <f t="shared" ca="1" si="1"/>
        <v>#REF!</v>
      </c>
      <c r="C12" s="1973" t="s">
        <v>3555</v>
      </c>
      <c r="D12" s="1972"/>
      <c r="E12" s="1975" t="e">
        <f t="shared" ca="1" si="0"/>
        <v>#REF!</v>
      </c>
      <c r="F12" s="1972"/>
      <c r="G12" s="1972"/>
      <c r="H12" s="1972"/>
      <c r="I12" s="1972"/>
      <c r="J12" s="1972"/>
      <c r="K12" s="1972"/>
      <c r="L12" s="1972"/>
      <c r="M12" s="1972"/>
      <c r="N12" s="1972"/>
      <c r="O12" s="1972"/>
      <c r="P12" s="1972"/>
    </row>
    <row r="13" spans="1:16" ht="15.6">
      <c r="A13" s="1981"/>
      <c r="B13" s="1974" t="e">
        <f t="shared" ca="1" si="1"/>
        <v>#REF!</v>
      </c>
      <c r="C13" s="1973" t="s">
        <v>3555</v>
      </c>
      <c r="D13" s="1972"/>
      <c r="E13" s="1975" t="e">
        <f t="shared" ca="1" si="0"/>
        <v>#REF!</v>
      </c>
      <c r="F13" s="1972"/>
      <c r="G13" s="1972"/>
      <c r="H13" s="1972"/>
      <c r="I13" s="1972"/>
      <c r="J13" s="1972"/>
      <c r="K13" s="1972"/>
      <c r="L13" s="1972"/>
      <c r="M13" s="1972"/>
      <c r="N13" s="1972"/>
      <c r="O13" s="1972"/>
      <c r="P13" s="1972"/>
    </row>
    <row r="14" spans="1:16">
      <c r="A14" s="1972"/>
      <c r="B14" s="1972"/>
      <c r="C14" s="1972"/>
      <c r="D14" s="1972"/>
      <c r="E14" s="1972"/>
      <c r="F14" s="1972"/>
      <c r="G14" s="1972"/>
      <c r="H14" s="1972"/>
      <c r="I14" s="1972"/>
      <c r="J14" s="1972"/>
      <c r="K14" s="1972"/>
      <c r="L14" s="1972"/>
      <c r="M14" s="1972"/>
      <c r="N14" s="1972"/>
      <c r="O14" s="1972"/>
      <c r="P14" s="1972"/>
    </row>
    <row r="15" spans="1:16">
      <c r="A15" s="1972"/>
      <c r="B15" s="1972"/>
      <c r="C15" s="1972"/>
      <c r="D15" s="1972"/>
      <c r="E15" s="1972"/>
      <c r="F15" s="1972"/>
      <c r="G15" s="1972"/>
      <c r="H15" s="1972"/>
      <c r="I15" s="1972"/>
      <c r="J15" s="1972"/>
      <c r="K15" s="1972"/>
      <c r="L15" s="1972"/>
      <c r="M15" s="1972"/>
      <c r="N15" s="1972"/>
      <c r="O15" s="1972"/>
      <c r="P15" s="1972"/>
    </row>
    <row r="16" spans="1:16">
      <c r="A16" s="1972"/>
      <c r="B16" s="1972"/>
      <c r="C16" s="1972"/>
      <c r="D16" s="1972"/>
      <c r="E16" s="1972"/>
      <c r="F16" s="1972"/>
      <c r="G16" s="1972"/>
      <c r="H16" s="1972"/>
      <c r="I16" s="1972"/>
      <c r="J16" s="1972"/>
      <c r="K16" s="1972"/>
      <c r="L16" s="1972"/>
      <c r="M16" s="1972"/>
      <c r="N16" s="1972"/>
      <c r="O16" s="1972"/>
      <c r="P16" s="1972"/>
    </row>
    <row r="17" spans="1:16">
      <c r="A17" s="1972"/>
      <c r="B17" s="1972"/>
      <c r="C17" s="1972"/>
      <c r="D17" s="1972"/>
      <c r="E17" s="1972"/>
      <c r="F17" s="1972"/>
      <c r="G17" s="1972"/>
      <c r="H17" s="1972"/>
      <c r="I17" s="1972"/>
      <c r="J17" s="1972"/>
      <c r="K17" s="1972"/>
      <c r="L17" s="1972"/>
      <c r="M17" s="1972"/>
      <c r="N17" s="1972"/>
      <c r="O17" s="1972"/>
      <c r="P17" s="1972"/>
    </row>
    <row r="18" spans="1:16">
      <c r="A18" s="1972"/>
      <c r="B18" s="1972"/>
      <c r="C18" s="1972"/>
      <c r="D18" s="1972"/>
      <c r="E18" s="1972"/>
      <c r="F18" s="1972"/>
      <c r="G18" s="1972"/>
      <c r="H18" s="1972"/>
      <c r="I18" s="1972"/>
      <c r="J18" s="1972"/>
      <c r="K18" s="1972"/>
      <c r="L18" s="1972"/>
      <c r="M18" s="1972"/>
      <c r="N18" s="1972"/>
      <c r="O18" s="1972"/>
      <c r="P18" s="1972"/>
    </row>
    <row r="19" spans="1:16">
      <c r="A19" s="1972"/>
      <c r="B19" s="1972"/>
      <c r="C19" s="1972"/>
      <c r="D19" s="1972"/>
      <c r="E19" s="1972"/>
      <c r="F19" s="1972"/>
      <c r="G19" s="1972"/>
      <c r="H19" s="1972"/>
      <c r="I19" s="1972"/>
      <c r="J19" s="1972"/>
      <c r="K19" s="1972"/>
      <c r="L19" s="1972"/>
      <c r="M19" s="1972"/>
      <c r="N19" s="1972"/>
      <c r="O19" s="1972"/>
      <c r="P19" s="1972"/>
    </row>
    <row r="20" spans="1:16">
      <c r="A20" s="1972"/>
      <c r="B20" s="1972"/>
      <c r="C20" s="1972"/>
      <c r="D20" s="1972"/>
      <c r="E20" s="1972"/>
      <c r="F20" s="1972"/>
      <c r="G20" s="1972"/>
      <c r="H20" s="1972"/>
      <c r="I20" s="1972"/>
      <c r="J20" s="1972"/>
      <c r="K20" s="1972"/>
      <c r="L20" s="1972"/>
      <c r="M20" s="1972"/>
      <c r="N20" s="1972"/>
      <c r="O20" s="1972"/>
      <c r="P20" s="1972"/>
    </row>
    <row r="21" spans="1:16">
      <c r="A21" s="1972"/>
      <c r="B21" s="1972"/>
      <c r="C21" s="1972"/>
      <c r="D21" s="1972"/>
      <c r="E21" s="1972"/>
      <c r="F21" s="1972"/>
      <c r="G21" s="1972"/>
      <c r="H21" s="1972"/>
      <c r="I21" s="1972"/>
      <c r="J21" s="1972"/>
      <c r="K21" s="1972"/>
      <c r="L21" s="1972"/>
      <c r="M21" s="1972"/>
      <c r="N21" s="1972"/>
      <c r="O21" s="1972"/>
      <c r="P21" s="1972"/>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M42" sqref="M42"/>
    </sheetView>
  </sheetViews>
  <sheetFormatPr defaultColWidth="8.33203125" defaultRowHeight="13.2"/>
  <cols>
    <col min="1" max="1" width="10.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254" width="9" style="371" customWidth="1"/>
    <col min="255" max="16384" width="8.33203125" style="371"/>
  </cols>
  <sheetData>
    <row r="1" spans="1:9" s="365" customFormat="1" ht="21">
      <c r="A1" s="373" t="s">
        <v>2977</v>
      </c>
      <c r="B1" s="1338" t="s">
        <v>551</v>
      </c>
      <c r="C1" s="375"/>
      <c r="D1" s="375"/>
      <c r="E1" s="375"/>
      <c r="F1" s="375"/>
      <c r="G1" s="1340">
        <f>MATCH(B1,'数据-取费表'!A6:A16,0)+5</f>
        <v>7</v>
      </c>
    </row>
    <row r="2" spans="1:9" s="365" customFormat="1" ht="18" customHeight="1">
      <c r="A2" s="377" t="s">
        <v>2864</v>
      </c>
      <c r="B2" s="378">
        <f ca="1">IF(D2="——",C52,C52-E2)</f>
        <v>9050</v>
      </c>
      <c r="C2" s="376" t="s">
        <v>2865</v>
      </c>
      <c r="D2" s="1343" t="s">
        <v>124</v>
      </c>
      <c r="E2" s="1344" t="e">
        <f ca="1">SUMIF(INDIRECT("'"&amp;G2&amp;"'"&amp;"!A:A"),"承租人权益价值",INDIRECT("'"&amp;G2&amp;"'"&amp;"!c:c"))</f>
        <v>#REF!</v>
      </c>
      <c r="F2" s="1345" t="s">
        <v>2865</v>
      </c>
      <c r="G2" s="1346"/>
    </row>
    <row r="3" spans="1:9" s="365" customFormat="1" ht="18" customHeight="1">
      <c r="A3" s="380" t="s">
        <v>2866</v>
      </c>
      <c r="B3" s="381">
        <f ca="1">ROUND(B2*10000/(IF(B1="",'数据-汇总表'!E3,INDIRECT("'数据-取费表'!k"&amp;$G$1))),0)</f>
        <v>14118</v>
      </c>
      <c r="C3" s="376" t="s">
        <v>2978</v>
      </c>
      <c r="D3" s="376"/>
      <c r="E3" s="376"/>
      <c r="F3" s="376"/>
      <c r="G3" s="376"/>
    </row>
    <row r="4" spans="1:9" s="366" customFormat="1" ht="16.2">
      <c r="A4" s="382" t="s">
        <v>2979</v>
      </c>
      <c r="B4" s="383"/>
      <c r="C4" s="383"/>
      <c r="D4" s="383"/>
      <c r="E4" s="383"/>
      <c r="F4" s="383"/>
      <c r="G4" s="384"/>
    </row>
    <row r="5" spans="1:9" s="367" customFormat="1" ht="13.5" customHeight="1">
      <c r="A5" s="385" t="s">
        <v>2980</v>
      </c>
      <c r="B5" s="386" t="s">
        <v>2981</v>
      </c>
      <c r="C5" s="387">
        <f ca="1">C6+C7+C8</f>
        <v>3900</v>
      </c>
      <c r="D5" s="387" t="s">
        <v>2982</v>
      </c>
      <c r="E5" s="388" t="s">
        <v>2983</v>
      </c>
      <c r="F5" s="388" t="s">
        <v>2765</v>
      </c>
      <c r="G5" s="389"/>
    </row>
    <row r="6" spans="1:9" s="367" customFormat="1" ht="13.5" customHeight="1">
      <c r="A6" s="390" t="s">
        <v>2984</v>
      </c>
      <c r="B6" s="391" t="s">
        <v>2985</v>
      </c>
      <c r="C6" s="392">
        <f>基准地价修正!E41</f>
        <v>3660</v>
      </c>
      <c r="D6" s="393"/>
      <c r="E6" s="394"/>
      <c r="F6" s="394"/>
      <c r="G6" s="395"/>
    </row>
    <row r="7" spans="1:9" s="367" customFormat="1" ht="13.5" customHeight="1">
      <c r="A7" s="390" t="s">
        <v>2986</v>
      </c>
      <c r="B7" s="391" t="s">
        <v>2987</v>
      </c>
      <c r="C7" s="396">
        <f>ROUND(C6*F7,0)</f>
        <v>112</v>
      </c>
      <c r="D7" s="396"/>
      <c r="E7" s="394"/>
      <c r="F7" s="397">
        <f>IF(项目基本情况!B8="出让",0,'数据-取费表'!B48+'数据-取费表'!B49)</f>
        <v>3.0499999999999999E-2</v>
      </c>
      <c r="G7" s="395"/>
    </row>
    <row r="8" spans="1:9" s="368" customFormat="1">
      <c r="A8" s="390" t="s">
        <v>2988</v>
      </c>
      <c r="B8" s="391" t="s">
        <v>2989</v>
      </c>
      <c r="C8" s="396">
        <f ca="1">IF(G8="已包含在土地购买价格中","0",IF(B1="",'数据-取费表'!B29,IF(G9="全部缴纳",C9+C10,H9)))</f>
        <v>128</v>
      </c>
      <c r="D8" s="398"/>
      <c r="E8" s="396"/>
      <c r="F8" s="397"/>
      <c r="G8" s="1347" t="s">
        <v>2990</v>
      </c>
    </row>
    <row r="9" spans="1:9" s="367" customFormat="1" ht="13.5" customHeight="1">
      <c r="A9" s="400" t="s">
        <v>2991</v>
      </c>
      <c r="B9" s="401" t="s">
        <v>2992</v>
      </c>
      <c r="C9" s="402">
        <f ca="1">ROUND(D9*E9/10000,0)</f>
        <v>0</v>
      </c>
      <c r="D9" s="403">
        <f ca="1">IF(B1="",'数据-汇总表'!E5,IF(INDIRECT("'数据-取费表'!c"&amp;$G$1)="住宅",INDIRECT("'数据-取费表'!k"&amp;$G$1),0))</f>
        <v>0</v>
      </c>
      <c r="E9" s="402">
        <f>'数据-取费表'!B27</f>
        <v>160</v>
      </c>
      <c r="F9" s="397"/>
      <c r="G9" s="1966" t="s">
        <v>2993</v>
      </c>
      <c r="H9" s="1967"/>
      <c r="I9" s="1968" t="s">
        <v>2994</v>
      </c>
    </row>
    <row r="10" spans="1:9" s="367" customFormat="1" ht="13.5" customHeight="1">
      <c r="A10" s="400" t="s">
        <v>2995</v>
      </c>
      <c r="B10" s="401" t="s">
        <v>2996</v>
      </c>
      <c r="C10" s="402">
        <f ca="1">ROUND(D10*E10/10000,0)</f>
        <v>128</v>
      </c>
      <c r="D10" s="403">
        <f ca="1">IF(B1="",'数据-汇总表'!E6,IF(INDIRECT("'数据-取费表'!c"&amp;$G$1)="住宅",INDIRECT("'数据-取费表'!s"&amp;$G$1),INDIRECT("'数据-取费表'!k"&amp;$G$1)+INDIRECT("'数据-取费表'!s"&amp;$G$1)))</f>
        <v>6410.4</v>
      </c>
      <c r="E10" s="402">
        <f>'数据-取费表'!B28</f>
        <v>200</v>
      </c>
      <c r="F10" s="397"/>
      <c r="G10" s="404"/>
    </row>
    <row r="11" spans="1:9" s="367" customFormat="1" ht="13.5" hidden="1" customHeight="1">
      <c r="A11" s="405" t="s">
        <v>2997</v>
      </c>
      <c r="B11" s="391" t="s">
        <v>2998</v>
      </c>
      <c r="C11" s="387"/>
      <c r="D11" s="406"/>
      <c r="E11" s="394"/>
      <c r="F11" s="394"/>
      <c r="G11" s="395"/>
    </row>
    <row r="12" spans="1:9" s="367" customFormat="1" ht="13.5" hidden="1" customHeight="1">
      <c r="A12" s="405" t="s">
        <v>2999</v>
      </c>
      <c r="B12" s="391" t="s">
        <v>2801</v>
      </c>
      <c r="C12" s="387">
        <v>0</v>
      </c>
      <c r="D12" s="406"/>
      <c r="E12" s="407"/>
      <c r="F12" s="397">
        <v>3.0499999999999999E-2</v>
      </c>
      <c r="G12" s="395"/>
    </row>
    <row r="13" spans="1:9" s="367" customFormat="1" ht="13.5" hidden="1" customHeight="1">
      <c r="A13" s="405" t="s">
        <v>3000</v>
      </c>
      <c r="B13" s="391" t="s">
        <v>3001</v>
      </c>
      <c r="C13" s="387"/>
      <c r="D13" s="406"/>
      <c r="E13" s="394"/>
      <c r="F13" s="394"/>
      <c r="G13" s="395"/>
    </row>
    <row r="14" spans="1:9" s="367" customFormat="1" ht="13.5" hidden="1" customHeight="1">
      <c r="A14" s="405" t="s">
        <v>3002</v>
      </c>
      <c r="B14" s="391" t="s">
        <v>2989</v>
      </c>
      <c r="C14" s="387"/>
      <c r="D14" s="406"/>
      <c r="E14" s="394"/>
      <c r="F14" s="394"/>
      <c r="G14" s="395" t="s">
        <v>3003</v>
      </c>
    </row>
    <row r="15" spans="1:9" s="367" customFormat="1" ht="13.5" hidden="1" customHeight="1">
      <c r="A15" s="405" t="s">
        <v>3004</v>
      </c>
      <c r="B15" s="391" t="s">
        <v>3005</v>
      </c>
      <c r="C15" s="396"/>
      <c r="D15" s="406"/>
      <c r="E15" s="394"/>
      <c r="F15" s="394"/>
      <c r="G15" s="395" t="s">
        <v>3006</v>
      </c>
    </row>
    <row r="16" spans="1:9" s="367" customFormat="1" ht="13.5" hidden="1" customHeight="1">
      <c r="A16" s="405" t="s">
        <v>3007</v>
      </c>
      <c r="B16" s="391" t="s">
        <v>2989</v>
      </c>
      <c r="C16" s="396"/>
      <c r="D16" s="406"/>
      <c r="E16" s="394"/>
      <c r="F16" s="394"/>
      <c r="G16" s="395"/>
    </row>
    <row r="17" spans="1:7" s="367" customFormat="1" ht="13.5" hidden="1" customHeight="1">
      <c r="A17" s="405" t="s">
        <v>3008</v>
      </c>
      <c r="B17" s="391" t="s">
        <v>3009</v>
      </c>
      <c r="C17" s="408"/>
      <c r="D17" s="409"/>
      <c r="E17" s="408"/>
      <c r="F17" s="408"/>
      <c r="G17" s="395" t="s">
        <v>3006</v>
      </c>
    </row>
    <row r="18" spans="1:7" s="367" customFormat="1" ht="13.5" hidden="1" customHeight="1">
      <c r="A18" s="405" t="s">
        <v>3010</v>
      </c>
      <c r="B18" s="391" t="s">
        <v>3011</v>
      </c>
      <c r="C18" s="396">
        <v>0</v>
      </c>
      <c r="D18" s="406"/>
      <c r="E18" s="394"/>
      <c r="F18" s="397">
        <v>3.0499999999999999E-2</v>
      </c>
      <c r="G18" s="395" t="s">
        <v>3012</v>
      </c>
    </row>
    <row r="19" spans="1:7" s="368" customFormat="1" ht="13.5" customHeight="1">
      <c r="A19" s="385" t="s">
        <v>3013</v>
      </c>
      <c r="B19" s="386" t="s">
        <v>3014</v>
      </c>
      <c r="C19" s="387" t="str">
        <f>IF(G19="已包含在土地取得成本中","0",ROUND(D19*E19/10000,0))</f>
        <v>0</v>
      </c>
      <c r="D19" s="411">
        <f ca="1">D9+D10</f>
        <v>6410.4</v>
      </c>
      <c r="E19" s="387">
        <f>'数据-取费表'!B31</f>
        <v>200</v>
      </c>
      <c r="F19" s="412"/>
      <c r="G19" s="1347" t="s">
        <v>3015</v>
      </c>
    </row>
    <row r="20" spans="1:7" s="367" customFormat="1" ht="13.5" customHeight="1">
      <c r="A20" s="385" t="s">
        <v>3016</v>
      </c>
      <c r="B20" s="386" t="s">
        <v>3017</v>
      </c>
      <c r="C20" s="413">
        <f ca="1">ROUND((C5+C19)*F20,0)</f>
        <v>78</v>
      </c>
      <c r="D20" s="413"/>
      <c r="E20" s="413"/>
      <c r="F20" s="414">
        <f>'数据-取费表'!B37</f>
        <v>0.02</v>
      </c>
      <c r="G20" s="418" t="s">
        <v>3018</v>
      </c>
    </row>
    <row r="21" spans="1:7" s="367" customFormat="1" ht="13.5" customHeight="1">
      <c r="A21" s="385" t="s">
        <v>3019</v>
      </c>
      <c r="B21" s="386" t="s">
        <v>3020</v>
      </c>
      <c r="C21" s="416">
        <f>F21</f>
        <v>0.02</v>
      </c>
      <c r="D21" s="417" t="s">
        <v>3021</v>
      </c>
      <c r="E21" s="413"/>
      <c r="F21" s="414">
        <f>'数据-取费表'!B38</f>
        <v>0.02</v>
      </c>
      <c r="G21" s="418" t="s">
        <v>3022</v>
      </c>
    </row>
    <row r="22" spans="1:7" s="367" customFormat="1" ht="13.5" customHeight="1">
      <c r="A22" s="385" t="s">
        <v>3023</v>
      </c>
      <c r="B22" s="386" t="s">
        <v>3024</v>
      </c>
      <c r="C22" s="419">
        <f ca="1">ROUND(SUM(C23:C25),0)</f>
        <v>277</v>
      </c>
      <c r="D22" s="416">
        <f ca="1">C26</f>
        <v>6.9999999999999999E-4</v>
      </c>
      <c r="E22" s="417" t="s">
        <v>3021</v>
      </c>
      <c r="F22" s="420">
        <f ca="1">'数据-取费表'!B40</f>
        <v>3.4500000000000003E-2</v>
      </c>
      <c r="G22" s="418" t="str">
        <f>IF('数据-取费表'!B22&lt;=1,"单利计息","复利计息")</f>
        <v>复利计息</v>
      </c>
    </row>
    <row r="23" spans="1:7" s="367" customFormat="1" ht="13.5" customHeight="1">
      <c r="A23" s="421" t="s">
        <v>2984</v>
      </c>
      <c r="B23" s="391" t="s">
        <v>3025</v>
      </c>
      <c r="C23" s="422">
        <f ca="1">ROUND(IF('数据-取费表'!B22&lt;=1,C5*F22*'数据-取费表'!B23,C5*(POWER((1+F22),'数据-取费表'!B23)-1)),0)</f>
        <v>274</v>
      </c>
      <c r="D23" s="423"/>
      <c r="E23" s="423"/>
      <c r="F23" s="424"/>
      <c r="G23" s="425" t="s">
        <v>3026</v>
      </c>
    </row>
    <row r="24" spans="1:7" s="367" customFormat="1" ht="13.5" customHeight="1">
      <c r="A24" s="421" t="s">
        <v>2986</v>
      </c>
      <c r="B24" s="391" t="s">
        <v>3027</v>
      </c>
      <c r="C24" s="422">
        <f ca="1">ROUND(IF('数据-取费表'!B22&lt;=1,C19*F22*('数据-取费表'!B19/2+'数据-取费表'!B21),C19*(POWER((1+F22),('数据-取费表'!B19/2+'数据-取费表'!B21))-1)),0)</f>
        <v>0</v>
      </c>
      <c r="D24" s="423"/>
      <c r="E24" s="423"/>
      <c r="F24" s="424"/>
      <c r="G24" s="425" t="s">
        <v>3028</v>
      </c>
    </row>
    <row r="25" spans="1:7" s="367" customFormat="1" ht="24">
      <c r="A25" s="421" t="s">
        <v>2988</v>
      </c>
      <c r="B25" s="391" t="s">
        <v>3029</v>
      </c>
      <c r="C25" s="422">
        <f ca="1">ROUND(IF('数据-取费表'!B22&lt;=1,C20*F22*'数据-取费表'!B23/2,C20*(POWER((1+F22),'数据-取费表'!B23/2)-1)),0)</f>
        <v>3</v>
      </c>
      <c r="D25" s="423"/>
      <c r="E25" s="426"/>
      <c r="F25" s="424"/>
      <c r="G25" s="427" t="s">
        <v>3030</v>
      </c>
    </row>
    <row r="26" spans="1:7" s="367" customFormat="1">
      <c r="A26" s="421" t="s">
        <v>3031</v>
      </c>
      <c r="B26" s="391" t="s">
        <v>3032</v>
      </c>
      <c r="C26" s="423">
        <f ca="1">ROUND(IF('数据-取费表'!B22&lt;=1,F21*F22*'数据-取费表'!B23/2,F21*(POWER((1+F22),'数据-取费表'!B23/2)-1)),4)</f>
        <v>6.9999999999999999E-4</v>
      </c>
      <c r="D26" s="423"/>
      <c r="E26" s="426"/>
      <c r="F26" s="424"/>
      <c r="G26" s="428"/>
    </row>
    <row r="27" spans="1:7" s="367" customFormat="1" ht="26.4">
      <c r="A27" s="385" t="s">
        <v>3033</v>
      </c>
      <c r="B27" s="429" t="s">
        <v>3034</v>
      </c>
      <c r="C27" s="430">
        <f ca="1">C28</f>
        <v>199</v>
      </c>
      <c r="D27" s="416">
        <f ca="1">C29</f>
        <v>1E-3</v>
      </c>
      <c r="E27" s="417" t="s">
        <v>3021</v>
      </c>
      <c r="F27" s="431">
        <f ca="1">IF(B1="",'数据-取费表'!Q16,INDIRECT("'数据-取费表'!q"&amp;$G$1))</f>
        <v>0.05</v>
      </c>
      <c r="G27" s="432" t="s">
        <v>3035</v>
      </c>
    </row>
    <row r="28" spans="1:7" s="367" customFormat="1" ht="13.5" customHeight="1">
      <c r="A28" s="421" t="s">
        <v>2984</v>
      </c>
      <c r="B28" s="433" t="s">
        <v>3036</v>
      </c>
      <c r="C28" s="434">
        <f ca="1">ROUND((C5+C19+C20)*F27*'数据-取费表'!B21/'数据-取费表'!B20,0)</f>
        <v>199</v>
      </c>
      <c r="D28" s="416"/>
      <c r="E28" s="417"/>
      <c r="F28" s="431"/>
      <c r="G28" s="432"/>
    </row>
    <row r="29" spans="1:7" s="367" customFormat="1" ht="13.5" customHeight="1">
      <c r="A29" s="421" t="s">
        <v>2986</v>
      </c>
      <c r="B29" s="433" t="s">
        <v>3037</v>
      </c>
      <c r="C29" s="423">
        <f ca="1">ROUND(C21*F27*'数据-取费表'!B21/'数据-取费表'!B20,4)</f>
        <v>1E-3</v>
      </c>
      <c r="D29" s="416"/>
      <c r="E29" s="417"/>
      <c r="F29" s="431"/>
      <c r="G29" s="432"/>
    </row>
    <row r="30" spans="1:7" s="367" customFormat="1" ht="13.5" customHeight="1">
      <c r="A30" s="385" t="s">
        <v>3038</v>
      </c>
      <c r="B30" s="386" t="s">
        <v>3039</v>
      </c>
      <c r="C30" s="416">
        <f>ROUND(F30/(1+'数据-取费表'!C42),4)</f>
        <v>5.33E-2</v>
      </c>
      <c r="D30" s="417" t="s">
        <v>3021</v>
      </c>
      <c r="E30" s="426"/>
      <c r="F30" s="420">
        <f>'数据-取费表'!B41</f>
        <v>5.6000000000000001E-2</v>
      </c>
      <c r="G30" s="418" t="s">
        <v>3040</v>
      </c>
    </row>
    <row r="31" spans="1:7" ht="16.5" customHeight="1">
      <c r="A31" s="435">
        <v>1</v>
      </c>
      <c r="B31" s="386" t="s">
        <v>3041</v>
      </c>
      <c r="C31" s="387">
        <f ca="1">ROUND((C5+C19+C20+C22+C27)/(1-C21-D22-D27-C30),0)</f>
        <v>4815</v>
      </c>
      <c r="D31" s="436"/>
      <c r="E31" s="387"/>
      <c r="F31" s="437"/>
      <c r="G31" s="418" t="s">
        <v>3042</v>
      </c>
    </row>
    <row r="32" spans="1:7" s="366" customFormat="1" ht="16.2">
      <c r="A32" s="438" t="s">
        <v>3043</v>
      </c>
      <c r="B32" s="439"/>
      <c r="C32" s="439"/>
      <c r="D32" s="439"/>
      <c r="E32" s="439"/>
      <c r="F32" s="439"/>
      <c r="G32" s="440"/>
    </row>
    <row r="33" spans="1:7" s="367" customFormat="1" ht="13.5" customHeight="1">
      <c r="A33" s="385" t="s">
        <v>2980</v>
      </c>
      <c r="B33" s="386" t="s">
        <v>3044</v>
      </c>
      <c r="C33" s="441">
        <f ca="1">SUM(C34:C38)</f>
        <v>3541</v>
      </c>
      <c r="D33" s="413"/>
      <c r="E33" s="388"/>
      <c r="F33" s="426"/>
      <c r="G33" s="418"/>
    </row>
    <row r="34" spans="1:7" s="369" customFormat="1" ht="13.5" customHeight="1">
      <c r="A34" s="421" t="s">
        <v>2984</v>
      </c>
      <c r="B34" s="391" t="s">
        <v>3045</v>
      </c>
      <c r="C34" s="396">
        <f ca="1">IF(B1="",IF(F34=100%,'数据-取费表'!M16,'数据-取费表'!O16),IF(F34=100%,INDIRECT("'数据-取费表'!m"&amp;$G$1)+INDIRECT("'数据-取费表'!t"&amp;$G$1),INDIRECT("'数据-取费表'!o"&amp;$G$1)+INDIRECT("'数据-取费表'!aq"&amp;$G$1)))</f>
        <v>3205</v>
      </c>
      <c r="D34" s="393"/>
      <c r="E34" s="396"/>
      <c r="F34" s="442">
        <f ca="1">IF('数据-取费表'!B24=0,1,IF(B1="",'数据-取费表'!N16,INDIRECT("'数据-取费表'!n"&amp;$G$1)))</f>
        <v>1</v>
      </c>
      <c r="G34" s="395" t="s">
        <v>3046</v>
      </c>
    </row>
    <row r="35" spans="1:7" ht="13.5" customHeight="1">
      <c r="A35" s="421" t="s">
        <v>2986</v>
      </c>
      <c r="B35" s="391" t="s">
        <v>3047</v>
      </c>
      <c r="C35" s="396">
        <f ca="1">ROUND(C34*F35,0)</f>
        <v>160</v>
      </c>
      <c r="D35" s="396"/>
      <c r="E35" s="396"/>
      <c r="F35" s="443">
        <f>'数据-取费表'!B33</f>
        <v>0.05</v>
      </c>
      <c r="G35" s="395" t="s">
        <v>3048</v>
      </c>
    </row>
    <row r="36" spans="1:7" ht="24">
      <c r="A36" s="421" t="s">
        <v>2988</v>
      </c>
      <c r="B36" s="391" t="s">
        <v>3049</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3050</v>
      </c>
    </row>
    <row r="37" spans="1:7" s="369" customFormat="1" ht="13.5" customHeight="1">
      <c r="A37" s="421" t="s">
        <v>3031</v>
      </c>
      <c r="B37" s="391" t="s">
        <v>3051</v>
      </c>
      <c r="C37" s="434">
        <f ca="1">ROUND(E37*D37*F34/10000,0)</f>
        <v>128</v>
      </c>
      <c r="D37" s="393">
        <f ca="1">D19</f>
        <v>6410.4</v>
      </c>
      <c r="E37" s="434">
        <f>'数据-取费表'!B35</f>
        <v>200</v>
      </c>
      <c r="F37" s="443"/>
      <c r="G37" s="445" t="s">
        <v>3052</v>
      </c>
    </row>
    <row r="38" spans="1:7" ht="13.5" customHeight="1">
      <c r="A38" s="421" t="s">
        <v>3053</v>
      </c>
      <c r="B38" s="391" t="s">
        <v>2801</v>
      </c>
      <c r="C38" s="396">
        <f ca="1">ROUND(C34*F38,0)</f>
        <v>48</v>
      </c>
      <c r="D38" s="396"/>
      <c r="E38" s="396"/>
      <c r="F38" s="443">
        <f>'数据-取费表'!B36</f>
        <v>1.4999999999999999E-2</v>
      </c>
      <c r="G38" s="395" t="s">
        <v>3048</v>
      </c>
    </row>
    <row r="39" spans="1:7" s="367" customFormat="1" ht="13.5" customHeight="1">
      <c r="A39" s="385" t="s">
        <v>3013</v>
      </c>
      <c r="B39" s="386" t="s">
        <v>3017</v>
      </c>
      <c r="C39" s="413">
        <f ca="1">ROUND(C33*F20,0)</f>
        <v>71</v>
      </c>
      <c r="D39" s="413"/>
      <c r="E39" s="413"/>
      <c r="F39" s="414">
        <f t="shared" ref="F39:F41" si="0">F20</f>
        <v>0.02</v>
      </c>
      <c r="G39" s="418" t="s">
        <v>3054</v>
      </c>
    </row>
    <row r="40" spans="1:7" s="367" customFormat="1" ht="13.5" customHeight="1">
      <c r="A40" s="385" t="s">
        <v>3016</v>
      </c>
      <c r="B40" s="386" t="s">
        <v>3020</v>
      </c>
      <c r="C40" s="1350">
        <f>F21</f>
        <v>0.02</v>
      </c>
      <c r="D40" s="417" t="s">
        <v>3055</v>
      </c>
      <c r="E40" s="413"/>
      <c r="F40" s="414">
        <f t="shared" si="0"/>
        <v>0.02</v>
      </c>
      <c r="G40" s="418" t="s">
        <v>3056</v>
      </c>
    </row>
    <row r="41" spans="1:7" s="367" customFormat="1" ht="13.5" customHeight="1">
      <c r="A41" s="385" t="s">
        <v>3019</v>
      </c>
      <c r="B41" s="386" t="s">
        <v>3024</v>
      </c>
      <c r="C41" s="413">
        <f ca="1">ROUND(SUM(C42:C43),0)</f>
        <v>124</v>
      </c>
      <c r="D41" s="416">
        <f ca="1">C44</f>
        <v>6.9999999999999999E-4</v>
      </c>
      <c r="E41" s="417" t="s">
        <v>3055</v>
      </c>
      <c r="F41" s="420">
        <f t="shared" ca="1" si="0"/>
        <v>3.4500000000000003E-2</v>
      </c>
      <c r="G41" s="418" t="str">
        <f>IF('数据-取费表'!B22&lt;=1,"单利计息","复利计息")</f>
        <v>复利计息</v>
      </c>
    </row>
    <row r="42" spans="1:7" ht="13.5" customHeight="1">
      <c r="A42" s="421" t="s">
        <v>2984</v>
      </c>
      <c r="B42" s="391" t="s">
        <v>3025</v>
      </c>
      <c r="C42" s="423">
        <f ca="1">ROUND(IF('数据-取费表'!B22&lt;=1,C33*F22*'数据-取费表'!B21/2,C33*(POWER((1+F22),'数据-取费表'!B21/2)-1)),0)</f>
        <v>122</v>
      </c>
      <c r="D42" s="423"/>
      <c r="E42" s="423"/>
      <c r="F42" s="424"/>
      <c r="G42" s="3696" t="s">
        <v>3057</v>
      </c>
    </row>
    <row r="43" spans="1:7" ht="13.5" customHeight="1">
      <c r="A43" s="421" t="s">
        <v>2986</v>
      </c>
      <c r="B43" s="391" t="s">
        <v>3027</v>
      </c>
      <c r="C43" s="423">
        <f ca="1">ROUND(IF('数据-取费表'!B22&lt;=1,C39*F22*'数据-取费表'!B21/2,C39*(POWER((1+F22),'数据-取费表'!B21/2)-1)),0)</f>
        <v>2</v>
      </c>
      <c r="D43" s="423"/>
      <c r="E43" s="423"/>
      <c r="F43" s="424"/>
      <c r="G43" s="3697"/>
    </row>
    <row r="44" spans="1:7" ht="13.5" customHeight="1">
      <c r="A44" s="421" t="s">
        <v>2988</v>
      </c>
      <c r="B44" s="391" t="s">
        <v>3029</v>
      </c>
      <c r="C44" s="423">
        <f ca="1">ROUND(IF('数据-取费表'!B22&lt;=1,C40*F22*'数据-取费表'!B21/2,C40*(POWER((1+F22),'数据-取费表'!B21/2)-1)),4)</f>
        <v>6.9999999999999999E-4</v>
      </c>
      <c r="D44" s="423"/>
      <c r="E44" s="423"/>
      <c r="F44" s="424"/>
      <c r="G44" s="3698"/>
    </row>
    <row r="45" spans="1:7" s="367" customFormat="1" ht="13.5" customHeight="1">
      <c r="A45" s="385" t="s">
        <v>3023</v>
      </c>
      <c r="B45" s="429" t="s">
        <v>3034</v>
      </c>
      <c r="C45" s="430">
        <f ca="1">C46</f>
        <v>181</v>
      </c>
      <c r="D45" s="416">
        <f ca="1">C47</f>
        <v>1E-3</v>
      </c>
      <c r="E45" s="417" t="s">
        <v>3055</v>
      </c>
      <c r="F45" s="431">
        <f ca="1">F27</f>
        <v>0.05</v>
      </c>
      <c r="G45" s="432" t="s">
        <v>3058</v>
      </c>
    </row>
    <row r="46" spans="1:7" s="367" customFormat="1" ht="13.5" customHeight="1">
      <c r="A46" s="421" t="s">
        <v>2984</v>
      </c>
      <c r="B46" s="433" t="s">
        <v>3059</v>
      </c>
      <c r="C46" s="434">
        <f ca="1">ROUND((C33+C39)*F27,0)</f>
        <v>181</v>
      </c>
      <c r="D46" s="447"/>
      <c r="E46" s="417"/>
      <c r="F46" s="431"/>
      <c r="G46" s="432"/>
    </row>
    <row r="47" spans="1:7" s="367" customFormat="1" ht="13.5" customHeight="1">
      <c r="A47" s="421" t="s">
        <v>2986</v>
      </c>
      <c r="B47" s="433" t="s">
        <v>3060</v>
      </c>
      <c r="C47" s="423">
        <f ca="1">ROUND(C40*F27,4)</f>
        <v>1E-3</v>
      </c>
      <c r="D47" s="447"/>
      <c r="E47" s="417"/>
      <c r="F47" s="431"/>
      <c r="G47" s="432"/>
    </row>
    <row r="48" spans="1:7" s="367" customFormat="1" ht="13.5" customHeight="1">
      <c r="A48" s="385" t="s">
        <v>3033</v>
      </c>
      <c r="B48" s="386" t="s">
        <v>3039</v>
      </c>
      <c r="C48" s="1350">
        <f>ROUND(F30/(1+'数据-取费表'!C42),4)</f>
        <v>5.33E-2</v>
      </c>
      <c r="D48" s="417" t="s">
        <v>3055</v>
      </c>
      <c r="E48" s="413"/>
      <c r="F48" s="420">
        <f>F30</f>
        <v>5.6000000000000001E-2</v>
      </c>
      <c r="G48" s="418" t="s">
        <v>3061</v>
      </c>
    </row>
    <row r="49" spans="1:7" ht="16.5" customHeight="1">
      <c r="A49" s="385" t="s">
        <v>3038</v>
      </c>
      <c r="B49" s="386" t="s">
        <v>3062</v>
      </c>
      <c r="C49" s="413">
        <f ca="1">ROUND((C33+C39+C41+C45)/(1-C40-D41-D45-C48),0)</f>
        <v>4235</v>
      </c>
      <c r="D49" s="413"/>
      <c r="E49" s="413"/>
      <c r="F49" s="448"/>
      <c r="G49" s="418" t="s">
        <v>3063</v>
      </c>
    </row>
    <row r="50" spans="1:7" s="369" customFormat="1" ht="24">
      <c r="A50" s="385" t="s">
        <v>3064</v>
      </c>
      <c r="B50" s="386" t="s">
        <v>3065</v>
      </c>
      <c r="C50" s="413"/>
      <c r="D50" s="413"/>
      <c r="E50" s="413"/>
      <c r="F50" s="448">
        <f>IF('数据-取费表'!B24=0,'数据-取费表'!N16,1)</f>
        <v>1</v>
      </c>
      <c r="G50" s="432" t="s">
        <v>3066</v>
      </c>
    </row>
    <row r="51" spans="1:7" ht="16.5" customHeight="1">
      <c r="A51" s="385" t="s">
        <v>3067</v>
      </c>
      <c r="B51" s="386" t="s">
        <v>3068</v>
      </c>
      <c r="C51" s="413">
        <f ca="1">ROUND(C49*F50,0)</f>
        <v>4235</v>
      </c>
      <c r="D51" s="413"/>
      <c r="E51" s="413"/>
      <c r="F51" s="448"/>
      <c r="G51" s="418" t="s">
        <v>3069</v>
      </c>
    </row>
    <row r="52" spans="1:7" s="366" customFormat="1" ht="16.2">
      <c r="A52" s="449" t="s">
        <v>3070</v>
      </c>
      <c r="B52" s="450"/>
      <c r="C52" s="451">
        <f ca="1">C31+C51</f>
        <v>9050</v>
      </c>
      <c r="D52" s="450"/>
      <c r="E52" s="450"/>
      <c r="F52" s="450"/>
      <c r="G52" s="452"/>
    </row>
    <row r="55" spans="1:7" ht="15">
      <c r="B55" s="453" t="s">
        <v>3071</v>
      </c>
      <c r="C55" s="454"/>
    </row>
    <row r="56" spans="1:7">
      <c r="B56" s="455" t="s">
        <v>3072</v>
      </c>
      <c r="C56" s="457">
        <f ca="1">1-C57</f>
        <v>0.53200000000000003</v>
      </c>
    </row>
    <row r="57" spans="1:7">
      <c r="B57" s="455" t="s">
        <v>3073</v>
      </c>
      <c r="C57" s="456">
        <f ca="1">ROUND(C51/C52,3)</f>
        <v>0.46800000000000003</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workbookViewId="0">
      <selection activeCell="I24" sqref="I24"/>
    </sheetView>
  </sheetViews>
  <sheetFormatPr defaultColWidth="12" defaultRowHeight="13.2"/>
  <cols>
    <col min="1" max="1" width="9.77734375" style="954" customWidth="1"/>
    <col min="2" max="2" width="22.44140625" style="955" customWidth="1"/>
    <col min="3" max="3" width="12" style="956"/>
    <col min="4" max="4" width="14.88671875" style="956" customWidth="1"/>
    <col min="5" max="5" width="14.6640625" style="956" customWidth="1"/>
    <col min="6" max="8" width="12" style="956"/>
    <col min="9" max="9" width="12.21875" style="956" customWidth="1"/>
    <col min="10" max="10" width="12" style="956"/>
    <col min="11" max="11" width="8.109375" style="957" customWidth="1"/>
    <col min="12" max="12" width="19.44140625" style="956" customWidth="1"/>
    <col min="13" max="13" width="8.44140625" style="956" customWidth="1"/>
    <col min="14" max="14" width="9.77734375" style="956" customWidth="1"/>
    <col min="15" max="25" width="12" style="956"/>
    <col min="26" max="26" width="9.33203125" style="954" customWidth="1"/>
    <col min="27" max="32" width="9.33203125" style="958" customWidth="1"/>
    <col min="33" max="36" width="9.33203125" style="954" customWidth="1"/>
    <col min="37" max="38" width="9.33203125" style="956" customWidth="1"/>
    <col min="39" max="16384" width="12" style="956"/>
  </cols>
  <sheetData>
    <row r="1" spans="1:36" ht="31.2">
      <c r="A1" s="373" t="s">
        <v>3563</v>
      </c>
      <c r="B1" s="374"/>
      <c r="C1" s="377" t="s">
        <v>2867</v>
      </c>
      <c r="D1" s="944">
        <f>SUM(D33:D34,D37:D42)</f>
        <v>8450.66</v>
      </c>
      <c r="E1" s="959"/>
      <c r="F1" s="959"/>
      <c r="G1" s="959"/>
      <c r="H1" s="959"/>
      <c r="I1" s="959"/>
      <c r="J1" s="959"/>
      <c r="K1" s="952"/>
      <c r="L1" s="1162" t="s">
        <v>3564</v>
      </c>
      <c r="M1" s="1163">
        <f>SUMPRODUCT((区片价!B5:B9=I2)*(区片价!C3:G3=E2)*(区片价!C5:G9))</f>
        <v>0</v>
      </c>
      <c r="N1" s="1164">
        <f>SUMPRODUCT((因素修正幅度!B5:B9=I2)*(因素修正幅度!C3:G3=E2)*(因素修正幅度!C5:G9))</f>
        <v>0</v>
      </c>
      <c r="O1" s="953"/>
      <c r="P1" s="953"/>
      <c r="Q1" s="952"/>
      <c r="R1" s="1255" t="s">
        <v>3565</v>
      </c>
      <c r="S1" s="1255" t="s">
        <v>3566</v>
      </c>
      <c r="T1" s="1255" t="s">
        <v>3567</v>
      </c>
      <c r="U1" s="1255" t="s">
        <v>3568</v>
      </c>
      <c r="V1" s="1255" t="s">
        <v>3569</v>
      </c>
      <c r="W1" s="1256"/>
      <c r="X1" s="1256"/>
      <c r="Y1" s="1256"/>
      <c r="Z1" s="1256"/>
      <c r="AA1" s="1256"/>
      <c r="AB1" s="1256"/>
      <c r="AC1" s="1267"/>
      <c r="AD1" s="1268"/>
      <c r="AE1" s="1268"/>
      <c r="AF1" s="1268"/>
      <c r="AG1" s="1268"/>
      <c r="AH1" s="1268"/>
      <c r="AI1" s="1268"/>
      <c r="AJ1" s="1277"/>
    </row>
    <row r="2" spans="1:36" ht="15.6">
      <c r="A2" s="377" t="s">
        <v>2864</v>
      </c>
      <c r="B2" s="381" t="e">
        <f>C30</f>
        <v>#DIV/0!</v>
      </c>
      <c r="C2" s="960" t="s">
        <v>2865</v>
      </c>
      <c r="D2" s="961" t="s">
        <v>3570</v>
      </c>
      <c r="E2" s="962" t="s">
        <v>414</v>
      </c>
      <c r="F2" s="961" t="s">
        <v>3571</v>
      </c>
      <c r="G2" s="963" t="str">
        <f>IF(E2="商业",项目基本情况!B37,IF(E2="办公",项目基本情况!C37,IF(E2="住宅",项目基本情况!D37,IF(E2="工业",项目基本情况!E37,项目基本情况!F37))))</f>
        <v>四级</v>
      </c>
      <c r="H2" s="961" t="s">
        <v>3572</v>
      </c>
      <c r="I2" s="963" t="str">
        <f>IF(E2="商业",项目基本情况!B38,IF(E2="办公",项目基本情况!C38,IF(E2="住宅",项目基本情况!D38,IF(E2="工业",项目基本情况!E38,项目基本情况!F38))))</f>
        <v>Ⅳ-16</v>
      </c>
      <c r="J2" s="1165"/>
      <c r="K2" s="952"/>
      <c r="L2" s="1166" t="s">
        <v>3573</v>
      </c>
      <c r="M2" s="1167">
        <f>SUMPRODUCT((区片价!B10:B29=I2)*(区片价!C3:G3=E2)*(区片价!C10:G29))</f>
        <v>0</v>
      </c>
      <c r="N2" s="1164">
        <f>SUMPRODUCT((因素修正幅度!B10:B29=I2)*(因素修正幅度!C3:G3=E2)*(因素修正幅度!C10:G29))</f>
        <v>0</v>
      </c>
      <c r="O2" s="952"/>
      <c r="P2" s="952"/>
      <c r="Q2" s="952"/>
      <c r="R2" s="1255">
        <v>1</v>
      </c>
      <c r="S2" s="1257">
        <f>ROUND(SUMPRODUCT((B106:B110=R2)*(C105:N105=G2)*(C106:N110)),4)</f>
        <v>1.5019</v>
      </c>
      <c r="T2" s="1257" t="e">
        <f t="shared" ref="T2:T16" si="0">ROUND($C$5*$C$22*$C$23*$C$24*S2*$C$28,0)</f>
        <v>#DIV/0!</v>
      </c>
      <c r="U2" s="1258"/>
      <c r="V2" s="1257" t="e">
        <f>ROUND(T2*U2/10000,0)</f>
        <v>#DIV/0!</v>
      </c>
      <c r="W2" s="1256"/>
      <c r="X2" s="1256"/>
      <c r="Y2" s="1256"/>
      <c r="Z2" s="1256"/>
      <c r="AA2" s="1256"/>
      <c r="AB2" s="1256"/>
      <c r="AC2" s="1267"/>
      <c r="AD2" s="1268"/>
      <c r="AE2" s="1268"/>
      <c r="AF2" s="1268"/>
      <c r="AG2" s="1268"/>
      <c r="AH2" s="1268"/>
      <c r="AI2" s="1268"/>
      <c r="AJ2" s="1277"/>
    </row>
    <row r="3" spans="1:36" ht="15.6">
      <c r="A3" s="380" t="s">
        <v>2866</v>
      </c>
      <c r="B3" s="381" t="e">
        <f>ROUND(B2*10000/D1,0)</f>
        <v>#DIV/0!</v>
      </c>
      <c r="C3" s="960" t="s">
        <v>2978</v>
      </c>
      <c r="D3" s="961" t="s">
        <v>3574</v>
      </c>
      <c r="E3" s="964" t="s">
        <v>3575</v>
      </c>
      <c r="F3" s="965" t="s">
        <v>3576</v>
      </c>
      <c r="G3" s="966">
        <f>IF(F3="宗地容积率",'数据-汇总表'!I4,IF(F3="估价对象容积率",'数据-汇总表'!I6,'数据-汇总表'!I7))</f>
        <v>2.8</v>
      </c>
      <c r="H3" s="967" t="s">
        <v>3577</v>
      </c>
      <c r="I3" s="1168"/>
      <c r="J3" s="1165" t="s">
        <v>3578</v>
      </c>
      <c r="K3" s="952"/>
      <c r="L3" s="1166" t="s">
        <v>3579</v>
      </c>
      <c r="M3" s="1167">
        <f>SUMPRODUCT((区片价!B30:B54=I2)*(区片价!C3:G3=E2)*(区片价!C30:G54))</f>
        <v>0</v>
      </c>
      <c r="N3" s="1164">
        <f>SUMPRODUCT((因素修正幅度!B30:B54=I2)*(因素修正幅度!C3:G3=E2)*(因素修正幅度!C30:G54))</f>
        <v>0</v>
      </c>
      <c r="O3" s="952"/>
      <c r="P3" s="952"/>
      <c r="Q3" s="952"/>
      <c r="R3" s="1255">
        <v>2</v>
      </c>
      <c r="S3" s="1257">
        <f>ROUND(SUMPRODUCT((B106:B110=R3)*(C105:N105=G2)*(C106:N110)),4)</f>
        <v>1.1838</v>
      </c>
      <c r="T3" s="1257" t="e">
        <f t="shared" si="0"/>
        <v>#DIV/0!</v>
      </c>
      <c r="U3" s="1258"/>
      <c r="V3" s="1257" t="e">
        <f t="shared" ref="V3:V16" si="1">ROUND(T3*U3/10000,0)</f>
        <v>#DIV/0!</v>
      </c>
      <c r="W3" s="1256"/>
      <c r="X3" s="1256"/>
      <c r="Y3" s="1256"/>
      <c r="Z3" s="1256"/>
      <c r="AA3" s="1256"/>
      <c r="AB3" s="1256"/>
      <c r="AC3" s="1267"/>
      <c r="AD3" s="1268"/>
      <c r="AE3" s="1268"/>
      <c r="AF3" s="1268"/>
      <c r="AG3" s="1268"/>
      <c r="AH3" s="1268"/>
      <c r="AI3" s="1268"/>
      <c r="AJ3" s="1277"/>
    </row>
    <row r="4" spans="1:36" ht="15.6">
      <c r="A4" s="3756"/>
      <c r="B4" s="3757"/>
      <c r="C4" s="3757"/>
      <c r="D4" s="3758"/>
      <c r="E4" s="3758"/>
      <c r="F4" s="3758"/>
      <c r="G4" s="3758"/>
      <c r="H4" s="3758"/>
      <c r="I4" s="3758"/>
      <c r="J4" s="3759"/>
      <c r="K4" s="952"/>
      <c r="L4" s="1166" t="s">
        <v>3580</v>
      </c>
      <c r="M4" s="1167">
        <f>SUMPRODUCT((区片价!B55:B86=I2)*(区片价!C3:G3=E2)*(区片价!C55:G86))</f>
        <v>21100</v>
      </c>
      <c r="N4" s="1164">
        <f>SUMPRODUCT((因素修正幅度!B55:B86=I2)*(因素修正幅度!C3:G3=E2)*(因素修正幅度!C55:G86))</f>
        <v>5.8999999999999997E-2</v>
      </c>
      <c r="O4" s="952"/>
      <c r="P4" s="952"/>
      <c r="Q4" s="952"/>
      <c r="R4" s="1255">
        <v>3</v>
      </c>
      <c r="S4" s="1257">
        <f>ROUND(SUMPRODUCT((B106:B110=R4)*(C105:N105=G2)*(C106:N110)),4)</f>
        <v>1.0004999999999999</v>
      </c>
      <c r="T4" s="1257" t="e">
        <f t="shared" si="0"/>
        <v>#DIV/0!</v>
      </c>
      <c r="U4" s="1258"/>
      <c r="V4" s="1257" t="e">
        <f t="shared" si="1"/>
        <v>#DIV/0!</v>
      </c>
      <c r="W4" s="1256"/>
      <c r="X4" s="1256"/>
      <c r="Y4" s="1256"/>
      <c r="Z4" s="1256"/>
      <c r="AA4" s="1256"/>
      <c r="AB4" s="1256"/>
      <c r="AC4" s="1267"/>
      <c r="AD4" s="1268"/>
      <c r="AE4" s="1268"/>
      <c r="AF4" s="1268"/>
      <c r="AG4" s="1268"/>
      <c r="AH4" s="1268"/>
      <c r="AI4" s="1268"/>
      <c r="AJ4" s="1277"/>
    </row>
    <row r="5" spans="1:36" s="951" customFormat="1" ht="15">
      <c r="A5" s="968" t="s">
        <v>2766</v>
      </c>
      <c r="B5" s="969" t="s">
        <v>3581</v>
      </c>
      <c r="C5" s="970">
        <f>ROUND(IF(E2="商业",C6*C7*C17+C20,(IF(E2="住宅",C6*C13*C17+C20,IF(E2="办公",C6*C12*C17+C20,C6+C20)))),0)</f>
        <v>21100</v>
      </c>
      <c r="D5" s="971">
        <f>ROUND(C6*C17+C20,0)</f>
        <v>21100</v>
      </c>
      <c r="E5" s="971"/>
      <c r="F5" s="972"/>
      <c r="G5" s="973"/>
      <c r="H5" s="973"/>
      <c r="I5" s="973"/>
      <c r="J5" s="1169"/>
      <c r="K5" s="1170"/>
      <c r="L5" s="1166" t="s">
        <v>3582</v>
      </c>
      <c r="M5" s="1167">
        <f>SUMPRODUCT((区片价!B87:B126=I2)*(区片价!C3:G3=E2)*(区片价!C87:G126))</f>
        <v>0</v>
      </c>
      <c r="N5" s="1164">
        <f>SUMPRODUCT((因素修正幅度!B87:B126=I2)*(因素修正幅度!C3:G3=E2)*(因素修正幅度!C87:G126))</f>
        <v>0</v>
      </c>
      <c r="O5" s="952"/>
      <c r="P5" s="952"/>
      <c r="Q5" s="952"/>
      <c r="R5" s="1255">
        <v>4</v>
      </c>
      <c r="S5" s="1257">
        <f>ROUND(SUMPRODUCT((B106:B110=R5)*(C105:N105=G2)*(C106:N110)),4)</f>
        <v>0.88239999999999996</v>
      </c>
      <c r="T5" s="1257" t="e">
        <f t="shared" si="0"/>
        <v>#DIV/0!</v>
      </c>
      <c r="U5" s="1258"/>
      <c r="V5" s="1257" t="e">
        <f t="shared" si="1"/>
        <v>#DIV/0!</v>
      </c>
      <c r="W5" s="1256"/>
      <c r="X5" s="1256"/>
      <c r="Y5" s="1256"/>
      <c r="Z5" s="1256"/>
      <c r="AA5" s="1256"/>
      <c r="AB5" s="1256"/>
      <c r="AC5" s="1269"/>
      <c r="AD5" s="1270"/>
      <c r="AE5" s="1270"/>
      <c r="AF5" s="1270"/>
      <c r="AG5" s="1270"/>
      <c r="AH5" s="1270"/>
      <c r="AI5" s="1270"/>
      <c r="AJ5" s="1278"/>
    </row>
    <row r="6" spans="1:36" ht="15">
      <c r="A6" s="974" t="s">
        <v>2980</v>
      </c>
      <c r="B6" s="975" t="s">
        <v>3583</v>
      </c>
      <c r="C6" s="976">
        <f>SUMIF(L1:L12,G2,M1:M12)</f>
        <v>21100</v>
      </c>
      <c r="D6" s="977"/>
      <c r="E6" s="978"/>
      <c r="F6" s="978"/>
      <c r="G6" s="979"/>
      <c r="H6" s="979"/>
      <c r="I6" s="979"/>
      <c r="J6" s="1171"/>
      <c r="K6" s="667"/>
      <c r="L6" s="1166" t="s">
        <v>3584</v>
      </c>
      <c r="M6" s="1167">
        <f>SUMPRODUCT((区片价!B127:B189=I2)*(区片价!C3:G3=E2)*(区片价!C127:G189))</f>
        <v>0</v>
      </c>
      <c r="N6" s="1164">
        <f>SUMPRODUCT((因素修正幅度!B127:B189=I2)*(因素修正幅度!C3:G3=E2)*(因素修正幅度!C127:G189))</f>
        <v>0</v>
      </c>
      <c r="O6" s="952"/>
      <c r="P6" s="952"/>
      <c r="Q6" s="952"/>
      <c r="R6" s="1255">
        <v>5</v>
      </c>
      <c r="S6" s="1257">
        <f>ROUND(SUMPRODUCT((B106:B110=R6)*(C105:N105=G2)*(C106:N110)),4)</f>
        <v>0.84799999999999998</v>
      </c>
      <c r="T6" s="1257" t="e">
        <f t="shared" si="0"/>
        <v>#DIV/0!</v>
      </c>
      <c r="U6" s="1258"/>
      <c r="V6" s="1257" t="e">
        <f t="shared" si="1"/>
        <v>#DIV/0!</v>
      </c>
      <c r="W6" s="1256"/>
      <c r="X6" s="1256"/>
      <c r="Y6" s="1256"/>
      <c r="Z6" s="1256"/>
      <c r="AA6" s="1256"/>
      <c r="AB6" s="1256"/>
      <c r="AC6" s="1269"/>
      <c r="AD6" s="1270"/>
      <c r="AE6" s="1270"/>
      <c r="AF6" s="1270"/>
      <c r="AG6" s="1270"/>
      <c r="AH6" s="1270"/>
      <c r="AI6" s="1270"/>
      <c r="AJ6" s="1278"/>
    </row>
    <row r="7" spans="1:36" ht="24">
      <c r="A7" s="980" t="s">
        <v>3585</v>
      </c>
      <c r="B7" s="981" t="s">
        <v>3586</v>
      </c>
      <c r="C7" s="982">
        <f>IF(C8="不临65条商业街",1,ROUND(1+(1.6*E8+1.2*E9+0.8*E10+0.4*E11)*C9,4))</f>
        <v>1</v>
      </c>
      <c r="D7" s="983" t="s">
        <v>3587</v>
      </c>
      <c r="E7" s="984"/>
      <c r="F7" s="985"/>
      <c r="G7" s="986"/>
      <c r="H7" s="986"/>
      <c r="I7" s="986"/>
      <c r="J7" s="1172"/>
      <c r="K7" s="667"/>
      <c r="L7" s="1166" t="s">
        <v>3588</v>
      </c>
      <c r="M7" s="1167">
        <f>SUMPRODUCT((区片价!B190:B233=I2)*(区片价!C3:G3=E2)*(区片价!C190:G233))</f>
        <v>0</v>
      </c>
      <c r="N7" s="1164">
        <f>SUMPRODUCT((因素修正幅度!B190:B233=I2)*(因素修正幅度!C3:G3=E2)*(因素修正幅度!C190:G233))</f>
        <v>0</v>
      </c>
      <c r="O7" s="952"/>
      <c r="P7" s="952"/>
      <c r="Q7" s="952"/>
      <c r="R7" s="1255">
        <v>6</v>
      </c>
      <c r="S7" s="1259"/>
      <c r="T7" s="1257" t="e">
        <f t="shared" si="0"/>
        <v>#DIV/0!</v>
      </c>
      <c r="U7" s="1258"/>
      <c r="V7" s="1257" t="e">
        <f t="shared" si="1"/>
        <v>#DIV/0!</v>
      </c>
      <c r="W7" s="1260" t="s">
        <v>3589</v>
      </c>
      <c r="X7" s="1261" t="str">
        <f>G2</f>
        <v>四级</v>
      </c>
      <c r="Y7" s="1261" t="s">
        <v>3590</v>
      </c>
      <c r="Z7" s="1271">
        <f>G3</f>
        <v>2.8</v>
      </c>
      <c r="AA7" s="1256"/>
      <c r="AB7" s="1256"/>
      <c r="AC7" s="1267"/>
      <c r="AD7" s="1268"/>
      <c r="AE7" s="1268"/>
      <c r="AF7" s="1268"/>
      <c r="AG7" s="1268"/>
      <c r="AH7" s="1268"/>
      <c r="AI7" s="1268"/>
      <c r="AJ7" s="1277"/>
    </row>
    <row r="8" spans="1:36" ht="26.4">
      <c r="A8" s="987"/>
      <c r="B8" s="967" t="s">
        <v>3591</v>
      </c>
      <c r="C8" s="988" t="s">
        <v>3592</v>
      </c>
      <c r="D8" s="989" t="s">
        <v>3593</v>
      </c>
      <c r="E8" s="990" t="e">
        <f>ROUND(C11/E7,4)</f>
        <v>#DIV/0!</v>
      </c>
      <c r="F8" s="991" t="s">
        <v>3594</v>
      </c>
      <c r="G8" s="992"/>
      <c r="H8" s="992"/>
      <c r="I8" s="992"/>
      <c r="J8" s="1173"/>
      <c r="K8" s="952"/>
      <c r="L8" s="1166" t="s">
        <v>3595</v>
      </c>
      <c r="M8" s="1167">
        <f>SUMPRODUCT((区片价!B234:B276=I2)*(区片价!C3:G3=E2)*(区片价!C234:G276))</f>
        <v>0</v>
      </c>
      <c r="N8" s="1164">
        <f>SUMPRODUCT((因素修正幅度!B234:B276=I2)*(因素修正幅度!C3:G3=E2)*(因素修正幅度!C234:G276))</f>
        <v>0</v>
      </c>
      <c r="O8" s="952"/>
      <c r="P8" s="952"/>
      <c r="Q8" s="952"/>
      <c r="R8" s="1255">
        <v>7</v>
      </c>
      <c r="S8" s="1258"/>
      <c r="T8" s="1257" t="e">
        <f t="shared" si="0"/>
        <v>#DIV/0!</v>
      </c>
      <c r="U8" s="1258"/>
      <c r="V8" s="1257" t="e">
        <f t="shared" si="1"/>
        <v>#DIV/0!</v>
      </c>
      <c r="W8" s="3760" t="s">
        <v>3596</v>
      </c>
      <c r="X8" s="3761"/>
      <c r="Y8" s="1272" t="s">
        <v>3597</v>
      </c>
      <c r="Z8" s="1272" t="s">
        <v>3598</v>
      </c>
      <c r="AA8" s="1272" t="s">
        <v>3599</v>
      </c>
      <c r="AB8" s="1272" t="s">
        <v>3600</v>
      </c>
      <c r="AC8" s="1272" t="s">
        <v>3601</v>
      </c>
      <c r="AD8" s="1272" t="s">
        <v>3602</v>
      </c>
      <c r="AE8" s="1272" t="s">
        <v>3603</v>
      </c>
      <c r="AF8" s="1272" t="s">
        <v>3604</v>
      </c>
      <c r="AG8" s="1272" t="s">
        <v>3605</v>
      </c>
      <c r="AH8" s="1272" t="s">
        <v>3606</v>
      </c>
      <c r="AI8" s="1272" t="s">
        <v>3607</v>
      </c>
      <c r="AJ8" s="1272" t="s">
        <v>3608</v>
      </c>
    </row>
    <row r="9" spans="1:36" ht="15">
      <c r="A9" s="987"/>
      <c r="B9" s="967" t="s">
        <v>3609</v>
      </c>
      <c r="C9" s="993">
        <f>SUMIF(修正!C71:C138,C8,修正!E71:E138)</f>
        <v>0</v>
      </c>
      <c r="D9" s="994" t="s">
        <v>3610</v>
      </c>
      <c r="E9" s="994" t="e">
        <f>ROUND(C11/E7,4)</f>
        <v>#DIV/0!</v>
      </c>
      <c r="F9" s="991" t="s">
        <v>3611</v>
      </c>
      <c r="G9" s="992"/>
      <c r="H9" s="992"/>
      <c r="I9" s="992"/>
      <c r="J9" s="1173"/>
      <c r="K9" s="952"/>
      <c r="L9" s="1166" t="s">
        <v>3612</v>
      </c>
      <c r="M9" s="1167">
        <f>SUMPRODUCT((区片价!B277:B326=I2)*(区片价!C3:G3=E2)*(区片价!C277:G326))</f>
        <v>0</v>
      </c>
      <c r="N9" s="1164">
        <f>SUMPRODUCT((因素修正幅度!B277:B326=I2)*(因素修正幅度!C3:G3=E2)*(因素修正幅度!C277:G326))</f>
        <v>0</v>
      </c>
      <c r="O9" s="952"/>
      <c r="P9" s="952"/>
      <c r="Q9" s="952"/>
      <c r="R9" s="1255">
        <v>8</v>
      </c>
      <c r="S9" s="1258"/>
      <c r="T9" s="1257" t="e">
        <f t="shared" si="0"/>
        <v>#DIV/0!</v>
      </c>
      <c r="U9" s="1258"/>
      <c r="V9" s="1257" t="e">
        <f t="shared" si="1"/>
        <v>#DIV/0!</v>
      </c>
      <c r="W9" s="3774"/>
      <c r="X9" s="1262" t="s">
        <v>3613</v>
      </c>
      <c r="Y9" s="1273">
        <v>6</v>
      </c>
      <c r="Z9" s="1274">
        <f>$Y$9</f>
        <v>6</v>
      </c>
      <c r="AA9" s="1274">
        <f t="shared" ref="AA9:AJ9" si="2">$Y$9</f>
        <v>6</v>
      </c>
      <c r="AB9" s="1274">
        <f t="shared" si="2"/>
        <v>6</v>
      </c>
      <c r="AC9" s="1274">
        <f t="shared" si="2"/>
        <v>6</v>
      </c>
      <c r="AD9" s="1274">
        <f t="shared" si="2"/>
        <v>6</v>
      </c>
      <c r="AE9" s="1274">
        <f t="shared" si="2"/>
        <v>6</v>
      </c>
      <c r="AF9" s="1274">
        <f t="shared" si="2"/>
        <v>6</v>
      </c>
      <c r="AG9" s="1274">
        <f t="shared" si="2"/>
        <v>6</v>
      </c>
      <c r="AH9" s="1274">
        <f t="shared" si="2"/>
        <v>6</v>
      </c>
      <c r="AI9" s="1274">
        <f t="shared" si="2"/>
        <v>6</v>
      </c>
      <c r="AJ9" s="1274">
        <f t="shared" si="2"/>
        <v>6</v>
      </c>
    </row>
    <row r="10" spans="1:36" ht="15">
      <c r="A10" s="987"/>
      <c r="B10" s="967" t="s">
        <v>3614</v>
      </c>
      <c r="C10" s="994">
        <f>SUMIF(修正!C71:C138,C8,修正!F71:F138)</f>
        <v>0</v>
      </c>
      <c r="D10" s="994" t="s">
        <v>3615</v>
      </c>
      <c r="E10" s="994" t="e">
        <f>ROUND(C11/E7,4)</f>
        <v>#DIV/0!</v>
      </c>
      <c r="F10" s="991" t="s">
        <v>3616</v>
      </c>
      <c r="G10" s="992"/>
      <c r="H10" s="992"/>
      <c r="I10" s="992"/>
      <c r="J10" s="1173"/>
      <c r="K10" s="952"/>
      <c r="L10" s="1166" t="s">
        <v>3617</v>
      </c>
      <c r="M10" s="1167">
        <f>SUMPRODUCT((区片价!B327:B357=I2)*(区片价!C3:G3=E2)*(区片价!C327:G357))</f>
        <v>0</v>
      </c>
      <c r="N10" s="1164">
        <f>SUMPRODUCT((因素修正幅度!B327:B357=I2)*(因素修正幅度!C3:G3=E2)*(因素修正幅度!C327:G357))</f>
        <v>0</v>
      </c>
      <c r="O10" s="952"/>
      <c r="P10" s="952"/>
      <c r="Q10" s="952"/>
      <c r="R10" s="1255">
        <v>9</v>
      </c>
      <c r="S10" s="1258"/>
      <c r="T10" s="1257" t="e">
        <f t="shared" si="0"/>
        <v>#DIV/0!</v>
      </c>
      <c r="U10" s="1258"/>
      <c r="V10" s="1257" t="e">
        <f t="shared" si="1"/>
        <v>#DIV/0!</v>
      </c>
      <c r="W10" s="3774"/>
      <c r="X10" s="1262">
        <v>6</v>
      </c>
      <c r="Y10" s="1275">
        <f>ROUND((-0.5556*(Y9^2)-0.2719*Y9+8944)*(10^(-4)),4)</f>
        <v>0.89219999999999999</v>
      </c>
      <c r="Z10" s="1275">
        <f>ROUND((-0.5556*(Z9^2)-0.2719*Z9+8944)*(10^(-4)),4)</f>
        <v>0.89219999999999999</v>
      </c>
      <c r="AA10" s="1275">
        <f>ROUND((-0.7912*(AA9^2)-11.3794*AA9+8482)*(10^(-4)),4)</f>
        <v>0.83850000000000002</v>
      </c>
      <c r="AB10" s="1275">
        <f>ROUND((-0.7912*(AB9^2)-11.3794*AB9+8482)*(10^(-4)),4)</f>
        <v>0.83850000000000002</v>
      </c>
      <c r="AC10" s="1275">
        <f>ROUND((-0.7912*(AC9^2)-11.3794*AC9+8482)*(10^(-4)),4)</f>
        <v>0.83850000000000002</v>
      </c>
      <c r="AD10" s="1275">
        <f>ROUND((-0.7912*(AD9^2)-11.3794*AD9+8482)*(10^(-4)),4)</f>
        <v>0.83850000000000002</v>
      </c>
      <c r="AE10" s="1275">
        <f>ROUND((-0.7912*(AE9^2)-11.3794*AE9+8482)*(10^(-4)),4)</f>
        <v>0.83850000000000002</v>
      </c>
      <c r="AF10" s="1275">
        <f>ROUND((-0.989*(AF9^2)-63.78*AF9+7771)*(10^(-4)),4)</f>
        <v>0.73529999999999995</v>
      </c>
      <c r="AG10" s="1275">
        <f>ROUND((-0.989*(AG9^2)-63.78*AG9+7771)*(10^(-4)),4)</f>
        <v>0.73529999999999995</v>
      </c>
      <c r="AH10" s="1275">
        <f>ROUND((-0.989*(AH9^2)-63.78*AH9+7771)*(10^(-4)),4)</f>
        <v>0.73529999999999995</v>
      </c>
      <c r="AI10" s="1275">
        <f>ROUND((-0.989*(AI9^2)-63.78*AI9+7771)*(10^(-4)),4)</f>
        <v>0.73529999999999995</v>
      </c>
      <c r="AJ10" s="1275">
        <f>ROUND((-0.989*(AJ9^2)-63.78*AJ9+7771)*(10^(-4)),4)</f>
        <v>0.73529999999999995</v>
      </c>
    </row>
    <row r="11" spans="1:36" ht="15">
      <c r="A11" s="995"/>
      <c r="B11" s="996" t="s">
        <v>3618</v>
      </c>
      <c r="C11" s="997">
        <f>C10/4</f>
        <v>0</v>
      </c>
      <c r="D11" s="997" t="s">
        <v>3619</v>
      </c>
      <c r="E11" s="997" t="e">
        <f>ROUND(C11/E7,4)</f>
        <v>#DIV/0!</v>
      </c>
      <c r="F11" s="998" t="s">
        <v>3620</v>
      </c>
      <c r="G11" s="999"/>
      <c r="H11" s="999"/>
      <c r="I11" s="999"/>
      <c r="J11" s="1174"/>
      <c r="K11" s="952"/>
      <c r="L11" s="1166" t="s">
        <v>3621</v>
      </c>
      <c r="M11" s="1167">
        <f>SUMPRODUCT((区片价!B358:B377=I2)*(区片价!C3:G3=E2)*(区片价!C358:G377))</f>
        <v>0</v>
      </c>
      <c r="N11" s="1164">
        <f>SUMPRODUCT((因素修正幅度!B358:B377=I2)*(因素修正幅度!C3:G3=E2)*(因素修正幅度!C358:G377))</f>
        <v>0</v>
      </c>
      <c r="O11" s="952"/>
      <c r="P11" s="952"/>
      <c r="Q11" s="952"/>
      <c r="R11" s="1255">
        <v>10</v>
      </c>
      <c r="S11" s="1258"/>
      <c r="T11" s="1257" t="e">
        <f t="shared" si="0"/>
        <v>#DIV/0!</v>
      </c>
      <c r="U11" s="1258"/>
      <c r="V11" s="1257" t="e">
        <f t="shared" si="1"/>
        <v>#DIV/0!</v>
      </c>
      <c r="W11" s="1256"/>
      <c r="X11" s="1256"/>
      <c r="Y11" s="1256"/>
      <c r="Z11" s="1256"/>
      <c r="AA11" s="1256"/>
      <c r="AB11" s="1256"/>
      <c r="AC11" s="1267"/>
      <c r="AD11" s="1276"/>
      <c r="AE11" s="1276"/>
      <c r="AF11" s="1276"/>
      <c r="AG11" s="1276"/>
      <c r="AH11" s="1276"/>
      <c r="AI11" s="1276"/>
      <c r="AJ11" s="1279"/>
    </row>
    <row r="12" spans="1:36" ht="25.2">
      <c r="A12" s="980" t="s">
        <v>3622</v>
      </c>
      <c r="B12" s="1000" t="s">
        <v>3623</v>
      </c>
      <c r="C12" s="1001"/>
      <c r="D12" s="1002" t="s">
        <v>3624</v>
      </c>
      <c r="E12" s="1003" t="s">
        <v>3625</v>
      </c>
      <c r="F12" s="1004"/>
      <c r="G12" s="1005"/>
      <c r="H12" s="1005"/>
      <c r="I12" s="1005"/>
      <c r="J12" s="1175"/>
      <c r="K12" s="952"/>
      <c r="L12" s="1176" t="s">
        <v>3626</v>
      </c>
      <c r="M12" s="1177">
        <f>SUMPRODUCT((区片价!B378:B384=I2)*(区片价!C3:G3=E2)*(区片价!C378:G384))</f>
        <v>0</v>
      </c>
      <c r="N12" s="1164">
        <f>SUMPRODUCT((因素修正幅度!B378:B384=I2)*(因素修正幅度!C3:G3=E2)*(因素修正幅度!C378:G384))</f>
        <v>0</v>
      </c>
      <c r="O12" s="952"/>
      <c r="P12" s="952"/>
      <c r="Q12" s="952"/>
      <c r="R12" s="1255">
        <v>11</v>
      </c>
      <c r="S12" s="1258"/>
      <c r="T12" s="1257" t="e">
        <f t="shared" si="0"/>
        <v>#DIV/0!</v>
      </c>
      <c r="U12" s="1258"/>
      <c r="V12" s="1257" t="e">
        <f t="shared" si="1"/>
        <v>#DIV/0!</v>
      </c>
      <c r="W12" s="1256"/>
      <c r="X12" s="1256"/>
      <c r="Y12" s="1256"/>
      <c r="Z12" s="1256"/>
      <c r="AA12" s="1256"/>
      <c r="AB12" s="1256"/>
      <c r="AC12" s="1267"/>
      <c r="AD12" s="1276"/>
      <c r="AE12" s="1276"/>
      <c r="AF12" s="1276"/>
      <c r="AG12" s="1276"/>
      <c r="AH12" s="1276"/>
      <c r="AI12" s="1276"/>
      <c r="AJ12" s="1279"/>
    </row>
    <row r="13" spans="1:36" ht="24">
      <c r="A13" s="980" t="s">
        <v>3627</v>
      </c>
      <c r="B13" s="1006" t="s">
        <v>3628</v>
      </c>
      <c r="C13" s="982">
        <f>ROUND(C16*D16*E16*F16*G16*H16*I16*J16,4)</f>
        <v>1</v>
      </c>
      <c r="D13" s="1007" t="s">
        <v>3629</v>
      </c>
      <c r="E13" s="1008"/>
      <c r="F13" s="1008"/>
      <c r="G13" s="1009"/>
      <c r="H13" s="1009"/>
      <c r="I13" s="1009"/>
      <c r="J13" s="1178"/>
      <c r="K13" s="952"/>
      <c r="L13" s="1179"/>
      <c r="M13" s="1180"/>
      <c r="N13" s="1181"/>
      <c r="O13" s="952"/>
      <c r="P13" s="952"/>
      <c r="Q13" s="952"/>
      <c r="R13" s="1255">
        <v>12</v>
      </c>
      <c r="S13" s="1258"/>
      <c r="T13" s="1257" t="e">
        <f t="shared" si="0"/>
        <v>#DIV/0!</v>
      </c>
      <c r="U13" s="1258"/>
      <c r="V13" s="1257" t="e">
        <f t="shared" si="1"/>
        <v>#DIV/0!</v>
      </c>
      <c r="W13" s="1256"/>
      <c r="X13" s="1256"/>
      <c r="Y13" s="1256"/>
      <c r="Z13" s="1256"/>
      <c r="AA13" s="1256"/>
      <c r="AB13" s="1256"/>
      <c r="AC13" s="1267"/>
      <c r="AD13" s="1276"/>
      <c r="AE13" s="1276"/>
      <c r="AF13" s="1276"/>
      <c r="AG13" s="1276"/>
      <c r="AH13" s="1276"/>
      <c r="AI13" s="1276"/>
      <c r="AJ13" s="1279"/>
    </row>
    <row r="14" spans="1:36" ht="24">
      <c r="A14" s="1010"/>
      <c r="B14" s="1011" t="s">
        <v>3630</v>
      </c>
      <c r="C14" s="1012" t="s">
        <v>3631</v>
      </c>
      <c r="D14" s="1013" t="s">
        <v>3632</v>
      </c>
      <c r="E14" s="1014" t="s">
        <v>3633</v>
      </c>
      <c r="F14" s="1015" t="s">
        <v>3634</v>
      </c>
      <c r="G14" s="1015" t="s">
        <v>3634</v>
      </c>
      <c r="H14" s="1015" t="s">
        <v>3634</v>
      </c>
      <c r="I14" s="1015" t="s">
        <v>3634</v>
      </c>
      <c r="J14" s="1015" t="s">
        <v>3634</v>
      </c>
      <c r="K14" s="952"/>
      <c r="L14" s="952"/>
      <c r="M14" s="952"/>
      <c r="N14" s="952"/>
      <c r="O14" s="952"/>
      <c r="P14" s="952"/>
      <c r="Q14" s="952"/>
      <c r="R14" s="1255">
        <v>13</v>
      </c>
      <c r="S14" s="1258"/>
      <c r="T14" s="1257" t="e">
        <f t="shared" si="0"/>
        <v>#DIV/0!</v>
      </c>
      <c r="U14" s="1258"/>
      <c r="V14" s="1257" t="e">
        <f t="shared" si="1"/>
        <v>#DIV/0!</v>
      </c>
      <c r="W14" s="1256"/>
      <c r="X14" s="1256"/>
      <c r="Y14" s="1256"/>
      <c r="Z14" s="1256"/>
      <c r="AA14" s="1256"/>
      <c r="AB14" s="1256"/>
      <c r="AC14" s="1267"/>
      <c r="AD14" s="1276"/>
      <c r="AE14" s="1276"/>
      <c r="AF14" s="1276"/>
      <c r="AG14" s="1276"/>
      <c r="AH14" s="1276"/>
      <c r="AI14" s="1276"/>
      <c r="AJ14" s="1279"/>
    </row>
    <row r="15" spans="1:36" ht="15">
      <c r="A15" s="1010"/>
      <c r="B15" s="1016"/>
      <c r="C15" s="1017"/>
      <c r="D15" s="1018"/>
      <c r="E15" s="1019"/>
      <c r="F15" s="1020" t="s">
        <v>3635</v>
      </c>
      <c r="G15" s="1021"/>
      <c r="H15" s="1022"/>
      <c r="I15" s="1182"/>
      <c r="J15" s="1183"/>
      <c r="K15" s="952"/>
      <c r="L15" s="952"/>
      <c r="M15" s="952"/>
      <c r="N15" s="952"/>
      <c r="O15" s="952"/>
      <c r="P15" s="952"/>
      <c r="Q15" s="952"/>
      <c r="R15" s="1255">
        <v>14</v>
      </c>
      <c r="S15" s="1258"/>
      <c r="T15" s="1257" t="e">
        <f t="shared" si="0"/>
        <v>#DIV/0!</v>
      </c>
      <c r="U15" s="1258"/>
      <c r="V15" s="1257" t="e">
        <f t="shared" si="1"/>
        <v>#DIV/0!</v>
      </c>
      <c r="W15" s="1256"/>
      <c r="X15" s="1256"/>
      <c r="Y15" s="1256"/>
      <c r="Z15" s="1256"/>
      <c r="AA15" s="1256"/>
      <c r="AB15" s="1256"/>
      <c r="AC15" s="1267"/>
      <c r="AD15" s="1276"/>
      <c r="AE15" s="1276"/>
      <c r="AF15" s="1276"/>
      <c r="AG15" s="1276"/>
      <c r="AH15" s="1276"/>
      <c r="AI15" s="1276"/>
      <c r="AJ15" s="1279"/>
    </row>
    <row r="16" spans="1:36" ht="15">
      <c r="A16" s="1010"/>
      <c r="B16" s="1023" t="s">
        <v>2957</v>
      </c>
      <c r="C16" s="1024">
        <v>1</v>
      </c>
      <c r="D16" s="1024">
        <v>1</v>
      </c>
      <c r="E16" s="1024">
        <v>1</v>
      </c>
      <c r="F16" s="1024">
        <v>1</v>
      </c>
      <c r="G16" s="1024">
        <v>1</v>
      </c>
      <c r="H16" s="1024">
        <v>1</v>
      </c>
      <c r="I16" s="1024">
        <v>1</v>
      </c>
      <c r="J16" s="1184">
        <v>1</v>
      </c>
      <c r="K16" s="952"/>
      <c r="L16" s="953"/>
      <c r="M16" s="953"/>
      <c r="N16" s="953"/>
      <c r="O16" s="953"/>
      <c r="P16" s="953"/>
      <c r="Q16" s="952"/>
      <c r="R16" s="1255">
        <v>15</v>
      </c>
      <c r="S16" s="1258"/>
      <c r="T16" s="1257" t="e">
        <f t="shared" si="0"/>
        <v>#DIV/0!</v>
      </c>
      <c r="U16" s="1258"/>
      <c r="V16" s="1257" t="e">
        <f t="shared" si="1"/>
        <v>#DIV/0!</v>
      </c>
      <c r="W16" s="1256"/>
      <c r="X16" s="1256"/>
      <c r="Y16" s="1256"/>
      <c r="Z16" s="1256"/>
      <c r="AA16" s="1256"/>
      <c r="AB16" s="1256"/>
      <c r="AC16" s="1267"/>
      <c r="AD16" s="1276"/>
      <c r="AE16" s="1276"/>
      <c r="AF16" s="1276"/>
      <c r="AG16" s="1276"/>
      <c r="AH16" s="1276"/>
      <c r="AI16" s="1276"/>
      <c r="AJ16" s="1279"/>
    </row>
    <row r="17" spans="1:37" ht="24">
      <c r="A17" s="1025" t="s">
        <v>3636</v>
      </c>
      <c r="B17" s="1026" t="s">
        <v>3637</v>
      </c>
      <c r="C17" s="1027">
        <f>ROUND(IF(OR(E2="工业",E2="公共服务"),1,IF(AND(E18=0,E19=0),1,IF(AND(E18=J24,E19=G19),0.8,IF(E19=0,1+E17*(-0.2),1+E17*G17*(-0.2))))),4)</f>
        <v>1</v>
      </c>
      <c r="D17" s="1028" t="s">
        <v>3638</v>
      </c>
      <c r="E17" s="1027">
        <f>ROUND(G18/I18,2)</f>
        <v>0</v>
      </c>
      <c r="F17" s="1028" t="s">
        <v>3639</v>
      </c>
      <c r="G17" s="1027" t="e">
        <f>ROUND(E19/G19,2)</f>
        <v>#DIV/0!</v>
      </c>
      <c r="H17" s="1027"/>
      <c r="I17" s="1027"/>
      <c r="J17" s="1185"/>
      <c r="K17" s="952"/>
      <c r="L17" s="953"/>
      <c r="M17" s="953"/>
      <c r="N17" s="953"/>
      <c r="O17" s="953"/>
      <c r="P17" s="953"/>
      <c r="Q17" s="952"/>
      <c r="R17" s="952"/>
      <c r="S17" s="952"/>
      <c r="T17" s="952"/>
      <c r="U17" s="952"/>
      <c r="V17" s="952"/>
      <c r="W17" s="952"/>
      <c r="X17" s="952"/>
      <c r="Y17" s="952"/>
      <c r="Z17" s="1127"/>
      <c r="AA17" s="1127"/>
      <c r="AB17" s="1127"/>
      <c r="AC17" s="1127"/>
      <c r="AD17" s="1127"/>
      <c r="AE17" s="952"/>
      <c r="AF17" s="952"/>
      <c r="AG17" s="953"/>
      <c r="AH17" s="953"/>
      <c r="AI17" s="953"/>
      <c r="AJ17" s="953"/>
    </row>
    <row r="18" spans="1:37" s="951" customFormat="1" ht="13.8">
      <c r="A18" s="1029"/>
      <c r="B18" s="1030"/>
      <c r="C18" s="1031"/>
      <c r="D18" s="1032" t="s">
        <v>3640</v>
      </c>
      <c r="E18" s="1033"/>
      <c r="F18" s="1034" t="s">
        <v>3641</v>
      </c>
      <c r="G18" s="1031">
        <f>ROUND(1-(1/(POWER(1+G24,E18))),4)</f>
        <v>0</v>
      </c>
      <c r="H18" s="1034" t="s">
        <v>3642</v>
      </c>
      <c r="I18" s="1031">
        <f>ROUND(1-(1/(POWER(1+G24,J24))),4)</f>
        <v>0.96709999999999996</v>
      </c>
      <c r="J18" s="1186"/>
      <c r="K18" s="952"/>
      <c r="L18" s="953"/>
      <c r="M18" s="953"/>
      <c r="N18" s="953"/>
      <c r="O18" s="953"/>
      <c r="P18" s="953"/>
      <c r="Q18" s="952"/>
      <c r="R18" s="1263"/>
      <c r="S18" s="1263"/>
      <c r="T18" s="1127"/>
      <c r="U18" s="1127"/>
      <c r="V18" s="1127"/>
      <c r="W18" s="952"/>
      <c r="X18" s="952"/>
      <c r="Y18" s="952"/>
      <c r="Z18" s="1194"/>
      <c r="AA18" s="1194"/>
      <c r="AB18" s="1194"/>
      <c r="AC18" s="1194"/>
      <c r="AD18" s="1194"/>
      <c r="AE18" s="1127"/>
      <c r="AF18" s="1127"/>
      <c r="AG18" s="1280"/>
      <c r="AH18" s="1280"/>
      <c r="AI18" s="1280"/>
      <c r="AJ18" s="1195"/>
    </row>
    <row r="19" spans="1:37" s="951" customFormat="1" ht="13.8">
      <c r="A19" s="1035"/>
      <c r="B19" s="1036"/>
      <c r="C19" s="1037"/>
      <c r="D19" s="1037" t="s">
        <v>3643</v>
      </c>
      <c r="E19" s="1038"/>
      <c r="F19" s="1039" t="s">
        <v>3644</v>
      </c>
      <c r="G19" s="1038"/>
      <c r="H19" s="1037"/>
      <c r="I19" s="1037"/>
      <c r="J19" s="1187"/>
      <c r="K19" s="952"/>
      <c r="L19" s="953"/>
      <c r="M19" s="953"/>
      <c r="N19" s="953"/>
      <c r="O19" s="953"/>
      <c r="P19" s="953"/>
      <c r="Q19" s="1263"/>
      <c r="R19" s="1263"/>
      <c r="S19" s="1263"/>
      <c r="T19" s="1127"/>
      <c r="U19" s="1127"/>
      <c r="V19" s="1127"/>
      <c r="W19" s="952"/>
      <c r="X19" s="952"/>
      <c r="Y19" s="952"/>
      <c r="Z19" s="1194"/>
      <c r="AA19" s="1194"/>
      <c r="AB19" s="1194"/>
      <c r="AC19" s="1194"/>
      <c r="AD19" s="1194"/>
      <c r="AE19" s="1194"/>
      <c r="AF19" s="1263"/>
      <c r="AG19" s="1281"/>
      <c r="AH19" s="1280"/>
      <c r="AI19" s="1282"/>
      <c r="AJ19" s="1282"/>
      <c r="AK19" s="1283"/>
    </row>
    <row r="20" spans="1:37" s="951" customFormat="1" ht="13.8">
      <c r="A20" s="3766" t="s">
        <v>3645</v>
      </c>
      <c r="B20" s="1040" t="s">
        <v>3646</v>
      </c>
      <c r="C20" s="1041">
        <f>ROUND(IF(F21="与级别开发程度一致",0,(G21-E21)/C21),0)</f>
        <v>0</v>
      </c>
      <c r="D20" s="1042" t="s">
        <v>3647</v>
      </c>
      <c r="E20" s="1043"/>
      <c r="F20" s="3762" t="s">
        <v>3648</v>
      </c>
      <c r="G20" s="3763"/>
      <c r="H20" s="1044"/>
      <c r="I20" s="1044"/>
      <c r="J20" s="1188"/>
      <c r="K20" s="1189"/>
      <c r="L20" s="1189"/>
      <c r="M20" s="1189"/>
      <c r="N20" s="1189"/>
      <c r="O20" s="1190"/>
      <c r="P20" s="953"/>
      <c r="Q20" s="1263"/>
      <c r="R20" s="1263"/>
      <c r="S20" s="1263"/>
      <c r="T20" s="1127"/>
      <c r="U20" s="1127"/>
      <c r="V20" s="1127"/>
      <c r="W20" s="952"/>
      <c r="X20" s="952"/>
      <c r="Y20" s="952"/>
      <c r="Z20" s="1194"/>
      <c r="AA20" s="1194"/>
      <c r="AB20" s="1194"/>
      <c r="AC20" s="1194"/>
      <c r="AD20" s="1194"/>
      <c r="AE20" s="1194"/>
      <c r="AF20" s="1194"/>
      <c r="AG20" s="1195"/>
      <c r="AH20" s="1195"/>
      <c r="AI20" s="1195"/>
      <c r="AJ20" s="1195"/>
    </row>
    <row r="21" spans="1:37" s="951" customFormat="1" ht="26.4">
      <c r="A21" s="3767"/>
      <c r="B21" s="1045" t="s">
        <v>3649</v>
      </c>
      <c r="C21" s="1046">
        <f>IF(E3="M4科研用地",SUMPRODUCT((修正!A2:A7=E3)*(修正!B1:M1=G2)*(修正!B2:M7)),SUMPRODUCT((修正!A2:A7=E2)*(修正!B1:M1=G2)*(修正!B2:M7)))</f>
        <v>2.5</v>
      </c>
      <c r="D21" s="1047" t="str">
        <f>IF(OR(G2="八级",G2="九级",G2="十级",G2="十一级",G2="十二级"),"五通一平","七通一平")</f>
        <v>七通一平</v>
      </c>
      <c r="E21" s="1048">
        <f>SUMPRODUCT((修正!B1:M1=G2)*(修正!B17:M17))</f>
        <v>315</v>
      </c>
      <c r="F21" s="1049" t="s">
        <v>3650</v>
      </c>
      <c r="G21" s="1050">
        <f>SUM(H21:O21)</f>
        <v>0</v>
      </c>
      <c r="H21" s="1046">
        <f>SUMPRODUCT((七通一平=H20)*(修正!B1:M1=G2)*(修正!B8:M16))</f>
        <v>0</v>
      </c>
      <c r="I21" s="1046">
        <f>SUMPRODUCT((七通一平=I20)*(修正!B1:M1=G2)*(修正!B8:M16))</f>
        <v>0</v>
      </c>
      <c r="J21" s="1191">
        <f>SUMPRODUCT((七通一平=J20)*(修正!B1:M1=G2)*(修正!B8:M16))</f>
        <v>0</v>
      </c>
      <c r="K21" s="1046">
        <f>SUMPRODUCT((七通一平=K20)*(修正!B1:M1=G2)*(修正!B8:M16))</f>
        <v>0</v>
      </c>
      <c r="L21" s="1046">
        <f>SUMPRODUCT((七通一平=L20)*(修正!B1:M1=G2)*(修正!B8:M16))</f>
        <v>0</v>
      </c>
      <c r="M21" s="1046">
        <f>SUMPRODUCT((七通一平=M20)*(修正!B1:M1=G2)*(修正!B8:M16))</f>
        <v>0</v>
      </c>
      <c r="N21" s="1046">
        <f>SUMPRODUCT((七通一平=N20)*(修正!B1:M1=G2)*(修正!B8:M16))</f>
        <v>0</v>
      </c>
      <c r="O21" s="1192">
        <f>SUMPRODUCT((七通一平=O20)*(修正!B1:M1=G2)*(修正!B8:M16))</f>
        <v>0</v>
      </c>
      <c r="P21" s="953"/>
      <c r="Q21" s="1195"/>
      <c r="R21" s="1263"/>
      <c r="S21" s="1263"/>
      <c r="T21" s="1127"/>
      <c r="U21" s="1127"/>
      <c r="V21" s="1127"/>
      <c r="W21" s="952"/>
      <c r="X21" s="952"/>
      <c r="Y21" s="952"/>
      <c r="Z21" s="1194"/>
      <c r="AA21" s="1194"/>
      <c r="AB21" s="1194"/>
      <c r="AC21" s="1194"/>
      <c r="AD21" s="1194"/>
      <c r="AE21" s="1194"/>
      <c r="AF21" s="1194"/>
      <c r="AG21" s="1195"/>
      <c r="AH21" s="1195"/>
      <c r="AI21" s="1195"/>
      <c r="AJ21" s="1195"/>
    </row>
    <row r="22" spans="1:37" s="951" customFormat="1" ht="14.4">
      <c r="A22" s="1051" t="s">
        <v>2777</v>
      </c>
      <c r="B22" s="1052" t="s">
        <v>3651</v>
      </c>
      <c r="C22" s="1053">
        <f>SUMIF(修正!C20:C51,E3,修正!E20:E51)</f>
        <v>1</v>
      </c>
      <c r="D22" s="1054"/>
      <c r="E22" s="1055"/>
      <c r="F22" s="1055"/>
      <c r="G22" s="1055"/>
      <c r="H22" s="1055"/>
      <c r="I22" s="1055"/>
      <c r="J22" s="1193"/>
      <c r="K22" s="1194"/>
      <c r="L22" s="1195"/>
      <c r="M22" s="1195"/>
      <c r="N22" s="1195"/>
      <c r="O22" s="1196"/>
      <c r="P22" s="1196"/>
      <c r="Q22" s="1195"/>
      <c r="R22" s="1263"/>
      <c r="S22" s="1263"/>
      <c r="T22" s="1127"/>
      <c r="U22" s="1127"/>
      <c r="V22" s="1127"/>
      <c r="W22" s="952"/>
      <c r="X22" s="952"/>
      <c r="Y22" s="952"/>
      <c r="Z22" s="1194"/>
      <c r="AA22" s="1194"/>
      <c r="AB22" s="1194"/>
      <c r="AC22" s="1194"/>
      <c r="AD22" s="1194"/>
      <c r="AE22" s="1194"/>
      <c r="AF22" s="1194"/>
      <c r="AG22" s="1195"/>
      <c r="AH22" s="1195"/>
      <c r="AI22" s="1195"/>
      <c r="AJ22" s="1195"/>
    </row>
    <row r="23" spans="1:37" ht="26.4">
      <c r="A23" s="1056" t="s">
        <v>2782</v>
      </c>
      <c r="B23" s="1057" t="s">
        <v>3652</v>
      </c>
      <c r="C23" s="10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1.0841000000000001</v>
      </c>
      <c r="D23" s="1059" t="s">
        <v>3653</v>
      </c>
      <c r="E23" s="1060">
        <v>44197</v>
      </c>
      <c r="F23" s="1059" t="s">
        <v>3654</v>
      </c>
      <c r="G23" s="1061">
        <f>'数据-取费表'!B2</f>
        <v>45311</v>
      </c>
      <c r="H23" s="1062" t="s">
        <v>3655</v>
      </c>
      <c r="I23" s="1197" t="str">
        <f>IF(H23="季度增幅（自定义）",SUMIF(N25:N28,E2,O25:O28),"")</f>
        <v/>
      </c>
      <c r="J23" s="1198" t="s">
        <v>3656</v>
      </c>
      <c r="K23" s="1194"/>
      <c r="L23" s="1199" t="s">
        <v>3657</v>
      </c>
      <c r="M23" s="1200">
        <f>ROUND(SUMIF(地价!B2:G2,E2,地价!B16:G16),0)</f>
        <v>687</v>
      </c>
      <c r="N23" s="1201" t="s">
        <v>3658</v>
      </c>
      <c r="O23" s="1202">
        <f>ROUNDDOWN(DATEDIF(E23,G23,"M")/3,0)</f>
        <v>12</v>
      </c>
      <c r="P23" s="1203"/>
      <c r="Q23" s="1195"/>
      <c r="R23" s="1263"/>
      <c r="S23" s="1263"/>
      <c r="T23" s="1127"/>
      <c r="U23" s="1127"/>
      <c r="V23" s="1127"/>
      <c r="W23" s="952"/>
      <c r="X23" s="952"/>
      <c r="Y23" s="952"/>
      <c r="Z23" s="1194"/>
      <c r="AA23" s="1194"/>
      <c r="AB23" s="1194"/>
      <c r="AC23" s="1194"/>
      <c r="AD23" s="1194"/>
      <c r="AE23" s="1127"/>
      <c r="AF23" s="1127"/>
      <c r="AG23" s="1280"/>
      <c r="AH23" s="1280"/>
      <c r="AI23" s="1280"/>
      <c r="AJ23" s="1280"/>
      <c r="AK23" s="954"/>
    </row>
    <row r="24" spans="1:37" s="951" customFormat="1" ht="24">
      <c r="A24" s="1063" t="s">
        <v>2785</v>
      </c>
      <c r="B24" s="1064" t="s">
        <v>3659</v>
      </c>
      <c r="C24" s="1065" t="e">
        <f>ROUND(POWER(1+G24,J24-I24)*(POWER(1+G24,I24)-1)/(POWER(1+G24,J24)-1),4)</f>
        <v>#DIV/0!</v>
      </c>
      <c r="D24" s="1066" t="s">
        <v>3660</v>
      </c>
      <c r="E24" s="1067">
        <f>存贷款利率!E24/100</f>
        <v>4.3499999999999997E-2</v>
      </c>
      <c r="F24" s="1066" t="s">
        <v>3661</v>
      </c>
      <c r="G24" s="1068">
        <f>SUMIF(M30:Q30,E2,M33:Q33)</f>
        <v>0.05</v>
      </c>
      <c r="H24" s="1066" t="s">
        <v>3662</v>
      </c>
      <c r="I24" s="1204" t="e">
        <f>SUMIF('数据-取费表'!C6:C15,E2,'数据-取费表'!F6:F15)/COUNTIF('数据-取费表'!C6:C15,E2)</f>
        <v>#DIV/0!</v>
      </c>
      <c r="J24" s="1205">
        <f>IF(E2="住宅",70,IF(E2="商业",40,50))</f>
        <v>70</v>
      </c>
      <c r="K24" s="1194"/>
      <c r="L24" s="1206" t="s">
        <v>3663</v>
      </c>
      <c r="M24" s="1207">
        <f>ROUND(SUMPRODUCT((地价!A4:A16=YEAR(G23)&amp;"-"&amp;ROUNDUP(MONTH(G23)/3,0))*(地价!B2:G2=E2)*(地价!B4:G16)),0)</f>
        <v>0</v>
      </c>
      <c r="N24" s="1208" t="s">
        <v>3664</v>
      </c>
      <c r="O24" s="1209" t="s">
        <v>3665</v>
      </c>
      <c r="P24" s="1210" t="s">
        <v>3666</v>
      </c>
      <c r="Q24" s="953"/>
      <c r="R24" s="1263"/>
      <c r="S24" s="1263"/>
      <c r="T24" s="1127"/>
      <c r="U24" s="1127"/>
      <c r="V24" s="1127"/>
      <c r="W24" s="952"/>
      <c r="X24" s="952"/>
      <c r="Y24" s="952"/>
      <c r="Z24" s="1194"/>
      <c r="AA24" s="1194"/>
      <c r="AB24" s="1194"/>
      <c r="AC24" s="1194"/>
      <c r="AD24" s="1194"/>
      <c r="AE24" s="1194"/>
      <c r="AF24" s="1194"/>
      <c r="AG24" s="1195"/>
      <c r="AH24" s="1195"/>
      <c r="AI24" s="1195"/>
      <c r="AJ24" s="1195"/>
    </row>
    <row r="25" spans="1:37" ht="14.4">
      <c r="A25" s="1069" t="s">
        <v>2807</v>
      </c>
      <c r="B25" s="1070" t="s">
        <v>3667</v>
      </c>
      <c r="C25" s="1071">
        <f>IF(B25="容积率修正",IF(G3&lt;10,D26,J26),C27)</f>
        <v>0.97570000000000001</v>
      </c>
      <c r="D25" s="1072"/>
      <c r="E25" s="1072"/>
      <c r="F25" s="1072"/>
      <c r="G25" s="1072"/>
      <c r="H25" s="1072"/>
      <c r="I25" s="1072"/>
      <c r="J25" s="1211"/>
      <c r="K25" s="1194"/>
      <c r="L25" s="1195"/>
      <c r="M25" s="1195"/>
      <c r="N25" s="1212" t="s">
        <v>3668</v>
      </c>
      <c r="O25" s="1213"/>
      <c r="P25" s="1214">
        <f>SUMPRODUCT((地价!A3:A40=YEAR(G23)&amp;"-"&amp;ROUNDUP(MONTH(G23)/3,0))*(地价!AD2:AH2=N25)*(地价!AD3:AH40))</f>
        <v>0</v>
      </c>
      <c r="Q25" s="1195"/>
      <c r="R25" s="1263"/>
      <c r="S25" s="1263"/>
      <c r="T25" s="1127"/>
      <c r="U25" s="1127"/>
      <c r="V25" s="1127"/>
      <c r="W25" s="952"/>
      <c r="X25" s="952"/>
      <c r="Y25" s="952"/>
      <c r="Z25" s="1194"/>
      <c r="AA25" s="1194"/>
      <c r="AB25" s="1194"/>
      <c r="AC25" s="1194"/>
      <c r="AD25" s="1194"/>
      <c r="AE25" s="1127"/>
      <c r="AF25" s="1127"/>
      <c r="AG25" s="1280"/>
      <c r="AH25" s="1280"/>
      <c r="AI25" s="1280"/>
      <c r="AJ25" s="1280"/>
    </row>
    <row r="26" spans="1:37" ht="14.4">
      <c r="A26" s="1073" t="s">
        <v>3669</v>
      </c>
      <c r="B26" s="1074" t="s">
        <v>3670</v>
      </c>
      <c r="C26" s="1075" t="s">
        <v>3671</v>
      </c>
      <c r="D26" s="1076">
        <f>IF(E26=G26,F26,IF(G3&lt;10,ROUND(F26+(H26-F26)*(G3-E26)/(G26-E26),4),"——"))</f>
        <v>0.97570000000000001</v>
      </c>
      <c r="E26" s="966">
        <f>ROUNDDOWN(G3,1)</f>
        <v>2.8</v>
      </c>
      <c r="F26" s="107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0.97570000000000001</v>
      </c>
      <c r="G26" s="966">
        <f>ROUNDUP(G3,1)</f>
        <v>2.8</v>
      </c>
      <c r="H26" s="107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0.97570000000000001</v>
      </c>
      <c r="I26" s="1075" t="s">
        <v>3672</v>
      </c>
      <c r="J26" s="1215" t="str">
        <f>IF(G3&gt;=10,D115,"——")</f>
        <v>——</v>
      </c>
      <c r="K26" s="1194"/>
      <c r="L26" s="1195"/>
      <c r="M26" s="1195"/>
      <c r="N26" s="1212" t="s">
        <v>3673</v>
      </c>
      <c r="O26" s="1213"/>
      <c r="P26" s="1214">
        <f>SUMPRODUCT((地价!A3:A40=YEAR(G23)&amp;"-"&amp;ROUNDUP(MONTH(G23)/3,0))*(地价!AD2:AH2=N26)*(地价!AD3:AH40))</f>
        <v>0</v>
      </c>
      <c r="Q26" s="953"/>
      <c r="R26" s="1263"/>
      <c r="S26" s="1263"/>
      <c r="T26" s="1127"/>
      <c r="U26" s="1127"/>
      <c r="V26" s="1127"/>
      <c r="W26" s="952"/>
      <c r="X26" s="952"/>
      <c r="Y26" s="952"/>
      <c r="Z26" s="1194"/>
      <c r="AA26" s="1194"/>
      <c r="AB26" s="1194"/>
      <c r="AC26" s="1194"/>
      <c r="AD26" s="1194"/>
      <c r="AE26" s="1127"/>
      <c r="AF26" s="1127"/>
      <c r="AG26" s="1280"/>
      <c r="AH26" s="1280"/>
      <c r="AI26" s="1280"/>
      <c r="AJ26" s="1280"/>
    </row>
    <row r="27" spans="1:37" ht="14.4">
      <c r="A27" s="1073" t="s">
        <v>3674</v>
      </c>
      <c r="B27" s="1077" t="s">
        <v>3675</v>
      </c>
      <c r="C27" s="1078">
        <f>ROUND(IF(I3&lt;6,SUMPRODUCT((B106:B110=I3)*(C105:N105=G2)*(C106:N110)),SUMIF(C105:N105,G2,C112:N112)),4)</f>
        <v>0</v>
      </c>
      <c r="D27" s="1079"/>
      <c r="E27" s="1079"/>
      <c r="F27" s="1080"/>
      <c r="G27" s="1081"/>
      <c r="H27" s="1082"/>
      <c r="I27" s="1216"/>
      <c r="J27" s="1217"/>
      <c r="K27" s="952"/>
      <c r="L27" s="953"/>
      <c r="M27" s="953"/>
      <c r="N27" s="1212" t="s">
        <v>3676</v>
      </c>
      <c r="O27" s="1213"/>
      <c r="P27" s="1214">
        <f>SUMPRODUCT((地价!A3:A40=YEAR(G23)&amp;"-"&amp;ROUNDUP(MONTH(G23)/3,0))*(地价!AD2:AH2=N27)*(地价!AD3:AH40))</f>
        <v>0</v>
      </c>
      <c r="Q27" s="953"/>
      <c r="R27" s="1263"/>
      <c r="S27" s="1263"/>
      <c r="T27" s="1127"/>
      <c r="U27" s="1127"/>
      <c r="V27" s="1127"/>
      <c r="W27" s="952"/>
      <c r="X27" s="952"/>
      <c r="Y27" s="952"/>
      <c r="Z27" s="1194"/>
      <c r="AA27" s="1194"/>
      <c r="AB27" s="1194"/>
      <c r="AC27" s="1194"/>
      <c r="AD27" s="1194"/>
      <c r="AE27" s="1127"/>
      <c r="AF27" s="1127"/>
      <c r="AG27" s="1280"/>
      <c r="AH27" s="1280"/>
      <c r="AI27" s="1280"/>
      <c r="AJ27" s="1280"/>
    </row>
    <row r="28" spans="1:37" ht="14.4">
      <c r="A28" s="1063" t="s">
        <v>3677</v>
      </c>
      <c r="B28" s="1057" t="s">
        <v>3678</v>
      </c>
      <c r="C28" s="1058">
        <f>SUMIF(A47:A101,E2,B47:B101)</f>
        <v>1.0170999999999999</v>
      </c>
      <c r="D28" s="1083"/>
      <c r="E28" s="1084"/>
      <c r="F28" s="1084"/>
      <c r="G28" s="1084"/>
      <c r="H28" s="1084"/>
      <c r="I28" s="1084"/>
      <c r="J28" s="1218"/>
      <c r="K28" s="1194"/>
      <c r="L28" s="1195"/>
      <c r="M28" s="1195"/>
      <c r="N28" s="1219" t="s">
        <v>3679</v>
      </c>
      <c r="O28" s="1220"/>
      <c r="P28" s="1221">
        <f>SUMPRODUCT((地价!A3:A40=YEAR(G23)&amp;"-"&amp;ROUNDUP(MONTH(G23)/3,0))*(地价!AD2:AH2=N28)*(地价!AD3:AH40))</f>
        <v>0</v>
      </c>
      <c r="Q28" s="1263"/>
      <c r="R28" s="1263"/>
      <c r="S28" s="1263"/>
      <c r="T28" s="1127"/>
      <c r="U28" s="1127"/>
      <c r="V28" s="1127"/>
      <c r="W28" s="952"/>
      <c r="X28" s="952"/>
      <c r="Y28" s="952"/>
      <c r="Z28" s="1194"/>
      <c r="AA28" s="1194"/>
      <c r="AB28" s="1194"/>
      <c r="AC28" s="1194"/>
      <c r="AD28" s="1194"/>
      <c r="AE28" s="1127"/>
      <c r="AF28" s="1127"/>
      <c r="AG28" s="1280"/>
      <c r="AH28" s="1280"/>
      <c r="AI28" s="1280"/>
      <c r="AJ28" s="1280"/>
    </row>
    <row r="29" spans="1:37" ht="14.4">
      <c r="A29" s="1063" t="s">
        <v>3680</v>
      </c>
      <c r="B29" s="1085" t="s">
        <v>3681</v>
      </c>
      <c r="C29" s="1086"/>
      <c r="D29" s="986"/>
      <c r="E29" s="986"/>
      <c r="F29" s="1087"/>
      <c r="G29" s="986"/>
      <c r="H29" s="986"/>
      <c r="I29" s="986"/>
      <c r="J29" s="1172"/>
      <c r="K29" s="952"/>
      <c r="L29" s="953"/>
      <c r="M29" s="953"/>
      <c r="N29" s="1222" t="s">
        <v>3682</v>
      </c>
      <c r="O29" s="1223"/>
      <c r="P29" s="1224">
        <f>SUMPRODUCT((地价!A3:A40=YEAR(G23)&amp;"-"&amp;ROUNDUP(MONTH(G23)/3,0))*(地价!AD2:AH2=N29)*(地价!AD3:AH40))</f>
        <v>0</v>
      </c>
      <c r="Q29" s="1263"/>
      <c r="R29" s="1263"/>
      <c r="S29" s="1263"/>
      <c r="T29" s="1127"/>
      <c r="U29" s="1127"/>
      <c r="V29" s="1127"/>
      <c r="W29" s="952"/>
      <c r="X29" s="952"/>
      <c r="Y29" s="952"/>
      <c r="Z29" s="1194"/>
      <c r="AA29" s="1194"/>
      <c r="AB29" s="1194"/>
      <c r="AC29" s="1194"/>
      <c r="AD29" s="1194"/>
      <c r="AE29" s="952"/>
      <c r="AF29" s="952"/>
      <c r="AG29" s="953"/>
      <c r="AH29" s="953"/>
      <c r="AI29" s="953"/>
      <c r="AJ29" s="953"/>
    </row>
    <row r="30" spans="1:37" ht="14.4">
      <c r="A30" s="1088"/>
      <c r="B30" s="1074" t="s">
        <v>3683</v>
      </c>
      <c r="C30" s="1089" t="e">
        <f>IF(B25="容积率修正",E33+SUM(E37:E42),SUM(V2:V16)+SUM(E37:E42))</f>
        <v>#DIV/0!</v>
      </c>
      <c r="D30" s="1090"/>
      <c r="E30" s="1079"/>
      <c r="F30" s="1091"/>
      <c r="G30" s="1079"/>
      <c r="H30" s="1079"/>
      <c r="I30" s="1079"/>
      <c r="J30" s="1225"/>
      <c r="K30" s="952"/>
      <c r="L30" s="1226" t="s">
        <v>3570</v>
      </c>
      <c r="M30" s="1227" t="s">
        <v>3684</v>
      </c>
      <c r="N30" s="1227" t="s">
        <v>3685</v>
      </c>
      <c r="O30" s="1227" t="s">
        <v>3686</v>
      </c>
      <c r="P30" s="1227" t="s">
        <v>3687</v>
      </c>
      <c r="Q30" s="1264" t="s">
        <v>280</v>
      </c>
      <c r="R30" s="1263"/>
      <c r="S30" s="1263"/>
      <c r="T30" s="1127"/>
      <c r="U30" s="1127"/>
      <c r="V30" s="1127"/>
      <c r="W30" s="952"/>
      <c r="X30" s="952"/>
      <c r="Y30" s="952"/>
      <c r="Z30" s="1194"/>
      <c r="AA30" s="1194"/>
      <c r="AB30" s="1194"/>
      <c r="AC30" s="1194"/>
      <c r="AD30" s="1194"/>
      <c r="AE30" s="952"/>
      <c r="AF30" s="952"/>
      <c r="AG30" s="953"/>
      <c r="AH30" s="953"/>
      <c r="AI30" s="953"/>
      <c r="AJ30" s="953"/>
    </row>
    <row r="31" spans="1:37" ht="14.4">
      <c r="A31" s="1088"/>
      <c r="B31" s="1092" t="s">
        <v>3688</v>
      </c>
      <c r="C31" s="1093" t="e">
        <f>E34+SUM(I37:I42)</f>
        <v>#DIV/0!</v>
      </c>
      <c r="D31" s="1094"/>
      <c r="E31" s="1095"/>
      <c r="F31" s="1096"/>
      <c r="G31" s="1095"/>
      <c r="H31" s="1095"/>
      <c r="I31" s="1095"/>
      <c r="J31" s="1228"/>
      <c r="K31" s="952"/>
      <c r="L31" s="1229" t="s">
        <v>3689</v>
      </c>
      <c r="M31" s="961">
        <v>0.25</v>
      </c>
      <c r="N31" s="961">
        <v>0.2</v>
      </c>
      <c r="O31" s="961">
        <v>0.15</v>
      </c>
      <c r="P31" s="961">
        <v>0.1</v>
      </c>
      <c r="Q31" s="1265">
        <v>0.15</v>
      </c>
      <c r="R31" s="1263"/>
      <c r="S31" s="1263"/>
      <c r="T31" s="1127"/>
      <c r="U31" s="1127"/>
      <c r="V31" s="1127"/>
      <c r="W31" s="952"/>
      <c r="X31" s="952"/>
      <c r="Y31" s="952"/>
      <c r="Z31" s="1194"/>
      <c r="AA31" s="1194"/>
      <c r="AB31" s="1194"/>
      <c r="AC31" s="1194"/>
      <c r="AD31" s="1194"/>
      <c r="AE31" s="952"/>
      <c r="AF31" s="952"/>
      <c r="AG31" s="953"/>
      <c r="AH31" s="953"/>
      <c r="AI31" s="953"/>
      <c r="AJ31" s="953"/>
    </row>
    <row r="32" spans="1:37" ht="14.4">
      <c r="A32" s="1097"/>
      <c r="B32" s="1098" t="s">
        <v>3690</v>
      </c>
      <c r="C32" s="1099" t="s">
        <v>3691</v>
      </c>
      <c r="D32" s="1099" t="s">
        <v>565</v>
      </c>
      <c r="E32" s="1100" t="s">
        <v>3692</v>
      </c>
      <c r="F32" s="1101"/>
      <c r="G32" s="1009"/>
      <c r="H32" s="1009"/>
      <c r="I32" s="1009"/>
      <c r="J32" s="1178"/>
      <c r="K32" s="952"/>
      <c r="L32" s="1230" t="s">
        <v>3661</v>
      </c>
      <c r="M32" s="1231">
        <f>ROUND($E$24*(1+M31),3)</f>
        <v>5.3999999999999999E-2</v>
      </c>
      <c r="N32" s="1231">
        <f>ROUND($E$24*(1+N31),3)</f>
        <v>5.1999999999999998E-2</v>
      </c>
      <c r="O32" s="1231">
        <f>ROUND($E$24*(1+O31),3)</f>
        <v>0.05</v>
      </c>
      <c r="P32" s="1231">
        <f>ROUND($E$24*(1+P31),3)</f>
        <v>4.8000000000000001E-2</v>
      </c>
      <c r="Q32" s="1266">
        <f>ROUND($E$24*(1+Q31),3)</f>
        <v>0.05</v>
      </c>
      <c r="R32" s="1263"/>
      <c r="S32" s="1263"/>
      <c r="T32" s="1127"/>
      <c r="U32" s="1127"/>
      <c r="V32" s="1127"/>
      <c r="W32" s="952"/>
      <c r="X32" s="952"/>
      <c r="Y32" s="952"/>
      <c r="Z32" s="1194"/>
      <c r="AA32" s="1194"/>
      <c r="AB32" s="1194"/>
      <c r="AC32" s="1194"/>
      <c r="AD32" s="1194"/>
      <c r="AE32" s="952"/>
      <c r="AF32" s="952"/>
      <c r="AG32" s="953"/>
      <c r="AH32" s="953"/>
      <c r="AI32" s="953"/>
      <c r="AJ32" s="953"/>
    </row>
    <row r="33" spans="1:37" ht="13.8">
      <c r="A33" s="1102"/>
      <c r="B33" s="1103" t="s">
        <v>3693</v>
      </c>
      <c r="C33" s="1104" t="e">
        <f>ROUND(C5*C22*C23*C24*C25*C28,0)</f>
        <v>#DIV/0!</v>
      </c>
      <c r="D33" s="1105"/>
      <c r="E33" s="1106" t="e">
        <f>ROUND(C33*D33/10000,0)</f>
        <v>#DIV/0!</v>
      </c>
      <c r="F33" s="1107" t="s">
        <v>3694</v>
      </c>
      <c r="G33" s="1108"/>
      <c r="H33" s="1108"/>
      <c r="I33" s="1108"/>
      <c r="J33" s="1232"/>
      <c r="K33" s="952"/>
      <c r="L33" s="1233" t="s">
        <v>3695</v>
      </c>
      <c r="M33" s="1234">
        <v>5.5E-2</v>
      </c>
      <c r="N33" s="1234">
        <v>5.5E-2</v>
      </c>
      <c r="O33" s="1234">
        <v>0.05</v>
      </c>
      <c r="P33" s="1234">
        <v>0.05</v>
      </c>
      <c r="Q33" s="1234">
        <v>0.05</v>
      </c>
      <c r="R33" s="1263"/>
      <c r="S33" s="1263"/>
      <c r="T33" s="1127"/>
      <c r="U33" s="1127"/>
      <c r="V33" s="1127"/>
      <c r="W33" s="952"/>
      <c r="X33" s="952"/>
      <c r="Y33" s="952"/>
      <c r="Z33" s="1194"/>
      <c r="AA33" s="1194"/>
      <c r="AB33" s="1194"/>
      <c r="AC33" s="1194"/>
      <c r="AD33" s="1194"/>
      <c r="AE33" s="1127"/>
      <c r="AF33" s="1127"/>
      <c r="AG33" s="1280"/>
      <c r="AH33" s="1280"/>
      <c r="AI33" s="1280"/>
      <c r="AJ33" s="1280"/>
    </row>
    <row r="34" spans="1:37" ht="25.2">
      <c r="A34" s="1109"/>
      <c r="B34" s="1110" t="s">
        <v>3696</v>
      </c>
      <c r="C34" s="1047" t="e">
        <f>ROUND(IF(E2="工业",C33*M42,IF(B25="楼层修正",SUM(V2:V16)*M41*10000/D34,C33*M41)),0)</f>
        <v>#DIV/0!</v>
      </c>
      <c r="D34" s="1111"/>
      <c r="E34" s="1106" t="e">
        <f>ROUND(IF(B25="楼层修正",SUM(V2:V16)*M40,C34*D34/10000),0)</f>
        <v>#DIV/0!</v>
      </c>
      <c r="F34" s="1112" t="s">
        <v>3697</v>
      </c>
      <c r="G34" s="1113"/>
      <c r="H34" s="1113"/>
      <c r="I34" s="1113"/>
      <c r="J34" s="1235"/>
      <c r="K34" s="952"/>
      <c r="L34" s="1233" t="s">
        <v>3698</v>
      </c>
      <c r="M34" s="1234">
        <v>6.5000000000000002E-2</v>
      </c>
      <c r="N34" s="1234">
        <v>6.5000000000000002E-2</v>
      </c>
      <c r="O34" s="1234">
        <v>0.06</v>
      </c>
      <c r="P34" s="1234">
        <v>0.06</v>
      </c>
      <c r="Q34" s="1234">
        <v>0.06</v>
      </c>
      <c r="R34" s="1263"/>
      <c r="S34" s="1263"/>
      <c r="T34" s="1127"/>
      <c r="U34" s="1127"/>
      <c r="V34" s="1127"/>
      <c r="W34" s="952"/>
      <c r="X34" s="952"/>
      <c r="Y34" s="952"/>
      <c r="Z34" s="1194"/>
      <c r="AA34" s="1194"/>
      <c r="AB34" s="1194"/>
      <c r="AC34" s="1194"/>
      <c r="AD34" s="1194"/>
      <c r="AE34" s="1127"/>
      <c r="AF34" s="1127"/>
      <c r="AG34" s="1280"/>
      <c r="AH34" s="1280"/>
      <c r="AI34" s="1280"/>
      <c r="AJ34" s="1280"/>
    </row>
    <row r="35" spans="1:37">
      <c r="A35" s="1114"/>
      <c r="B35" s="1115" t="s">
        <v>3699</v>
      </c>
      <c r="C35" s="1116" t="s">
        <v>3700</v>
      </c>
      <c r="D35" s="1009"/>
      <c r="E35" s="1117"/>
      <c r="F35" s="1117"/>
      <c r="G35" s="1007" t="s">
        <v>3697</v>
      </c>
      <c r="H35" s="1009"/>
      <c r="I35" s="1236"/>
      <c r="J35" s="1178"/>
      <c r="K35" s="952"/>
      <c r="L35" s="952"/>
      <c r="M35" s="952"/>
      <c r="N35" s="952"/>
      <c r="O35" s="1196"/>
      <c r="P35" s="1196"/>
      <c r="Q35" s="1263"/>
      <c r="R35" s="952"/>
      <c r="S35" s="952"/>
      <c r="T35" s="952"/>
      <c r="U35" s="952"/>
      <c r="V35" s="952"/>
      <c r="W35" s="952"/>
      <c r="X35" s="952"/>
      <c r="Y35" s="952"/>
      <c r="Z35" s="1127"/>
      <c r="AA35" s="1127"/>
      <c r="AB35" s="1127"/>
      <c r="AC35" s="1127"/>
      <c r="AD35" s="1127"/>
      <c r="AE35" s="1127"/>
      <c r="AF35" s="1127"/>
      <c r="AG35" s="1280"/>
      <c r="AH35" s="1280"/>
      <c r="AI35" s="1280"/>
      <c r="AJ35" s="1280"/>
    </row>
    <row r="36" spans="1:37" ht="36">
      <c r="A36" s="1102"/>
      <c r="B36" s="1118"/>
      <c r="C36" s="1119" t="s">
        <v>3691</v>
      </c>
      <c r="D36" s="1120" t="s">
        <v>565</v>
      </c>
      <c r="E36" s="1120" t="s">
        <v>3692</v>
      </c>
      <c r="F36" s="944" t="s">
        <v>3701</v>
      </c>
      <c r="G36" s="1121" t="s">
        <v>3691</v>
      </c>
      <c r="H36" s="1121" t="s">
        <v>565</v>
      </c>
      <c r="I36" s="1121" t="s">
        <v>3692</v>
      </c>
      <c r="J36" s="428"/>
      <c r="K36" s="1237" t="s">
        <v>3702</v>
      </c>
      <c r="L36" s="1238">
        <f ca="1">'数据-取费表'!B40</f>
        <v>3.4500000000000003E-2</v>
      </c>
      <c r="M36" s="1239">
        <f ca="1">ROUND($L$36*(1+M31),3)</f>
        <v>4.2999999999999997E-2</v>
      </c>
      <c r="N36" s="1239">
        <f ca="1">ROUND($L$36*(1+N31),3)</f>
        <v>4.1000000000000002E-2</v>
      </c>
      <c r="O36" s="1239">
        <f ca="1">ROUND($L$36*(1+O31),3)</f>
        <v>0.04</v>
      </c>
      <c r="P36" s="1239">
        <f ca="1">ROUND($L$36*(1+P31),3)</f>
        <v>3.7999999999999999E-2</v>
      </c>
      <c r="Q36" s="1239">
        <f ca="1">ROUND($L$36*(1+Q31),3)</f>
        <v>0.04</v>
      </c>
      <c r="R36" s="952"/>
      <c r="S36" s="952"/>
      <c r="T36" s="952"/>
      <c r="U36" s="952"/>
      <c r="V36" s="952"/>
      <c r="W36" s="952"/>
      <c r="X36" s="952"/>
      <c r="Y36" s="952"/>
      <c r="Z36" s="1127"/>
      <c r="AA36" s="1127"/>
      <c r="AB36" s="1127"/>
      <c r="AC36" s="1127"/>
      <c r="AD36" s="1127"/>
      <c r="AE36" s="1127"/>
      <c r="AF36" s="1127"/>
      <c r="AG36" s="1280"/>
      <c r="AH36" s="1280"/>
      <c r="AI36" s="1280"/>
      <c r="AJ36" s="1280"/>
    </row>
    <row r="37" spans="1:37" ht="24">
      <c r="A37" s="3768"/>
      <c r="B37" s="1122" t="s">
        <v>3703</v>
      </c>
      <c r="C37" s="1104" t="e">
        <f>ROUND(D5*C22*C23*C24*C28*F37,0)</f>
        <v>#DIV/0!</v>
      </c>
      <c r="D37" s="1105">
        <f>最新商业清单!K2</f>
        <v>1008.26</v>
      </c>
      <c r="E37" s="994" t="e">
        <f>ROUND(C37*D37/10000,0)</f>
        <v>#DIV/0!</v>
      </c>
      <c r="F37" s="994">
        <f>SUMIF(修正!A57:A68,G2,修正!B57:B68)</f>
        <v>0.6</v>
      </c>
      <c r="G37" s="994" t="e">
        <f>ROUND(IF(E2="工业",C37*$M$42,C37*$M$41),0)</f>
        <v>#DIV/0!</v>
      </c>
      <c r="H37" s="994">
        <f>D37</f>
        <v>1008.26</v>
      </c>
      <c r="I37" s="994" t="e">
        <f>ROUND(G37*H37/10000,0)</f>
        <v>#DIV/0!</v>
      </c>
      <c r="J37" s="1240"/>
      <c r="K37" s="1241" t="s">
        <v>3704</v>
      </c>
      <c r="L37" s="1237">
        <f ca="1">L36+K38</f>
        <v>3.95E-2</v>
      </c>
      <c r="M37" s="1239">
        <f ca="1">ROUND($L$37*(1+M31),3)</f>
        <v>4.9000000000000002E-2</v>
      </c>
      <c r="N37" s="1239">
        <f t="shared" ref="N37:Q37" ca="1" si="3">ROUND($L$37*(1+N31),3)</f>
        <v>4.7E-2</v>
      </c>
      <c r="O37" s="1239">
        <f t="shared" ca="1" si="3"/>
        <v>4.4999999999999998E-2</v>
      </c>
      <c r="P37" s="1239">
        <f t="shared" ca="1" si="3"/>
        <v>4.2999999999999997E-2</v>
      </c>
      <c r="Q37" s="1239">
        <f t="shared" ca="1" si="3"/>
        <v>4.4999999999999998E-2</v>
      </c>
      <c r="R37" s="952"/>
      <c r="S37" s="952"/>
      <c r="T37" s="952"/>
      <c r="U37" s="952"/>
      <c r="V37" s="952"/>
      <c r="W37" s="952"/>
      <c r="X37" s="952"/>
      <c r="Y37" s="952"/>
      <c r="Z37" s="1127"/>
      <c r="AA37" s="1127"/>
      <c r="AB37" s="1127"/>
      <c r="AC37" s="1127"/>
      <c r="AD37" s="1127"/>
      <c r="AE37" s="1127"/>
      <c r="AF37" s="1127"/>
      <c r="AG37" s="1280"/>
      <c r="AH37" s="1280"/>
      <c r="AI37" s="1280"/>
      <c r="AJ37" s="1280"/>
    </row>
    <row r="38" spans="1:37">
      <c r="A38" s="3769"/>
      <c r="B38" s="1012" t="s">
        <v>3705</v>
      </c>
      <c r="C38" s="1104" t="e">
        <f>ROUND(D5*C22*C23*C24*C28*F38,0)</f>
        <v>#DIV/0!</v>
      </c>
      <c r="D38" s="1105"/>
      <c r="E38" s="994" t="e">
        <f t="shared" ref="E38:E42" si="4">ROUND(C38*D38/10000,0)</f>
        <v>#DIV/0!</v>
      </c>
      <c r="F38" s="994">
        <f>SUMIF(修正!A57:A68,G2,修正!C57:C68)</f>
        <v>0.3</v>
      </c>
      <c r="G38" s="994" t="e">
        <f>ROUND(IF(E2="工业",C38*$M$42,C38*$M$41),0)</f>
        <v>#DIV/0!</v>
      </c>
      <c r="H38" s="994">
        <f t="shared" ref="H38:H42" si="5">D38</f>
        <v>0</v>
      </c>
      <c r="I38" s="994" t="e">
        <f t="shared" ref="I38:I42" si="6">ROUND(G38*H38/10000,0)</f>
        <v>#DIV/0!</v>
      </c>
      <c r="J38" s="1123"/>
      <c r="K38" s="1237">
        <v>5.0000000000000001E-3</v>
      </c>
      <c r="L38" s="1237"/>
      <c r="M38" s="1237"/>
      <c r="N38" s="1237"/>
      <c r="O38" s="1237"/>
      <c r="P38" s="1237"/>
      <c r="Q38" s="1237"/>
      <c r="R38" s="952"/>
      <c r="S38" s="952"/>
      <c r="T38" s="952"/>
      <c r="U38" s="952"/>
      <c r="V38" s="952"/>
      <c r="W38" s="952"/>
      <c r="X38" s="952"/>
      <c r="Y38" s="952"/>
      <c r="Z38" s="1127"/>
      <c r="AA38" s="1127"/>
      <c r="AB38" s="1127"/>
      <c r="AC38" s="1127"/>
      <c r="AD38" s="1127"/>
    </row>
    <row r="39" spans="1:37">
      <c r="A39" s="3769"/>
      <c r="B39" s="1012" t="s">
        <v>3706</v>
      </c>
      <c r="C39" s="1104" t="e">
        <f>ROUND(D5*C22*C23*C24*C28*F39,0)</f>
        <v>#DIV/0!</v>
      </c>
      <c r="D39" s="1105"/>
      <c r="E39" s="994" t="e">
        <f t="shared" si="4"/>
        <v>#DIV/0!</v>
      </c>
      <c r="F39" s="994">
        <f>SUMIF(修正!A57:A68,G2,修正!D57:D68)</f>
        <v>0.25</v>
      </c>
      <c r="G39" s="994" t="e">
        <f>ROUND(IF(E2="工业",C39*$M$42,C39*$M$41),0)</f>
        <v>#DIV/0!</v>
      </c>
      <c r="H39" s="994">
        <f t="shared" si="5"/>
        <v>0</v>
      </c>
      <c r="I39" s="994" t="e">
        <f t="shared" si="6"/>
        <v>#DIV/0!</v>
      </c>
      <c r="J39" s="1123"/>
      <c r="K39" s="952"/>
      <c r="L39" s="952"/>
      <c r="M39" s="952"/>
      <c r="N39" s="952"/>
      <c r="O39" s="952"/>
      <c r="P39" s="952"/>
      <c r="Q39" s="952"/>
      <c r="R39" s="952"/>
      <c r="S39" s="952"/>
      <c r="T39" s="952"/>
      <c r="U39" s="952"/>
      <c r="V39" s="952"/>
      <c r="W39" s="952"/>
      <c r="X39" s="952"/>
      <c r="Y39" s="952"/>
      <c r="Z39" s="1127"/>
      <c r="AA39" s="1127"/>
      <c r="AB39" s="1127"/>
      <c r="AC39" s="1127"/>
      <c r="AD39" s="1127"/>
    </row>
    <row r="40" spans="1:37" s="952" customFormat="1">
      <c r="A40" s="1124"/>
      <c r="B40" s="1012" t="s">
        <v>3707</v>
      </c>
      <c r="C40" s="994" t="e">
        <f>ROUND(D5*C22*C23*C24*C28*F40,0)</f>
        <v>#DIV/0!</v>
      </c>
      <c r="D40" s="1105"/>
      <c r="E40" s="994" t="e">
        <f t="shared" si="4"/>
        <v>#DIV/0!</v>
      </c>
      <c r="F40" s="1104">
        <f>SUMIF(修正!A57:A68,G2,修正!E57:E68)</f>
        <v>0.25</v>
      </c>
      <c r="G40" s="994" t="e">
        <f>ROUND(IF(E2="工业",C40*$M$42,C40*$M$41),0)</f>
        <v>#DIV/0!</v>
      </c>
      <c r="H40" s="994">
        <f t="shared" si="5"/>
        <v>0</v>
      </c>
      <c r="I40" s="994" t="e">
        <f t="shared" si="6"/>
        <v>#DIV/0!</v>
      </c>
      <c r="J40" s="1242"/>
      <c r="L40" s="1243" t="s">
        <v>3708</v>
      </c>
      <c r="M40" s="1244"/>
      <c r="Z40" s="1127"/>
      <c r="AA40" s="1127"/>
      <c r="AB40" s="1127"/>
      <c r="AC40" s="1127"/>
      <c r="AD40" s="1127"/>
      <c r="AE40" s="1127"/>
      <c r="AF40" s="1127"/>
      <c r="AG40" s="1127"/>
      <c r="AH40" s="1127"/>
      <c r="AI40" s="1127"/>
      <c r="AJ40" s="1127"/>
    </row>
    <row r="41" spans="1:37" s="952" customFormat="1">
      <c r="A41" s="1124"/>
      <c r="B41" s="1012" t="s">
        <v>3709</v>
      </c>
      <c r="C41" s="994">
        <f>ROUND(D5*C22*C23*C44*C28*F41,0)</f>
        <v>5709</v>
      </c>
      <c r="D41" s="1105">
        <f>最新仓储清单!L237</f>
        <v>6410.4</v>
      </c>
      <c r="E41" s="994">
        <f t="shared" si="4"/>
        <v>3660</v>
      </c>
      <c r="F41" s="1104">
        <f>SUMIF(修正!A57:A68,G2,修正!F57:F68)</f>
        <v>0.25</v>
      </c>
      <c r="G41" s="994">
        <f>ROUND(IF(E2="工业",C41*$M$42,C41*$M$41),0)</f>
        <v>1427</v>
      </c>
      <c r="H41" s="994">
        <f t="shared" si="5"/>
        <v>6410.4</v>
      </c>
      <c r="I41" s="994">
        <f t="shared" si="6"/>
        <v>915</v>
      </c>
      <c r="J41" s="1242"/>
      <c r="L41" s="1245" t="s">
        <v>3710</v>
      </c>
      <c r="M41" s="1246">
        <v>0.25</v>
      </c>
      <c r="Z41" s="1127"/>
      <c r="AA41" s="1127"/>
      <c r="AB41" s="1127"/>
      <c r="AC41" s="1127"/>
      <c r="AD41" s="1127"/>
      <c r="AE41" s="1127"/>
      <c r="AF41" s="1127"/>
      <c r="AG41" s="1127"/>
      <c r="AH41" s="1127"/>
      <c r="AI41" s="1127"/>
      <c r="AJ41" s="1127"/>
    </row>
    <row r="42" spans="1:37" s="952" customFormat="1">
      <c r="A42" s="1109"/>
      <c r="B42" s="1125" t="s">
        <v>3711</v>
      </c>
      <c r="C42" s="1047">
        <f>ROUND(D5*C22*C23*C44*C28*F42,0)</f>
        <v>3425</v>
      </c>
      <c r="D42" s="1111">
        <f>最新车位清单!J34</f>
        <v>1032</v>
      </c>
      <c r="E42" s="1047">
        <f t="shared" si="4"/>
        <v>353</v>
      </c>
      <c r="F42" s="1126">
        <f>SUMIF(修正!A57:A68,G2,修正!G57:G68)</f>
        <v>0.15</v>
      </c>
      <c r="G42" s="1047">
        <f>ROUND(IF(E2="工业",C42*$M$42,C42*$M$41),0)</f>
        <v>856</v>
      </c>
      <c r="H42" s="1047">
        <f t="shared" si="5"/>
        <v>1032</v>
      </c>
      <c r="I42" s="1047">
        <f t="shared" si="6"/>
        <v>88</v>
      </c>
      <c r="J42" s="1247"/>
      <c r="L42" s="1248" t="s">
        <v>3687</v>
      </c>
      <c r="M42" s="1249">
        <v>0.15</v>
      </c>
      <c r="Z42" s="1127"/>
      <c r="AA42" s="1127"/>
      <c r="AB42" s="1127"/>
      <c r="AC42" s="1127"/>
      <c r="AD42" s="1127"/>
      <c r="AE42" s="1127"/>
      <c r="AF42" s="1127"/>
      <c r="AG42" s="1127"/>
      <c r="AH42" s="1127"/>
      <c r="AI42" s="1127"/>
      <c r="AJ42" s="1127"/>
    </row>
    <row r="43" spans="1:37" s="952" customFormat="1">
      <c r="Z43" s="1127"/>
      <c r="AA43" s="1127"/>
      <c r="AB43" s="1127"/>
      <c r="AC43" s="1127"/>
      <c r="AD43" s="1127"/>
      <c r="AE43" s="1127"/>
      <c r="AF43" s="1127"/>
      <c r="AG43" s="1127"/>
      <c r="AH43" s="1127"/>
      <c r="AI43" s="1127"/>
      <c r="AJ43" s="1127"/>
    </row>
    <row r="44" spans="1:37" s="952" customFormat="1" ht="24">
      <c r="A44" s="1127"/>
      <c r="B44" s="1128" t="s">
        <v>3712</v>
      </c>
      <c r="C44" s="944">
        <f>ROUND(POWER(1+E44,H44-G44)*(POWER(1+E44,G44)-1)/(POWER(1+E44,H44)-1),4)</f>
        <v>0.98150000000000004</v>
      </c>
      <c r="D44" s="994" t="s">
        <v>3661</v>
      </c>
      <c r="E44" s="1129">
        <f>G24</f>
        <v>0.05</v>
      </c>
      <c r="F44" s="994" t="s">
        <v>3662</v>
      </c>
      <c r="G44" s="1130">
        <f>项目基本情况!F15</f>
        <v>46.38</v>
      </c>
      <c r="H44" s="994">
        <v>50</v>
      </c>
      <c r="Z44" s="1127"/>
      <c r="AA44" s="1127"/>
      <c r="AB44" s="1127"/>
      <c r="AC44" s="1127"/>
      <c r="AD44" s="1127"/>
      <c r="AE44" s="1127"/>
      <c r="AF44" s="1127"/>
      <c r="AG44" s="1127"/>
      <c r="AH44" s="1127"/>
      <c r="AI44" s="1127"/>
      <c r="AJ44" s="1127"/>
    </row>
    <row r="45" spans="1:37" s="952" customFormat="1">
      <c r="A45" s="1127"/>
      <c r="B45" s="1131"/>
      <c r="Z45" s="1127"/>
      <c r="AA45" s="1127"/>
      <c r="AB45" s="1127"/>
      <c r="AC45" s="1127"/>
      <c r="AD45" s="1127"/>
      <c r="AE45" s="1127"/>
      <c r="AF45" s="1127"/>
      <c r="AG45" s="1127"/>
      <c r="AH45" s="1127"/>
      <c r="AI45" s="1127"/>
      <c r="AJ45" s="1127"/>
    </row>
    <row r="46" spans="1:37" s="952" customFormat="1">
      <c r="A46" s="1127"/>
      <c r="B46" s="1131"/>
      <c r="AA46" s="1127"/>
      <c r="AB46" s="1127"/>
      <c r="AC46" s="1127"/>
      <c r="AD46" s="1127"/>
      <c r="AE46" s="1127"/>
      <c r="AF46" s="1127"/>
      <c r="AG46" s="1127"/>
      <c r="AH46" s="1127"/>
      <c r="AI46" s="1127"/>
      <c r="AJ46" s="1127"/>
      <c r="AK46" s="1127"/>
    </row>
    <row r="47" spans="1:37" s="952" customFormat="1" ht="14.4">
      <c r="A47" s="1132" t="s">
        <v>3713</v>
      </c>
      <c r="B47" s="1133"/>
      <c r="C47" s="1134"/>
      <c r="D47" s="1134"/>
      <c r="E47" s="1134"/>
      <c r="F47" s="1135"/>
      <c r="G47" s="1135"/>
      <c r="H47" s="1135"/>
      <c r="I47" s="1250"/>
      <c r="J47" s="1250"/>
      <c r="K47" s="1250"/>
      <c r="L47" s="1250"/>
      <c r="M47" s="1250"/>
      <c r="AA47" s="1127"/>
      <c r="AB47" s="1127"/>
      <c r="AC47" s="1127"/>
      <c r="AD47" s="1127"/>
      <c r="AE47" s="1127"/>
      <c r="AF47" s="1127"/>
      <c r="AG47" s="1127"/>
      <c r="AH47" s="1127"/>
      <c r="AI47" s="1127"/>
      <c r="AJ47" s="1127"/>
      <c r="AK47" s="1127"/>
    </row>
    <row r="48" spans="1:37" s="952" customFormat="1" ht="14.4">
      <c r="A48" s="1136" t="s">
        <v>3714</v>
      </c>
      <c r="B48" s="1137">
        <f>1+E50</f>
        <v>1</v>
      </c>
      <c r="C48" s="1138"/>
      <c r="D48" s="1139"/>
      <c r="E48" s="1140"/>
      <c r="F48" s="1141"/>
      <c r="G48" s="1135"/>
      <c r="H48" s="1134"/>
      <c r="I48" s="1250"/>
      <c r="J48" s="1250"/>
      <c r="K48" s="1250"/>
      <c r="L48" s="1250"/>
      <c r="M48" s="1250"/>
      <c r="AA48" s="1127"/>
      <c r="AB48" s="1127"/>
      <c r="AC48" s="1127"/>
      <c r="AD48" s="1127"/>
      <c r="AE48" s="1127"/>
      <c r="AF48" s="1127"/>
      <c r="AG48" s="1127"/>
      <c r="AH48" s="1127"/>
      <c r="AI48" s="1127"/>
      <c r="AJ48" s="1127"/>
      <c r="AK48" s="1127"/>
    </row>
    <row r="49" spans="1:37" s="952" customFormat="1" ht="25.2">
      <c r="A49" s="1142" t="s">
        <v>3715</v>
      </c>
      <c r="B49" s="1143" t="s">
        <v>3716</v>
      </c>
      <c r="C49" s="1143" t="s">
        <v>3717</v>
      </c>
      <c r="D49" s="1143" t="s">
        <v>3718</v>
      </c>
      <c r="E49" s="1144" t="s">
        <v>3719</v>
      </c>
      <c r="F49" s="1145" t="s">
        <v>3720</v>
      </c>
      <c r="G49" s="1143" t="s">
        <v>2957</v>
      </c>
      <c r="H49" s="1146" t="s">
        <v>3721</v>
      </c>
      <c r="I49" s="1143" t="s">
        <v>3722</v>
      </c>
      <c r="J49" s="1251" t="s">
        <v>2933</v>
      </c>
      <c r="K49" s="1251" t="s">
        <v>2934</v>
      </c>
      <c r="L49" s="1251" t="s">
        <v>2935</v>
      </c>
      <c r="M49" s="1251" t="s">
        <v>2936</v>
      </c>
      <c r="N49" s="1251" t="s">
        <v>2937</v>
      </c>
      <c r="AA49" s="1127"/>
      <c r="AB49" s="1127"/>
      <c r="AC49" s="1127"/>
      <c r="AD49" s="1127"/>
      <c r="AE49" s="1127"/>
      <c r="AF49" s="1127"/>
      <c r="AG49" s="1127"/>
      <c r="AH49" s="1127"/>
      <c r="AI49" s="1127"/>
      <c r="AJ49" s="1127"/>
      <c r="AK49" s="1127"/>
    </row>
    <row r="50" spans="1:37" s="952" customFormat="1" ht="39.6">
      <c r="A50" s="1142" t="s">
        <v>3723</v>
      </c>
      <c r="B50" s="1147" t="str">
        <f>估价对象房地状况!C4</f>
        <v>估价对象位于XX商圈，周边商业氛围成熟，人流量大，商业繁华度好</v>
      </c>
      <c r="C50" s="1018"/>
      <c r="D50" s="1148">
        <f t="shared" ref="D50:D58" si="7">SUMIF($J$49:$N$49,C50,J50:N50)</f>
        <v>0</v>
      </c>
      <c r="E50" s="1149">
        <f>ROUND(SUM(D50:D58),4)</f>
        <v>0</v>
      </c>
      <c r="F50" s="1150" t="str">
        <f>IF(E2="商业",SUMIF(L1:L12,G2,N1:N12),"——")</f>
        <v>——</v>
      </c>
      <c r="G50" s="1151"/>
      <c r="H50" s="1152" t="str">
        <f t="shared" ref="H50:H58" si="8">IFERROR(ROUNDDOWN($F$50*I50/2,4),"——")</f>
        <v>——</v>
      </c>
      <c r="I50" s="1252">
        <v>0.3</v>
      </c>
      <c r="J50" s="1253">
        <f t="shared" ref="J50:J58" si="9">K50+$G50</f>
        <v>0</v>
      </c>
      <c r="K50" s="1253">
        <f t="shared" ref="K50:K58" si="10">$L50+$G50</f>
        <v>0</v>
      </c>
      <c r="L50" s="1253">
        <v>0</v>
      </c>
      <c r="M50" s="1253">
        <f t="shared" ref="M50:N58" si="11">L50-$G50</f>
        <v>0</v>
      </c>
      <c r="N50" s="1253">
        <f t="shared" si="11"/>
        <v>0</v>
      </c>
      <c r="AA50" s="1127"/>
      <c r="AB50" s="1127"/>
      <c r="AC50" s="1127"/>
      <c r="AD50" s="1127"/>
      <c r="AE50" s="1127"/>
      <c r="AF50" s="1127"/>
      <c r="AG50" s="1127"/>
      <c r="AH50" s="1127"/>
      <c r="AI50" s="1127"/>
      <c r="AJ50" s="1127"/>
      <c r="AK50" s="1127"/>
    </row>
    <row r="51" spans="1:37" s="952" customFormat="1" ht="52.8">
      <c r="A51" s="1142" t="s">
        <v>3724</v>
      </c>
      <c r="B51" s="1153" t="str">
        <f>估价对象房地状况!C18</f>
        <v>估价对象周边道路状况、公共交通通达情况、停车便捷程度，综合评价交通便捷度较好</v>
      </c>
      <c r="C51" s="1018"/>
      <c r="D51" s="1148">
        <f t="shared" si="7"/>
        <v>0</v>
      </c>
      <c r="E51" s="1154"/>
      <c r="F51" s="1150"/>
      <c r="G51" s="1151"/>
      <c r="H51" s="1152" t="str">
        <f t="shared" si="8"/>
        <v>——</v>
      </c>
      <c r="I51" s="1252">
        <v>0.22</v>
      </c>
      <c r="J51" s="1253">
        <f t="shared" si="9"/>
        <v>0</v>
      </c>
      <c r="K51" s="1253">
        <f t="shared" si="10"/>
        <v>0</v>
      </c>
      <c r="L51" s="1253">
        <v>0</v>
      </c>
      <c r="M51" s="1253">
        <f t="shared" si="11"/>
        <v>0</v>
      </c>
      <c r="N51" s="1253">
        <f t="shared" si="11"/>
        <v>0</v>
      </c>
      <c r="AA51" s="1127"/>
      <c r="AB51" s="1127"/>
      <c r="AC51" s="1127"/>
      <c r="AD51" s="1127"/>
      <c r="AE51" s="1127"/>
      <c r="AF51" s="1127"/>
      <c r="AG51" s="1127"/>
      <c r="AH51" s="1127"/>
      <c r="AI51" s="1127"/>
      <c r="AJ51" s="1127"/>
      <c r="AK51" s="1127"/>
    </row>
    <row r="52" spans="1:37" s="952" customFormat="1" ht="48">
      <c r="A52" s="1155" t="s">
        <v>3725</v>
      </c>
      <c r="B52" s="1153">
        <f>估价对象房地状况!C19</f>
        <v>0</v>
      </c>
      <c r="C52" s="1018"/>
      <c r="D52" s="1148">
        <f t="shared" si="7"/>
        <v>0</v>
      </c>
      <c r="E52" s="1154"/>
      <c r="F52" s="1150"/>
      <c r="G52" s="1151"/>
      <c r="H52" s="1152" t="str">
        <f t="shared" si="8"/>
        <v>——</v>
      </c>
      <c r="I52" s="1252">
        <v>0.12</v>
      </c>
      <c r="J52" s="1253">
        <f t="shared" si="9"/>
        <v>0</v>
      </c>
      <c r="K52" s="1253">
        <f t="shared" si="10"/>
        <v>0</v>
      </c>
      <c r="L52" s="1253">
        <v>0</v>
      </c>
      <c r="M52" s="1253">
        <f t="shared" si="11"/>
        <v>0</v>
      </c>
      <c r="N52" s="1253">
        <f t="shared" si="11"/>
        <v>0</v>
      </c>
      <c r="AA52" s="1127"/>
      <c r="AB52" s="1127"/>
      <c r="AC52" s="1127"/>
      <c r="AD52" s="1127"/>
      <c r="AE52" s="1127"/>
      <c r="AF52" s="1127"/>
      <c r="AG52" s="1127"/>
      <c r="AH52" s="1127"/>
      <c r="AI52" s="1127"/>
      <c r="AJ52" s="1127"/>
      <c r="AK52" s="1127"/>
    </row>
    <row r="53" spans="1:37" s="952" customFormat="1" ht="37.200000000000003">
      <c r="A53" s="1142" t="s">
        <v>3726</v>
      </c>
      <c r="B53" s="1156" t="s">
        <v>3727</v>
      </c>
      <c r="C53" s="1018"/>
      <c r="D53" s="1148">
        <f t="shared" si="7"/>
        <v>0</v>
      </c>
      <c r="E53" s="1154"/>
      <c r="F53" s="1150"/>
      <c r="G53" s="1151"/>
      <c r="H53" s="1152" t="str">
        <f t="shared" si="8"/>
        <v>——</v>
      </c>
      <c r="I53" s="1252">
        <v>0.05</v>
      </c>
      <c r="J53" s="1253">
        <f t="shared" si="9"/>
        <v>0</v>
      </c>
      <c r="K53" s="1253">
        <f t="shared" si="10"/>
        <v>0</v>
      </c>
      <c r="L53" s="1253">
        <v>0</v>
      </c>
      <c r="M53" s="1253">
        <f t="shared" si="11"/>
        <v>0</v>
      </c>
      <c r="N53" s="1253">
        <f t="shared" si="11"/>
        <v>0</v>
      </c>
      <c r="AA53" s="1127"/>
      <c r="AB53" s="1127"/>
      <c r="AC53" s="1127"/>
      <c r="AD53" s="1127"/>
      <c r="AE53" s="1127"/>
      <c r="AF53" s="1127"/>
      <c r="AG53" s="1127"/>
      <c r="AH53" s="1127"/>
      <c r="AI53" s="1127"/>
      <c r="AJ53" s="1127"/>
      <c r="AK53" s="1127"/>
    </row>
    <row r="54" spans="1:37" s="952" customFormat="1" ht="24">
      <c r="A54" s="1142" t="s">
        <v>3728</v>
      </c>
      <c r="B54" s="1153">
        <f>估价对象房地状况!C24</f>
        <v>0</v>
      </c>
      <c r="C54" s="1018"/>
      <c r="D54" s="1148">
        <f t="shared" si="7"/>
        <v>0</v>
      </c>
      <c r="E54" s="1154"/>
      <c r="F54" s="1150"/>
      <c r="G54" s="1151"/>
      <c r="H54" s="1152" t="str">
        <f t="shared" si="8"/>
        <v>——</v>
      </c>
      <c r="I54" s="1252">
        <v>0.08</v>
      </c>
      <c r="J54" s="1253">
        <f t="shared" si="9"/>
        <v>0</v>
      </c>
      <c r="K54" s="1253">
        <f t="shared" si="10"/>
        <v>0</v>
      </c>
      <c r="L54" s="1253">
        <v>0</v>
      </c>
      <c r="M54" s="1253">
        <f t="shared" si="11"/>
        <v>0</v>
      </c>
      <c r="N54" s="1253">
        <f t="shared" si="11"/>
        <v>0</v>
      </c>
      <c r="AA54" s="1127"/>
      <c r="AB54" s="1127"/>
      <c r="AC54" s="1127"/>
      <c r="AD54" s="1127"/>
      <c r="AE54" s="1127"/>
      <c r="AF54" s="1127"/>
      <c r="AG54" s="1127"/>
      <c r="AH54" s="1127"/>
      <c r="AI54" s="1127"/>
      <c r="AJ54" s="1127"/>
      <c r="AK54" s="1127"/>
    </row>
    <row r="55" spans="1:37" s="952" customFormat="1" ht="36">
      <c r="A55" s="1142" t="s">
        <v>3729</v>
      </c>
      <c r="B55" s="1157" t="s">
        <v>3730</v>
      </c>
      <c r="C55" s="1018"/>
      <c r="D55" s="1148">
        <f t="shared" si="7"/>
        <v>0</v>
      </c>
      <c r="E55" s="1154"/>
      <c r="F55" s="1150"/>
      <c r="G55" s="1151"/>
      <c r="H55" s="1152" t="str">
        <f t="shared" si="8"/>
        <v>——</v>
      </c>
      <c r="I55" s="1252">
        <v>0.05</v>
      </c>
      <c r="J55" s="1253">
        <f t="shared" si="9"/>
        <v>0</v>
      </c>
      <c r="K55" s="1253">
        <f t="shared" si="10"/>
        <v>0</v>
      </c>
      <c r="L55" s="1253">
        <v>0</v>
      </c>
      <c r="M55" s="1253">
        <f t="shared" si="11"/>
        <v>0</v>
      </c>
      <c r="N55" s="1253">
        <f t="shared" si="11"/>
        <v>0</v>
      </c>
      <c r="AA55" s="1127"/>
      <c r="AB55" s="1127"/>
      <c r="AC55" s="1127"/>
      <c r="AD55" s="1127"/>
      <c r="AE55" s="1127"/>
      <c r="AF55" s="1127"/>
      <c r="AG55" s="1127"/>
      <c r="AH55" s="1127"/>
      <c r="AI55" s="1127"/>
      <c r="AJ55" s="1127"/>
      <c r="AK55" s="1127"/>
    </row>
    <row r="56" spans="1:37" s="952" customFormat="1" ht="26.4">
      <c r="A56" s="1158" t="s">
        <v>3731</v>
      </c>
      <c r="B56" s="577" t="str">
        <f>估价对象房地状况!C21</f>
        <v>估价对象所在区域公共配套设施齐备情况</v>
      </c>
      <c r="C56" s="1018"/>
      <c r="D56" s="1148">
        <f t="shared" si="7"/>
        <v>0</v>
      </c>
      <c r="E56" s="1154"/>
      <c r="F56" s="1150"/>
      <c r="G56" s="1151"/>
      <c r="H56" s="1152" t="str">
        <f t="shared" si="8"/>
        <v>——</v>
      </c>
      <c r="I56" s="1252">
        <v>0.05</v>
      </c>
      <c r="J56" s="1253">
        <f t="shared" si="9"/>
        <v>0</v>
      </c>
      <c r="K56" s="1253">
        <f t="shared" si="10"/>
        <v>0</v>
      </c>
      <c r="L56" s="1253">
        <v>0</v>
      </c>
      <c r="M56" s="1253">
        <f t="shared" si="11"/>
        <v>0</v>
      </c>
      <c r="N56" s="1253">
        <f t="shared" si="11"/>
        <v>0</v>
      </c>
      <c r="AA56" s="1127"/>
      <c r="AB56" s="1127"/>
      <c r="AC56" s="1127"/>
      <c r="AD56" s="1127"/>
      <c r="AE56" s="1127"/>
      <c r="AF56" s="1127"/>
      <c r="AG56" s="1127"/>
      <c r="AH56" s="1127"/>
      <c r="AI56" s="1127"/>
      <c r="AJ56" s="1127"/>
      <c r="AK56" s="1127"/>
    </row>
    <row r="57" spans="1:37" s="952" customFormat="1" ht="26.4">
      <c r="A57" s="1158" t="s">
        <v>3732</v>
      </c>
      <c r="B57" s="1153" t="str">
        <f>估价对象房地状况!C22</f>
        <v>估价对象所在区域基础设施水平</v>
      </c>
      <c r="C57" s="1018"/>
      <c r="D57" s="1148">
        <f t="shared" si="7"/>
        <v>0</v>
      </c>
      <c r="E57" s="1154"/>
      <c r="F57" s="1150"/>
      <c r="G57" s="1151"/>
      <c r="H57" s="1152" t="str">
        <f t="shared" si="8"/>
        <v>——</v>
      </c>
      <c r="I57" s="1252">
        <v>0.08</v>
      </c>
      <c r="J57" s="1253">
        <f t="shared" si="9"/>
        <v>0</v>
      </c>
      <c r="K57" s="1253">
        <f t="shared" si="10"/>
        <v>0</v>
      </c>
      <c r="L57" s="1253">
        <v>0</v>
      </c>
      <c r="M57" s="1253">
        <f t="shared" si="11"/>
        <v>0</v>
      </c>
      <c r="N57" s="1253">
        <f t="shared" si="11"/>
        <v>0</v>
      </c>
      <c r="AA57" s="1127"/>
      <c r="AB57" s="1127"/>
      <c r="AC57" s="1127"/>
      <c r="AD57" s="1127"/>
      <c r="AE57" s="1127"/>
      <c r="AF57" s="1127"/>
      <c r="AG57" s="1127"/>
      <c r="AH57" s="1127"/>
      <c r="AI57" s="1127"/>
      <c r="AJ57" s="1127"/>
      <c r="AK57" s="1127"/>
    </row>
    <row r="58" spans="1:37" s="952" customFormat="1" ht="39.6">
      <c r="A58" s="1159" t="s">
        <v>3733</v>
      </c>
      <c r="B58" s="1160" t="str">
        <f>估价对象房地状况!C20</f>
        <v>区域自然环境：；人文环境；综合评价环境状况一般</v>
      </c>
      <c r="C58" s="1018"/>
      <c r="D58" s="1148">
        <f t="shared" si="7"/>
        <v>0</v>
      </c>
      <c r="E58" s="1161"/>
      <c r="F58" s="1150"/>
      <c r="G58" s="1151"/>
      <c r="H58" s="1152" t="str">
        <f t="shared" si="8"/>
        <v>——</v>
      </c>
      <c r="I58" s="1254">
        <v>0.05</v>
      </c>
      <c r="J58" s="1253">
        <f t="shared" si="9"/>
        <v>0</v>
      </c>
      <c r="K58" s="1253">
        <f t="shared" si="10"/>
        <v>0</v>
      </c>
      <c r="L58" s="1253">
        <v>0</v>
      </c>
      <c r="M58" s="1253">
        <f t="shared" si="11"/>
        <v>0</v>
      </c>
      <c r="N58" s="1253">
        <f t="shared" si="11"/>
        <v>0</v>
      </c>
      <c r="AA58" s="1127"/>
      <c r="AB58" s="1127"/>
      <c r="AC58" s="1127"/>
      <c r="AD58" s="1127"/>
      <c r="AE58" s="1127"/>
      <c r="AF58" s="1127"/>
      <c r="AG58" s="1127"/>
      <c r="AH58" s="1127"/>
      <c r="AI58" s="1127"/>
      <c r="AJ58" s="1127"/>
      <c r="AK58" s="1127"/>
    </row>
    <row r="59" spans="1:37" s="952" customFormat="1" ht="14.4">
      <c r="A59" s="1136" t="s">
        <v>3734</v>
      </c>
      <c r="B59" s="1137">
        <f>1+E61</f>
        <v>1</v>
      </c>
      <c r="C59" s="1139"/>
      <c r="D59" s="1139"/>
      <c r="E59" s="1140"/>
      <c r="F59" s="1141"/>
      <c r="G59" s="1135"/>
      <c r="H59" s="1135"/>
      <c r="I59" s="1135"/>
      <c r="J59" s="1134"/>
      <c r="K59" s="1134"/>
      <c r="L59" s="1134"/>
      <c r="M59" s="1134"/>
      <c r="N59" s="1134"/>
      <c r="AA59" s="1127"/>
      <c r="AB59" s="1127"/>
      <c r="AC59" s="1127"/>
      <c r="AD59" s="1127"/>
      <c r="AE59" s="1127"/>
      <c r="AF59" s="1127"/>
      <c r="AG59" s="1127"/>
      <c r="AH59" s="1127"/>
      <c r="AI59" s="1127"/>
      <c r="AJ59" s="1127"/>
      <c r="AK59" s="1127"/>
    </row>
    <row r="60" spans="1:37" s="952" customFormat="1" ht="25.2">
      <c r="A60" s="1142" t="s">
        <v>3715</v>
      </c>
      <c r="B60" s="1143"/>
      <c r="C60" s="1143" t="s">
        <v>3717</v>
      </c>
      <c r="D60" s="1143" t="s">
        <v>3718</v>
      </c>
      <c r="E60" s="1144" t="s">
        <v>3719</v>
      </c>
      <c r="F60" s="1145" t="s">
        <v>3735</v>
      </c>
      <c r="G60" s="1143" t="s">
        <v>2957</v>
      </c>
      <c r="H60" s="1146" t="s">
        <v>3721</v>
      </c>
      <c r="I60" s="1143" t="s">
        <v>3722</v>
      </c>
      <c r="J60" s="1251" t="s">
        <v>2933</v>
      </c>
      <c r="K60" s="1251" t="s">
        <v>2934</v>
      </c>
      <c r="L60" s="1251" t="s">
        <v>2935</v>
      </c>
      <c r="M60" s="1251" t="s">
        <v>2936</v>
      </c>
      <c r="N60" s="1251" t="s">
        <v>2937</v>
      </c>
      <c r="AA60" s="1127"/>
      <c r="AB60" s="1127"/>
      <c r="AC60" s="1127"/>
      <c r="AD60" s="1127"/>
      <c r="AE60" s="1127"/>
      <c r="AF60" s="1127"/>
      <c r="AG60" s="1127"/>
      <c r="AH60" s="1127"/>
      <c r="AI60" s="1127"/>
      <c r="AJ60" s="1127"/>
      <c r="AK60" s="1127"/>
    </row>
    <row r="61" spans="1:37" s="952" customFormat="1" ht="39.6">
      <c r="A61" s="1142" t="s">
        <v>3736</v>
      </c>
      <c r="B61" s="1147" t="str">
        <f>估价对象房地状况!C17</f>
        <v>估价对象位于XX商圈，周边办公楼项目较多，入驻率高，办公集聚程度较好</v>
      </c>
      <c r="C61" s="1018"/>
      <c r="D61" s="1148">
        <f t="shared" ref="D61:D69" si="12">SUMIF($J$60:$N$60,C61,J61:N61)</f>
        <v>0</v>
      </c>
      <c r="E61" s="1149">
        <f>ROUND(SUM(D61:D69),4)</f>
        <v>0</v>
      </c>
      <c r="F61" s="1150" t="str">
        <f>IF(E2="办公",SUMIF(L1:L12,G2,N1:N12),"——")</f>
        <v>——</v>
      </c>
      <c r="G61" s="1151"/>
      <c r="H61" s="1152" t="str">
        <f t="shared" ref="H61:H69" si="13">IFERROR(ROUNDDOWN($F$61*I61/2,4),"——")</f>
        <v>——</v>
      </c>
      <c r="I61" s="1252">
        <v>0.25</v>
      </c>
      <c r="J61" s="1253">
        <f t="shared" ref="J61:J69" si="14">K61+$G61</f>
        <v>0</v>
      </c>
      <c r="K61" s="1253">
        <f t="shared" ref="K61:K69" si="15">$L61+$G61</f>
        <v>0</v>
      </c>
      <c r="L61" s="1253">
        <v>0</v>
      </c>
      <c r="M61" s="1253">
        <f t="shared" ref="M61:N69" si="16">L61-$G61</f>
        <v>0</v>
      </c>
      <c r="N61" s="1253">
        <f t="shared" si="16"/>
        <v>0</v>
      </c>
      <c r="AA61" s="1127"/>
      <c r="AB61" s="1127"/>
      <c r="AC61" s="1127"/>
      <c r="AD61" s="1127"/>
      <c r="AE61" s="1127"/>
      <c r="AF61" s="1127"/>
      <c r="AG61" s="1127"/>
      <c r="AH61" s="1127"/>
      <c r="AI61" s="1127"/>
      <c r="AJ61" s="1127"/>
      <c r="AK61" s="1127"/>
    </row>
    <row r="62" spans="1:37" s="952" customFormat="1" ht="52.8">
      <c r="A62" s="1142" t="s">
        <v>3724</v>
      </c>
      <c r="B62" s="1153" t="str">
        <f>估价对象房地状况!C18</f>
        <v>估价对象周边道路状况、公共交通通达情况、停车便捷程度，综合评价交通便捷度较好</v>
      </c>
      <c r="C62" s="1018"/>
      <c r="D62" s="1148">
        <f t="shared" si="12"/>
        <v>0</v>
      </c>
      <c r="E62" s="1154"/>
      <c r="F62" s="1150"/>
      <c r="G62" s="1151"/>
      <c r="H62" s="1152" t="str">
        <f t="shared" si="13"/>
        <v>——</v>
      </c>
      <c r="I62" s="1252">
        <v>0.26</v>
      </c>
      <c r="J62" s="1253">
        <f t="shared" si="14"/>
        <v>0</v>
      </c>
      <c r="K62" s="1253">
        <f t="shared" si="15"/>
        <v>0</v>
      </c>
      <c r="L62" s="1253">
        <v>0</v>
      </c>
      <c r="M62" s="1253">
        <f t="shared" si="16"/>
        <v>0</v>
      </c>
      <c r="N62" s="1253">
        <f t="shared" si="16"/>
        <v>0</v>
      </c>
      <c r="AA62" s="1127"/>
      <c r="AB62" s="1127"/>
      <c r="AC62" s="1127"/>
      <c r="AD62" s="1127"/>
      <c r="AE62" s="1127"/>
      <c r="AF62" s="1127"/>
      <c r="AG62" s="1127"/>
      <c r="AH62" s="1127"/>
      <c r="AI62" s="1127"/>
      <c r="AJ62" s="1127"/>
      <c r="AK62" s="1127"/>
    </row>
    <row r="63" spans="1:37" s="952" customFormat="1" ht="48">
      <c r="A63" s="1155" t="s">
        <v>3725</v>
      </c>
      <c r="B63" s="1153">
        <f>估价对象房地状况!C19</f>
        <v>0</v>
      </c>
      <c r="C63" s="1018"/>
      <c r="D63" s="1148">
        <f t="shared" si="12"/>
        <v>0</v>
      </c>
      <c r="E63" s="1154"/>
      <c r="F63" s="1150"/>
      <c r="G63" s="1151"/>
      <c r="H63" s="1152" t="str">
        <f t="shared" si="13"/>
        <v>——</v>
      </c>
      <c r="I63" s="1252">
        <v>0.11</v>
      </c>
      <c r="J63" s="1253">
        <f t="shared" si="14"/>
        <v>0</v>
      </c>
      <c r="K63" s="1253">
        <f t="shared" si="15"/>
        <v>0</v>
      </c>
      <c r="L63" s="1253">
        <v>0</v>
      </c>
      <c r="M63" s="1253">
        <f t="shared" si="16"/>
        <v>0</v>
      </c>
      <c r="N63" s="1253">
        <f t="shared" si="16"/>
        <v>0</v>
      </c>
      <c r="AA63" s="1127"/>
      <c r="AB63" s="1127"/>
      <c r="AC63" s="1127"/>
      <c r="AD63" s="1127"/>
      <c r="AE63" s="1127"/>
      <c r="AF63" s="1127"/>
      <c r="AG63" s="1127"/>
      <c r="AH63" s="1127"/>
      <c r="AI63" s="1127"/>
      <c r="AJ63" s="1127"/>
      <c r="AK63" s="1127"/>
    </row>
    <row r="64" spans="1:37" s="952" customFormat="1" ht="37.200000000000003">
      <c r="A64" s="1142" t="s">
        <v>3726</v>
      </c>
      <c r="B64" s="1156" t="s">
        <v>3727</v>
      </c>
      <c r="C64" s="1018"/>
      <c r="D64" s="1148">
        <f t="shared" si="12"/>
        <v>0</v>
      </c>
      <c r="E64" s="1154"/>
      <c r="F64" s="1150"/>
      <c r="G64" s="1151"/>
      <c r="H64" s="1152" t="str">
        <f t="shared" si="13"/>
        <v>——</v>
      </c>
      <c r="I64" s="1252">
        <v>0.05</v>
      </c>
      <c r="J64" s="1253">
        <f t="shared" si="14"/>
        <v>0</v>
      </c>
      <c r="K64" s="1253">
        <f t="shared" si="15"/>
        <v>0</v>
      </c>
      <c r="L64" s="1253">
        <v>0</v>
      </c>
      <c r="M64" s="1253">
        <f t="shared" si="16"/>
        <v>0</v>
      </c>
      <c r="N64" s="1253">
        <f t="shared" si="16"/>
        <v>0</v>
      </c>
      <c r="AA64" s="1127"/>
      <c r="AB64" s="1127"/>
      <c r="AC64" s="1127"/>
      <c r="AD64" s="1127"/>
      <c r="AE64" s="1127"/>
      <c r="AF64" s="1127"/>
      <c r="AG64" s="1127"/>
      <c r="AH64" s="1127"/>
      <c r="AI64" s="1127"/>
      <c r="AJ64" s="1127"/>
      <c r="AK64" s="1127"/>
    </row>
    <row r="65" spans="1:37" s="952" customFormat="1" ht="24">
      <c r="A65" s="1142" t="s">
        <v>3728</v>
      </c>
      <c r="B65" s="1153">
        <f>估价对象房地状况!C24</f>
        <v>0</v>
      </c>
      <c r="C65" s="1018"/>
      <c r="D65" s="1148">
        <f t="shared" si="12"/>
        <v>0</v>
      </c>
      <c r="E65" s="1154"/>
      <c r="F65" s="1150"/>
      <c r="G65" s="1151"/>
      <c r="H65" s="1152" t="str">
        <f t="shared" si="13"/>
        <v>——</v>
      </c>
      <c r="I65" s="1252">
        <v>0.05</v>
      </c>
      <c r="J65" s="1253">
        <f t="shared" si="14"/>
        <v>0</v>
      </c>
      <c r="K65" s="1253">
        <f t="shared" si="15"/>
        <v>0</v>
      </c>
      <c r="L65" s="1253">
        <v>0</v>
      </c>
      <c r="M65" s="1253">
        <f t="shared" si="16"/>
        <v>0</v>
      </c>
      <c r="N65" s="1253">
        <f t="shared" si="16"/>
        <v>0</v>
      </c>
      <c r="AA65" s="1127"/>
      <c r="AB65" s="1127"/>
      <c r="AC65" s="1127"/>
      <c r="AD65" s="1127"/>
      <c r="AE65" s="1127"/>
      <c r="AF65" s="1127"/>
      <c r="AG65" s="1127"/>
      <c r="AH65" s="1127"/>
      <c r="AI65" s="1127"/>
      <c r="AJ65" s="1127"/>
      <c r="AK65" s="1127"/>
    </row>
    <row r="66" spans="1:37" s="952" customFormat="1" ht="36">
      <c r="A66" s="1142" t="s">
        <v>3729</v>
      </c>
      <c r="B66" s="1157" t="s">
        <v>3730</v>
      </c>
      <c r="C66" s="1018"/>
      <c r="D66" s="1148">
        <f t="shared" si="12"/>
        <v>0</v>
      </c>
      <c r="E66" s="1154"/>
      <c r="F66" s="1150"/>
      <c r="G66" s="1151"/>
      <c r="H66" s="1152" t="str">
        <f t="shared" si="13"/>
        <v>——</v>
      </c>
      <c r="I66" s="1252">
        <v>0.06</v>
      </c>
      <c r="J66" s="1253">
        <f t="shared" si="14"/>
        <v>0</v>
      </c>
      <c r="K66" s="1253">
        <f t="shared" si="15"/>
        <v>0</v>
      </c>
      <c r="L66" s="1253">
        <v>0</v>
      </c>
      <c r="M66" s="1253">
        <f t="shared" si="16"/>
        <v>0</v>
      </c>
      <c r="N66" s="1253">
        <f t="shared" si="16"/>
        <v>0</v>
      </c>
      <c r="AA66" s="1127"/>
      <c r="AB66" s="1127"/>
      <c r="AC66" s="1127"/>
      <c r="AD66" s="1127"/>
      <c r="AE66" s="1127"/>
      <c r="AF66" s="1127"/>
      <c r="AG66" s="1127"/>
      <c r="AH66" s="1127"/>
      <c r="AI66" s="1127"/>
      <c r="AJ66" s="1127"/>
      <c r="AK66" s="1127"/>
    </row>
    <row r="67" spans="1:37" s="952" customFormat="1" ht="26.4">
      <c r="A67" s="1142" t="s">
        <v>3731</v>
      </c>
      <c r="B67" s="577" t="str">
        <f>估价对象房地状况!C21</f>
        <v>估价对象所在区域公共配套设施齐备情况</v>
      </c>
      <c r="C67" s="1018"/>
      <c r="D67" s="1148">
        <f t="shared" si="12"/>
        <v>0</v>
      </c>
      <c r="E67" s="1154"/>
      <c r="F67" s="1150"/>
      <c r="G67" s="1151"/>
      <c r="H67" s="1152" t="str">
        <f t="shared" si="13"/>
        <v>——</v>
      </c>
      <c r="I67" s="1252">
        <v>0.06</v>
      </c>
      <c r="J67" s="1253">
        <f t="shared" si="14"/>
        <v>0</v>
      </c>
      <c r="K67" s="1253">
        <f t="shared" si="15"/>
        <v>0</v>
      </c>
      <c r="L67" s="1253">
        <v>0</v>
      </c>
      <c r="M67" s="1253">
        <f t="shared" si="16"/>
        <v>0</v>
      </c>
      <c r="N67" s="1253">
        <f t="shared" si="16"/>
        <v>0</v>
      </c>
      <c r="AA67" s="1127"/>
      <c r="AB67" s="1127"/>
      <c r="AC67" s="1127"/>
      <c r="AD67" s="1127"/>
      <c r="AE67" s="1127"/>
      <c r="AF67" s="1127"/>
      <c r="AG67" s="1127"/>
      <c r="AH67" s="1127"/>
      <c r="AI67" s="1127"/>
      <c r="AJ67" s="1127"/>
      <c r="AK67" s="1127"/>
    </row>
    <row r="68" spans="1:37" s="952" customFormat="1" ht="26.4">
      <c r="A68" s="1142" t="s">
        <v>3732</v>
      </c>
      <c r="B68" s="577" t="str">
        <f>估价对象房地状况!C22</f>
        <v>估价对象所在区域基础设施水平</v>
      </c>
      <c r="C68" s="1018"/>
      <c r="D68" s="1148">
        <f t="shared" si="12"/>
        <v>0</v>
      </c>
      <c r="E68" s="1154"/>
      <c r="F68" s="1150"/>
      <c r="G68" s="1151"/>
      <c r="H68" s="1152" t="str">
        <f t="shared" si="13"/>
        <v>——</v>
      </c>
      <c r="I68" s="1252">
        <v>0.09</v>
      </c>
      <c r="J68" s="1253">
        <f t="shared" si="14"/>
        <v>0</v>
      </c>
      <c r="K68" s="1253">
        <f t="shared" si="15"/>
        <v>0</v>
      </c>
      <c r="L68" s="1253">
        <v>0</v>
      </c>
      <c r="M68" s="1253">
        <f t="shared" si="16"/>
        <v>0</v>
      </c>
      <c r="N68" s="1253">
        <f t="shared" si="16"/>
        <v>0</v>
      </c>
      <c r="AA68" s="1127"/>
      <c r="AB68" s="1127"/>
      <c r="AC68" s="1127"/>
      <c r="AD68" s="1127"/>
      <c r="AE68" s="1127"/>
      <c r="AF68" s="1127"/>
      <c r="AG68" s="1127"/>
      <c r="AH68" s="1127"/>
      <c r="AI68" s="1127"/>
      <c r="AJ68" s="1127"/>
      <c r="AK68" s="1127"/>
    </row>
    <row r="69" spans="1:37" s="952" customFormat="1" ht="39.6">
      <c r="A69" s="1159" t="s">
        <v>3733</v>
      </c>
      <c r="B69" s="1284" t="str">
        <f>估价对象房地状况!C20</f>
        <v>区域自然环境：；人文环境；综合评价环境状况一般</v>
      </c>
      <c r="C69" s="1018"/>
      <c r="D69" s="1148">
        <f t="shared" si="12"/>
        <v>0</v>
      </c>
      <c r="E69" s="1161"/>
      <c r="F69" s="1150"/>
      <c r="G69" s="1151"/>
      <c r="H69" s="1152" t="str">
        <f t="shared" si="13"/>
        <v>——</v>
      </c>
      <c r="I69" s="1254">
        <v>7.0000000000000007E-2</v>
      </c>
      <c r="J69" s="1253">
        <f t="shared" si="14"/>
        <v>0</v>
      </c>
      <c r="K69" s="1253">
        <f t="shared" si="15"/>
        <v>0</v>
      </c>
      <c r="L69" s="1253">
        <v>0</v>
      </c>
      <c r="M69" s="1253">
        <f t="shared" si="16"/>
        <v>0</v>
      </c>
      <c r="N69" s="1253">
        <f t="shared" si="16"/>
        <v>0</v>
      </c>
      <c r="AA69" s="1127"/>
      <c r="AB69" s="1127"/>
      <c r="AC69" s="1127"/>
      <c r="AD69" s="1127"/>
      <c r="AE69" s="1127"/>
      <c r="AF69" s="1127"/>
      <c r="AG69" s="1127"/>
      <c r="AH69" s="1127"/>
      <c r="AI69" s="1127"/>
      <c r="AJ69" s="1127"/>
      <c r="AK69" s="1127"/>
    </row>
    <row r="70" spans="1:37" s="952" customFormat="1" ht="14.4">
      <c r="A70" s="1136" t="s">
        <v>3737</v>
      </c>
      <c r="B70" s="1137">
        <f>1+E72</f>
        <v>1.0170999999999999</v>
      </c>
      <c r="C70" s="1139"/>
      <c r="D70" s="1139"/>
      <c r="E70" s="1140"/>
      <c r="F70" s="1141"/>
      <c r="G70" s="1135"/>
      <c r="H70" s="1135"/>
      <c r="I70" s="1135"/>
      <c r="J70" s="1134"/>
      <c r="K70" s="1134"/>
      <c r="L70" s="1134"/>
      <c r="M70" s="1134"/>
      <c r="N70" s="1134"/>
      <c r="AA70" s="1127"/>
      <c r="AB70" s="1127"/>
      <c r="AC70" s="1127"/>
      <c r="AD70" s="1127"/>
      <c r="AE70" s="1127"/>
      <c r="AF70" s="1127"/>
      <c r="AG70" s="1127"/>
      <c r="AH70" s="1127"/>
      <c r="AI70" s="1127"/>
      <c r="AJ70" s="1127"/>
      <c r="AK70" s="1127"/>
    </row>
    <row r="71" spans="1:37" s="952" customFormat="1" ht="25.2">
      <c r="A71" s="1142" t="s">
        <v>3715</v>
      </c>
      <c r="B71" s="1143"/>
      <c r="C71" s="1143" t="s">
        <v>3717</v>
      </c>
      <c r="D71" s="1143" t="s">
        <v>3718</v>
      </c>
      <c r="E71" s="1144" t="s">
        <v>3719</v>
      </c>
      <c r="F71" s="1145" t="s">
        <v>3735</v>
      </c>
      <c r="G71" s="1143" t="s">
        <v>2957</v>
      </c>
      <c r="H71" s="1146" t="s">
        <v>3721</v>
      </c>
      <c r="I71" s="1143" t="s">
        <v>3722</v>
      </c>
      <c r="J71" s="1251" t="s">
        <v>2933</v>
      </c>
      <c r="K71" s="1251" t="s">
        <v>2934</v>
      </c>
      <c r="L71" s="1251" t="s">
        <v>2935</v>
      </c>
      <c r="M71" s="1251" t="s">
        <v>2936</v>
      </c>
      <c r="N71" s="1251" t="s">
        <v>2937</v>
      </c>
      <c r="AA71" s="1127"/>
      <c r="AB71" s="1127"/>
      <c r="AC71" s="1127"/>
      <c r="AD71" s="1127"/>
      <c r="AE71" s="1127"/>
      <c r="AF71" s="1127"/>
      <c r="AG71" s="1127"/>
      <c r="AH71" s="1127"/>
      <c r="AI71" s="1127"/>
      <c r="AJ71" s="1127"/>
      <c r="AK71" s="1127"/>
    </row>
    <row r="72" spans="1:37" s="952" customFormat="1" ht="52.8">
      <c r="A72" s="1142" t="s">
        <v>3738</v>
      </c>
      <c r="B72" s="1147" t="str">
        <f>估价对象房地状况!C15</f>
        <v>估价对象周边居住用地比例、居住小区规模和社区发展完善程度，综合评价居住社区成熟度一般</v>
      </c>
      <c r="C72" s="1018" t="s">
        <v>2900</v>
      </c>
      <c r="D72" s="1148">
        <f t="shared" ref="D72:D80" si="17">SUMIF($J$71:$N$71,C72,J72:N72)</f>
        <v>0</v>
      </c>
      <c r="E72" s="1149">
        <f>ROUND(SUM(D72:D80),4)</f>
        <v>1.7100000000000001E-2</v>
      </c>
      <c r="F72" s="1150">
        <f>IF(E2="住宅",SUMIF(L1:L12,G2,N1:N12),"——")</f>
        <v>5.8999999999999997E-2</v>
      </c>
      <c r="G72" s="1151">
        <f>H72</f>
        <v>5.8999999999999999E-3</v>
      </c>
      <c r="H72" s="1152">
        <f t="shared" ref="H72:H80" si="18">IFERROR(ROUNDDOWN($F$72*I72/2,4),"——")</f>
        <v>5.8999999999999999E-3</v>
      </c>
      <c r="I72" s="1252">
        <v>0.2</v>
      </c>
      <c r="J72" s="1253">
        <f t="shared" ref="J72:J80" si="19">K72+$G72</f>
        <v>1.18E-2</v>
      </c>
      <c r="K72" s="1253">
        <f t="shared" ref="K72:K80" si="20">$L72+$G72</f>
        <v>5.8999999999999999E-3</v>
      </c>
      <c r="L72" s="1253">
        <v>0</v>
      </c>
      <c r="M72" s="1253">
        <f t="shared" ref="M72:N80" si="21">L72-$G72</f>
        <v>-5.8999999999999999E-3</v>
      </c>
      <c r="N72" s="1253">
        <f t="shared" si="21"/>
        <v>-1.18E-2</v>
      </c>
      <c r="AA72" s="1127"/>
      <c r="AB72" s="1127"/>
      <c r="AC72" s="1127"/>
      <c r="AD72" s="1127"/>
      <c r="AE72" s="1127"/>
      <c r="AF72" s="1127"/>
      <c r="AG72" s="1127"/>
      <c r="AH72" s="1127"/>
      <c r="AI72" s="1127"/>
      <c r="AJ72" s="1127"/>
      <c r="AK72" s="1127"/>
    </row>
    <row r="73" spans="1:37" s="952" customFormat="1" ht="52.8">
      <c r="A73" s="1142" t="s">
        <v>3724</v>
      </c>
      <c r="B73" s="1153" t="str">
        <f>估价对象房地状况!C18</f>
        <v>估价对象周边道路状况、公共交通通达情况、停车便捷程度，综合评价交通便捷度较好</v>
      </c>
      <c r="C73" s="1018" t="s">
        <v>2898</v>
      </c>
      <c r="D73" s="1148">
        <f t="shared" si="17"/>
        <v>7.6E-3</v>
      </c>
      <c r="E73" s="1285"/>
      <c r="F73" s="1150"/>
      <c r="G73" s="1151">
        <f t="shared" ref="G73:G80" si="22">H73</f>
        <v>7.6E-3</v>
      </c>
      <c r="H73" s="1152">
        <f t="shared" si="18"/>
        <v>7.6E-3</v>
      </c>
      <c r="I73" s="1252">
        <v>0.26</v>
      </c>
      <c r="J73" s="1253">
        <f t="shared" si="19"/>
        <v>1.52E-2</v>
      </c>
      <c r="K73" s="1253">
        <f t="shared" si="20"/>
        <v>7.6E-3</v>
      </c>
      <c r="L73" s="1253">
        <v>0</v>
      </c>
      <c r="M73" s="1253">
        <f t="shared" si="21"/>
        <v>-7.6E-3</v>
      </c>
      <c r="N73" s="1253">
        <f t="shared" si="21"/>
        <v>-1.52E-2</v>
      </c>
      <c r="AA73" s="1127"/>
      <c r="AB73" s="1127"/>
      <c r="AC73" s="1127"/>
      <c r="AD73" s="1127"/>
      <c r="AE73" s="1127"/>
      <c r="AF73" s="1127"/>
      <c r="AG73" s="1127"/>
      <c r="AH73" s="1127"/>
      <c r="AI73" s="1127"/>
      <c r="AJ73" s="1127"/>
      <c r="AK73" s="1127"/>
    </row>
    <row r="74" spans="1:37" s="953" customFormat="1" ht="48">
      <c r="A74" s="1155" t="s">
        <v>3725</v>
      </c>
      <c r="B74" s="1153">
        <f>估价对象房地状况!C19</f>
        <v>0</v>
      </c>
      <c r="C74" s="1018" t="s">
        <v>2898</v>
      </c>
      <c r="D74" s="1148">
        <f t="shared" si="17"/>
        <v>2.8999999999999998E-3</v>
      </c>
      <c r="E74" s="1285"/>
      <c r="F74" s="1150"/>
      <c r="G74" s="1151">
        <f t="shared" si="22"/>
        <v>2.8999999999999998E-3</v>
      </c>
      <c r="H74" s="1152">
        <f t="shared" si="18"/>
        <v>2.8999999999999998E-3</v>
      </c>
      <c r="I74" s="1252">
        <v>0.1</v>
      </c>
      <c r="J74" s="1253">
        <f t="shared" si="19"/>
        <v>5.7999999999999996E-3</v>
      </c>
      <c r="K74" s="1253">
        <f t="shared" si="20"/>
        <v>2.8999999999999998E-3</v>
      </c>
      <c r="L74" s="1253">
        <v>0</v>
      </c>
      <c r="M74" s="1253">
        <f t="shared" si="21"/>
        <v>-2.8999999999999998E-3</v>
      </c>
      <c r="N74" s="1253">
        <f t="shared" si="21"/>
        <v>-5.7999999999999996E-3</v>
      </c>
      <c r="O74" s="952"/>
      <c r="P74" s="952"/>
      <c r="Q74" s="952"/>
      <c r="AA74" s="1280"/>
      <c r="AB74" s="1127"/>
      <c r="AC74" s="1127"/>
      <c r="AD74" s="1127"/>
      <c r="AE74" s="1127"/>
      <c r="AF74" s="1127"/>
      <c r="AG74" s="1127"/>
      <c r="AH74" s="1280"/>
      <c r="AI74" s="1280"/>
      <c r="AJ74" s="1280"/>
      <c r="AK74" s="1280"/>
    </row>
    <row r="75" spans="1:37" ht="13.8">
      <c r="A75" s="1142" t="s">
        <v>3739</v>
      </c>
      <c r="B75" s="1153">
        <f>估价对象房地状况!C24</f>
        <v>0</v>
      </c>
      <c r="C75" s="1018" t="s">
        <v>3740</v>
      </c>
      <c r="D75" s="1148">
        <f t="shared" si="17"/>
        <v>-1.4E-3</v>
      </c>
      <c r="E75" s="1285"/>
      <c r="F75" s="1150"/>
      <c r="G75" s="1151">
        <f t="shared" si="22"/>
        <v>1.4E-3</v>
      </c>
      <c r="H75" s="1152">
        <f t="shared" si="18"/>
        <v>1.4E-3</v>
      </c>
      <c r="I75" s="1252">
        <v>0.05</v>
      </c>
      <c r="J75" s="1253">
        <f t="shared" si="19"/>
        <v>2.8E-3</v>
      </c>
      <c r="K75" s="1253">
        <f t="shared" si="20"/>
        <v>1.4E-3</v>
      </c>
      <c r="L75" s="1253">
        <v>0</v>
      </c>
      <c r="M75" s="1253">
        <f t="shared" si="21"/>
        <v>-1.4E-3</v>
      </c>
      <c r="N75" s="1253">
        <f t="shared" si="21"/>
        <v>-2.8E-3</v>
      </c>
      <c r="O75" s="952"/>
      <c r="P75" s="952"/>
      <c r="Q75" s="953"/>
      <c r="Z75" s="956"/>
      <c r="AA75" s="954"/>
      <c r="AG75" s="958"/>
      <c r="AK75" s="954"/>
    </row>
    <row r="76" spans="1:37" ht="26.4">
      <c r="A76" s="1142" t="s">
        <v>3731</v>
      </c>
      <c r="B76" s="577" t="str">
        <f>估价对象房地状况!C21</f>
        <v>估价对象所在区域公共配套设施齐备情况</v>
      </c>
      <c r="C76" s="1018" t="s">
        <v>2900</v>
      </c>
      <c r="D76" s="1148">
        <f t="shared" si="17"/>
        <v>0</v>
      </c>
      <c r="E76" s="1285"/>
      <c r="F76" s="1150"/>
      <c r="G76" s="1151">
        <f t="shared" si="22"/>
        <v>2.3E-3</v>
      </c>
      <c r="H76" s="1152">
        <f t="shared" si="18"/>
        <v>2.3E-3</v>
      </c>
      <c r="I76" s="1252">
        <v>0.08</v>
      </c>
      <c r="J76" s="1253">
        <f t="shared" si="19"/>
        <v>4.5999999999999999E-3</v>
      </c>
      <c r="K76" s="1253">
        <f t="shared" si="20"/>
        <v>2.3E-3</v>
      </c>
      <c r="L76" s="1253">
        <v>0</v>
      </c>
      <c r="M76" s="1253">
        <f t="shared" si="21"/>
        <v>-2.3E-3</v>
      </c>
      <c r="N76" s="1253">
        <f t="shared" si="21"/>
        <v>-4.5999999999999999E-3</v>
      </c>
      <c r="O76" s="952"/>
      <c r="P76" s="952"/>
      <c r="Z76" s="956"/>
      <c r="AA76" s="954"/>
      <c r="AG76" s="958"/>
      <c r="AK76" s="954"/>
    </row>
    <row r="77" spans="1:37" ht="26.4">
      <c r="A77" s="1142" t="s">
        <v>3732</v>
      </c>
      <c r="B77" s="577" t="str">
        <f>估价对象房地状况!C22</f>
        <v>估价对象所在区域基础设施水平</v>
      </c>
      <c r="C77" s="1018" t="s">
        <v>3741</v>
      </c>
      <c r="D77" s="1148">
        <f t="shared" si="17"/>
        <v>5.1999999999999998E-3</v>
      </c>
      <c r="E77" s="1285"/>
      <c r="F77" s="1150"/>
      <c r="G77" s="1151">
        <f t="shared" si="22"/>
        <v>2.5999999999999999E-3</v>
      </c>
      <c r="H77" s="1152">
        <f t="shared" si="18"/>
        <v>2.5999999999999999E-3</v>
      </c>
      <c r="I77" s="1252">
        <v>0.09</v>
      </c>
      <c r="J77" s="1253">
        <f t="shared" si="19"/>
        <v>5.1999999999999998E-3</v>
      </c>
      <c r="K77" s="1253">
        <f t="shared" si="20"/>
        <v>2.5999999999999999E-3</v>
      </c>
      <c r="L77" s="1253">
        <v>0</v>
      </c>
      <c r="M77" s="1253">
        <f t="shared" si="21"/>
        <v>-2.5999999999999999E-3</v>
      </c>
      <c r="N77" s="1253">
        <f t="shared" si="21"/>
        <v>-5.1999999999999998E-3</v>
      </c>
      <c r="O77" s="952"/>
      <c r="P77" s="952"/>
      <c r="Z77" s="956"/>
      <c r="AA77" s="954"/>
      <c r="AG77" s="958"/>
      <c r="AK77" s="954"/>
    </row>
    <row r="78" spans="1:37" ht="36">
      <c r="A78" s="1142" t="s">
        <v>3729</v>
      </c>
      <c r="B78" s="1157" t="s">
        <v>3730</v>
      </c>
      <c r="C78" s="1018" t="s">
        <v>2898</v>
      </c>
      <c r="D78" s="1148">
        <f t="shared" si="17"/>
        <v>1.4E-3</v>
      </c>
      <c r="E78" s="1285"/>
      <c r="F78" s="1150"/>
      <c r="G78" s="1151">
        <f t="shared" si="22"/>
        <v>1.4E-3</v>
      </c>
      <c r="H78" s="1152">
        <f t="shared" si="18"/>
        <v>1.4E-3</v>
      </c>
      <c r="I78" s="1252">
        <v>0.05</v>
      </c>
      <c r="J78" s="1253">
        <f t="shared" si="19"/>
        <v>2.8E-3</v>
      </c>
      <c r="K78" s="1253">
        <f t="shared" si="20"/>
        <v>1.4E-3</v>
      </c>
      <c r="L78" s="1253">
        <v>0</v>
      </c>
      <c r="M78" s="1253">
        <f t="shared" si="21"/>
        <v>-1.4E-3</v>
      </c>
      <c r="N78" s="1253">
        <f t="shared" si="21"/>
        <v>-2.8E-3</v>
      </c>
      <c r="O78" s="953"/>
      <c r="P78" s="953"/>
      <c r="Z78" s="956"/>
      <c r="AA78" s="954"/>
      <c r="AG78" s="958"/>
      <c r="AK78" s="954"/>
    </row>
    <row r="79" spans="1:37" ht="39.6">
      <c r="A79" s="1142" t="s">
        <v>3733</v>
      </c>
      <c r="B79" s="1147" t="str">
        <f>估价对象房地状况!C20</f>
        <v>区域自然环境：；人文环境；综合评价环境状况一般</v>
      </c>
      <c r="C79" s="1018" t="s">
        <v>2900</v>
      </c>
      <c r="D79" s="1148">
        <f t="shared" si="17"/>
        <v>0</v>
      </c>
      <c r="E79" s="1285"/>
      <c r="F79" s="1150"/>
      <c r="G79" s="1151">
        <f t="shared" si="22"/>
        <v>3.5000000000000001E-3</v>
      </c>
      <c r="H79" s="1152">
        <f t="shared" si="18"/>
        <v>3.5000000000000001E-3</v>
      </c>
      <c r="I79" s="1252">
        <v>0.12</v>
      </c>
      <c r="J79" s="1253">
        <f t="shared" si="19"/>
        <v>7.0000000000000001E-3</v>
      </c>
      <c r="K79" s="1253">
        <f t="shared" si="20"/>
        <v>3.5000000000000001E-3</v>
      </c>
      <c r="L79" s="1253">
        <v>0</v>
      </c>
      <c r="M79" s="1253">
        <f t="shared" si="21"/>
        <v>-3.5000000000000001E-3</v>
      </c>
      <c r="N79" s="1253">
        <f t="shared" si="21"/>
        <v>-7.0000000000000001E-3</v>
      </c>
      <c r="Z79" s="956"/>
      <c r="AA79" s="954"/>
      <c r="AG79" s="958"/>
      <c r="AK79" s="954"/>
    </row>
    <row r="80" spans="1:37" ht="36">
      <c r="A80" s="1159" t="s">
        <v>3742</v>
      </c>
      <c r="B80" s="1286"/>
      <c r="C80" s="1018" t="s">
        <v>2898</v>
      </c>
      <c r="D80" s="1148">
        <f t="shared" si="17"/>
        <v>1.4E-3</v>
      </c>
      <c r="E80" s="1287"/>
      <c r="F80" s="1150"/>
      <c r="G80" s="1151">
        <f t="shared" si="22"/>
        <v>1.4E-3</v>
      </c>
      <c r="H80" s="1152">
        <f t="shared" si="18"/>
        <v>1.4E-3</v>
      </c>
      <c r="I80" s="1254">
        <v>0.05</v>
      </c>
      <c r="J80" s="1253">
        <f t="shared" si="19"/>
        <v>2.8E-3</v>
      </c>
      <c r="K80" s="1253">
        <f t="shared" si="20"/>
        <v>1.4E-3</v>
      </c>
      <c r="L80" s="1253">
        <v>0</v>
      </c>
      <c r="M80" s="1253">
        <f t="shared" si="21"/>
        <v>-1.4E-3</v>
      </c>
      <c r="N80" s="1253">
        <f t="shared" si="21"/>
        <v>-2.8E-3</v>
      </c>
      <c r="Z80" s="956"/>
      <c r="AA80" s="954"/>
      <c r="AG80" s="958"/>
      <c r="AK80" s="954"/>
    </row>
    <row r="81" spans="1:37" ht="14.4">
      <c r="A81" s="1136" t="s">
        <v>3743</v>
      </c>
      <c r="B81" s="1137">
        <f>1+E83</f>
        <v>1</v>
      </c>
      <c r="C81" s="1139"/>
      <c r="D81" s="1139"/>
      <c r="E81" s="1140"/>
      <c r="F81" s="1141"/>
      <c r="G81" s="1135"/>
      <c r="H81" s="1135"/>
      <c r="I81" s="1135"/>
      <c r="J81" s="1134"/>
      <c r="K81" s="1134"/>
      <c r="L81" s="1134"/>
      <c r="M81" s="1134"/>
      <c r="N81" s="1134"/>
      <c r="Z81" s="956"/>
      <c r="AA81" s="954"/>
      <c r="AG81" s="958"/>
      <c r="AK81" s="954"/>
    </row>
    <row r="82" spans="1:37" ht="25.2">
      <c r="A82" s="1142" t="s">
        <v>3715</v>
      </c>
      <c r="B82" s="1143"/>
      <c r="C82" s="1143" t="s">
        <v>3717</v>
      </c>
      <c r="D82" s="1143" t="s">
        <v>3718</v>
      </c>
      <c r="E82" s="1144" t="s">
        <v>3719</v>
      </c>
      <c r="F82" s="1145" t="s">
        <v>3735</v>
      </c>
      <c r="G82" s="1143" t="s">
        <v>2957</v>
      </c>
      <c r="H82" s="1146" t="s">
        <v>3721</v>
      </c>
      <c r="I82" s="1143" t="s">
        <v>3722</v>
      </c>
      <c r="J82" s="1251" t="s">
        <v>2933</v>
      </c>
      <c r="K82" s="1251" t="s">
        <v>2934</v>
      </c>
      <c r="L82" s="1251" t="s">
        <v>2935</v>
      </c>
      <c r="M82" s="1251" t="s">
        <v>2936</v>
      </c>
      <c r="N82" s="1251" t="s">
        <v>2937</v>
      </c>
      <c r="Z82" s="956"/>
      <c r="AA82" s="954"/>
      <c r="AG82" s="958"/>
      <c r="AK82" s="954"/>
    </row>
    <row r="83" spans="1:37" ht="39.6">
      <c r="A83" s="1142" t="s">
        <v>3744</v>
      </c>
      <c r="B83" s="1153" t="str">
        <f>估价对象房地状况!G15</f>
        <v>估价对象位于XX开发区，园区建设成熟度XX，产业集聚程度XX</v>
      </c>
      <c r="C83" s="1018"/>
      <c r="D83" s="1148">
        <f t="shared" ref="D83:D90" si="23">SUMIF($J$82:$N$82,C83,J83:N83)</f>
        <v>0</v>
      </c>
      <c r="E83" s="1149">
        <f>ROUND(SUM(D83:D90),4)</f>
        <v>0</v>
      </c>
      <c r="F83" s="1150" t="str">
        <f>IF(E2="工业",SUMIF(L1:L12,G2,N1:N12),"——")</f>
        <v>——</v>
      </c>
      <c r="G83" s="1151"/>
      <c r="H83" s="1152" t="str">
        <f t="shared" ref="H83:H90" si="24">IFERROR(ROUNDDOWN($F$83*I83/2,4),"——")</f>
        <v>——</v>
      </c>
      <c r="I83" s="1252">
        <v>0.26</v>
      </c>
      <c r="J83" s="1253">
        <f t="shared" ref="J83:J90" si="25">K83+$G83</f>
        <v>0</v>
      </c>
      <c r="K83" s="1253">
        <f t="shared" ref="K83:K90" si="26">$L83+$G83</f>
        <v>0</v>
      </c>
      <c r="L83" s="1253">
        <v>0</v>
      </c>
      <c r="M83" s="1253">
        <f t="shared" ref="M83:N90" si="27">L83-$G83</f>
        <v>0</v>
      </c>
      <c r="N83" s="1253">
        <f t="shared" si="27"/>
        <v>0</v>
      </c>
      <c r="Z83" s="956"/>
      <c r="AA83" s="954"/>
      <c r="AG83" s="958"/>
      <c r="AK83" s="954"/>
    </row>
    <row r="84" spans="1:37" ht="52.8">
      <c r="A84" s="1142" t="s">
        <v>3724</v>
      </c>
      <c r="B84" s="1153" t="str">
        <f>估价对象房地状况!G16</f>
        <v>估价对象周边道路状况、公共交通通达情况、停车便捷程度，综合评价交通便捷度较好</v>
      </c>
      <c r="C84" s="1018"/>
      <c r="D84" s="1148">
        <f t="shared" si="23"/>
        <v>0</v>
      </c>
      <c r="E84" s="1285"/>
      <c r="F84" s="1150"/>
      <c r="G84" s="1151"/>
      <c r="H84" s="1152" t="str">
        <f t="shared" si="24"/>
        <v>——</v>
      </c>
      <c r="I84" s="1252">
        <v>0.3</v>
      </c>
      <c r="J84" s="1253">
        <f t="shared" si="25"/>
        <v>0</v>
      </c>
      <c r="K84" s="1253">
        <f t="shared" si="26"/>
        <v>0</v>
      </c>
      <c r="L84" s="1253">
        <v>0</v>
      </c>
      <c r="M84" s="1253">
        <f t="shared" si="27"/>
        <v>0</v>
      </c>
      <c r="N84" s="1253">
        <f t="shared" si="27"/>
        <v>0</v>
      </c>
      <c r="Z84" s="956"/>
      <c r="AA84" s="954"/>
      <c r="AG84" s="958"/>
      <c r="AK84" s="954"/>
    </row>
    <row r="85" spans="1:37" ht="48">
      <c r="A85" s="1155" t="s">
        <v>3725</v>
      </c>
      <c r="B85" s="1153">
        <f>估价对象房地状况!G17</f>
        <v>0</v>
      </c>
      <c r="C85" s="1018"/>
      <c r="D85" s="1148">
        <f t="shared" si="23"/>
        <v>0</v>
      </c>
      <c r="E85" s="1285"/>
      <c r="F85" s="1150"/>
      <c r="G85" s="1151"/>
      <c r="H85" s="1152" t="str">
        <f t="shared" si="24"/>
        <v>——</v>
      </c>
      <c r="I85" s="1252">
        <v>0.1</v>
      </c>
      <c r="J85" s="1253">
        <f t="shared" si="25"/>
        <v>0</v>
      </c>
      <c r="K85" s="1253">
        <f t="shared" si="26"/>
        <v>0</v>
      </c>
      <c r="L85" s="1253">
        <v>0</v>
      </c>
      <c r="M85" s="1253">
        <f t="shared" si="27"/>
        <v>0</v>
      </c>
      <c r="N85" s="1253">
        <f t="shared" si="27"/>
        <v>0</v>
      </c>
      <c r="Z85" s="956"/>
      <c r="AA85" s="954"/>
      <c r="AG85" s="958"/>
      <c r="AK85" s="954"/>
    </row>
    <row r="86" spans="1:37" ht="13.8">
      <c r="A86" s="1142" t="s">
        <v>3739</v>
      </c>
      <c r="B86" s="1153">
        <f>估价对象房地状况!G22</f>
        <v>0</v>
      </c>
      <c r="C86" s="1018"/>
      <c r="D86" s="1148">
        <f t="shared" si="23"/>
        <v>0</v>
      </c>
      <c r="E86" s="1285"/>
      <c r="F86" s="1150"/>
      <c r="G86" s="1151"/>
      <c r="H86" s="1152" t="str">
        <f t="shared" si="24"/>
        <v>——</v>
      </c>
      <c r="I86" s="1252">
        <v>0.05</v>
      </c>
      <c r="J86" s="1253">
        <f t="shared" si="25"/>
        <v>0</v>
      </c>
      <c r="K86" s="1253">
        <f t="shared" si="26"/>
        <v>0</v>
      </c>
      <c r="L86" s="1253">
        <v>0</v>
      </c>
      <c r="M86" s="1253">
        <f t="shared" si="27"/>
        <v>0</v>
      </c>
      <c r="N86" s="1253">
        <f t="shared" si="27"/>
        <v>0</v>
      </c>
      <c r="Z86" s="956"/>
      <c r="AA86" s="954"/>
      <c r="AG86" s="958"/>
      <c r="AK86" s="954"/>
    </row>
    <row r="87" spans="1:37" ht="26.4">
      <c r="A87" s="1142" t="s">
        <v>3731</v>
      </c>
      <c r="B87" s="577" t="str">
        <f>估价对象房地状况!G19</f>
        <v>估价对象所在区域公共配套设施齐备情况</v>
      </c>
      <c r="C87" s="1018"/>
      <c r="D87" s="1148">
        <f t="shared" si="23"/>
        <v>0</v>
      </c>
      <c r="E87" s="1285"/>
      <c r="F87" s="1150"/>
      <c r="G87" s="1151"/>
      <c r="H87" s="1152" t="str">
        <f t="shared" si="24"/>
        <v>——</v>
      </c>
      <c r="I87" s="1252">
        <v>0.06</v>
      </c>
      <c r="J87" s="1253">
        <f t="shared" si="25"/>
        <v>0</v>
      </c>
      <c r="K87" s="1253">
        <f t="shared" si="26"/>
        <v>0</v>
      </c>
      <c r="L87" s="1253">
        <v>0</v>
      </c>
      <c r="M87" s="1253">
        <f t="shared" si="27"/>
        <v>0</v>
      </c>
      <c r="N87" s="1253">
        <f t="shared" si="27"/>
        <v>0</v>
      </c>
    </row>
    <row r="88" spans="1:37" ht="26.4">
      <c r="A88" s="1142" t="s">
        <v>3732</v>
      </c>
      <c r="B88" s="577" t="str">
        <f>估价对象房地状况!G20</f>
        <v>估价对象所在区域基础设施水平</v>
      </c>
      <c r="C88" s="1018"/>
      <c r="D88" s="1148">
        <f t="shared" si="23"/>
        <v>0</v>
      </c>
      <c r="E88" s="1285"/>
      <c r="F88" s="1150"/>
      <c r="G88" s="1151"/>
      <c r="H88" s="1152" t="str">
        <f t="shared" si="24"/>
        <v>——</v>
      </c>
      <c r="I88" s="1252">
        <v>0.12</v>
      </c>
      <c r="J88" s="1253">
        <f t="shared" si="25"/>
        <v>0</v>
      </c>
      <c r="K88" s="1253">
        <f t="shared" si="26"/>
        <v>0</v>
      </c>
      <c r="L88" s="1253">
        <v>0</v>
      </c>
      <c r="M88" s="1253">
        <f t="shared" si="27"/>
        <v>0</v>
      </c>
      <c r="N88" s="1253">
        <f t="shared" si="27"/>
        <v>0</v>
      </c>
    </row>
    <row r="89" spans="1:37" ht="36">
      <c r="A89" s="1142" t="s">
        <v>3729</v>
      </c>
      <c r="B89" s="1157" t="s">
        <v>3745</v>
      </c>
      <c r="C89" s="1018"/>
      <c r="D89" s="1148">
        <f t="shared" si="23"/>
        <v>0</v>
      </c>
      <c r="E89" s="1285"/>
      <c r="F89" s="1150"/>
      <c r="G89" s="1151"/>
      <c r="H89" s="1152" t="str">
        <f t="shared" si="24"/>
        <v>——</v>
      </c>
      <c r="I89" s="1252">
        <v>0.06</v>
      </c>
      <c r="J89" s="1253">
        <f t="shared" si="25"/>
        <v>0</v>
      </c>
      <c r="K89" s="1253">
        <f t="shared" si="26"/>
        <v>0</v>
      </c>
      <c r="L89" s="1253">
        <v>0</v>
      </c>
      <c r="M89" s="1253">
        <f t="shared" si="27"/>
        <v>0</v>
      </c>
      <c r="N89" s="1253">
        <f t="shared" si="27"/>
        <v>0</v>
      </c>
    </row>
    <row r="90" spans="1:37" ht="39.6">
      <c r="A90" s="1159" t="s">
        <v>3746</v>
      </c>
      <c r="B90" s="1288" t="str">
        <f>估价对象房地状况!G18</f>
        <v>该园区内是否有污染型企业，绿化情况，卫生条件，整体环境状况判断</v>
      </c>
      <c r="C90" s="1018"/>
      <c r="D90" s="1148">
        <f t="shared" si="23"/>
        <v>0</v>
      </c>
      <c r="E90" s="1287"/>
      <c r="F90" s="1150"/>
      <c r="G90" s="1151"/>
      <c r="H90" s="1152" t="str">
        <f t="shared" si="24"/>
        <v>——</v>
      </c>
      <c r="I90" s="1254">
        <v>0.05</v>
      </c>
      <c r="J90" s="1253">
        <f t="shared" si="25"/>
        <v>0</v>
      </c>
      <c r="K90" s="1253">
        <f t="shared" si="26"/>
        <v>0</v>
      </c>
      <c r="L90" s="1253">
        <v>0</v>
      </c>
      <c r="M90" s="1253">
        <f t="shared" si="27"/>
        <v>0</v>
      </c>
      <c r="N90" s="1253">
        <f t="shared" si="27"/>
        <v>0</v>
      </c>
    </row>
    <row r="91" spans="1:37" ht="13.8">
      <c r="A91" s="1289" t="s">
        <v>280</v>
      </c>
      <c r="B91" s="1290">
        <f>1+E93</f>
        <v>1</v>
      </c>
      <c r="C91" s="1291"/>
      <c r="D91" s="1292"/>
      <c r="E91" s="1150"/>
      <c r="F91" s="1150"/>
      <c r="G91" s="1293"/>
      <c r="H91" s="1294"/>
      <c r="I91" s="1328"/>
      <c r="J91" s="1329"/>
      <c r="K91" s="1329"/>
      <c r="L91" s="1329"/>
      <c r="M91" s="1329"/>
      <c r="N91" s="1329"/>
    </row>
    <row r="92" spans="1:37" ht="25.2">
      <c r="A92" s="1295" t="s">
        <v>3715</v>
      </c>
      <c r="B92" s="1296"/>
      <c r="C92" s="1296" t="s">
        <v>3717</v>
      </c>
      <c r="D92" s="1296" t="s">
        <v>3718</v>
      </c>
      <c r="E92" s="1265" t="s">
        <v>3719</v>
      </c>
      <c r="F92" s="1297" t="s">
        <v>3735</v>
      </c>
      <c r="G92" s="1296" t="s">
        <v>2957</v>
      </c>
      <c r="H92" s="1298" t="s">
        <v>3721</v>
      </c>
      <c r="I92" s="1296" t="s">
        <v>3722</v>
      </c>
      <c r="J92" s="1330" t="s">
        <v>2933</v>
      </c>
      <c r="K92" s="1330" t="s">
        <v>2934</v>
      </c>
      <c r="L92" s="1330" t="s">
        <v>2935</v>
      </c>
      <c r="M92" s="1330" t="s">
        <v>2936</v>
      </c>
      <c r="N92" s="1330" t="s">
        <v>2937</v>
      </c>
    </row>
    <row r="93" spans="1:37" ht="24">
      <c r="A93" s="1155" t="s">
        <v>3747</v>
      </c>
      <c r="B93" s="609"/>
      <c r="C93" s="1018"/>
      <c r="D93" s="1296">
        <f>SUMIF($J$92:$N$92,C93,J93:N93)</f>
        <v>0</v>
      </c>
      <c r="E93" s="1299">
        <f>ROUND(SUM(D93:D101),4)</f>
        <v>0</v>
      </c>
      <c r="F93" s="1150" t="str">
        <f>IF(E2="公共服务",SUMIF(L1:L12,G2,N1:N12),"——")</f>
        <v>——</v>
      </c>
      <c r="G93" s="1293"/>
      <c r="H93" s="1300" t="str">
        <f>IFERROR(ROUNDDOWN($F$93*I93/2,4),"——")</f>
        <v>——</v>
      </c>
      <c r="I93" s="1252">
        <v>0.25</v>
      </c>
      <c r="J93" s="1075">
        <f t="shared" ref="J93:J101" si="28">K93+$G93</f>
        <v>0</v>
      </c>
      <c r="K93" s="1075">
        <f t="shared" ref="K93:K101" si="29">$L93+$G93</f>
        <v>0</v>
      </c>
      <c r="L93" s="1075">
        <v>0</v>
      </c>
      <c r="M93" s="1075">
        <f t="shared" ref="M93:N101" si="30">L93-$G93</f>
        <v>0</v>
      </c>
      <c r="N93" s="1075">
        <f t="shared" si="30"/>
        <v>0</v>
      </c>
    </row>
    <row r="94" spans="1:37" ht="52.8">
      <c r="A94" s="1295" t="s">
        <v>3724</v>
      </c>
      <c r="B94" s="1301" t="str">
        <f>估价对象房地状况!C18</f>
        <v>估价对象周边道路状况、公共交通通达情况、停车便捷程度，综合评价交通便捷度较好</v>
      </c>
      <c r="C94" s="1018"/>
      <c r="D94" s="1296">
        <f t="shared" ref="D94:D101" si="31">SUMIF($J$60:$N$60,C94,J94:N94)</f>
        <v>0</v>
      </c>
      <c r="E94" s="1302"/>
      <c r="F94" s="1150"/>
      <c r="G94" s="1293"/>
      <c r="H94" s="1300" t="str">
        <f>IFERROR(ROUNDDOWN($F$93*I94/2,4),"——")</f>
        <v>——</v>
      </c>
      <c r="I94" s="1252">
        <v>0.26</v>
      </c>
      <c r="J94" s="1075">
        <f t="shared" si="28"/>
        <v>0</v>
      </c>
      <c r="K94" s="1075">
        <f t="shared" si="29"/>
        <v>0</v>
      </c>
      <c r="L94" s="1075">
        <v>0</v>
      </c>
      <c r="M94" s="1075">
        <f t="shared" si="30"/>
        <v>0</v>
      </c>
      <c r="N94" s="1075">
        <f t="shared" si="30"/>
        <v>0</v>
      </c>
    </row>
    <row r="95" spans="1:37" ht="48">
      <c r="A95" s="1155" t="s">
        <v>3725</v>
      </c>
      <c r="B95" s="1301">
        <f>估价对象房地状况!C19</f>
        <v>0</v>
      </c>
      <c r="C95" s="1018"/>
      <c r="D95" s="1296">
        <f t="shared" si="31"/>
        <v>0</v>
      </c>
      <c r="E95" s="1302"/>
      <c r="F95" s="1150"/>
      <c r="G95" s="1293"/>
      <c r="H95" s="1300" t="str">
        <f t="shared" ref="H95:H101" si="32">IFERROR(ROUNDDOWN($F$93*I95/2,4),"——")</f>
        <v>——</v>
      </c>
      <c r="I95" s="1252">
        <v>0.11</v>
      </c>
      <c r="J95" s="1075">
        <f t="shared" si="28"/>
        <v>0</v>
      </c>
      <c r="K95" s="1075">
        <f t="shared" si="29"/>
        <v>0</v>
      </c>
      <c r="L95" s="1075">
        <v>0</v>
      </c>
      <c r="M95" s="1075">
        <f t="shared" si="30"/>
        <v>0</v>
      </c>
      <c r="N95" s="1075">
        <f t="shared" si="30"/>
        <v>0</v>
      </c>
    </row>
    <row r="96" spans="1:37" ht="37.200000000000003">
      <c r="A96" s="1295" t="s">
        <v>3726</v>
      </c>
      <c r="B96" s="1303" t="s">
        <v>3727</v>
      </c>
      <c r="C96" s="1018"/>
      <c r="D96" s="1296">
        <f t="shared" si="31"/>
        <v>0</v>
      </c>
      <c r="E96" s="1302"/>
      <c r="F96" s="1150"/>
      <c r="G96" s="1293"/>
      <c r="H96" s="1300" t="str">
        <f t="shared" si="32"/>
        <v>——</v>
      </c>
      <c r="I96" s="1252">
        <v>0.05</v>
      </c>
      <c r="J96" s="1075">
        <f t="shared" si="28"/>
        <v>0</v>
      </c>
      <c r="K96" s="1075">
        <f t="shared" si="29"/>
        <v>0</v>
      </c>
      <c r="L96" s="1075">
        <v>0</v>
      </c>
      <c r="M96" s="1075">
        <f t="shared" si="30"/>
        <v>0</v>
      </c>
      <c r="N96" s="1075">
        <f t="shared" si="30"/>
        <v>0</v>
      </c>
    </row>
    <row r="97" spans="1:14" ht="24">
      <c r="A97" s="1295" t="s">
        <v>3728</v>
      </c>
      <c r="B97" s="1301">
        <f>估价对象房地状况!C24</f>
        <v>0</v>
      </c>
      <c r="C97" s="1018"/>
      <c r="D97" s="1296">
        <f t="shared" si="31"/>
        <v>0</v>
      </c>
      <c r="E97" s="1302"/>
      <c r="F97" s="1150"/>
      <c r="G97" s="1293"/>
      <c r="H97" s="1300" t="str">
        <f t="shared" si="32"/>
        <v>——</v>
      </c>
      <c r="I97" s="1252">
        <v>0.05</v>
      </c>
      <c r="J97" s="1075">
        <f t="shared" si="28"/>
        <v>0</v>
      </c>
      <c r="K97" s="1075">
        <f t="shared" si="29"/>
        <v>0</v>
      </c>
      <c r="L97" s="1075">
        <v>0</v>
      </c>
      <c r="M97" s="1075">
        <f t="shared" si="30"/>
        <v>0</v>
      </c>
      <c r="N97" s="1075">
        <f t="shared" si="30"/>
        <v>0</v>
      </c>
    </row>
    <row r="98" spans="1:14" ht="36">
      <c r="A98" s="1295" t="s">
        <v>3729</v>
      </c>
      <c r="B98" s="1304" t="s">
        <v>3730</v>
      </c>
      <c r="C98" s="1018"/>
      <c r="D98" s="1296">
        <f t="shared" si="31"/>
        <v>0</v>
      </c>
      <c r="E98" s="1302"/>
      <c r="F98" s="1150"/>
      <c r="G98" s="1293"/>
      <c r="H98" s="1300" t="str">
        <f t="shared" si="32"/>
        <v>——</v>
      </c>
      <c r="I98" s="1252">
        <v>0.06</v>
      </c>
      <c r="J98" s="1075">
        <f t="shared" si="28"/>
        <v>0</v>
      </c>
      <c r="K98" s="1075">
        <f t="shared" si="29"/>
        <v>0</v>
      </c>
      <c r="L98" s="1075">
        <v>0</v>
      </c>
      <c r="M98" s="1075">
        <f t="shared" si="30"/>
        <v>0</v>
      </c>
      <c r="N98" s="1075">
        <f t="shared" si="30"/>
        <v>0</v>
      </c>
    </row>
    <row r="99" spans="1:14" ht="26.4">
      <c r="A99" s="1295" t="s">
        <v>3731</v>
      </c>
      <c r="B99" s="1301" t="str">
        <f>估价对象房地状况!C21</f>
        <v>估价对象所在区域公共配套设施齐备情况</v>
      </c>
      <c r="C99" s="1018"/>
      <c r="D99" s="1296">
        <f t="shared" si="31"/>
        <v>0</v>
      </c>
      <c r="E99" s="1302"/>
      <c r="F99" s="1150"/>
      <c r="G99" s="1293"/>
      <c r="H99" s="1300" t="str">
        <f t="shared" si="32"/>
        <v>——</v>
      </c>
      <c r="I99" s="1252">
        <v>0.06</v>
      </c>
      <c r="J99" s="1075">
        <f t="shared" si="28"/>
        <v>0</v>
      </c>
      <c r="K99" s="1075">
        <f t="shared" si="29"/>
        <v>0</v>
      </c>
      <c r="L99" s="1075">
        <v>0</v>
      </c>
      <c r="M99" s="1075">
        <f t="shared" si="30"/>
        <v>0</v>
      </c>
      <c r="N99" s="1075">
        <f t="shared" si="30"/>
        <v>0</v>
      </c>
    </row>
    <row r="100" spans="1:14" ht="26.4">
      <c r="A100" s="1295" t="s">
        <v>3732</v>
      </c>
      <c r="B100" s="1301" t="str">
        <f>估价对象房地状况!C22</f>
        <v>估价对象所在区域基础设施水平</v>
      </c>
      <c r="C100" s="1018"/>
      <c r="D100" s="1296">
        <f t="shared" si="31"/>
        <v>0</v>
      </c>
      <c r="E100" s="1302"/>
      <c r="F100" s="1150"/>
      <c r="G100" s="1293"/>
      <c r="H100" s="1300" t="str">
        <f t="shared" si="32"/>
        <v>——</v>
      </c>
      <c r="I100" s="1252">
        <v>0.09</v>
      </c>
      <c r="J100" s="1075">
        <f t="shared" si="28"/>
        <v>0</v>
      </c>
      <c r="K100" s="1075">
        <f t="shared" si="29"/>
        <v>0</v>
      </c>
      <c r="L100" s="1075">
        <v>0</v>
      </c>
      <c r="M100" s="1075">
        <f t="shared" si="30"/>
        <v>0</v>
      </c>
      <c r="N100" s="1075">
        <f t="shared" si="30"/>
        <v>0</v>
      </c>
    </row>
    <row r="101" spans="1:14" ht="39.6">
      <c r="A101" s="1305" t="s">
        <v>3733</v>
      </c>
      <c r="B101" s="1306" t="str">
        <f>估价对象房地状况!C20</f>
        <v>区域自然环境：；人文环境；综合评价环境状况一般</v>
      </c>
      <c r="C101" s="1018"/>
      <c r="D101" s="1296">
        <f t="shared" si="31"/>
        <v>0</v>
      </c>
      <c r="E101" s="1307"/>
      <c r="F101" s="1150"/>
      <c r="G101" s="1293"/>
      <c r="H101" s="1300" t="str">
        <f t="shared" si="32"/>
        <v>——</v>
      </c>
      <c r="I101" s="1254">
        <v>7.0000000000000007E-2</v>
      </c>
      <c r="J101" s="1075">
        <f t="shared" si="28"/>
        <v>0</v>
      </c>
      <c r="K101" s="1075">
        <f t="shared" si="29"/>
        <v>0</v>
      </c>
      <c r="L101" s="1075">
        <v>0</v>
      </c>
      <c r="M101" s="1075">
        <f t="shared" si="30"/>
        <v>0</v>
      </c>
      <c r="N101" s="1075">
        <f t="shared" si="30"/>
        <v>0</v>
      </c>
    </row>
    <row r="103" spans="1:14">
      <c r="A103" s="3764" t="s">
        <v>3748</v>
      </c>
      <c r="B103" s="3764"/>
      <c r="C103" s="3764"/>
      <c r="D103" s="3764"/>
      <c r="E103" s="3764"/>
      <c r="F103" s="3764"/>
      <c r="G103" s="3764"/>
      <c r="H103" s="3764"/>
      <c r="I103" s="3764"/>
      <c r="J103" s="3764"/>
      <c r="K103" s="1308"/>
      <c r="L103" s="1308"/>
      <c r="M103" s="1308"/>
      <c r="N103" s="1308"/>
    </row>
    <row r="104" spans="1:14">
      <c r="A104" s="3770" t="s">
        <v>3749</v>
      </c>
      <c r="B104" s="3770" t="s">
        <v>3750</v>
      </c>
      <c r="C104" s="1310" t="s">
        <v>3751</v>
      </c>
      <c r="D104" s="1311"/>
      <c r="E104" s="1311"/>
      <c r="F104" s="1311"/>
      <c r="G104" s="1311"/>
      <c r="H104" s="1311"/>
      <c r="I104" s="1311"/>
      <c r="J104" s="1331"/>
      <c r="K104" s="1332"/>
      <c r="L104" s="1332"/>
      <c r="M104" s="1332"/>
      <c r="N104" s="1332"/>
    </row>
    <row r="105" spans="1:14">
      <c r="A105" s="3770"/>
      <c r="B105" s="3770"/>
      <c r="C105" s="1309" t="s">
        <v>3597</v>
      </c>
      <c r="D105" s="1309" t="s">
        <v>3598</v>
      </c>
      <c r="E105" s="1309" t="s">
        <v>3599</v>
      </c>
      <c r="F105" s="1309" t="s">
        <v>3600</v>
      </c>
      <c r="G105" s="1309" t="s">
        <v>3601</v>
      </c>
      <c r="H105" s="1309" t="s">
        <v>3602</v>
      </c>
      <c r="I105" s="1309" t="s">
        <v>3603</v>
      </c>
      <c r="J105" s="1309" t="s">
        <v>3604</v>
      </c>
      <c r="K105" s="1309" t="s">
        <v>3605</v>
      </c>
      <c r="L105" s="1309" t="s">
        <v>3606</v>
      </c>
      <c r="M105" s="1309" t="s">
        <v>3607</v>
      </c>
      <c r="N105" s="1309" t="s">
        <v>3608</v>
      </c>
    </row>
    <row r="106" spans="1:14">
      <c r="A106" s="3771" t="s">
        <v>3752</v>
      </c>
      <c r="B106" s="1309">
        <v>1</v>
      </c>
      <c r="C106" s="1309">
        <v>1.5206</v>
      </c>
      <c r="D106" s="1309">
        <v>1.5206</v>
      </c>
      <c r="E106" s="1309">
        <v>1.5019</v>
      </c>
      <c r="F106" s="1309">
        <v>1.5019</v>
      </c>
      <c r="G106" s="1309">
        <v>1.5019</v>
      </c>
      <c r="H106" s="1309">
        <v>1.5019</v>
      </c>
      <c r="I106" s="1309">
        <v>1.5019</v>
      </c>
      <c r="J106" s="1309">
        <v>1.5418000000000001</v>
      </c>
      <c r="K106" s="1309">
        <v>1.5418000000000001</v>
      </c>
      <c r="L106" s="1309">
        <v>1.5418000000000001</v>
      </c>
      <c r="M106" s="1309">
        <v>1.5418000000000001</v>
      </c>
      <c r="N106" s="1309">
        <v>1.5418000000000001</v>
      </c>
    </row>
    <row r="107" spans="1:14">
      <c r="A107" s="3772"/>
      <c r="B107" s="1309">
        <v>2</v>
      </c>
      <c r="C107" s="1309">
        <v>1.2072000000000001</v>
      </c>
      <c r="D107" s="1309">
        <v>1.2072000000000001</v>
      </c>
      <c r="E107" s="1309">
        <v>1.1838</v>
      </c>
      <c r="F107" s="1309">
        <v>1.1838</v>
      </c>
      <c r="G107" s="1309">
        <v>1.1838</v>
      </c>
      <c r="H107" s="1309">
        <v>1.1838</v>
      </c>
      <c r="I107" s="1309">
        <v>1.1838</v>
      </c>
      <c r="J107" s="1309">
        <v>1.1883999999999999</v>
      </c>
      <c r="K107" s="1309">
        <v>1.1883999999999999</v>
      </c>
      <c r="L107" s="1309">
        <v>1.1883999999999999</v>
      </c>
      <c r="M107" s="1309">
        <v>1.1883999999999999</v>
      </c>
      <c r="N107" s="1309">
        <v>1.1883999999999999</v>
      </c>
    </row>
    <row r="108" spans="1:14">
      <c r="A108" s="3772"/>
      <c r="B108" s="1309">
        <v>3</v>
      </c>
      <c r="C108" s="1309">
        <v>1.0430999999999999</v>
      </c>
      <c r="D108" s="1309">
        <v>1.0430999999999999</v>
      </c>
      <c r="E108" s="1309">
        <v>1.0004999999999999</v>
      </c>
      <c r="F108" s="1309">
        <v>1.0004999999999999</v>
      </c>
      <c r="G108" s="1309">
        <v>1.0004999999999999</v>
      </c>
      <c r="H108" s="1309">
        <v>1.0004999999999999</v>
      </c>
      <c r="I108" s="1309">
        <v>1.0004999999999999</v>
      </c>
      <c r="J108" s="1309">
        <v>0.96940000000000004</v>
      </c>
      <c r="K108" s="1309">
        <v>0.96940000000000004</v>
      </c>
      <c r="L108" s="1309">
        <v>0.96940000000000004</v>
      </c>
      <c r="M108" s="1309">
        <v>0.96940000000000004</v>
      </c>
      <c r="N108" s="1309">
        <v>0.96940000000000004</v>
      </c>
    </row>
    <row r="109" spans="1:14">
      <c r="A109" s="3772"/>
      <c r="B109" s="1309">
        <v>4</v>
      </c>
      <c r="C109" s="1309">
        <v>0.94389999999999996</v>
      </c>
      <c r="D109" s="1309">
        <v>0.94389999999999996</v>
      </c>
      <c r="E109" s="1309">
        <v>0.88239999999999996</v>
      </c>
      <c r="F109" s="1309">
        <v>0.88239999999999996</v>
      </c>
      <c r="G109" s="1309">
        <v>0.88239999999999996</v>
      </c>
      <c r="H109" s="1309">
        <v>0.88239999999999996</v>
      </c>
      <c r="I109" s="1309">
        <v>0.88239999999999996</v>
      </c>
      <c r="J109" s="1309">
        <v>0.82299999999999995</v>
      </c>
      <c r="K109" s="1309">
        <v>0.82299999999999995</v>
      </c>
      <c r="L109" s="1309">
        <v>0.82299999999999995</v>
      </c>
      <c r="M109" s="1309">
        <v>0.82299999999999995</v>
      </c>
      <c r="N109" s="1309">
        <v>0.82299999999999995</v>
      </c>
    </row>
    <row r="110" spans="1:14">
      <c r="A110" s="3772"/>
      <c r="B110" s="1309">
        <v>5</v>
      </c>
      <c r="C110" s="1309">
        <v>0.89959999999999996</v>
      </c>
      <c r="D110" s="1309">
        <v>0.89959999999999996</v>
      </c>
      <c r="E110" s="1309">
        <v>0.84799999999999998</v>
      </c>
      <c r="F110" s="1309">
        <v>0.84799999999999998</v>
      </c>
      <c r="G110" s="1309">
        <v>0.84799999999999998</v>
      </c>
      <c r="H110" s="1309">
        <v>0.84799999999999998</v>
      </c>
      <c r="I110" s="1309">
        <v>0.84799999999999998</v>
      </c>
      <c r="J110" s="1309">
        <v>0.74980000000000002</v>
      </c>
      <c r="K110" s="1309">
        <v>0.74980000000000002</v>
      </c>
      <c r="L110" s="1309">
        <v>0.74980000000000002</v>
      </c>
      <c r="M110" s="1309">
        <v>0.74980000000000002</v>
      </c>
      <c r="N110" s="1309">
        <v>0.74980000000000002</v>
      </c>
    </row>
    <row r="111" spans="1:14">
      <c r="A111" s="3772"/>
      <c r="B111" s="1309" t="s">
        <v>3613</v>
      </c>
      <c r="C111" s="1312">
        <f>$I$3</f>
        <v>0</v>
      </c>
      <c r="D111" s="1312">
        <f t="shared" ref="D111:N111" si="33">$I$3</f>
        <v>0</v>
      </c>
      <c r="E111" s="1312">
        <f t="shared" si="33"/>
        <v>0</v>
      </c>
      <c r="F111" s="1312">
        <f t="shared" si="33"/>
        <v>0</v>
      </c>
      <c r="G111" s="1312">
        <f t="shared" si="33"/>
        <v>0</v>
      </c>
      <c r="H111" s="1312">
        <f t="shared" si="33"/>
        <v>0</v>
      </c>
      <c r="I111" s="1312">
        <f t="shared" si="33"/>
        <v>0</v>
      </c>
      <c r="J111" s="1312">
        <f t="shared" si="33"/>
        <v>0</v>
      </c>
      <c r="K111" s="1312">
        <f t="shared" si="33"/>
        <v>0</v>
      </c>
      <c r="L111" s="1312">
        <f t="shared" si="33"/>
        <v>0</v>
      </c>
      <c r="M111" s="1312">
        <f t="shared" si="33"/>
        <v>0</v>
      </c>
      <c r="N111" s="1312">
        <f t="shared" si="33"/>
        <v>0</v>
      </c>
    </row>
    <row r="112" spans="1:14">
      <c r="A112" s="3773"/>
      <c r="B112" s="1309">
        <v>6</v>
      </c>
      <c r="C112" s="1298">
        <f>(-0.5556*(C111^2)-0.2719*C111+8944)*(10^(-4))</f>
        <v>0.89439999999999997</v>
      </c>
      <c r="D112" s="1298">
        <f>(-0.5556*(D111^2)-0.2719*D111+8944)*(10^(-4))</f>
        <v>0.89439999999999997</v>
      </c>
      <c r="E112" s="1298">
        <f>(-0.7912*(E111^2)-11.3794*E111+8482)*(10^(-4))</f>
        <v>0.84819999999999995</v>
      </c>
      <c r="F112" s="1298">
        <f t="shared" ref="F112:I112" si="34">(-0.7912*(F111^2)-11.3794*F111+8482)*(10^(-4))</f>
        <v>0.84819999999999995</v>
      </c>
      <c r="G112" s="1298">
        <f t="shared" si="34"/>
        <v>0.84819999999999995</v>
      </c>
      <c r="H112" s="1298">
        <f t="shared" si="34"/>
        <v>0.84819999999999995</v>
      </c>
      <c r="I112" s="1298">
        <f t="shared" si="34"/>
        <v>0.84819999999999995</v>
      </c>
      <c r="J112" s="1298">
        <f>(-0.989*(J111^2)-63.78*J111+7771)*(10^(-4))</f>
        <v>0.77710000000000001</v>
      </c>
      <c r="K112" s="1298">
        <f t="shared" ref="K112:N112" si="35">(-0.989*(K111^2)-63.78*K111+7771)*(10^(-4))</f>
        <v>0.77710000000000001</v>
      </c>
      <c r="L112" s="1298">
        <f t="shared" si="35"/>
        <v>0.77710000000000001</v>
      </c>
      <c r="M112" s="1298">
        <f t="shared" si="35"/>
        <v>0.77710000000000001</v>
      </c>
      <c r="N112" s="1298">
        <f t="shared" si="35"/>
        <v>0.77710000000000001</v>
      </c>
    </row>
    <row r="113" spans="1:14">
      <c r="A113" s="3765" t="s">
        <v>3753</v>
      </c>
      <c r="B113" s="3765"/>
      <c r="C113" s="3765"/>
      <c r="D113" s="3765"/>
      <c r="E113" s="3765"/>
      <c r="F113" s="3765"/>
      <c r="G113" s="3765"/>
      <c r="H113" s="3765"/>
      <c r="I113" s="3765"/>
      <c r="J113" s="3765"/>
      <c r="K113" s="1313"/>
      <c r="L113" s="1313"/>
      <c r="M113" s="1313"/>
      <c r="N113" s="1313"/>
    </row>
    <row r="114" spans="1:14">
      <c r="A114" s="1314"/>
      <c r="B114" s="1314"/>
      <c r="C114" s="1314"/>
      <c r="D114" s="1314"/>
      <c r="E114" s="1314"/>
      <c r="F114" s="1314"/>
      <c r="G114" s="1314"/>
      <c r="H114" s="1314"/>
      <c r="I114" s="1314"/>
      <c r="J114" s="1314"/>
      <c r="K114" s="1237"/>
      <c r="L114" s="1314"/>
      <c r="M114" s="1314"/>
      <c r="N114" s="1314"/>
    </row>
    <row r="115" spans="1:14">
      <c r="A115" s="1314"/>
      <c r="B115" s="1314"/>
      <c r="C115" s="1314"/>
      <c r="D115" s="1314"/>
      <c r="E115" s="1314"/>
      <c r="F115" s="1314"/>
      <c r="G115" s="1314"/>
      <c r="H115" s="1314"/>
      <c r="I115" s="1314"/>
      <c r="J115" s="1314"/>
      <c r="K115" s="1237"/>
      <c r="L115" s="1314"/>
      <c r="M115" s="1314"/>
      <c r="N115" s="1314"/>
    </row>
    <row r="116" spans="1:14" ht="25.2">
      <c r="A116" s="1315" t="s">
        <v>3754</v>
      </c>
      <c r="B116" s="1316">
        <f>G3</f>
        <v>2.8</v>
      </c>
      <c r="C116" s="1317" t="s">
        <v>3755</v>
      </c>
      <c r="D116" s="1318">
        <f>SUMPRODUCT((A118:A122=F116)*(B117:M117=H116)*B118:M122)</f>
        <v>0.89639999999999997</v>
      </c>
      <c r="E116" s="961" t="s">
        <v>3570</v>
      </c>
      <c r="F116" s="1319" t="str">
        <f>E2</f>
        <v>住宅</v>
      </c>
      <c r="G116" s="961" t="s">
        <v>3571</v>
      </c>
      <c r="H116" s="1319" t="str">
        <f>G2</f>
        <v>四级</v>
      </c>
      <c r="I116" s="961"/>
      <c r="J116" s="1333"/>
      <c r="K116" s="1333"/>
      <c r="L116" s="1333"/>
      <c r="M116" s="1333"/>
      <c r="N116" s="1314"/>
    </row>
    <row r="117" spans="1:14">
      <c r="A117" s="1320"/>
      <c r="B117" s="1321" t="s">
        <v>3756</v>
      </c>
      <c r="C117" s="1321" t="s">
        <v>3757</v>
      </c>
      <c r="D117" s="1321" t="s">
        <v>3758</v>
      </c>
      <c r="E117" s="1322" t="s">
        <v>3759</v>
      </c>
      <c r="F117" s="1322" t="s">
        <v>3760</v>
      </c>
      <c r="G117" s="1322" t="s">
        <v>3761</v>
      </c>
      <c r="H117" s="1323" t="s">
        <v>3762</v>
      </c>
      <c r="I117" s="1323" t="s">
        <v>3763</v>
      </c>
      <c r="J117" s="1334" t="s">
        <v>3764</v>
      </c>
      <c r="K117" s="1334" t="s">
        <v>3765</v>
      </c>
      <c r="L117" s="1334" t="s">
        <v>3766</v>
      </c>
      <c r="M117" s="1335" t="s">
        <v>3767</v>
      </c>
      <c r="N117" s="1314"/>
    </row>
    <row r="118" spans="1:14">
      <c r="A118" s="1324" t="s">
        <v>3684</v>
      </c>
      <c r="B118" s="1298">
        <f>ROUND(0.9968-0.011*B116,4)</f>
        <v>0.96599999999999997</v>
      </c>
      <c r="C118" s="1298">
        <f>B118</f>
        <v>0.96599999999999997</v>
      </c>
      <c r="D118" s="1298">
        <f>ROUND(0.949-0.014*B116,4)</f>
        <v>0.90980000000000005</v>
      </c>
      <c r="E118" s="1298">
        <f>D118</f>
        <v>0.90980000000000005</v>
      </c>
      <c r="F118" s="1298">
        <f>E118</f>
        <v>0.90980000000000005</v>
      </c>
      <c r="G118" s="1298">
        <f>F118</f>
        <v>0.90980000000000005</v>
      </c>
      <c r="H118" s="1298">
        <f>G118</f>
        <v>0.90980000000000005</v>
      </c>
      <c r="I118" s="1298">
        <f>ROUND(0.8486-0.018*B116,4)</f>
        <v>0.79820000000000002</v>
      </c>
      <c r="J118" s="1298">
        <f t="shared" ref="J118:M122" si="36">I118</f>
        <v>0.79820000000000002</v>
      </c>
      <c r="K118" s="1298">
        <f t="shared" si="36"/>
        <v>0.79820000000000002</v>
      </c>
      <c r="L118" s="1298">
        <f t="shared" si="36"/>
        <v>0.79820000000000002</v>
      </c>
      <c r="M118" s="1336">
        <f t="shared" si="36"/>
        <v>0.79820000000000002</v>
      </c>
      <c r="N118" s="1314"/>
    </row>
    <row r="119" spans="1:14">
      <c r="A119" s="1324" t="s">
        <v>3685</v>
      </c>
      <c r="B119" s="1298">
        <f>ROUND(0.993-0.0112*B116,4)</f>
        <v>0.96160000000000001</v>
      </c>
      <c r="C119" s="1298">
        <f>B119</f>
        <v>0.96160000000000001</v>
      </c>
      <c r="D119" s="1298">
        <f>ROUND(0.9415-0.0142*B116,4)</f>
        <v>0.90169999999999995</v>
      </c>
      <c r="E119" s="1298">
        <f t="shared" ref="E119:H120" si="37">D119</f>
        <v>0.90169999999999995</v>
      </c>
      <c r="F119" s="1298">
        <f t="shared" si="37"/>
        <v>0.90169999999999995</v>
      </c>
      <c r="G119" s="1298">
        <f t="shared" si="37"/>
        <v>0.90169999999999995</v>
      </c>
      <c r="H119" s="1298">
        <f t="shared" si="37"/>
        <v>0.90169999999999995</v>
      </c>
      <c r="I119" s="1298">
        <f>ROUND(0.838-0.0182*B116,4)</f>
        <v>0.78700000000000003</v>
      </c>
      <c r="J119" s="1298">
        <f t="shared" si="36"/>
        <v>0.78700000000000003</v>
      </c>
      <c r="K119" s="1298">
        <f t="shared" si="36"/>
        <v>0.78700000000000003</v>
      </c>
      <c r="L119" s="1298">
        <f t="shared" si="36"/>
        <v>0.78700000000000003</v>
      </c>
      <c r="M119" s="1336">
        <f t="shared" si="36"/>
        <v>0.78700000000000003</v>
      </c>
      <c r="N119" s="1314"/>
    </row>
    <row r="120" spans="1:14">
      <c r="A120" s="1324" t="s">
        <v>3686</v>
      </c>
      <c r="B120" s="1298">
        <f>ROUND(0.9448-0.0115*B116,4)</f>
        <v>0.91259999999999997</v>
      </c>
      <c r="C120" s="1298">
        <f>B120</f>
        <v>0.91259999999999997</v>
      </c>
      <c r="D120" s="1298">
        <f>ROUND(0.937-0.0145*B116,4)</f>
        <v>0.89639999999999997</v>
      </c>
      <c r="E120" s="1298">
        <f t="shared" si="37"/>
        <v>0.89639999999999997</v>
      </c>
      <c r="F120" s="1298">
        <f t="shared" si="37"/>
        <v>0.89639999999999997</v>
      </c>
      <c r="G120" s="1298">
        <f t="shared" si="37"/>
        <v>0.89639999999999997</v>
      </c>
      <c r="H120" s="1298">
        <f t="shared" si="37"/>
        <v>0.89639999999999997</v>
      </c>
      <c r="I120" s="1298">
        <f>ROUND(0.7965-0.0185*B116,4)</f>
        <v>0.74470000000000003</v>
      </c>
      <c r="J120" s="1298">
        <f t="shared" si="36"/>
        <v>0.74470000000000003</v>
      </c>
      <c r="K120" s="1298">
        <f t="shared" si="36"/>
        <v>0.74470000000000003</v>
      </c>
      <c r="L120" s="1298">
        <f t="shared" si="36"/>
        <v>0.74470000000000003</v>
      </c>
      <c r="M120" s="1336">
        <f t="shared" si="36"/>
        <v>0.74470000000000003</v>
      </c>
      <c r="N120" s="1314"/>
    </row>
    <row r="121" spans="1:14">
      <c r="A121" s="1325" t="s">
        <v>3687</v>
      </c>
      <c r="B121" s="1326">
        <f>ROUND(0.7836-0.012*B116,4)</f>
        <v>0.75</v>
      </c>
      <c r="C121" s="1326">
        <f>B121</f>
        <v>0.75</v>
      </c>
      <c r="D121" s="1326">
        <f>ROUND(0.753-0.015*B116,4)</f>
        <v>0.71099999999999997</v>
      </c>
      <c r="E121" s="1326">
        <f>D121</f>
        <v>0.71099999999999997</v>
      </c>
      <c r="F121" s="1326">
        <f>E121</f>
        <v>0.71099999999999997</v>
      </c>
      <c r="G121" s="1326">
        <f>ROUND(0.6612-0.018*B116,4)</f>
        <v>0.61080000000000001</v>
      </c>
      <c r="H121" s="1326">
        <f>G121</f>
        <v>0.61080000000000001</v>
      </c>
      <c r="I121" s="1326">
        <f>ROUND(0.5905-0.019*B116,4)</f>
        <v>0.5373</v>
      </c>
      <c r="J121" s="1326">
        <f t="shared" si="36"/>
        <v>0.5373</v>
      </c>
      <c r="K121" s="1326">
        <f t="shared" si="36"/>
        <v>0.5373</v>
      </c>
      <c r="L121" s="1326">
        <f t="shared" si="36"/>
        <v>0.5373</v>
      </c>
      <c r="M121" s="1337">
        <f t="shared" si="36"/>
        <v>0.5373</v>
      </c>
      <c r="N121" s="1314"/>
    </row>
    <row r="122" spans="1:14">
      <c r="A122" s="1327" t="s">
        <v>280</v>
      </c>
      <c r="B122" s="1298">
        <f>ROUND(0.9404-0.0106*B116,4)</f>
        <v>0.91069999999999995</v>
      </c>
      <c r="C122" s="1298">
        <f>B122</f>
        <v>0.91069999999999995</v>
      </c>
      <c r="D122" s="1298">
        <f>ROUND(0.8955-0.0135*B116,4)</f>
        <v>0.85770000000000002</v>
      </c>
      <c r="E122" s="1298">
        <f t="shared" ref="E122:H122" si="38">D122</f>
        <v>0.85770000000000002</v>
      </c>
      <c r="F122" s="1298">
        <f t="shared" si="38"/>
        <v>0.85770000000000002</v>
      </c>
      <c r="G122" s="1298">
        <f t="shared" si="38"/>
        <v>0.85770000000000002</v>
      </c>
      <c r="H122" s="1298">
        <f t="shared" si="38"/>
        <v>0.85770000000000002</v>
      </c>
      <c r="I122" s="1298">
        <f>ROUND(0.7632-0.0166*B116,4)</f>
        <v>0.7167</v>
      </c>
      <c r="J122" s="1298">
        <f t="shared" si="36"/>
        <v>0.7167</v>
      </c>
      <c r="K122" s="1298">
        <f t="shared" si="36"/>
        <v>0.7167</v>
      </c>
      <c r="L122" s="1298">
        <f t="shared" si="36"/>
        <v>0.7167</v>
      </c>
      <c r="M122" s="1336">
        <f t="shared" si="36"/>
        <v>0.7167</v>
      </c>
      <c r="N122" s="131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47" priority="6" stopIfTrue="1" operator="notEqual">
      <formula>"——"</formula>
    </cfRule>
  </conditionalFormatting>
  <conditionalFormatting sqref="F61">
    <cfRule type="cellIs" dxfId="46" priority="5" stopIfTrue="1" operator="notEqual">
      <formula>"——"</formula>
    </cfRule>
  </conditionalFormatting>
  <conditionalFormatting sqref="F72">
    <cfRule type="cellIs" dxfId="45" priority="4" stopIfTrue="1" operator="notEqual">
      <formula>"——"</formula>
    </cfRule>
  </conditionalFormatting>
  <conditionalFormatting sqref="F83">
    <cfRule type="cellIs" dxfId="44" priority="3" stopIfTrue="1" operator="notEqual">
      <formula>"——"</formula>
    </cfRule>
  </conditionalFormatting>
  <conditionalFormatting sqref="H93:H101">
    <cfRule type="cellIs" dxfId="43" priority="1" operator="notEqual">
      <formula>"——"</formula>
    </cfRule>
  </conditionalFormatting>
  <conditionalFormatting sqref="H50:H58 H61:H69 H72:H80 H83:H91">
    <cfRule type="cellIs" dxfId="4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M35" sqref="M35"/>
    </sheetView>
  </sheetViews>
  <sheetFormatPr defaultColWidth="12.6640625" defaultRowHeight="21.75" customHeight="1"/>
  <cols>
    <col min="1" max="2" width="12.6640625" style="1678"/>
    <col min="3" max="4" width="12.6640625" style="1678" customWidth="1"/>
    <col min="5" max="9" width="12.6640625" style="1678"/>
    <col min="10" max="11" width="12.6640625" style="545" customWidth="1"/>
    <col min="12" max="12" width="12.6640625" style="545"/>
    <col min="13" max="13" width="14.109375" style="545" customWidth="1"/>
    <col min="14" max="26" width="12.6640625" style="545"/>
    <col min="27" max="35" width="12.6640625" style="1677"/>
    <col min="36" max="16384" width="12.6640625" style="1678"/>
  </cols>
  <sheetData>
    <row r="1" spans="1:12" ht="21.75" customHeight="1">
      <c r="A1" s="1679" t="s">
        <v>2644</v>
      </c>
      <c r="B1" s="1680"/>
      <c r="C1" s="1681" t="s">
        <v>606</v>
      </c>
      <c r="D1" s="1680"/>
      <c r="E1" s="1680"/>
      <c r="F1" s="1682" t="s">
        <v>2645</v>
      </c>
      <c r="G1" s="1683"/>
      <c r="H1" s="1684" t="str">
        <f>IF(G1="现房","——","估价对象范围")</f>
        <v>估价对象范围</v>
      </c>
      <c r="I1" s="1821"/>
    </row>
    <row r="2" spans="1:12" ht="21.75" customHeight="1">
      <c r="A2" s="3632" t="str">
        <f>项目基本情况!S2</f>
        <v>北京市房地产</v>
      </c>
      <c r="B2" s="3633"/>
      <c r="C2" s="3633"/>
      <c r="D2" s="3633"/>
      <c r="E2" s="3633"/>
      <c r="F2" s="3633"/>
      <c r="G2" s="3633"/>
      <c r="H2" s="3633"/>
      <c r="I2" s="3634"/>
    </row>
    <row r="3" spans="1:12" ht="13.2">
      <c r="A3" s="3635" t="s">
        <v>2646</v>
      </c>
      <c r="B3" s="3636"/>
      <c r="C3" s="3636"/>
      <c r="D3" s="3636"/>
      <c r="E3" s="3636"/>
      <c r="F3" s="3636"/>
      <c r="G3" s="3636"/>
      <c r="H3" s="3636"/>
      <c r="I3" s="3636"/>
    </row>
    <row r="4" spans="1:12" ht="14.4">
      <c r="A4" s="1685" t="s">
        <v>2647</v>
      </c>
      <c r="B4" s="1686" t="s">
        <v>2648</v>
      </c>
      <c r="C4" s="1687" t="s">
        <v>3768</v>
      </c>
      <c r="D4" s="1687" t="s">
        <v>266</v>
      </c>
      <c r="E4" s="3637" t="s">
        <v>2650</v>
      </c>
      <c r="F4" s="3638"/>
      <c r="G4" s="3638"/>
      <c r="H4" s="3638"/>
      <c r="I4" s="3639"/>
      <c r="K4" s="546" t="str">
        <f>IF(ISNUMBER(FIND("比较法",结果表地下商业!C4)),"比较法",IF(ISNUMBER(FIND("成本法",结果表地下商业!C4)),"成本法",IF(ISNUMBER(FIND("假设开发法",结果表地下商业!C4)),"假设开发法",IF(ISNUMBER(FIND("收益法",结果表地下商业!C4)),"收益法","基准地价系数修正法"))))</f>
        <v>比较法</v>
      </c>
      <c r="L4" s="546" t="str">
        <f>IF(ISNUMBER(FIND("比较法",结果表地下商业!D4)),"比较法",IF(ISNUMBER(FIND("成本法",结果表地下商业!D4)),"成本法",IF(ISNUMBER(FIND("假设开发法",结果表地下商业!D4)),"假设开发法",IF(ISNUMBER(FIND("收益法",结果表地下商业!D4)),"收益法","基准地价系数修正法"))))</f>
        <v>收益法</v>
      </c>
    </row>
    <row r="5" spans="1:12" ht="13.2">
      <c r="A5" s="3565" t="s">
        <v>2651</v>
      </c>
      <c r="B5" s="3573">
        <v>25</v>
      </c>
      <c r="C5" s="3576"/>
      <c r="D5" s="3579"/>
      <c r="E5" s="741" t="s">
        <v>2652</v>
      </c>
      <c r="F5" s="1692"/>
      <c r="G5" s="1692"/>
      <c r="H5" s="1692"/>
      <c r="I5" s="1823"/>
    </row>
    <row r="6" spans="1:12" ht="13.2">
      <c r="A6" s="3565"/>
      <c r="B6" s="3573"/>
      <c r="C6" s="3577"/>
      <c r="D6" s="3579"/>
      <c r="E6" s="741" t="s">
        <v>2653</v>
      </c>
      <c r="F6" s="1692"/>
      <c r="G6" s="1692"/>
      <c r="H6" s="1692"/>
      <c r="I6" s="1823"/>
    </row>
    <row r="7" spans="1:12" ht="13.2">
      <c r="A7" s="3565"/>
      <c r="B7" s="3573"/>
      <c r="C7" s="3578"/>
      <c r="D7" s="3579"/>
      <c r="E7" s="741" t="s">
        <v>2654</v>
      </c>
      <c r="F7" s="1692"/>
      <c r="G7" s="1692"/>
      <c r="H7" s="1692"/>
      <c r="I7" s="1823"/>
    </row>
    <row r="8" spans="1:12" ht="13.2">
      <c r="A8" s="3565" t="s">
        <v>2655</v>
      </c>
      <c r="B8" s="3573">
        <v>15</v>
      </c>
      <c r="C8" s="3576"/>
      <c r="D8" s="3579"/>
      <c r="E8" s="741" t="s">
        <v>2656</v>
      </c>
      <c r="F8" s="1692"/>
      <c r="G8" s="1692"/>
      <c r="H8" s="1692"/>
      <c r="I8" s="1823"/>
    </row>
    <row r="9" spans="1:12" ht="13.2">
      <c r="A9" s="3565"/>
      <c r="B9" s="3573"/>
      <c r="C9" s="3578"/>
      <c r="D9" s="3579"/>
      <c r="E9" s="741" t="s">
        <v>2657</v>
      </c>
      <c r="F9" s="1692"/>
      <c r="G9" s="1692"/>
      <c r="H9" s="1692"/>
      <c r="I9" s="1823"/>
    </row>
    <row r="10" spans="1:12" ht="13.2">
      <c r="A10" s="3565" t="s">
        <v>2658</v>
      </c>
      <c r="B10" s="3573">
        <v>15</v>
      </c>
      <c r="C10" s="3576"/>
      <c r="D10" s="3579"/>
      <c r="E10" s="741" t="s">
        <v>2659</v>
      </c>
      <c r="F10" s="1692"/>
      <c r="G10" s="1692"/>
      <c r="H10" s="1692"/>
      <c r="I10" s="1823"/>
    </row>
    <row r="11" spans="1:12" ht="13.2">
      <c r="A11" s="3565"/>
      <c r="B11" s="3573"/>
      <c r="C11" s="3578"/>
      <c r="D11" s="3579"/>
      <c r="E11" s="741" t="s">
        <v>2660</v>
      </c>
      <c r="F11" s="1692"/>
      <c r="G11" s="1692"/>
      <c r="H11" s="1692"/>
      <c r="I11" s="1823"/>
    </row>
    <row r="12" spans="1:12" ht="13.2">
      <c r="A12" s="3565" t="s">
        <v>2661</v>
      </c>
      <c r="B12" s="3573">
        <v>15</v>
      </c>
      <c r="C12" s="3576"/>
      <c r="D12" s="3579"/>
      <c r="E12" s="741" t="s">
        <v>2662</v>
      </c>
      <c r="F12" s="1692"/>
      <c r="G12" s="1692"/>
      <c r="H12" s="1692"/>
      <c r="I12" s="1823"/>
    </row>
    <row r="13" spans="1:12" ht="13.2">
      <c r="A13" s="3565"/>
      <c r="B13" s="3573"/>
      <c r="C13" s="3578"/>
      <c r="D13" s="3579"/>
      <c r="E13" s="741" t="s">
        <v>2663</v>
      </c>
      <c r="F13" s="1692"/>
      <c r="G13" s="1692"/>
      <c r="H13" s="1692"/>
      <c r="I13" s="1823"/>
    </row>
    <row r="14" spans="1:12" ht="13.2">
      <c r="A14" s="3565" t="s">
        <v>2664</v>
      </c>
      <c r="B14" s="3573">
        <v>30</v>
      </c>
      <c r="C14" s="3576">
        <v>7</v>
      </c>
      <c r="D14" s="3579">
        <v>3</v>
      </c>
      <c r="E14" s="741" t="s">
        <v>2665</v>
      </c>
      <c r="F14" s="1692"/>
      <c r="G14" s="1692"/>
      <c r="H14" s="1692"/>
      <c r="I14" s="1823"/>
    </row>
    <row r="15" spans="1:12" ht="13.2">
      <c r="A15" s="3565"/>
      <c r="B15" s="3573"/>
      <c r="C15" s="3577"/>
      <c r="D15" s="3579"/>
      <c r="E15" s="741" t="s">
        <v>2666</v>
      </c>
      <c r="F15" s="1692"/>
      <c r="G15" s="1692"/>
      <c r="H15" s="1692"/>
      <c r="I15" s="1823"/>
    </row>
    <row r="16" spans="1:12" ht="13.2">
      <c r="A16" s="3565"/>
      <c r="B16" s="3573"/>
      <c r="C16" s="3578"/>
      <c r="D16" s="3579"/>
      <c r="E16" s="741" t="s">
        <v>2667</v>
      </c>
      <c r="F16" s="1692"/>
      <c r="G16" s="1692"/>
      <c r="H16" s="1692"/>
      <c r="I16" s="1823"/>
    </row>
    <row r="17" spans="1:36" ht="14.4">
      <c r="A17" s="1693" t="s">
        <v>2668</v>
      </c>
      <c r="B17" s="1694"/>
      <c r="C17" s="1695">
        <f>SUM(C5:C16)</f>
        <v>7</v>
      </c>
      <c r="D17" s="1695">
        <f>SUM(D5:D16)</f>
        <v>3</v>
      </c>
      <c r="E17" s="588"/>
      <c r="F17" s="588"/>
      <c r="G17" s="588"/>
      <c r="H17" s="588"/>
      <c r="I17" s="588"/>
      <c r="K17" s="701"/>
      <c r="L17" s="701" t="s">
        <v>2669</v>
      </c>
      <c r="M17" s="701" t="s">
        <v>2670</v>
      </c>
    </row>
    <row r="18" spans="1:36" ht="31.95" customHeight="1">
      <c r="A18" s="1696" t="s">
        <v>2671</v>
      </c>
      <c r="B18" s="1697"/>
      <c r="C18" s="1698">
        <f>ROUND(C17/SUM(C17:D17),2)</f>
        <v>0.7</v>
      </c>
      <c r="D18" s="1698">
        <f>1-C18</f>
        <v>0.30000000000000004</v>
      </c>
      <c r="E18" s="3640" t="s">
        <v>2672</v>
      </c>
      <c r="F18" s="3641"/>
      <c r="G18" s="3641"/>
      <c r="H18" s="3641"/>
      <c r="I18" s="3641"/>
      <c r="K18" s="701" t="s">
        <v>458</v>
      </c>
      <c r="L18" s="701">
        <f>IF(C1="",'数据-汇总表'!E3,SUMIF(项目类型,C1,'数据-汇总表'!E17:E26)+SUMIF(项目类型,C1,'数据-汇总表'!I17:I26))</f>
        <v>1008.26</v>
      </c>
      <c r="M18" s="701">
        <f>IF(C1="",'数据-汇总表'!E3,SUMIF(项目类型,C1,'数据-汇总表'!E17:E26))</f>
        <v>1008.26</v>
      </c>
    </row>
    <row r="19" spans="1:36" ht="14.4">
      <c r="A19" s="1699" t="s">
        <v>2673</v>
      </c>
      <c r="B19" s="1700" t="s">
        <v>2674</v>
      </c>
      <c r="C19" s="1701">
        <f ca="1">SUMIF(INDIRECT("'"&amp;C4&amp;"'"&amp;"!A:A"),结果表地下商业!B19,INDIRECT("'"&amp;C4&amp;"'"&amp;"!B:B"))</f>
        <v>1689.1379999999999</v>
      </c>
      <c r="D19" s="1702">
        <f ca="1">SUMIF(INDIRECT("'"&amp;D4&amp;"'"&amp;"!A:A"),结果表地下商业!B19,INDIRECT("'"&amp;D4&amp;"'"&amp;"!B:B"))</f>
        <v>1045.4854</v>
      </c>
      <c r="E19" s="1699" t="s">
        <v>2675</v>
      </c>
      <c r="F19" s="1700" t="s">
        <v>2674</v>
      </c>
      <c r="G19" s="1703">
        <f ca="1">ROUND(C19*$C$18+D19*$D$18,0)</f>
        <v>1496</v>
      </c>
      <c r="H19" s="1704" t="s">
        <v>2676</v>
      </c>
      <c r="I19" s="588"/>
      <c r="K19" s="701" t="s">
        <v>462</v>
      </c>
      <c r="L19" s="701">
        <f>IF(C1="",'数据-汇总表'!D3,SUMIF(项目类型,C1,'数据-汇总表'!D17:D26)+SUMIF(项目类型,C1,'数据-汇总表'!H17:H27))</f>
        <v>0</v>
      </c>
      <c r="M19" s="701">
        <f>IF(C1="",'数据-汇总表'!D3,SUMIF(项目类型,C1,'数据-汇总表'!D17:D26))</f>
        <v>0</v>
      </c>
    </row>
    <row r="20" spans="1:36" ht="14.4">
      <c r="A20" s="1705"/>
      <c r="B20" s="1706" t="s">
        <v>2677</v>
      </c>
      <c r="C20" s="1707">
        <f ca="1">SUMIF(INDIRECT("'"&amp;C4&amp;"'"&amp;"!A:A"),结果表地下商业!B20,INDIRECT("'"&amp;C4&amp;"'"&amp;"!B:B"))</f>
        <v>16753</v>
      </c>
      <c r="D20" s="1708">
        <f ca="1">SUMIF(INDIRECT("'"&amp;D4&amp;"'"&amp;"!A:A"),结果表地下商业!B20,INDIRECT("'"&amp;D4&amp;"'"&amp;"!B:B"))</f>
        <v>10369</v>
      </c>
      <c r="E20" s="1705"/>
      <c r="F20" s="1706" t="s">
        <v>2677</v>
      </c>
      <c r="G20" s="1709">
        <f ca="1">ROUND(C20*$C$18+D20*$D$18,0)</f>
        <v>14838</v>
      </c>
      <c r="H20" s="857" t="s">
        <v>2678</v>
      </c>
      <c r="I20" s="588"/>
    </row>
    <row r="21" spans="1:36" ht="15" customHeight="1">
      <c r="A21" s="1710"/>
      <c r="B21" s="1711" t="s">
        <v>2679</v>
      </c>
      <c r="C21" s="1712" t="e">
        <f ca="1">ROUND(C19*10000/L19,0)</f>
        <v>#DIV/0!</v>
      </c>
      <c r="D21" s="1713" t="e">
        <f ca="1">ROUND(D19*10000/L19,0)</f>
        <v>#DIV/0!</v>
      </c>
      <c r="E21" s="1710"/>
      <c r="F21" s="1711" t="s">
        <v>2679</v>
      </c>
      <c r="G21" s="1714" t="e">
        <f ca="1">ROUND(G19*10000/L19,0)</f>
        <v>#DIV/0!</v>
      </c>
      <c r="H21" s="1715" t="s">
        <v>2678</v>
      </c>
      <c r="I21" s="588"/>
    </row>
    <row r="22" spans="1:36" ht="14.4">
      <c r="A22" s="1716" t="s">
        <v>2680</v>
      </c>
      <c r="B22" s="1717"/>
      <c r="C22" s="1718"/>
      <c r="D22" s="1719">
        <f ca="1">IF(C19&lt;D19,D19/C19-1,C19/D19-1)</f>
        <v>0.6156495346563422</v>
      </c>
      <c r="E22" s="588"/>
      <c r="F22" s="588"/>
      <c r="G22" s="588"/>
      <c r="H22" s="588"/>
      <c r="I22" s="588"/>
    </row>
    <row r="23" spans="1:36" ht="13.2">
      <c r="A23" s="1680"/>
      <c r="B23" s="1680"/>
      <c r="C23" s="1680"/>
      <c r="D23" s="1680"/>
      <c r="E23" s="588"/>
      <c r="F23" s="588"/>
      <c r="G23" s="588"/>
      <c r="H23" s="588"/>
      <c r="I23" s="588"/>
    </row>
    <row r="24" spans="1:36" ht="14.4">
      <c r="A24" s="3566" t="s">
        <v>2681</v>
      </c>
      <c r="B24" s="1700" t="s">
        <v>2674</v>
      </c>
      <c r="C24" s="1703">
        <f>IF(B30=0,0,D30)</f>
        <v>0</v>
      </c>
      <c r="D24" s="1720"/>
      <c r="E24" s="588"/>
      <c r="F24" s="588"/>
      <c r="G24" s="588"/>
      <c r="H24" s="588"/>
      <c r="I24" s="588"/>
    </row>
    <row r="25" spans="1:36" ht="14.4">
      <c r="A25" s="3567"/>
      <c r="B25" s="1706" t="s">
        <v>2677</v>
      </c>
      <c r="C25" s="1721">
        <f>IF(B30=0,0,C30)</f>
        <v>0</v>
      </c>
      <c r="D25" s="1722"/>
      <c r="E25" s="588"/>
      <c r="F25" s="588"/>
      <c r="G25" s="588"/>
      <c r="H25" s="588"/>
      <c r="I25" s="588"/>
    </row>
    <row r="26" spans="1:36" ht="13.5" customHeight="1">
      <c r="A26" s="1723" t="s">
        <v>2682</v>
      </c>
      <c r="B26" s="1724" t="s">
        <v>2683</v>
      </c>
      <c r="C26" s="1724" t="s">
        <v>2684</v>
      </c>
      <c r="D26" s="1725" t="s">
        <v>2685</v>
      </c>
      <c r="E26" s="588"/>
      <c r="F26" s="588"/>
      <c r="G26" s="588"/>
      <c r="H26" s="588"/>
      <c r="I26" s="588"/>
    </row>
    <row r="27" spans="1:36" ht="13.8">
      <c r="A27" s="1723"/>
      <c r="B27" s="1724">
        <v>0</v>
      </c>
      <c r="C27" s="1724">
        <v>0</v>
      </c>
      <c r="D27" s="1725">
        <f>ROUND(C27*B27/10000,0)</f>
        <v>0</v>
      </c>
      <c r="E27" s="588"/>
      <c r="F27" s="588"/>
      <c r="G27" s="588"/>
      <c r="H27" s="588"/>
      <c r="I27" s="588"/>
    </row>
    <row r="28" spans="1:36" ht="13.8">
      <c r="A28" s="1723"/>
      <c r="B28" s="1724"/>
      <c r="C28" s="1724"/>
      <c r="D28" s="1725"/>
      <c r="E28" s="588"/>
      <c r="F28" s="588"/>
      <c r="G28" s="588"/>
      <c r="H28" s="588"/>
      <c r="I28" s="588"/>
    </row>
    <row r="29" spans="1:36" ht="13.8">
      <c r="A29" s="1723"/>
      <c r="B29" s="1724"/>
      <c r="C29" s="1724"/>
      <c r="D29" s="1725"/>
      <c r="E29" s="588"/>
      <c r="F29" s="588"/>
      <c r="G29" s="588"/>
      <c r="H29" s="588"/>
      <c r="I29" s="588"/>
    </row>
    <row r="30" spans="1:36" ht="14.4">
      <c r="A30" s="1724" t="s">
        <v>2686</v>
      </c>
      <c r="B30" s="1724"/>
      <c r="C30" s="1724"/>
      <c r="D30" s="1724"/>
      <c r="E30" s="1726" t="s">
        <v>2687</v>
      </c>
      <c r="F30" s="588"/>
      <c r="G30" s="588"/>
      <c r="H30" s="588"/>
      <c r="I30" s="588"/>
    </row>
    <row r="31" spans="1:36" s="1674" customFormat="1" ht="26.4" customHeight="1">
      <c r="A31" s="1727"/>
      <c r="B31" s="1728"/>
      <c r="C31" s="1728"/>
      <c r="D31" s="1728"/>
      <c r="E31" s="1728"/>
      <c r="F31" s="1728"/>
      <c r="G31" s="1728"/>
      <c r="H31" s="1728"/>
      <c r="I31" s="1824" t="s">
        <v>2688</v>
      </c>
      <c r="J31" s="1825"/>
      <c r="K31" s="1826"/>
      <c r="L31" s="1826"/>
      <c r="M31" s="1826"/>
      <c r="N31" s="1826"/>
      <c r="O31" s="1826"/>
      <c r="P31" s="1826"/>
      <c r="Q31" s="1826"/>
      <c r="R31" s="1826"/>
      <c r="S31" s="1826"/>
      <c r="T31" s="1826"/>
      <c r="U31" s="1826"/>
      <c r="V31" s="1826"/>
      <c r="W31" s="1826"/>
      <c r="X31" s="1826"/>
      <c r="Y31" s="1826"/>
      <c r="Z31" s="1826"/>
      <c r="AA31" s="1826"/>
      <c r="AB31" s="1857"/>
      <c r="AC31" s="1857"/>
      <c r="AD31" s="1857"/>
      <c r="AE31" s="1857"/>
      <c r="AF31" s="1857"/>
      <c r="AG31" s="1857"/>
      <c r="AH31" s="1857"/>
      <c r="AI31" s="1857"/>
      <c r="AJ31" s="1857"/>
    </row>
    <row r="32" spans="1:36" ht="14.4">
      <c r="A32" s="1729" t="s">
        <v>2689</v>
      </c>
      <c r="B32" s="1730"/>
      <c r="C32" s="1731">
        <f ca="1">IF(D32="总价",G19-C24,G20-C25)</f>
        <v>1496</v>
      </c>
      <c r="D32" s="1732" t="s">
        <v>2690</v>
      </c>
      <c r="E32" s="588"/>
      <c r="F32" s="588"/>
      <c r="G32" s="588"/>
      <c r="H32" s="588"/>
      <c r="I32" s="588"/>
    </row>
    <row r="33" spans="1:15" ht="14.4">
      <c r="A33" s="1733" t="s">
        <v>2691</v>
      </c>
      <c r="B33" s="1734"/>
      <c r="C33" s="1735" t="s">
        <v>2692</v>
      </c>
      <c r="D33" s="1736" t="s">
        <v>2649</v>
      </c>
      <c r="E33" s="1737" t="s">
        <v>2693</v>
      </c>
      <c r="F33" s="1738" t="str">
        <f>IF(D32="楼面单价","取值（单价）","取值（总价）")</f>
        <v>取值（总价）</v>
      </c>
      <c r="G33" s="588"/>
      <c r="H33" s="588"/>
      <c r="I33" s="588"/>
    </row>
    <row r="34" spans="1:15" ht="14.4">
      <c r="A34" s="1739"/>
      <c r="B34" s="1740" t="s">
        <v>2694</v>
      </c>
      <c r="C34" s="1741">
        <f ca="1">IF(C33="自定义",F34,C32-C35)</f>
        <v>615</v>
      </c>
      <c r="D34" s="1742">
        <f ca="1">IF(C33="自定义",ROUND(C34/C32,3),IF(C33="收益比率",SUMIF(INDIRECT("'"&amp;D33&amp;"'"&amp;"!b:b"),"土地收益比率",INDIRECT("'"&amp;D33&amp;"'"&amp;"!c:c")),SUMIF(INDIRECT("'"&amp;D33&amp;"'"&amp;"!b:b"),"土地成本比率",INDIRECT("'"&amp;D33&amp;"'"&amp;"!c:c"))))</f>
        <v>0.41100000000000003</v>
      </c>
      <c r="E34" s="1743" t="s">
        <v>2695</v>
      </c>
      <c r="F34" s="1744"/>
      <c r="G34" s="588"/>
      <c r="H34" s="588"/>
      <c r="I34" s="588"/>
    </row>
    <row r="35" spans="1:15" ht="14.4">
      <c r="A35" s="1745"/>
      <c r="B35" s="1746" t="s">
        <v>2696</v>
      </c>
      <c r="C35" s="1747">
        <f ca="1">IF(C33="自定义",F35,ROUND(C32*D35,0))</f>
        <v>881</v>
      </c>
      <c r="D35" s="1748">
        <f ca="1">IF(C33="自定义",ROUND(C35/C32,3),IF(C33="收益比率",SUMIF(INDIRECT("'"&amp;D33&amp;"'"&amp;"!b:b"),"建筑物收益比率",INDIRECT("'"&amp;D33&amp;"'"&amp;"!c:c")),SUMIF(INDIRECT("'"&amp;D33&amp;"'"&amp;"!b:b"),"建筑物成本比率",INDIRECT("'"&amp;D33&amp;"'"&amp;"!c:c"))))</f>
        <v>0.58899999999999997</v>
      </c>
      <c r="E35" s="1749" t="s">
        <v>2697</v>
      </c>
      <c r="F35" s="1750"/>
      <c r="G35" s="588"/>
      <c r="H35" s="588"/>
      <c r="I35" s="588"/>
    </row>
    <row r="36" spans="1:15" ht="14.4">
      <c r="A36" s="3568" t="s">
        <v>2698</v>
      </c>
      <c r="B36" s="1751" t="s">
        <v>2699</v>
      </c>
      <c r="C36" s="1752"/>
      <c r="D36" s="1753"/>
      <c r="E36" s="1754"/>
      <c r="F36" s="1755"/>
      <c r="G36" s="588"/>
      <c r="H36" s="588"/>
      <c r="I36" s="588"/>
    </row>
    <row r="37" spans="1:15" ht="14.4">
      <c r="A37" s="3569"/>
      <c r="B37" s="1756" t="s">
        <v>2700</v>
      </c>
      <c r="C37" s="1757"/>
      <c r="D37" s="1758"/>
      <c r="E37" s="1758"/>
      <c r="F37" s="1755"/>
      <c r="G37" s="588"/>
      <c r="H37" s="588"/>
      <c r="I37" s="588"/>
    </row>
    <row r="38" spans="1:15" ht="14.4">
      <c r="A38" s="3570"/>
      <c r="B38" s="1759" t="s">
        <v>2701</v>
      </c>
      <c r="C38" s="1760"/>
      <c r="D38" s="1761" t="s">
        <v>2702</v>
      </c>
      <c r="E38" s="1758"/>
      <c r="F38" s="1755"/>
      <c r="G38" s="588"/>
      <c r="H38" s="588"/>
      <c r="I38" s="588"/>
    </row>
    <row r="39" spans="1:15" ht="14.4">
      <c r="A39" s="1705" t="s">
        <v>2703</v>
      </c>
      <c r="B39" s="1762" t="s">
        <v>2683</v>
      </c>
      <c r="C39" s="1763" t="s">
        <v>2684</v>
      </c>
      <c r="D39" s="1763" t="s">
        <v>2704</v>
      </c>
      <c r="E39" s="1764" t="s">
        <v>2685</v>
      </c>
      <c r="F39" s="1755"/>
      <c r="G39" s="588"/>
      <c r="H39" s="588"/>
      <c r="I39" s="588"/>
    </row>
    <row r="40" spans="1:15" ht="13.8">
      <c r="A40" s="1765" t="s">
        <v>2705</v>
      </c>
      <c r="B40" s="1766"/>
      <c r="C40" s="606"/>
      <c r="D40" s="606"/>
      <c r="E40" s="1767"/>
      <c r="F40" s="1755"/>
      <c r="G40" s="588"/>
      <c r="H40" s="588"/>
      <c r="I40" s="588"/>
    </row>
    <row r="41" spans="1:15" ht="13.8">
      <c r="A41" s="1765" t="s">
        <v>2706</v>
      </c>
      <c r="B41" s="1766"/>
      <c r="C41" s="606"/>
      <c r="D41" s="606"/>
      <c r="E41" s="1767"/>
      <c r="F41" s="1755"/>
      <c r="G41" s="588"/>
      <c r="H41" s="588"/>
      <c r="I41" s="588"/>
    </row>
    <row r="42" spans="1:15" ht="13.8">
      <c r="A42" s="1768"/>
      <c r="B42" s="1769"/>
      <c r="C42" s="1770"/>
      <c r="D42" s="1770"/>
      <c r="E42" s="1750"/>
      <c r="F42" s="1755"/>
      <c r="G42" s="588"/>
      <c r="H42" s="588"/>
      <c r="I42" s="588"/>
    </row>
    <row r="43" spans="1:15" ht="13.2">
      <c r="A43" s="1771"/>
      <c r="B43" s="1771"/>
      <c r="C43" s="1771"/>
      <c r="D43" s="1771"/>
      <c r="E43" s="1771"/>
      <c r="F43" s="1772"/>
      <c r="G43" s="1772"/>
      <c r="H43" s="1772"/>
      <c r="I43" s="1827"/>
    </row>
    <row r="44" spans="1:15" ht="17.399999999999999">
      <c r="A44" s="1773" t="s">
        <v>2707</v>
      </c>
      <c r="B44" s="1774"/>
      <c r="C44" s="1774"/>
      <c r="D44" s="1775"/>
      <c r="E44" s="1775"/>
      <c r="F44" s="1776"/>
      <c r="G44" s="1776"/>
      <c r="H44" s="1776"/>
      <c r="I44" s="1776"/>
      <c r="J44" s="1828" t="s">
        <v>2708</v>
      </c>
      <c r="K44" s="1829"/>
      <c r="L44" s="1829"/>
      <c r="M44" s="1829"/>
      <c r="N44" s="1829"/>
      <c r="O44" s="1829"/>
    </row>
    <row r="45" spans="1:15" ht="14.25" customHeight="1">
      <c r="A45" s="3642" t="s">
        <v>2709</v>
      </c>
      <c r="B45" s="3643"/>
      <c r="C45" s="3644"/>
      <c r="D45" s="700">
        <f ca="1">ROUND(H101*F45,0)</f>
        <v>1496</v>
      </c>
      <c r="E45" s="1777" t="s">
        <v>2710</v>
      </c>
      <c r="F45" s="1778">
        <v>1</v>
      </c>
      <c r="G45" s="1779" t="s">
        <v>2711</v>
      </c>
      <c r="H45" s="588"/>
      <c r="I45" s="588"/>
      <c r="J45" s="3631" t="s">
        <v>2712</v>
      </c>
      <c r="K45" s="3631"/>
      <c r="L45" s="3631"/>
      <c r="M45" s="3631"/>
      <c r="N45" s="3631"/>
      <c r="O45" s="3631"/>
    </row>
    <row r="46" spans="1:15" ht="14.25" customHeight="1">
      <c r="A46" s="3645" t="s">
        <v>2713</v>
      </c>
      <c r="B46" s="3646"/>
      <c r="C46" s="3646"/>
      <c r="D46" s="3646"/>
      <c r="E46" s="3646"/>
      <c r="F46" s="3646"/>
      <c r="G46" s="3647"/>
      <c r="H46" s="1780"/>
      <c r="I46" s="589"/>
      <c r="J46" s="1030">
        <v>1</v>
      </c>
      <c r="K46" s="3624" t="s">
        <v>2714</v>
      </c>
      <c r="L46" s="3624"/>
      <c r="M46" s="3648"/>
      <c r="N46" s="3648"/>
      <c r="O46" s="3648"/>
    </row>
    <row r="47" spans="1:15" ht="12" customHeight="1">
      <c r="A47" s="1781" t="s">
        <v>2715</v>
      </c>
      <c r="B47" s="1782"/>
      <c r="C47" s="1783"/>
      <c r="D47" s="751" t="s">
        <v>2716</v>
      </c>
      <c r="E47" s="701" t="s">
        <v>2717</v>
      </c>
      <c r="F47" s="1784" t="s">
        <v>2718</v>
      </c>
      <c r="G47" s="1785" t="s">
        <v>2719</v>
      </c>
      <c r="H47" s="1786"/>
      <c r="I47" s="589"/>
      <c r="J47" s="1030">
        <v>2</v>
      </c>
      <c r="K47" s="3624" t="s">
        <v>2720</v>
      </c>
      <c r="L47" s="3624"/>
      <c r="M47" s="3628">
        <f>'数据-取费表'!B2</f>
        <v>45311</v>
      </c>
      <c r="N47" s="3628"/>
      <c r="O47" s="3628"/>
    </row>
    <row r="48" spans="1:15" ht="26.4">
      <c r="A48" s="3629" t="s">
        <v>2721</v>
      </c>
      <c r="B48" s="3614"/>
      <c r="C48" s="3614"/>
      <c r="D48" s="855" t="b">
        <f>IF(H48="情况1",0,IF(H48="情况2",D52,IF(H48="情况3",D53,IF(H48="情况4",D54))))</f>
        <v>0</v>
      </c>
      <c r="E48" s="755" t="str">
        <f>IF(H48="情况4","(销售额-原购置价)×税（费）率","销售额×税（费）率")</f>
        <v>销售额×税（费）率</v>
      </c>
      <c r="F48" s="1788">
        <f>IF(H48="情况1","免征",'数据-取费表'!B41)</f>
        <v>5.6000000000000001E-2</v>
      </c>
      <c r="G48" s="1789" t="s">
        <v>2722</v>
      </c>
      <c r="H48" s="1790"/>
      <c r="I48" s="1780"/>
      <c r="J48" s="1030">
        <v>3</v>
      </c>
      <c r="K48" s="3624" t="s">
        <v>2723</v>
      </c>
      <c r="L48" s="3624"/>
      <c r="M48" s="3630">
        <f ca="1">H101</f>
        <v>1496</v>
      </c>
      <c r="N48" s="3630"/>
      <c r="O48" s="3630"/>
    </row>
    <row r="49" spans="1:35" ht="25.5" customHeight="1">
      <c r="A49" s="1787" t="s">
        <v>2724</v>
      </c>
      <c r="B49" s="3609" t="s">
        <v>2725</v>
      </c>
      <c r="C49" s="3609"/>
      <c r="D49" s="1791">
        <v>0</v>
      </c>
      <c r="E49" s="761" t="s">
        <v>2726</v>
      </c>
      <c r="F49" s="1792" t="s">
        <v>124</v>
      </c>
      <c r="G49" s="3625"/>
      <c r="H49" s="1793" t="s">
        <v>2727</v>
      </c>
      <c r="I49" s="1831"/>
      <c r="J49" s="1030">
        <v>4</v>
      </c>
      <c r="K49" s="3624" t="str">
        <f>IF(项目基本情况!E8="房地产抵押价值","房地产抵押价值","抵押担保权已注销时的房地产抵押价值")</f>
        <v>房地产抵押价值</v>
      </c>
      <c r="L49" s="3624"/>
      <c r="M49" s="3630">
        <f ca="1">IF(项目基本情况!E8="房地产抵押价值",H107,H109)</f>
        <v>1496</v>
      </c>
      <c r="N49" s="3630"/>
      <c r="O49" s="3630"/>
    </row>
    <row r="50" spans="1:35" ht="25.5" customHeight="1">
      <c r="A50" s="1794"/>
      <c r="B50" s="3609" t="s">
        <v>2728</v>
      </c>
      <c r="C50" s="3609"/>
      <c r="D50" s="1795"/>
      <c r="E50" s="776"/>
      <c r="F50" s="1792"/>
      <c r="G50" s="3626"/>
      <c r="H50" s="1796" t="s">
        <v>2729</v>
      </c>
      <c r="I50" s="1831"/>
      <c r="J50" s="3631" t="s">
        <v>2730</v>
      </c>
      <c r="K50" s="3631"/>
      <c r="L50" s="3631"/>
      <c r="M50" s="3631"/>
      <c r="N50" s="3631"/>
      <c r="O50" s="3631"/>
    </row>
    <row r="51" spans="1:35" ht="20.399999999999999" customHeight="1">
      <c r="A51" s="1797"/>
      <c r="B51" s="3609" t="s">
        <v>2731</v>
      </c>
      <c r="C51" s="3609"/>
      <c r="D51" s="751"/>
      <c r="E51" s="765"/>
      <c r="F51" s="1792"/>
      <c r="G51" s="3627"/>
      <c r="H51" s="1796" t="s">
        <v>2732</v>
      </c>
      <c r="I51" s="1831"/>
      <c r="J51" s="1830" t="s">
        <v>2733</v>
      </c>
      <c r="K51" s="3624" t="s">
        <v>2734</v>
      </c>
      <c r="L51" s="3624"/>
      <c r="M51" s="1830" t="s">
        <v>2735</v>
      </c>
      <c r="N51" s="1830" t="s">
        <v>2736</v>
      </c>
      <c r="O51" s="1830" t="s">
        <v>2737</v>
      </c>
    </row>
    <row r="52" spans="1:35" ht="24" customHeight="1">
      <c r="A52" s="1798" t="s">
        <v>2738</v>
      </c>
      <c r="B52" s="3609" t="s">
        <v>2739</v>
      </c>
      <c r="C52" s="3609"/>
      <c r="D52" s="751">
        <f ca="1">ROUND(D45*'数据-取费表'!B41/(1+'数据-取费表'!C42),0)</f>
        <v>80</v>
      </c>
      <c r="E52" s="755" t="s">
        <v>2740</v>
      </c>
      <c r="F52" s="1799">
        <f>'数据-取费表'!B41</f>
        <v>5.6000000000000001E-2</v>
      </c>
      <c r="G52" s="1800"/>
      <c r="H52" s="870"/>
      <c r="I52" s="1832"/>
      <c r="J52" s="1030">
        <v>1</v>
      </c>
      <c r="K52" s="3556" t="s">
        <v>2741</v>
      </c>
      <c r="L52" s="3556"/>
      <c r="M52" s="1833" t="b">
        <f t="shared" ref="M52:O52" si="0">D48</f>
        <v>0</v>
      </c>
      <c r="N52" s="1030" t="str">
        <f t="shared" si="0"/>
        <v>销售额×税（费）率</v>
      </c>
      <c r="O52" s="1834">
        <f t="shared" si="0"/>
        <v>5.6000000000000001E-2</v>
      </c>
    </row>
    <row r="53" spans="1:35" ht="12" customHeight="1">
      <c r="A53" s="1798" t="s">
        <v>2742</v>
      </c>
      <c r="B53" s="3608" t="s">
        <v>2743</v>
      </c>
      <c r="C53" s="3618"/>
      <c r="D53" s="751">
        <f ca="1">ROUND(D45*'数据-取费表'!B41/(1+'数据-取费表'!C42),0)</f>
        <v>80</v>
      </c>
      <c r="E53" s="755" t="s">
        <v>2740</v>
      </c>
      <c r="F53" s="1799">
        <f>'数据-取费表'!B41</f>
        <v>5.6000000000000001E-2</v>
      </c>
      <c r="G53" s="1800"/>
      <c r="H53" s="870"/>
      <c r="I53" s="1832"/>
      <c r="J53" s="1030">
        <v>2</v>
      </c>
      <c r="K53" s="3556" t="s">
        <v>2744</v>
      </c>
      <c r="L53" s="3556"/>
      <c r="M53" s="1833">
        <f t="shared" ref="M53:O53" ca="1" si="1">D55</f>
        <v>1</v>
      </c>
      <c r="N53" s="1030" t="str">
        <f t="shared" si="1"/>
        <v>销售额×税（费）率</v>
      </c>
      <c r="O53" s="1834" t="str">
        <f t="shared" si="1"/>
        <v>免征</v>
      </c>
    </row>
    <row r="54" spans="1:35" ht="12" customHeight="1">
      <c r="A54" s="1798" t="s">
        <v>2745</v>
      </c>
      <c r="B54" s="3608" t="s">
        <v>2746</v>
      </c>
      <c r="C54" s="3618"/>
      <c r="D54" s="751">
        <f ca="1">C68</f>
        <v>80</v>
      </c>
      <c r="E54" s="765" t="s">
        <v>2747</v>
      </c>
      <c r="F54" s="1799">
        <f>'数据-取费表'!B41</f>
        <v>5.6000000000000001E-2</v>
      </c>
      <c r="G54" s="1800"/>
      <c r="H54" s="1801"/>
      <c r="I54" s="1832"/>
      <c r="J54" s="1030">
        <v>3</v>
      </c>
      <c r="K54" s="3556" t="s">
        <v>2748</v>
      </c>
      <c r="L54" s="3556"/>
      <c r="M54" s="1833">
        <f t="shared" ref="M54:O54" ca="1" si="2">D56</f>
        <v>846</v>
      </c>
      <c r="N54" s="1030" t="str">
        <f t="shared" si="2"/>
        <v>增值额×税（费）率</v>
      </c>
      <c r="O54" s="1835" t="str">
        <f t="shared" si="2"/>
        <v>免征</v>
      </c>
    </row>
    <row r="55" spans="1:35" ht="24" customHeight="1">
      <c r="A55" s="3613" t="s">
        <v>2749</v>
      </c>
      <c r="B55" s="3614"/>
      <c r="C55" s="3614"/>
      <c r="D55" s="855">
        <f ca="1">IF(H55="个人住宅",0,ROUND(D45*I55,0))</f>
        <v>1</v>
      </c>
      <c r="E55" s="755" t="s">
        <v>2750</v>
      </c>
      <c r="F55" s="1799" t="str">
        <f>IF(H55="正常",I55,"免征")</f>
        <v>免征</v>
      </c>
      <c r="G55" s="1800"/>
      <c r="H55" s="1790"/>
      <c r="I55" s="1836">
        <f>'数据-取费表'!B49</f>
        <v>5.0000000000000001E-4</v>
      </c>
      <c r="J55" s="1030">
        <f>IF(H59="非个人房产","",4)</f>
        <v>4</v>
      </c>
      <c r="K55" s="3556" t="str">
        <f>IF(H59="非个人房产","——","个人所得税")</f>
        <v>个人所得税</v>
      </c>
      <c r="L55" s="3556"/>
      <c r="M55" s="1837">
        <f t="shared" ref="M55:O55" ca="1" si="3">D59</f>
        <v>14</v>
      </c>
      <c r="N55" s="1011" t="str">
        <f t="shared" si="3"/>
        <v>差额计税</v>
      </c>
      <c r="O55" s="1838">
        <f t="shared" si="3"/>
        <v>0.01</v>
      </c>
    </row>
    <row r="56" spans="1:35" ht="25.2">
      <c r="A56" s="3613" t="s">
        <v>2751</v>
      </c>
      <c r="B56" s="3614"/>
      <c r="C56" s="3614"/>
      <c r="D56" s="855">
        <f ca="1">IF(H56="个人住宅",D57,D58)</f>
        <v>846</v>
      </c>
      <c r="E56" s="755" t="s">
        <v>2752</v>
      </c>
      <c r="F56" s="1799" t="str">
        <f>IF(H56="正常",F58,"免征")</f>
        <v>免征</v>
      </c>
      <c r="G56" s="1802" t="s">
        <v>2753</v>
      </c>
      <c r="H56" s="1803"/>
      <c r="I56" s="1812"/>
      <c r="J56" s="1030" t="str">
        <f>IF(项目基本情况!K6="上海银行",IF(J55="",4,J55+1),"")</f>
        <v/>
      </c>
      <c r="K56" s="3615" t="str">
        <f>IF(项目基本情况!K6="上海银行","其他处置费用","")</f>
        <v/>
      </c>
      <c r="L56" s="3616"/>
      <c r="M56" s="1833" t="str">
        <f>IF(项目基本情况!K6="上海银行",M69,"")</f>
        <v/>
      </c>
      <c r="N56" s="3615" t="str">
        <f>IF(项目基本情况!K6="上海银行","包含处置中涉及的律师、诉讼、拍卖、评估等费用","")</f>
        <v/>
      </c>
      <c r="O56" s="3617"/>
    </row>
    <row r="57" spans="1:35" ht="13.2">
      <c r="A57" s="1798" t="s">
        <v>2724</v>
      </c>
      <c r="B57" s="3608" t="s">
        <v>2754</v>
      </c>
      <c r="C57" s="3618"/>
      <c r="D57" s="1791">
        <v>0</v>
      </c>
      <c r="E57" s="761" t="s">
        <v>2726</v>
      </c>
      <c r="F57" s="701"/>
      <c r="G57" s="1800"/>
      <c r="H57" s="1804"/>
      <c r="I57" s="1812"/>
      <c r="J57" s="3556">
        <f>IF(AND(J55="",J56=""),4,IF(项目基本情况!K6="上海银行",结果表地下商业!J56+1,结果表地下商业!J55+1))</f>
        <v>5</v>
      </c>
      <c r="K57" s="3556" t="s">
        <v>2755</v>
      </c>
      <c r="L57" s="1840" t="s">
        <v>2756</v>
      </c>
      <c r="M57" s="1841"/>
      <c r="N57" s="1842">
        <f ca="1">SUMIF(M52:M56,"&lt;9e307")</f>
        <v>861</v>
      </c>
      <c r="O57" s="1843"/>
      <c r="P57" s="1844">
        <f ca="1">N57/M49</f>
        <v>0.57553475935828879</v>
      </c>
    </row>
    <row r="58" spans="1:35" ht="25.2">
      <c r="A58" s="1798" t="s">
        <v>2738</v>
      </c>
      <c r="B58" s="3608" t="s">
        <v>2757</v>
      </c>
      <c r="C58" s="3609"/>
      <c r="D58" s="855">
        <f ca="1">IF(H58="转让取得",C81,C97)</f>
        <v>846</v>
      </c>
      <c r="E58" s="755" t="s">
        <v>2752</v>
      </c>
      <c r="F58" s="701" t="s">
        <v>124</v>
      </c>
      <c r="G58" s="1800"/>
      <c r="H58" s="1803"/>
      <c r="I58" s="1812"/>
      <c r="J58" s="3556"/>
      <c r="K58" s="3556"/>
      <c r="L58" s="1840" t="s">
        <v>2758</v>
      </c>
      <c r="M58" s="1845"/>
      <c r="N58" s="1846" t="str">
        <f ca="1">NUMBERSTRING(INT(N57*10000),2)&amp;"元整"</f>
        <v>捌佰陆拾壹万元整</v>
      </c>
      <c r="O58" s="1847"/>
    </row>
    <row r="59" spans="1:35" ht="24">
      <c r="A59" s="3619" t="s">
        <v>2759</v>
      </c>
      <c r="B59" s="3620"/>
      <c r="C59" s="3620"/>
      <c r="D59" s="1805">
        <f ca="1">IF(H59="非个人房产","——",IF(H59="个人住宅（满五唯一有凭证）",0,IF(H59="个人其他（无凭证）",ROUND(D45*F59,0),ROUND(C67*F59,0))))</f>
        <v>14</v>
      </c>
      <c r="E59" s="1806" t="str">
        <f>IF(H59="非个人房产","——",IF(H59="个人其他（无凭证）","销售额×税（费）率",IF(H59="个人住宅（满五唯一有凭证）","免征","差额计税")))</f>
        <v>差额计税</v>
      </c>
      <c r="F59" s="1807">
        <f>IF(OR(H59="非个人房产",H59="个人住宅（满五唯一有凭证）"),"——",IF(H59="个人其他（有凭证）",20%,1%))</f>
        <v>0.01</v>
      </c>
      <c r="G59" s="1808" t="s">
        <v>2753</v>
      </c>
      <c r="H59" s="1809"/>
      <c r="I59" s="1848" t="s">
        <v>2760</v>
      </c>
      <c r="J59" s="3622">
        <f>J57+1</f>
        <v>6</v>
      </c>
      <c r="K59" s="3556" t="s">
        <v>2761</v>
      </c>
      <c r="L59" s="1030" t="s">
        <v>2756</v>
      </c>
      <c r="M59" s="1849"/>
      <c r="N59" s="1850">
        <f ca="1">M49-N57</f>
        <v>635</v>
      </c>
      <c r="O59" s="1851"/>
    </row>
    <row r="60" spans="1:35" ht="12" customHeight="1">
      <c r="A60" s="1810"/>
      <c r="B60" s="1680"/>
      <c r="C60" s="1680"/>
      <c r="D60" s="1680"/>
      <c r="E60" s="1811"/>
      <c r="F60" s="1812"/>
      <c r="G60" s="1812"/>
      <c r="H60" s="1813"/>
      <c r="I60" s="588"/>
      <c r="J60" s="3623"/>
      <c r="K60" s="3556"/>
      <c r="L60" s="1840" t="s">
        <v>2758</v>
      </c>
      <c r="M60" s="1845"/>
      <c r="N60" s="1846" t="str">
        <f ca="1">NUMBERSTRING(INT(N59*10000),2)&amp;"元整"</f>
        <v>陆佰叁拾伍万元整</v>
      </c>
      <c r="O60" s="1847"/>
    </row>
    <row r="61" spans="1:35" ht="13.2">
      <c r="A61" s="3621" t="s">
        <v>2762</v>
      </c>
      <c r="B61" s="3621"/>
      <c r="C61" s="3621"/>
      <c r="D61" s="3621"/>
      <c r="E61" s="3621"/>
      <c r="F61" s="1812"/>
      <c r="G61" s="1812"/>
      <c r="H61" s="1813"/>
      <c r="I61" s="588"/>
      <c r="J61" s="1030">
        <f>J59+1</f>
        <v>7</v>
      </c>
      <c r="K61" s="3556" t="s">
        <v>2763</v>
      </c>
      <c r="L61" s="3556"/>
      <c r="M61" s="1852"/>
      <c r="N61" s="1853">
        <f ca="1">ROUND(N59*10000/'数据-汇总表'!E3,0)</f>
        <v>751</v>
      </c>
      <c r="O61" s="1854"/>
    </row>
    <row r="62" spans="1:35" ht="13.2">
      <c r="A62" s="3606" t="s">
        <v>2764</v>
      </c>
      <c r="B62" s="3607"/>
      <c r="C62" s="981"/>
      <c r="D62" s="981" t="s">
        <v>2765</v>
      </c>
      <c r="E62" s="1814" t="s">
        <v>2719</v>
      </c>
      <c r="F62" s="1812"/>
      <c r="G62" s="1812"/>
      <c r="H62" s="1813"/>
      <c r="I62" s="588"/>
    </row>
    <row r="63" spans="1:35" ht="13.2">
      <c r="A63" s="1815" t="s">
        <v>2766</v>
      </c>
      <c r="B63" s="1040" t="s">
        <v>2767</v>
      </c>
      <c r="C63" s="1816">
        <f ca="1">ROUND((C64+C65)/(1+'数据-取费表'!C42),0)</f>
        <v>1425</v>
      </c>
      <c r="D63" s="1040"/>
      <c r="E63" s="1817"/>
      <c r="F63" s="1812"/>
      <c r="G63" s="1812"/>
      <c r="H63" s="1813"/>
      <c r="I63" s="588"/>
      <c r="J63" s="3555" t="s">
        <v>2768</v>
      </c>
      <c r="K63" s="1855" t="s">
        <v>2769</v>
      </c>
      <c r="L63" s="1855">
        <f ca="1">IF(M49&gt;10000,M49*0.5%,IF(AND(M49&gt;1000,M49&lt;=10000),M49*1%,IF(AND(M49&gt;100,M49&lt;=1000),M49*3%,IF(AND(M49&gt;10,M49&lt;=100),M49*5%,M49*8%))))</f>
        <v>14.96</v>
      </c>
      <c r="M63" s="701">
        <f t="shared" ref="M63:M65" ca="1" si="4">ROUND(L63,1)</f>
        <v>15</v>
      </c>
      <c r="N63" s="1856"/>
      <c r="Z63" s="1677"/>
      <c r="AI63" s="1678"/>
    </row>
    <row r="64" spans="1:35" ht="14.25" customHeight="1">
      <c r="A64" s="1818" t="s">
        <v>2770</v>
      </c>
      <c r="B64" s="967" t="s">
        <v>2771</v>
      </c>
      <c r="C64" s="1819">
        <f ca="1">D45</f>
        <v>1496</v>
      </c>
      <c r="D64" s="967" t="s">
        <v>124</v>
      </c>
      <c r="E64" s="1820"/>
      <c r="F64" s="1812"/>
      <c r="G64" s="1812"/>
      <c r="H64" s="1813"/>
      <c r="I64" s="588"/>
      <c r="J64" s="3555"/>
      <c r="K64" s="1855" t="s">
        <v>2772</v>
      </c>
      <c r="L64" s="1855">
        <f ca="1">IF(M49&gt;2000,M49*0.5%,IF(AND(M49&gt;1000,M49&lt;=2000),M49*0.6%,IF(AND(M49&gt;500,M49&lt;=1000),M49*0.7%,IF(AND(M49&gt;200,M49&lt;=500),M49*0.8%,IF(AND(M49&gt;100,M49&lt;=200),M49*0.9%,IF(AND(M49&gt;50,M49&lt;=100),M49*1%,IF(AND(M49&gt;20,M49&lt;=50),M49*1.5%,IF(AND(M49&gt;10,M49&lt;=20),M49*2%,IF(AND(M49&gt;1,M49&lt;=10),M49*2.5%)))))))))</f>
        <v>8.9760000000000009</v>
      </c>
      <c r="M64" s="701">
        <f t="shared" ca="1" si="4"/>
        <v>9</v>
      </c>
      <c r="N64" s="870" t="s">
        <v>2773</v>
      </c>
      <c r="Z64" s="1677"/>
      <c r="AI64" s="1678"/>
    </row>
    <row r="65" spans="1:35" ht="14.25" customHeight="1">
      <c r="A65" s="1818" t="s">
        <v>2774</v>
      </c>
      <c r="B65" s="967" t="s">
        <v>2775</v>
      </c>
      <c r="C65" s="1858"/>
      <c r="D65" s="967"/>
      <c r="E65" s="1820"/>
      <c r="F65" s="1812"/>
      <c r="G65" s="1812"/>
      <c r="H65" s="1813"/>
      <c r="I65" s="588"/>
      <c r="J65" s="3555"/>
      <c r="K65" s="1855" t="s">
        <v>2776</v>
      </c>
      <c r="L65" s="1855">
        <f ca="1">IF(M49&gt;1000,M49*0.1%,IF(AND(M49&gt;500,M49&lt;=1000),M49*0.5%,IF(AND(M49&gt;50,M49&lt;=500),M49*1%,IF(AND(M49&gt;1,M49&lt;=50),M49*1.5%))))</f>
        <v>1.496</v>
      </c>
      <c r="M65" s="701">
        <f t="shared" ca="1" si="4"/>
        <v>1.5</v>
      </c>
      <c r="N65" s="870" t="s">
        <v>2773</v>
      </c>
      <c r="Z65" s="1677"/>
      <c r="AI65" s="1678"/>
    </row>
    <row r="66" spans="1:35" ht="14.25" customHeight="1">
      <c r="A66" s="1815" t="s">
        <v>2777</v>
      </c>
      <c r="B66" s="1859" t="s">
        <v>2778</v>
      </c>
      <c r="C66" s="1860"/>
      <c r="D66" s="1859" t="s">
        <v>124</v>
      </c>
      <c r="E66" s="1861" t="s">
        <v>2779</v>
      </c>
      <c r="F66" s="1812"/>
      <c r="G66" s="1812"/>
      <c r="H66" s="1813"/>
      <c r="I66" s="588"/>
      <c r="J66" s="3555"/>
      <c r="K66" s="1855" t="s">
        <v>2780</v>
      </c>
      <c r="L66" s="1855">
        <f ca="1">M49*0.5%</f>
        <v>7.48</v>
      </c>
      <c r="M66" s="701">
        <f ca="1">IF(L66&gt;0.5,0.5,ROUND(L66,0))</f>
        <v>0.5</v>
      </c>
      <c r="N66" s="870" t="s">
        <v>2781</v>
      </c>
      <c r="Z66" s="1677"/>
      <c r="AI66" s="1678"/>
    </row>
    <row r="67" spans="1:35" ht="14.25" customHeight="1">
      <c r="A67" s="1815" t="s">
        <v>2782</v>
      </c>
      <c r="B67" s="1859" t="s">
        <v>2783</v>
      </c>
      <c r="C67" s="1862">
        <f ca="1">C63-C66</f>
        <v>1425</v>
      </c>
      <c r="D67" s="967" t="s">
        <v>124</v>
      </c>
      <c r="E67" s="1820"/>
      <c r="F67" s="1812"/>
      <c r="G67" s="1812"/>
      <c r="H67" s="1813"/>
      <c r="I67" s="588"/>
      <c r="J67" s="3555"/>
      <c r="K67" s="1855" t="s">
        <v>2784</v>
      </c>
      <c r="L67" s="1855">
        <f ca="1">IF(M49&gt;=10000,(8.25+(M49-10000)*0.01%),IF(AND(M49&gt;=8000,M49&lt;10000),(7.85+(M49-8000)*0.02%),IF(AND(M49&gt;=5000,M49&lt;8000),(6.65+(M49-5000)*0.04%),IF(AND(M49&gt;=2000,M49&lt;5000),(4.25+(PM49-2000)*0.08%),IF(AND(M49&gt;=1000,M49&lt;2000),(2.75+(M49-1000)*0.15%),IF(AND(M49&gt;=100,M49&lt;1000),(0.5+(M49-100)*0.25%),IF(AND(M49&gt;0,M49&lt;100),M49*0.5%)))))))</f>
        <v>3.4939999999999998</v>
      </c>
      <c r="M67" s="701">
        <f ca="1">ROUND(L67*0.9,1)</f>
        <v>3.1</v>
      </c>
      <c r="N67" s="1856"/>
      <c r="Z67" s="1677"/>
      <c r="AI67" s="1678"/>
    </row>
    <row r="68" spans="1:35" ht="14.25" customHeight="1">
      <c r="A68" s="1863" t="s">
        <v>2785</v>
      </c>
      <c r="B68" s="1864" t="s">
        <v>2786</v>
      </c>
      <c r="C68" s="1865">
        <f ca="1">IF(C67&lt;=0,0,ROUND(C67*D68,0))</f>
        <v>80</v>
      </c>
      <c r="D68" s="1231">
        <f>'数据-取费表'!B41</f>
        <v>5.6000000000000001E-2</v>
      </c>
      <c r="E68" s="1866"/>
      <c r="F68" s="1812"/>
      <c r="G68" s="1812"/>
      <c r="H68" s="1813"/>
      <c r="I68" s="588"/>
      <c r="J68" s="3555"/>
      <c r="K68" s="1855" t="s">
        <v>2787</v>
      </c>
      <c r="L68" s="1855">
        <f ca="1">IF(M49&gt;10000,M49*0.5%,IF(AND(M49&gt;5000,M49&lt;=10000),M49*1%,IF(AND(M49&gt;1000,M49&lt;=5000),M49*2%,IF(AND(M49&gt;200,M49&lt;=1000),M49*3%,M49*5%))))</f>
        <v>29.92</v>
      </c>
      <c r="M68" s="701">
        <f ca="1">ROUND(L68,1)</f>
        <v>29.9</v>
      </c>
      <c r="N68" s="1856"/>
      <c r="Z68" s="1677"/>
      <c r="AI68" s="1678"/>
    </row>
    <row r="69" spans="1:35" s="1675" customFormat="1" ht="16.5" customHeight="1">
      <c r="A69" s="1867"/>
      <c r="B69" s="1868"/>
      <c r="C69" s="1869"/>
      <c r="D69" s="1150"/>
      <c r="E69" s="1870"/>
      <c r="F69" s="1811"/>
      <c r="G69" s="1811"/>
      <c r="H69" s="1771"/>
      <c r="I69" s="1680"/>
      <c r="J69" s="3555"/>
      <c r="K69" s="1855" t="s">
        <v>2788</v>
      </c>
      <c r="L69" s="1855"/>
      <c r="M69" s="701">
        <f ca="1">ROUND(SUM(M63:M68),0)</f>
        <v>59</v>
      </c>
      <c r="N69" s="1933">
        <f ca="1">M69/M49</f>
        <v>3.9438502673796789E-2</v>
      </c>
      <c r="O69" s="545"/>
      <c r="P69" s="545"/>
      <c r="Q69" s="545"/>
      <c r="R69" s="545"/>
      <c r="S69" s="545"/>
      <c r="T69" s="545"/>
      <c r="U69" s="545"/>
      <c r="V69" s="545"/>
      <c r="W69" s="545"/>
      <c r="X69" s="545"/>
      <c r="Y69" s="545"/>
      <c r="Z69" s="1677"/>
      <c r="AA69" s="1677"/>
      <c r="AB69" s="1677"/>
      <c r="AC69" s="1677"/>
      <c r="AD69" s="1677"/>
      <c r="AE69" s="1677"/>
      <c r="AF69" s="1677"/>
      <c r="AG69" s="1677"/>
      <c r="AH69" s="1677"/>
    </row>
    <row r="70" spans="1:35" s="1676" customFormat="1" ht="13.8">
      <c r="A70" s="3604" t="s">
        <v>2789</v>
      </c>
      <c r="B70" s="3605"/>
      <c r="C70" s="3605"/>
      <c r="D70" s="3605"/>
      <c r="E70" s="3605"/>
      <c r="F70" s="3605"/>
      <c r="G70" s="3605"/>
      <c r="H70" s="3605"/>
      <c r="I70" s="1934"/>
      <c r="J70" s="1935"/>
      <c r="K70" s="1935"/>
      <c r="L70" s="1935"/>
      <c r="M70" s="1935"/>
      <c r="N70" s="1936"/>
      <c r="O70" s="1936"/>
      <c r="P70" s="1936"/>
      <c r="Q70" s="1936"/>
      <c r="R70" s="1936"/>
      <c r="S70" s="1936"/>
      <c r="T70" s="1936"/>
      <c r="U70" s="1936"/>
      <c r="V70" s="1936"/>
      <c r="W70" s="1936"/>
      <c r="X70" s="1936"/>
      <c r="Y70" s="1936"/>
      <c r="Z70" s="1936"/>
      <c r="AA70" s="1942"/>
      <c r="AB70" s="1942"/>
      <c r="AC70" s="1942"/>
      <c r="AD70" s="1942"/>
      <c r="AE70" s="1942"/>
      <c r="AF70" s="1942"/>
      <c r="AG70" s="1942"/>
      <c r="AH70" s="1942"/>
      <c r="AI70" s="1942"/>
    </row>
    <row r="71" spans="1:35" s="1676" customFormat="1" ht="13.8">
      <c r="A71" s="3606" t="s">
        <v>2764</v>
      </c>
      <c r="B71" s="3607"/>
      <c r="C71" s="981"/>
      <c r="D71" s="981" t="s">
        <v>2765</v>
      </c>
      <c r="E71" s="1871" t="s">
        <v>2719</v>
      </c>
      <c r="F71" s="1872"/>
      <c r="G71" s="1872"/>
      <c r="H71" s="1873"/>
      <c r="I71" s="1937"/>
      <c r="J71" s="1935"/>
      <c r="K71" s="1935"/>
      <c r="L71" s="1935"/>
      <c r="M71" s="1935"/>
      <c r="N71" s="1936"/>
      <c r="O71" s="1936"/>
      <c r="P71" s="1936"/>
      <c r="Q71" s="1936"/>
      <c r="R71" s="1936"/>
      <c r="S71" s="1936"/>
      <c r="T71" s="1936"/>
      <c r="U71" s="1936"/>
      <c r="V71" s="1936"/>
      <c r="W71" s="1936"/>
      <c r="X71" s="1936"/>
      <c r="Y71" s="1936"/>
      <c r="Z71" s="1936"/>
      <c r="AA71" s="1942"/>
      <c r="AB71" s="1942"/>
      <c r="AC71" s="1942"/>
      <c r="AD71" s="1942"/>
      <c r="AE71" s="1942"/>
      <c r="AF71" s="1942"/>
      <c r="AG71" s="1942"/>
      <c r="AH71" s="1942"/>
      <c r="AI71" s="1942"/>
    </row>
    <row r="72" spans="1:35" s="1676" customFormat="1" ht="13.8">
      <c r="A72" s="1815" t="s">
        <v>2766</v>
      </c>
      <c r="B72" s="1859" t="s">
        <v>2790</v>
      </c>
      <c r="C72" s="1862">
        <f ca="1">ROUND(D45/(1+'数据-取费表'!C42),0)</f>
        <v>1425</v>
      </c>
      <c r="D72" s="967" t="s">
        <v>124</v>
      </c>
      <c r="E72" s="732"/>
      <c r="F72" s="733"/>
      <c r="G72" s="733"/>
      <c r="H72" s="1874"/>
      <c r="I72" s="1937"/>
      <c r="J72" s="1935"/>
      <c r="K72" s="1935"/>
      <c r="L72" s="1935"/>
      <c r="M72" s="1935"/>
      <c r="N72" s="1936"/>
      <c r="O72" s="1936"/>
      <c r="P72" s="1936"/>
      <c r="Q72" s="1936"/>
      <c r="R72" s="1936"/>
      <c r="S72" s="1936"/>
      <c r="T72" s="1936"/>
      <c r="U72" s="1936"/>
      <c r="V72" s="1936"/>
      <c r="W72" s="1936"/>
      <c r="X72" s="1936"/>
      <c r="Y72" s="1936"/>
      <c r="Z72" s="1936"/>
      <c r="AA72" s="1942"/>
      <c r="AB72" s="1942"/>
      <c r="AC72" s="1942"/>
      <c r="AD72" s="1942"/>
      <c r="AE72" s="1942"/>
      <c r="AF72" s="1942"/>
      <c r="AG72" s="1942"/>
      <c r="AH72" s="1942"/>
      <c r="AI72" s="1942"/>
    </row>
    <row r="73" spans="1:35" s="1676" customFormat="1" ht="13.8">
      <c r="A73" s="1815" t="s">
        <v>2777</v>
      </c>
      <c r="B73" s="1784" t="s">
        <v>2791</v>
      </c>
      <c r="C73" s="1862">
        <f ca="1">C74+C78</f>
        <v>9</v>
      </c>
      <c r="D73" s="967" t="s">
        <v>124</v>
      </c>
      <c r="E73" s="732"/>
      <c r="F73" s="733"/>
      <c r="G73" s="733"/>
      <c r="H73" s="1874"/>
      <c r="I73" s="1937"/>
      <c r="J73" s="1936"/>
      <c r="K73" s="1936"/>
      <c r="L73" s="1936"/>
      <c r="M73" s="1936"/>
      <c r="N73" s="1936"/>
      <c r="O73" s="1936"/>
      <c r="P73" s="1936"/>
      <c r="Q73" s="1936"/>
      <c r="R73" s="1936"/>
      <c r="S73" s="1936"/>
      <c r="T73" s="1936"/>
      <c r="U73" s="1936"/>
      <c r="V73" s="1936"/>
      <c r="W73" s="1936"/>
      <c r="X73" s="1936"/>
      <c r="Y73" s="1936"/>
      <c r="Z73" s="1936"/>
      <c r="AA73" s="1942"/>
      <c r="AB73" s="1942"/>
      <c r="AC73" s="1942"/>
      <c r="AD73" s="1942"/>
      <c r="AE73" s="1942"/>
      <c r="AF73" s="1942"/>
      <c r="AG73" s="1942"/>
      <c r="AH73" s="1942"/>
      <c r="AI73" s="1942"/>
    </row>
    <row r="74" spans="1:35" s="1676" customFormat="1" ht="24">
      <c r="A74" s="1818" t="s">
        <v>2770</v>
      </c>
      <c r="B74" s="967" t="s">
        <v>2792</v>
      </c>
      <c r="C74" s="967">
        <f>ROUND(IF(G77="2016年5月1日后购买",C75/(1+'数据-取费表'!C42)+C76+C77,C75+C76+C77),0)</f>
        <v>0</v>
      </c>
      <c r="D74" s="967" t="s">
        <v>124</v>
      </c>
      <c r="E74" s="732"/>
      <c r="F74" s="733"/>
      <c r="G74" s="733"/>
      <c r="H74" s="1874"/>
      <c r="I74" s="1937"/>
      <c r="J74" s="1936"/>
      <c r="K74" s="1936"/>
      <c r="L74" s="1936"/>
      <c r="M74" s="1936"/>
      <c r="N74" s="1936"/>
      <c r="O74" s="1936"/>
      <c r="P74" s="1936"/>
      <c r="Q74" s="1936"/>
      <c r="R74" s="1936"/>
      <c r="S74" s="1936"/>
      <c r="T74" s="1936"/>
      <c r="U74" s="1936"/>
      <c r="V74" s="1936"/>
      <c r="W74" s="1936"/>
      <c r="X74" s="1936"/>
      <c r="Y74" s="1936"/>
      <c r="Z74" s="1936"/>
      <c r="AA74" s="1942"/>
      <c r="AB74" s="1942"/>
      <c r="AC74" s="1942"/>
      <c r="AD74" s="1942"/>
      <c r="AE74" s="1942"/>
      <c r="AF74" s="1942"/>
      <c r="AG74" s="1942"/>
      <c r="AH74" s="1942"/>
      <c r="AI74" s="1942"/>
    </row>
    <row r="75" spans="1:35" s="1676" customFormat="1" ht="28.8">
      <c r="A75" s="1818" t="s">
        <v>2793</v>
      </c>
      <c r="B75" s="967" t="s">
        <v>2794</v>
      </c>
      <c r="C75" s="1875"/>
      <c r="D75" s="967" t="s">
        <v>124</v>
      </c>
      <c r="E75" s="1876" t="s">
        <v>2795</v>
      </c>
      <c r="F75" s="1877"/>
      <c r="G75" s="1876" t="s">
        <v>2796</v>
      </c>
      <c r="H75" s="1878"/>
      <c r="I75" s="1250"/>
      <c r="J75" s="1936"/>
      <c r="K75" s="1936"/>
      <c r="L75" s="1936"/>
      <c r="M75" s="1936"/>
      <c r="N75" s="1936"/>
      <c r="O75" s="1936"/>
      <c r="P75" s="1936"/>
      <c r="Q75" s="1936"/>
      <c r="R75" s="1936"/>
      <c r="S75" s="1936"/>
      <c r="T75" s="1936"/>
      <c r="U75" s="1936"/>
      <c r="V75" s="1936"/>
      <c r="W75" s="1936"/>
      <c r="X75" s="1936"/>
      <c r="Y75" s="1936"/>
      <c r="Z75" s="1936"/>
      <c r="AA75" s="1942"/>
      <c r="AB75" s="1942"/>
      <c r="AC75" s="1942"/>
      <c r="AD75" s="1942"/>
      <c r="AE75" s="1942"/>
      <c r="AF75" s="1942"/>
      <c r="AG75" s="1942"/>
      <c r="AH75" s="1942"/>
      <c r="AI75" s="1942"/>
    </row>
    <row r="76" spans="1:35" s="1676" customFormat="1" ht="24.75" customHeight="1">
      <c r="A76" s="1818" t="s">
        <v>2797</v>
      </c>
      <c r="B76" s="1879" t="s">
        <v>2798</v>
      </c>
      <c r="C76" s="967">
        <f>IF(F75="购房发票",ROUND(C75*H75*D76,0),0)</f>
        <v>0</v>
      </c>
      <c r="D76" s="1880">
        <v>0.05</v>
      </c>
      <c r="E76" s="3608" t="s">
        <v>2799</v>
      </c>
      <c r="F76" s="3609"/>
      <c r="G76" s="3609"/>
      <c r="H76" s="3610"/>
      <c r="I76" s="1937"/>
      <c r="J76" s="1936"/>
      <c r="K76" s="1936"/>
      <c r="L76" s="1936"/>
      <c r="M76" s="1936"/>
      <c r="N76" s="1936"/>
      <c r="O76" s="1936"/>
      <c r="P76" s="1936"/>
      <c r="Q76" s="1936"/>
      <c r="R76" s="1936"/>
      <c r="S76" s="1936"/>
      <c r="T76" s="1936"/>
      <c r="U76" s="1936"/>
      <c r="V76" s="1936"/>
      <c r="W76" s="1936"/>
      <c r="X76" s="1936"/>
      <c r="Y76" s="1936"/>
      <c r="Z76" s="1936"/>
      <c r="AA76" s="1942"/>
      <c r="AB76" s="1942"/>
      <c r="AC76" s="1942"/>
      <c r="AD76" s="1942"/>
      <c r="AE76" s="1942"/>
      <c r="AF76" s="1942"/>
      <c r="AG76" s="1942"/>
      <c r="AH76" s="1942"/>
      <c r="AI76" s="1942"/>
    </row>
    <row r="77" spans="1:35" s="1676" customFormat="1" ht="24.75" customHeight="1">
      <c r="A77" s="1818" t="s">
        <v>2800</v>
      </c>
      <c r="B77" s="967" t="s">
        <v>2801</v>
      </c>
      <c r="C77" s="967">
        <f>ROUND(IF(G77="个人住宅",0,IF(G77="2016年5月1日前购买",C75*D77,C75*D77/(1+'数据-取费表'!C42))),0)</f>
        <v>0</v>
      </c>
      <c r="D77" s="1882">
        <f>'数据-取费表'!B48+'数据-取费表'!B49</f>
        <v>3.0499999999999999E-2</v>
      </c>
      <c r="E77" s="855" t="s">
        <v>2802</v>
      </c>
      <c r="F77" s="1883"/>
      <c r="G77" s="1884"/>
      <c r="H77" s="1881" t="str">
        <f>IF(G77="个人买卖住房","免征印花税"," ")</f>
        <v/>
      </c>
      <c r="I77" s="1937"/>
      <c r="J77" s="1936"/>
      <c r="K77" s="1936"/>
      <c r="L77" s="1936"/>
      <c r="M77" s="1936"/>
      <c r="N77" s="1936"/>
      <c r="O77" s="1936"/>
      <c r="P77" s="1936"/>
      <c r="Q77" s="1936"/>
      <c r="R77" s="1936"/>
      <c r="S77" s="1936"/>
      <c r="T77" s="1936"/>
      <c r="U77" s="1936"/>
      <c r="V77" s="1936"/>
      <c r="W77" s="1936"/>
      <c r="X77" s="1936"/>
      <c r="Y77" s="1936"/>
      <c r="Z77" s="1936"/>
      <c r="AA77" s="1942"/>
      <c r="AB77" s="1942"/>
      <c r="AC77" s="1942"/>
      <c r="AD77" s="1942"/>
      <c r="AE77" s="1942"/>
      <c r="AF77" s="1942"/>
      <c r="AG77" s="1942"/>
      <c r="AH77" s="1942"/>
      <c r="AI77" s="1942"/>
    </row>
    <row r="78" spans="1:35" s="1676" customFormat="1" ht="24.75" customHeight="1">
      <c r="A78" s="1818" t="s">
        <v>2774</v>
      </c>
      <c r="B78" s="967" t="s">
        <v>2803</v>
      </c>
      <c r="C78" s="1885">
        <f ca="1">ROUND(D45*D78/(1+'数据-取费表'!C42),0)</f>
        <v>9</v>
      </c>
      <c r="D78" s="1886">
        <f>'数据-取费表'!B43</f>
        <v>6.0000000000000001E-3</v>
      </c>
      <c r="E78" s="3586" t="s">
        <v>2804</v>
      </c>
      <c r="F78" s="3587"/>
      <c r="G78" s="3587"/>
      <c r="H78" s="3588"/>
      <c r="I78" s="1938"/>
      <c r="J78" s="1936"/>
      <c r="K78" s="1936"/>
      <c r="L78" s="1936"/>
      <c r="M78" s="1936"/>
      <c r="N78" s="1936"/>
      <c r="O78" s="1936"/>
      <c r="P78" s="1936"/>
      <c r="Q78" s="1936"/>
      <c r="R78" s="1936"/>
      <c r="S78" s="1936"/>
      <c r="T78" s="1936"/>
      <c r="U78" s="1936"/>
      <c r="V78" s="1936"/>
      <c r="W78" s="1936"/>
      <c r="X78" s="1936"/>
      <c r="Y78" s="1936"/>
      <c r="Z78" s="1936"/>
      <c r="AA78" s="1942"/>
      <c r="AB78" s="1942"/>
      <c r="AC78" s="1942"/>
      <c r="AD78" s="1942"/>
      <c r="AE78" s="1942"/>
      <c r="AF78" s="1942"/>
      <c r="AG78" s="1942"/>
      <c r="AH78" s="1942"/>
      <c r="AI78" s="1942"/>
    </row>
    <row r="79" spans="1:35" s="1676" customFormat="1" ht="13.8">
      <c r="A79" s="1815" t="s">
        <v>2782</v>
      </c>
      <c r="B79" s="1859" t="s">
        <v>2805</v>
      </c>
      <c r="C79" s="1862">
        <f ca="1">C72-C73</f>
        <v>1416</v>
      </c>
      <c r="D79" s="967" t="s">
        <v>124</v>
      </c>
      <c r="E79" s="732"/>
      <c r="F79" s="733"/>
      <c r="G79" s="733"/>
      <c r="H79" s="1874"/>
      <c r="I79" s="1937"/>
      <c r="J79" s="1936"/>
      <c r="K79" s="1936"/>
      <c r="L79" s="1936"/>
      <c r="M79" s="1936"/>
      <c r="N79" s="1936"/>
      <c r="O79" s="1936"/>
      <c r="P79" s="1936"/>
      <c r="Q79" s="1936"/>
      <c r="R79" s="1936"/>
      <c r="S79" s="1936"/>
      <c r="T79" s="1936"/>
      <c r="U79" s="1936"/>
      <c r="V79" s="1936"/>
      <c r="W79" s="1936"/>
      <c r="X79" s="1936"/>
      <c r="Y79" s="1936"/>
      <c r="Z79" s="1936"/>
      <c r="AA79" s="1942"/>
      <c r="AB79" s="1942"/>
      <c r="AC79" s="1942"/>
      <c r="AD79" s="1942"/>
      <c r="AE79" s="1942"/>
      <c r="AF79" s="1942"/>
      <c r="AG79" s="1942"/>
      <c r="AH79" s="1942"/>
      <c r="AI79" s="1942"/>
    </row>
    <row r="80" spans="1:35" s="1676" customFormat="1" ht="24">
      <c r="A80" s="1815" t="s">
        <v>2785</v>
      </c>
      <c r="B80" s="1859" t="s">
        <v>2806</v>
      </c>
      <c r="C80" s="1890">
        <f ca="1">IF(C79&lt;=0,0,C79/C73)</f>
        <v>157.33333333333334</v>
      </c>
      <c r="D80" s="967" t="s">
        <v>124</v>
      </c>
      <c r="E80" s="855" t="str">
        <f ca="1">IF(C80&gt;=200%,"增值额超过扣除项目金额200%",IF(C80&gt;=100%,"增值额超过扣除项目金额100%，未超过200%",IF(C80&gt;=50%,"增值额超过扣除项目金额50%，未超过100%",IF(C80&lt;50%,"增值额未超过扣除项目金额50%"))))</f>
        <v>增值额超过扣除项目金额200%</v>
      </c>
      <c r="F80" s="733"/>
      <c r="G80" s="733"/>
      <c r="H80" s="1874"/>
      <c r="I80" s="1937"/>
      <c r="J80" s="1936"/>
      <c r="K80" s="1936"/>
      <c r="L80" s="1936"/>
      <c r="M80" s="1936"/>
      <c r="N80" s="1936"/>
      <c r="O80" s="1936"/>
      <c r="P80" s="1936"/>
      <c r="Q80" s="1936"/>
      <c r="R80" s="1936"/>
      <c r="S80" s="1936"/>
      <c r="T80" s="1936"/>
      <c r="U80" s="1936"/>
      <c r="V80" s="1936"/>
      <c r="W80" s="1936"/>
      <c r="X80" s="1936"/>
      <c r="Y80" s="1936"/>
      <c r="Z80" s="1936"/>
      <c r="AA80" s="1942"/>
      <c r="AB80" s="1942"/>
      <c r="AC80" s="1942"/>
      <c r="AD80" s="1942"/>
      <c r="AE80" s="1942"/>
      <c r="AF80" s="1942"/>
      <c r="AG80" s="1942"/>
      <c r="AH80" s="1942"/>
      <c r="AI80" s="1942"/>
    </row>
    <row r="81" spans="1:35" s="1676" customFormat="1" ht="24">
      <c r="A81" s="1863" t="s">
        <v>2807</v>
      </c>
      <c r="B81" s="1864" t="s">
        <v>2808</v>
      </c>
      <c r="C81" s="1891">
        <f ca="1">ROUND(IF(C79&lt;=0,0,IF(C80&gt;=200%,C79*60%-C73*35%,IF(C80&gt;=100%,C79*50%-C73*15%,IF(C80&gt;=50%,C79*40%-C73*5%,IF(C80&lt;50%,C79*30%,0))))),0)</f>
        <v>846</v>
      </c>
      <c r="D81" s="1892" t="s">
        <v>124</v>
      </c>
      <c r="E81" s="18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4"/>
      <c r="G81" s="1894"/>
      <c r="H81" s="1895"/>
      <c r="I81" s="1937"/>
      <c r="J81" s="1936"/>
      <c r="K81" s="1936"/>
      <c r="L81" s="1936"/>
      <c r="M81" s="1936"/>
      <c r="N81" s="1936"/>
      <c r="O81" s="1936"/>
      <c r="P81" s="1936"/>
      <c r="Q81" s="1936"/>
      <c r="R81" s="1936"/>
      <c r="S81" s="1936"/>
      <c r="T81" s="1936"/>
      <c r="U81" s="1936"/>
      <c r="V81" s="1936"/>
      <c r="W81" s="1936"/>
      <c r="X81" s="1936"/>
      <c r="Y81" s="1936"/>
      <c r="Z81" s="1936"/>
      <c r="AA81" s="1942"/>
      <c r="AB81" s="1942"/>
      <c r="AC81" s="1942"/>
      <c r="AD81" s="1942"/>
      <c r="AE81" s="1942"/>
      <c r="AF81" s="1942"/>
      <c r="AG81" s="1942"/>
      <c r="AH81" s="1942"/>
      <c r="AI81" s="1942"/>
    </row>
    <row r="82" spans="1:35" s="1676" customFormat="1" ht="7.5" customHeight="1">
      <c r="A82" s="1896"/>
      <c r="B82" s="1897"/>
      <c r="C82" s="1134"/>
      <c r="D82" s="1134"/>
      <c r="E82" s="1897"/>
      <c r="F82" s="1897"/>
      <c r="G82" s="1897"/>
      <c r="H82" s="1898"/>
      <c r="I82" s="1938"/>
      <c r="J82" s="1936"/>
      <c r="K82" s="1936"/>
      <c r="L82" s="1936"/>
      <c r="M82" s="1936"/>
      <c r="N82" s="1936"/>
      <c r="O82" s="1936"/>
      <c r="P82" s="1936"/>
      <c r="Q82" s="1936"/>
      <c r="R82" s="1936"/>
      <c r="S82" s="1936"/>
      <c r="T82" s="1936"/>
      <c r="U82" s="1936"/>
      <c r="V82" s="1936"/>
      <c r="W82" s="1936"/>
      <c r="X82" s="1936"/>
      <c r="Y82" s="1936"/>
      <c r="Z82" s="1936"/>
      <c r="AA82" s="1942"/>
      <c r="AB82" s="1942"/>
      <c r="AC82" s="1942"/>
      <c r="AD82" s="1942"/>
      <c r="AE82" s="1942"/>
      <c r="AF82" s="1942"/>
      <c r="AG82" s="1942"/>
      <c r="AH82" s="1942"/>
      <c r="AI82" s="1942"/>
    </row>
    <row r="83" spans="1:35" s="1676" customFormat="1" ht="13.8">
      <c r="A83" s="3604" t="s">
        <v>2809</v>
      </c>
      <c r="B83" s="3605"/>
      <c r="C83" s="3605"/>
      <c r="D83" s="3605"/>
      <c r="E83" s="3605"/>
      <c r="F83" s="3605"/>
      <c r="G83" s="3605"/>
      <c r="H83" s="3605"/>
      <c r="I83" s="1250"/>
      <c r="J83" s="1936"/>
      <c r="K83" s="1936"/>
      <c r="L83" s="1936"/>
      <c r="M83" s="1936"/>
      <c r="N83" s="1936"/>
      <c r="O83" s="1936"/>
      <c r="P83" s="1936"/>
      <c r="Q83" s="1936"/>
      <c r="R83" s="1936"/>
      <c r="S83" s="1936"/>
      <c r="T83" s="1936"/>
      <c r="U83" s="1936"/>
      <c r="V83" s="1936"/>
      <c r="W83" s="1936"/>
      <c r="X83" s="1936"/>
      <c r="Y83" s="1936"/>
      <c r="Z83" s="1936"/>
      <c r="AA83" s="1942"/>
      <c r="AB83" s="1942"/>
      <c r="AC83" s="1942"/>
      <c r="AD83" s="1942"/>
      <c r="AE83" s="1942"/>
      <c r="AF83" s="1942"/>
      <c r="AG83" s="1942"/>
      <c r="AH83" s="1942"/>
      <c r="AI83" s="1942"/>
    </row>
    <row r="84" spans="1:35" s="1676" customFormat="1" ht="13.8">
      <c r="A84" s="3606" t="s">
        <v>2764</v>
      </c>
      <c r="B84" s="3607"/>
      <c r="C84" s="981"/>
      <c r="D84" s="981" t="s">
        <v>2765</v>
      </c>
      <c r="E84" s="1871" t="s">
        <v>2719</v>
      </c>
      <c r="F84" s="1872"/>
      <c r="G84" s="1872"/>
      <c r="H84" s="1899"/>
      <c r="I84" s="1250"/>
      <c r="J84" s="1936"/>
      <c r="K84" s="1936"/>
      <c r="L84" s="1936"/>
      <c r="M84" s="1936"/>
      <c r="N84" s="1936"/>
      <c r="O84" s="1936"/>
      <c r="P84" s="1936"/>
      <c r="Q84" s="1936"/>
      <c r="R84" s="1936"/>
      <c r="S84" s="1936"/>
      <c r="T84" s="1936"/>
      <c r="U84" s="1936"/>
      <c r="V84" s="1936"/>
      <c r="W84" s="1936"/>
      <c r="X84" s="1936"/>
      <c r="Y84" s="1936"/>
      <c r="Z84" s="1936"/>
      <c r="AA84" s="1942"/>
      <c r="AB84" s="1942"/>
      <c r="AC84" s="1942"/>
      <c r="AD84" s="1942"/>
      <c r="AE84" s="1942"/>
      <c r="AF84" s="1942"/>
      <c r="AG84" s="1942"/>
      <c r="AH84" s="1942"/>
      <c r="AI84" s="1942"/>
    </row>
    <row r="85" spans="1:35" s="1676" customFormat="1" ht="13.8">
      <c r="A85" s="1815" t="s">
        <v>2766</v>
      </c>
      <c r="B85" s="1859" t="s">
        <v>2790</v>
      </c>
      <c r="C85" s="1862">
        <f ca="1">ROUND(D45/(1+'数据-取费表'!C42),0)</f>
        <v>1425</v>
      </c>
      <c r="D85" s="967" t="s">
        <v>124</v>
      </c>
      <c r="E85" s="732"/>
      <c r="F85" s="733"/>
      <c r="G85" s="733"/>
      <c r="H85" s="1900"/>
      <c r="I85" s="1250"/>
      <c r="J85" s="1936"/>
      <c r="K85" s="1936"/>
      <c r="L85" s="1936"/>
      <c r="M85" s="1936"/>
      <c r="N85" s="1936"/>
      <c r="O85" s="1936"/>
      <c r="P85" s="1936"/>
      <c r="Q85" s="1936"/>
      <c r="R85" s="1936"/>
      <c r="S85" s="1936"/>
      <c r="T85" s="1936"/>
      <c r="U85" s="1936"/>
      <c r="V85" s="1936"/>
      <c r="W85" s="1936"/>
      <c r="X85" s="1936"/>
      <c r="Y85" s="1936"/>
      <c r="Z85" s="1936"/>
      <c r="AA85" s="1942"/>
      <c r="AB85" s="1942"/>
      <c r="AC85" s="1942"/>
      <c r="AD85" s="1942"/>
      <c r="AE85" s="1942"/>
      <c r="AF85" s="1942"/>
      <c r="AG85" s="1942"/>
      <c r="AH85" s="1942"/>
      <c r="AI85" s="1942"/>
    </row>
    <row r="86" spans="1:35" s="1676" customFormat="1" ht="13.8">
      <c r="A86" s="1815" t="s">
        <v>2777</v>
      </c>
      <c r="B86" s="1784" t="s">
        <v>2791</v>
      </c>
      <c r="C86" s="1862">
        <f ca="1">IF(H88="仅含出让金",C87+C90+C91+C92+C93+C94,C87+C91+C92+C93+C94)</f>
        <v>9</v>
      </c>
      <c r="D86" s="1901"/>
      <c r="E86" s="732"/>
      <c r="F86" s="733"/>
      <c r="G86" s="733"/>
      <c r="H86" s="1900"/>
      <c r="I86" s="1250"/>
      <c r="J86" s="1936"/>
      <c r="K86" s="1936"/>
      <c r="L86" s="1936"/>
      <c r="M86" s="1936"/>
      <c r="N86" s="1936"/>
      <c r="O86" s="1936"/>
      <c r="P86" s="1936"/>
      <c r="Q86" s="1936"/>
      <c r="R86" s="1936"/>
      <c r="S86" s="1936"/>
      <c r="T86" s="1936"/>
      <c r="U86" s="1936"/>
      <c r="V86" s="1936"/>
      <c r="W86" s="1936"/>
      <c r="X86" s="1936"/>
      <c r="Y86" s="1936"/>
      <c r="Z86" s="1936"/>
      <c r="AA86" s="1942"/>
      <c r="AB86" s="1942"/>
      <c r="AC86" s="1942"/>
      <c r="AD86" s="1942"/>
      <c r="AE86" s="1942"/>
      <c r="AF86" s="1942"/>
      <c r="AG86" s="1942"/>
      <c r="AH86" s="1942"/>
      <c r="AI86" s="1942"/>
    </row>
    <row r="87" spans="1:35" s="1676" customFormat="1" ht="13.8">
      <c r="A87" s="1818" t="s">
        <v>2770</v>
      </c>
      <c r="B87" s="967" t="s">
        <v>2810</v>
      </c>
      <c r="C87" s="1885">
        <f>C88+C89</f>
        <v>0</v>
      </c>
      <c r="D87" s="1886"/>
      <c r="E87" s="1887"/>
      <c r="F87" s="1888"/>
      <c r="G87" s="1888"/>
      <c r="H87" s="1889"/>
      <c r="I87" s="1250"/>
      <c r="J87" s="1936"/>
      <c r="K87" s="1936"/>
      <c r="L87" s="1936"/>
      <c r="M87" s="1936"/>
      <c r="N87" s="1936"/>
      <c r="O87" s="1936"/>
      <c r="P87" s="1936"/>
      <c r="Q87" s="1936"/>
      <c r="R87" s="1936"/>
      <c r="S87" s="1936"/>
      <c r="T87" s="1936"/>
      <c r="U87" s="1936"/>
      <c r="V87" s="1936"/>
      <c r="W87" s="1936"/>
      <c r="X87" s="1936"/>
      <c r="Y87" s="1936"/>
      <c r="Z87" s="1936"/>
      <c r="AA87" s="1942"/>
      <c r="AB87" s="1942"/>
      <c r="AC87" s="1942"/>
      <c r="AD87" s="1942"/>
      <c r="AE87" s="1942"/>
      <c r="AF87" s="1942"/>
      <c r="AG87" s="1942"/>
      <c r="AH87" s="1942"/>
      <c r="AI87" s="1942"/>
    </row>
    <row r="88" spans="1:35" s="1676" customFormat="1" ht="14.4">
      <c r="A88" s="1818" t="s">
        <v>2793</v>
      </c>
      <c r="B88" s="967" t="s">
        <v>2811</v>
      </c>
      <c r="C88" s="1902"/>
      <c r="D88" s="1886"/>
      <c r="E88" s="1903" t="s">
        <v>2812</v>
      </c>
      <c r="F88" s="1888"/>
      <c r="G88" s="1904" t="s">
        <v>2813</v>
      </c>
      <c r="H88" s="1905"/>
      <c r="I88" s="1250"/>
      <c r="J88" s="1939" t="s">
        <v>2814</v>
      </c>
      <c r="K88" s="1936"/>
      <c r="L88" s="1936"/>
      <c r="M88" s="1936"/>
      <c r="N88" s="1936"/>
      <c r="O88" s="1936"/>
      <c r="P88" s="1936"/>
      <c r="Q88" s="1936"/>
      <c r="R88" s="1936"/>
      <c r="S88" s="1936"/>
      <c r="T88" s="1936"/>
      <c r="U88" s="1936"/>
      <c r="V88" s="1936"/>
      <c r="W88" s="1936"/>
      <c r="X88" s="1936"/>
      <c r="Y88" s="1936"/>
      <c r="Z88" s="1936"/>
      <c r="AA88" s="1942"/>
      <c r="AB88" s="1942"/>
      <c r="AC88" s="1942"/>
      <c r="AD88" s="1942"/>
      <c r="AE88" s="1942"/>
      <c r="AF88" s="1942"/>
      <c r="AG88" s="1942"/>
      <c r="AH88" s="1942"/>
      <c r="AI88" s="1942"/>
    </row>
    <row r="89" spans="1:35" s="1676" customFormat="1" ht="13.8">
      <c r="A89" s="1818" t="s">
        <v>2797</v>
      </c>
      <c r="B89" s="967" t="s">
        <v>2801</v>
      </c>
      <c r="C89" s="1885">
        <f>ROUND(C88*D89,0)</f>
        <v>0</v>
      </c>
      <c r="D89" s="1886">
        <f>'数据-取费表'!B48+'数据-取费表'!B49</f>
        <v>3.0499999999999999E-2</v>
      </c>
      <c r="E89" s="1903" t="s">
        <v>2815</v>
      </c>
      <c r="F89" s="1888"/>
      <c r="G89" s="1888"/>
      <c r="H89" s="1889"/>
      <c r="I89" s="1250"/>
      <c r="J89" s="1936"/>
      <c r="K89" s="1936"/>
      <c r="L89" s="1936"/>
      <c r="M89" s="1936"/>
      <c r="N89" s="1936"/>
      <c r="O89" s="1936"/>
      <c r="P89" s="1936"/>
      <c r="Q89" s="1936"/>
      <c r="R89" s="1936"/>
      <c r="S89" s="1936"/>
      <c r="T89" s="1936"/>
      <c r="U89" s="1936"/>
      <c r="V89" s="1936"/>
      <c r="W89" s="1936"/>
      <c r="X89" s="1936"/>
      <c r="Y89" s="1936"/>
      <c r="Z89" s="1936"/>
      <c r="AA89" s="1942"/>
      <c r="AB89" s="1942"/>
      <c r="AC89" s="1942"/>
      <c r="AD89" s="1942"/>
      <c r="AE89" s="1942"/>
      <c r="AF89" s="1942"/>
      <c r="AG89" s="1942"/>
      <c r="AH89" s="1942"/>
      <c r="AI89" s="1942"/>
    </row>
    <row r="90" spans="1:35" s="1676" customFormat="1" ht="14.4">
      <c r="A90" s="1818" t="s">
        <v>2774</v>
      </c>
      <c r="B90" s="967" t="s">
        <v>2816</v>
      </c>
      <c r="C90" s="1902"/>
      <c r="D90" s="1886"/>
      <c r="E90" s="1903" t="str">
        <f>IF(H88="-","土地取得成本中已包含该笔费用"," ")</f>
        <v/>
      </c>
      <c r="F90" s="1888"/>
      <c r="G90" s="3611" t="s">
        <v>2817</v>
      </c>
      <c r="H90" s="3612"/>
      <c r="I90" s="1250"/>
      <c r="J90" s="1939" t="s">
        <v>2818</v>
      </c>
      <c r="K90" s="1936"/>
      <c r="L90" s="1936"/>
      <c r="M90" s="1936"/>
      <c r="N90" s="1936"/>
      <c r="O90" s="1936"/>
      <c r="P90" s="1936"/>
      <c r="Q90" s="1936"/>
      <c r="R90" s="1936"/>
      <c r="S90" s="1936"/>
      <c r="T90" s="1936"/>
      <c r="U90" s="1936"/>
      <c r="V90" s="1936"/>
      <c r="W90" s="1936"/>
      <c r="X90" s="1936"/>
      <c r="Y90" s="1936"/>
      <c r="Z90" s="1936"/>
      <c r="AA90" s="1942"/>
      <c r="AB90" s="1942"/>
      <c r="AC90" s="1942"/>
      <c r="AD90" s="1942"/>
      <c r="AE90" s="1942"/>
      <c r="AF90" s="1942"/>
      <c r="AG90" s="1942"/>
      <c r="AH90" s="1942"/>
      <c r="AI90" s="1942"/>
    </row>
    <row r="91" spans="1:35" s="1676" customFormat="1" ht="27.75" customHeight="1">
      <c r="A91" s="1818" t="s">
        <v>2819</v>
      </c>
      <c r="B91" s="967" t="s">
        <v>2820</v>
      </c>
      <c r="C91" s="1885">
        <f>IF(H91="——",成本法!C33,I91)</f>
        <v>0</v>
      </c>
      <c r="D91" s="1886"/>
      <c r="E91" s="3586" t="s">
        <v>2821</v>
      </c>
      <c r="F91" s="3587"/>
      <c r="G91" s="3587"/>
      <c r="H91" s="1906"/>
      <c r="I91" s="1940"/>
      <c r="J91" s="1936"/>
      <c r="K91" s="1936"/>
      <c r="L91" s="1936"/>
      <c r="M91" s="1936"/>
      <c r="N91" s="1936"/>
      <c r="O91" s="1936"/>
      <c r="P91" s="1936"/>
      <c r="Q91" s="1936"/>
      <c r="R91" s="1936"/>
      <c r="S91" s="1936"/>
      <c r="T91" s="1936"/>
      <c r="U91" s="1936"/>
      <c r="V91" s="1936"/>
      <c r="W91" s="1936"/>
      <c r="X91" s="1936"/>
      <c r="Y91" s="1936"/>
      <c r="Z91" s="1936"/>
      <c r="AA91" s="1942"/>
      <c r="AB91" s="1942"/>
      <c r="AC91" s="1942"/>
      <c r="AD91" s="1942"/>
      <c r="AE91" s="1942"/>
      <c r="AF91" s="1942"/>
      <c r="AG91" s="1942"/>
      <c r="AH91" s="1942"/>
      <c r="AI91" s="1942"/>
    </row>
    <row r="92" spans="1:35" s="1676" customFormat="1" ht="25.5" customHeight="1">
      <c r="A92" s="1818" t="s">
        <v>2822</v>
      </c>
      <c r="B92" s="967" t="s">
        <v>2823</v>
      </c>
      <c r="C92" s="1885">
        <f>ROUND((C87+C90+C91)*D92,0)</f>
        <v>0</v>
      </c>
      <c r="D92" s="1907"/>
      <c r="E92" s="3586" t="s">
        <v>2824</v>
      </c>
      <c r="F92" s="3587"/>
      <c r="G92" s="3587"/>
      <c r="H92" s="3588"/>
      <c r="I92" s="1250"/>
      <c r="J92" s="1941" t="s">
        <v>2825</v>
      </c>
      <c r="K92" s="1936"/>
      <c r="L92" s="1936"/>
      <c r="M92" s="1936"/>
      <c r="N92" s="1936"/>
      <c r="O92" s="1936"/>
      <c r="P92" s="1936"/>
      <c r="Q92" s="1936"/>
      <c r="R92" s="1936"/>
      <c r="S92" s="1936"/>
      <c r="T92" s="1936"/>
      <c r="U92" s="1936"/>
      <c r="V92" s="1936"/>
      <c r="W92" s="1936"/>
      <c r="X92" s="1936"/>
      <c r="Y92" s="1936"/>
      <c r="Z92" s="1936"/>
      <c r="AA92" s="1942"/>
      <c r="AB92" s="1942"/>
      <c r="AC92" s="1942"/>
      <c r="AD92" s="1942"/>
      <c r="AE92" s="1942"/>
      <c r="AF92" s="1942"/>
      <c r="AG92" s="1942"/>
      <c r="AH92" s="1942"/>
      <c r="AI92" s="1942"/>
    </row>
    <row r="93" spans="1:35" s="1676" customFormat="1" ht="25.5" customHeight="1">
      <c r="A93" s="1818" t="s">
        <v>2826</v>
      </c>
      <c r="B93" s="967" t="s">
        <v>2803</v>
      </c>
      <c r="C93" s="1885">
        <f ca="1">ROUND(D45*D93/(1+'数据-取费表'!C42),0)</f>
        <v>9</v>
      </c>
      <c r="D93" s="1886">
        <f>'数据-取费表'!B43</f>
        <v>6.0000000000000001E-3</v>
      </c>
      <c r="E93" s="3586" t="s">
        <v>2804</v>
      </c>
      <c r="F93" s="3587"/>
      <c r="G93" s="3587"/>
      <c r="H93" s="3588"/>
      <c r="I93" s="1250"/>
      <c r="J93" s="1936"/>
      <c r="K93" s="1936"/>
      <c r="L93" s="1936"/>
      <c r="M93" s="1936"/>
      <c r="N93" s="1936"/>
      <c r="O93" s="1936"/>
      <c r="P93" s="1936"/>
      <c r="Q93" s="1936"/>
      <c r="R93" s="1936"/>
      <c r="S93" s="1936"/>
      <c r="T93" s="1936"/>
      <c r="U93" s="1936"/>
      <c r="V93" s="1936"/>
      <c r="W93" s="1936"/>
      <c r="X93" s="1936"/>
      <c r="Y93" s="1936"/>
      <c r="Z93" s="1936"/>
      <c r="AA93" s="1942"/>
      <c r="AB93" s="1942"/>
      <c r="AC93" s="1942"/>
      <c r="AD93" s="1942"/>
      <c r="AE93" s="1942"/>
      <c r="AF93" s="1942"/>
      <c r="AG93" s="1942"/>
      <c r="AH93" s="1942"/>
      <c r="AI93" s="1942"/>
    </row>
    <row r="94" spans="1:35" s="1676" customFormat="1" ht="36.75" customHeight="1">
      <c r="A94" s="1818" t="s">
        <v>2827</v>
      </c>
      <c r="B94" s="967" t="s">
        <v>2828</v>
      </c>
      <c r="C94" s="1902">
        <f>ROUND((C87+C90+C91)*D94,0)</f>
        <v>0</v>
      </c>
      <c r="D94" s="1886">
        <v>0.2</v>
      </c>
      <c r="E94" s="3589" t="s">
        <v>2829</v>
      </c>
      <c r="F94" s="3590"/>
      <c r="G94" s="3590"/>
      <c r="H94" s="3591"/>
      <c r="I94" s="1250"/>
      <c r="J94" s="1936"/>
      <c r="K94" s="1936"/>
      <c r="L94" s="1936"/>
      <c r="M94" s="1936"/>
      <c r="N94" s="1936"/>
      <c r="O94" s="1936"/>
      <c r="P94" s="1936"/>
      <c r="Q94" s="1936"/>
      <c r="R94" s="1936"/>
      <c r="S94" s="1936"/>
      <c r="T94" s="1936"/>
      <c r="U94" s="1936"/>
      <c r="V94" s="1936"/>
      <c r="W94" s="1936"/>
      <c r="X94" s="1936"/>
      <c r="Y94" s="1936"/>
      <c r="Z94" s="1936"/>
      <c r="AA94" s="1942"/>
      <c r="AB94" s="1942"/>
      <c r="AC94" s="1942"/>
      <c r="AD94" s="1942"/>
      <c r="AE94" s="1942"/>
      <c r="AF94" s="1942"/>
      <c r="AG94" s="1942"/>
      <c r="AH94" s="1942"/>
      <c r="AI94" s="1942"/>
    </row>
    <row r="95" spans="1:35" s="1676" customFormat="1" ht="13.8">
      <c r="A95" s="1815" t="s">
        <v>2782</v>
      </c>
      <c r="B95" s="1859" t="s">
        <v>2805</v>
      </c>
      <c r="C95" s="1862">
        <f ca="1">ROUND(C85-C86,0)</f>
        <v>1416</v>
      </c>
      <c r="D95" s="967" t="s">
        <v>124</v>
      </c>
      <c r="E95" s="732"/>
      <c r="F95" s="733"/>
      <c r="G95" s="733"/>
      <c r="H95" s="1900"/>
      <c r="I95" s="1250"/>
      <c r="J95" s="1936"/>
      <c r="K95" s="1936"/>
      <c r="L95" s="1936"/>
      <c r="M95" s="1936"/>
      <c r="N95" s="1936"/>
      <c r="O95" s="1936"/>
      <c r="P95" s="1936"/>
      <c r="Q95" s="1936"/>
      <c r="R95" s="1936"/>
      <c r="S95" s="1936"/>
      <c r="T95" s="1936"/>
      <c r="U95" s="1936"/>
      <c r="V95" s="1936"/>
      <c r="W95" s="1936"/>
      <c r="X95" s="1936"/>
      <c r="Y95" s="1936"/>
      <c r="Z95" s="1936"/>
      <c r="AA95" s="1942"/>
      <c r="AB95" s="1942"/>
      <c r="AC95" s="1942"/>
      <c r="AD95" s="1942"/>
      <c r="AE95" s="1942"/>
      <c r="AF95" s="1942"/>
      <c r="AG95" s="1942"/>
      <c r="AH95" s="1942"/>
      <c r="AI95" s="1942"/>
    </row>
    <row r="96" spans="1:35" s="1676" customFormat="1" ht="24">
      <c r="A96" s="1815" t="s">
        <v>2785</v>
      </c>
      <c r="B96" s="1859" t="s">
        <v>2806</v>
      </c>
      <c r="C96" s="1890">
        <f ca="1">IF(C95&lt;=0,0,C95/C86)</f>
        <v>157.33333333333334</v>
      </c>
      <c r="D96" s="967" t="s">
        <v>124</v>
      </c>
      <c r="E96" s="855" t="str">
        <f ca="1">IF(C96&gt;=200%,"增值额超过扣除项目金额200%",IF(C96&gt;=100%,"增值额超过扣除项目金额100%，未超过200%",IF(C96&gt;=50%,"增值额超过扣除项目金额50%，未超过100%",IF(C96&lt;50%,"增值额未超过扣除项目金额50%"))))</f>
        <v>增值额超过扣除项目金额200%</v>
      </c>
      <c r="F96" s="733"/>
      <c r="G96" s="733"/>
      <c r="H96" s="1900"/>
      <c r="I96" s="1250"/>
      <c r="J96" s="1936"/>
      <c r="K96" s="1936"/>
      <c r="L96" s="1936"/>
      <c r="M96" s="1936"/>
      <c r="N96" s="1936"/>
      <c r="O96" s="1936"/>
      <c r="P96" s="1936"/>
      <c r="Q96" s="1936"/>
      <c r="R96" s="1936"/>
      <c r="S96" s="1936"/>
      <c r="T96" s="1936"/>
      <c r="U96" s="1936"/>
      <c r="V96" s="1936"/>
      <c r="W96" s="1936"/>
      <c r="X96" s="1936"/>
      <c r="Y96" s="1936"/>
      <c r="Z96" s="1936"/>
      <c r="AA96" s="1942"/>
      <c r="AB96" s="1942"/>
      <c r="AC96" s="1942"/>
      <c r="AD96" s="1942"/>
      <c r="AE96" s="1942"/>
      <c r="AF96" s="1942"/>
      <c r="AG96" s="1942"/>
      <c r="AH96" s="1942"/>
      <c r="AI96" s="1942"/>
    </row>
    <row r="97" spans="1:35" s="1676" customFormat="1" ht="24">
      <c r="A97" s="1863" t="s">
        <v>2807</v>
      </c>
      <c r="B97" s="1864" t="s">
        <v>2808</v>
      </c>
      <c r="C97" s="1891">
        <f ca="1">ROUND(IF(C95&lt;=0,0,IF(C96&gt;=200%,C95*60%-C86*35%,IF(C96&gt;=100%,C95*50%-C86*15%,IF(C96&gt;=50%,C95*40%-C86*5%,IF(C96&lt;50%,C95*30%,0))))),0)</f>
        <v>846</v>
      </c>
      <c r="D97" s="1892" t="s">
        <v>124</v>
      </c>
      <c r="E97" s="18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4"/>
      <c r="G97" s="1894"/>
      <c r="H97" s="1908"/>
      <c r="I97" s="1250"/>
      <c r="J97" s="1936"/>
      <c r="K97" s="1936"/>
      <c r="L97" s="1936"/>
      <c r="M97" s="1936"/>
      <c r="N97" s="1936"/>
      <c r="O97" s="1936"/>
      <c r="P97" s="1936"/>
      <c r="Q97" s="1936"/>
      <c r="R97" s="1936"/>
      <c r="S97" s="1936"/>
      <c r="T97" s="1936"/>
      <c r="U97" s="1936"/>
      <c r="V97" s="1936"/>
      <c r="W97" s="1936"/>
      <c r="X97" s="1936"/>
      <c r="Y97" s="1936"/>
      <c r="Z97" s="1936"/>
      <c r="AA97" s="1942"/>
      <c r="AB97" s="1942"/>
      <c r="AC97" s="1942"/>
      <c r="AD97" s="1942"/>
      <c r="AE97" s="1942"/>
      <c r="AF97" s="1942"/>
      <c r="AG97" s="1942"/>
      <c r="AH97" s="1942"/>
      <c r="AI97" s="1942"/>
    </row>
    <row r="98" spans="1:35" ht="21.75" customHeight="1">
      <c r="A98" s="1810"/>
      <c r="B98" s="1680"/>
      <c r="C98" s="1680"/>
      <c r="D98" s="1680"/>
      <c r="E98" s="1811"/>
      <c r="F98" s="1811"/>
      <c r="G98" s="1811"/>
      <c r="H98" s="1771"/>
      <c r="I98" s="588"/>
    </row>
    <row r="99" spans="1:35" ht="21.75" customHeight="1">
      <c r="A99" s="1773" t="s">
        <v>2830</v>
      </c>
      <c r="B99" s="1680"/>
      <c r="C99" s="1680"/>
      <c r="D99" s="1680"/>
      <c r="E99" s="1811"/>
      <c r="F99" s="1811"/>
      <c r="G99" s="1811"/>
      <c r="H99" s="1771"/>
      <c r="I99" s="588"/>
    </row>
    <row r="100" spans="1:35" ht="18.75" customHeight="1">
      <c r="A100" s="3549" t="s">
        <v>2831</v>
      </c>
      <c r="B100" s="3550"/>
      <c r="C100" s="3550"/>
      <c r="D100" s="3592"/>
      <c r="E100" s="3550" t="s">
        <v>2832</v>
      </c>
      <c r="F100" s="3550"/>
      <c r="G100" s="3550"/>
      <c r="H100" s="3592"/>
      <c r="I100" s="588"/>
    </row>
    <row r="101" spans="1:35" ht="18.75" customHeight="1">
      <c r="A101" s="3593" t="s">
        <v>2833</v>
      </c>
      <c r="B101" s="3594"/>
      <c r="C101" s="1910" t="str">
        <f>C4</f>
        <v>比较法-商业</v>
      </c>
      <c r="D101" s="1911" t="str">
        <f>D4</f>
        <v>收益法 (元)</v>
      </c>
      <c r="E101" s="3563" t="s">
        <v>2834</v>
      </c>
      <c r="F101" s="3558"/>
      <c r="G101" s="1913" t="s">
        <v>2835</v>
      </c>
      <c r="H101" s="1914">
        <f ca="1">H118</f>
        <v>1496</v>
      </c>
      <c r="I101" s="588"/>
    </row>
    <row r="102" spans="1:35" ht="18.75" customHeight="1">
      <c r="A102" s="3571" t="s">
        <v>2836</v>
      </c>
      <c r="B102" s="1915" t="s">
        <v>2835</v>
      </c>
      <c r="C102" s="1910">
        <f ca="1">IF(D32="楼面单价",ROUND(C19,0),C19)</f>
        <v>1689.1379999999999</v>
      </c>
      <c r="D102" s="1911">
        <f ca="1">IF(D32="楼面单价",ROUND(D19,0),D19)</f>
        <v>1045.4854</v>
      </c>
      <c r="E102" s="3563"/>
      <c r="F102" s="3558"/>
      <c r="G102" s="1913" t="s">
        <v>99</v>
      </c>
      <c r="H102" s="1800">
        <f ca="1">I118</f>
        <v>14837</v>
      </c>
      <c r="I102" s="588"/>
    </row>
    <row r="103" spans="1:35" ht="42.75" customHeight="1">
      <c r="A103" s="3571"/>
      <c r="B103" s="1915" t="s">
        <v>99</v>
      </c>
      <c r="C103" s="1916">
        <f ca="1">C20</f>
        <v>16753</v>
      </c>
      <c r="D103" s="1917">
        <f ca="1">D20</f>
        <v>10369</v>
      </c>
      <c r="E103" s="3595" t="s">
        <v>2837</v>
      </c>
      <c r="F103" s="3596"/>
      <c r="G103" s="1918" t="s">
        <v>102</v>
      </c>
      <c r="H103" s="1914">
        <f>IF(D36="正常操作",H104+H105+H106,H105+H106)</f>
        <v>0</v>
      </c>
      <c r="I103" s="588"/>
    </row>
    <row r="104" spans="1:35" ht="18.75" customHeight="1">
      <c r="A104" s="3571" t="s">
        <v>2838</v>
      </c>
      <c r="B104" s="1919" t="s">
        <v>2835</v>
      </c>
      <c r="C104" s="1920">
        <f ca="1">H118</f>
        <v>1496</v>
      </c>
      <c r="D104" s="1921"/>
      <c r="E104" s="1756" t="s">
        <v>2839</v>
      </c>
      <c r="F104" s="1922"/>
      <c r="G104" s="1918" t="s">
        <v>102</v>
      </c>
      <c r="H104" s="1923">
        <f>IF(D36="同一抵押权人同一抵押物续贷",C36&amp;"（续贷，未扣减，详见特别提示）",C36)</f>
        <v>0</v>
      </c>
      <c r="I104" s="588"/>
    </row>
    <row r="105" spans="1:35" ht="18.75" customHeight="1">
      <c r="A105" s="3572"/>
      <c r="B105" s="1924" t="s">
        <v>99</v>
      </c>
      <c r="C105" s="1925">
        <f ca="1">I118</f>
        <v>14837</v>
      </c>
      <c r="D105" s="1926"/>
      <c r="E105" s="1756" t="s">
        <v>2840</v>
      </c>
      <c r="F105" s="1922"/>
      <c r="G105" s="1918" t="s">
        <v>102</v>
      </c>
      <c r="H105" s="1927">
        <f>C37</f>
        <v>0</v>
      </c>
      <c r="I105" s="588"/>
    </row>
    <row r="106" spans="1:35" ht="18.75" customHeight="1">
      <c r="A106" s="1680" t="s">
        <v>2841</v>
      </c>
      <c r="B106" s="1680"/>
      <c r="C106" s="1680"/>
      <c r="D106" s="1680"/>
      <c r="E106" s="1928" t="s">
        <v>2842</v>
      </c>
      <c r="F106" s="1922"/>
      <c r="G106" s="1918" t="s">
        <v>102</v>
      </c>
      <c r="H106" s="1927">
        <f>C38</f>
        <v>0</v>
      </c>
      <c r="I106" s="588"/>
    </row>
    <row r="107" spans="1:35" ht="18.75" customHeight="1">
      <c r="A107" s="588"/>
      <c r="B107" s="588"/>
      <c r="C107" s="588"/>
      <c r="D107" s="588"/>
      <c r="E107" s="3557" t="str">
        <f>IF(项目基本情况!E8="已注销","——","3.房地产抵押价值")</f>
        <v>3.房地产抵押价值</v>
      </c>
      <c r="F107" s="3558"/>
      <c r="G107" s="1913" t="s">
        <v>2835</v>
      </c>
      <c r="H107" s="1914">
        <f ca="1">IF(E107="——","——",H101-H103)</f>
        <v>1496</v>
      </c>
      <c r="I107" s="588"/>
    </row>
    <row r="108" spans="1:35" ht="18.75" customHeight="1">
      <c r="A108" s="588"/>
      <c r="B108" s="588"/>
      <c r="C108" s="588"/>
      <c r="D108" s="588"/>
      <c r="E108" s="3557"/>
      <c r="F108" s="3558"/>
      <c r="G108" s="1913" t="s">
        <v>99</v>
      </c>
      <c r="H108" s="1800">
        <f ca="1">IF(H107=H101,H102,ROUND(H107*10000/'数据-汇总表'!E3,0))</f>
        <v>14837</v>
      </c>
      <c r="I108" s="588"/>
    </row>
    <row r="109" spans="1:35" ht="18.75" customHeight="1">
      <c r="A109" s="588"/>
      <c r="B109" s="588"/>
      <c r="C109" s="588"/>
      <c r="D109" s="588"/>
      <c r="E109" s="3557" t="str">
        <f>IF(项目基本情况!E8="已注销及未注销","4.抵押担保权已注销时的房地产抵押价值",IF(项目基本情况!E8="已注销","3.抵押担保权已注销时的房地产抵押价值","——"))</f>
        <v>——</v>
      </c>
      <c r="F109" s="3558"/>
      <c r="G109" s="1913" t="s">
        <v>2835</v>
      </c>
      <c r="H109" s="1929" t="str">
        <f>IF(E109="——","——",H101-H105-H106)</f>
        <v>——</v>
      </c>
      <c r="I109" s="588"/>
    </row>
    <row r="110" spans="1:35" ht="18.75" customHeight="1">
      <c r="A110" s="588"/>
      <c r="B110" s="588"/>
      <c r="C110" s="588"/>
      <c r="D110" s="588"/>
      <c r="E110" s="3557"/>
      <c r="F110" s="3558"/>
      <c r="G110" s="1913" t="s">
        <v>99</v>
      </c>
      <c r="H110" s="1800" t="str">
        <f>IF(H109="——","——",ROUND(H109*10000/'数据-汇总表'!E3,0))</f>
        <v>——</v>
      </c>
      <c r="I110" s="588"/>
    </row>
    <row r="111" spans="1:35" ht="18.75" customHeight="1">
      <c r="A111" s="588"/>
      <c r="B111" s="588"/>
      <c r="C111" s="588"/>
      <c r="D111" s="588"/>
      <c r="E111" s="3559" t="str">
        <f>IF(项目基本情况!E9="抵押净值",IF(OR(项目基本情况!E8="已注销",项目基本情况!E8="房地产抵押价值"),"4.抵押净值","5.抵押净值"),"——")</f>
        <v>——</v>
      </c>
      <c r="F111" s="3560"/>
      <c r="G111" s="1913" t="s">
        <v>2835</v>
      </c>
      <c r="H111" s="1914" t="str">
        <f>IF(E111="——","——",N59)</f>
        <v>——</v>
      </c>
      <c r="I111" s="588"/>
    </row>
    <row r="112" spans="1:35" ht="18.75" customHeight="1">
      <c r="A112" s="588"/>
      <c r="B112" s="588"/>
      <c r="C112" s="588"/>
      <c r="D112" s="588"/>
      <c r="E112" s="3561"/>
      <c r="F112" s="3562"/>
      <c r="G112" s="1930" t="s">
        <v>99</v>
      </c>
      <c r="H112" s="1931" t="str">
        <f>IF(E111="——","——",N61)</f>
        <v>——</v>
      </c>
      <c r="I112" s="588"/>
    </row>
    <row r="113" spans="1:27" ht="18.75" customHeight="1">
      <c r="A113" s="588"/>
      <c r="B113" s="588"/>
      <c r="C113" s="588"/>
      <c r="D113" s="588"/>
      <c r="E113" s="3597" t="s">
        <v>2841</v>
      </c>
      <c r="F113" s="3597"/>
      <c r="G113" s="3597"/>
      <c r="H113" s="3597"/>
      <c r="I113" s="588"/>
    </row>
    <row r="114" spans="1:27" ht="3.75" customHeight="1">
      <c r="A114" s="1680"/>
      <c r="B114" s="1680"/>
      <c r="C114" s="1680"/>
      <c r="D114" s="1680"/>
      <c r="E114" s="1810"/>
      <c r="F114" s="1810"/>
      <c r="G114" s="1810"/>
      <c r="H114" s="1810"/>
      <c r="I114" s="1680"/>
    </row>
    <row r="115" spans="1:27" ht="18.75" customHeight="1">
      <c r="A115" s="3598" t="s">
        <v>2843</v>
      </c>
      <c r="B115" s="3599"/>
      <c r="C115" s="3599"/>
      <c r="D115" s="3599"/>
      <c r="E115" s="3599"/>
      <c r="F115" s="3599"/>
      <c r="G115" s="3599"/>
      <c r="H115" s="3599"/>
      <c r="I115" s="3600"/>
    </row>
    <row r="116" spans="1:27" ht="27" customHeight="1">
      <c r="A116" s="3565" t="s">
        <v>2844</v>
      </c>
      <c r="B116" s="3574" t="s">
        <v>2845</v>
      </c>
      <c r="C116" s="3574" t="s">
        <v>2846</v>
      </c>
      <c r="D116" s="3601" t="s">
        <v>2847</v>
      </c>
      <c r="E116" s="3602"/>
      <c r="F116" s="3603" t="s">
        <v>2848</v>
      </c>
      <c r="G116" s="3603"/>
      <c r="H116" s="3565" t="s">
        <v>2849</v>
      </c>
      <c r="I116" s="3565"/>
    </row>
    <row r="117" spans="1:27" ht="18.75" customHeight="1">
      <c r="A117" s="3565"/>
      <c r="B117" s="3575"/>
      <c r="C117" s="3575"/>
      <c r="D117" s="1690" t="s">
        <v>2850</v>
      </c>
      <c r="E117" s="1690" t="s">
        <v>2677</v>
      </c>
      <c r="F117" s="1690" t="s">
        <v>2850</v>
      </c>
      <c r="G117" s="1690" t="s">
        <v>2677</v>
      </c>
      <c r="H117" s="1690" t="s">
        <v>2850</v>
      </c>
      <c r="I117" s="1690" t="s">
        <v>2677</v>
      </c>
    </row>
    <row r="118" spans="1:27" ht="24.75" customHeight="1">
      <c r="A118" s="1932" t="str">
        <f>项目基本情况!S2</f>
        <v>北京市房地产</v>
      </c>
      <c r="B118" s="1690">
        <f>M18</f>
        <v>1008.26</v>
      </c>
      <c r="C118" s="1690">
        <f>M19</f>
        <v>0</v>
      </c>
      <c r="D118" s="1690">
        <f ca="1">ROUND(IF(D32="总价",C34,E118*B118/10000),0)</f>
        <v>615</v>
      </c>
      <c r="E118" s="1690">
        <f ca="1">ROUND(IF(C33="自定义",IF(D32="楼面单价",C34,D118*10000/B118),I118-G118),0)</f>
        <v>6099</v>
      </c>
      <c r="F118" s="1690">
        <f ca="1">ROUND(IF(D32="总价",C35,G118*B118/10000),0)</f>
        <v>881</v>
      </c>
      <c r="G118" s="1690">
        <f ca="1">ROUND(IF(D32="楼面单价",C35,F118*10000/B118),0)</f>
        <v>8738</v>
      </c>
      <c r="H118" s="1690">
        <f ca="1">ROUND(IF(D32="总价",C32,I118*B118/10000),0)</f>
        <v>1496</v>
      </c>
      <c r="I118" s="1690">
        <f ca="1">ROUND(IF(D32="楼面单价",C32,H118*10000/B118),0)</f>
        <v>14837</v>
      </c>
    </row>
    <row r="119" spans="1:27" ht="18.75" customHeight="1">
      <c r="A119" s="3565" t="s">
        <v>2851</v>
      </c>
      <c r="B119" s="3565"/>
      <c r="C119" s="3565"/>
      <c r="D119" s="3580" t="str">
        <f t="shared" ref="D119:H119" ca="1" si="5">NUMBERSTRING(INT(D118*10000),2)&amp;"元整"</f>
        <v>陆佰壹拾伍万元整</v>
      </c>
      <c r="E119" s="3582"/>
      <c r="F119" s="3580" t="str">
        <f t="shared" ca="1" si="5"/>
        <v>捌佰捌拾壹万元整</v>
      </c>
      <c r="G119" s="3582"/>
      <c r="H119" s="3580" t="str">
        <f t="shared" ca="1" si="5"/>
        <v>壹仟肆佰玖拾陆万元整</v>
      </c>
      <c r="I119" s="3582"/>
    </row>
    <row r="120" spans="1:27" ht="18.75" customHeight="1">
      <c r="A120" s="3583" t="str">
        <f>IF(项目基本情况!B9="房地产市场价值","",MID(E103,3,LEN(E103)-2))</f>
        <v>估价师知悉的法定优先受偿款</v>
      </c>
      <c r="B120" s="3584"/>
      <c r="C120" s="3585"/>
      <c r="D120" s="3583">
        <f>H103</f>
        <v>0</v>
      </c>
      <c r="E120" s="3584"/>
      <c r="F120" s="3584"/>
      <c r="G120" s="3584"/>
      <c r="H120" s="3584"/>
      <c r="I120" s="3585"/>
      <c r="J120" s="1677"/>
      <c r="K120" s="1677" t="str">
        <f>IF(D120=0,"故，本次评估不存在"&amp;A120,"故，本次评估"&amp;A120&amp;"为人民币"&amp;D120&amp;"万元整。")</f>
        <v>故，本次评估不存在估价师知悉的法定优先受偿款</v>
      </c>
      <c r="L120" s="1677"/>
      <c r="M120" s="1677"/>
      <c r="N120" s="1677"/>
      <c r="O120" s="1677"/>
      <c r="P120" s="1677"/>
      <c r="Q120" s="1677"/>
      <c r="R120" s="1677"/>
      <c r="S120" s="1677"/>
    </row>
    <row r="121" spans="1:27" ht="18.75" customHeight="1">
      <c r="A121" s="3580" t="s">
        <v>2851</v>
      </c>
      <c r="B121" s="3581"/>
      <c r="C121" s="3582"/>
      <c r="D121" s="3580" t="str">
        <f>IF(D120=0,"零元整",NUMBERSTRING(INT(D120*10000),2)&amp;"元整")</f>
        <v>零元整</v>
      </c>
      <c r="E121" s="3581"/>
      <c r="F121" s="3581"/>
      <c r="G121" s="3581"/>
      <c r="H121" s="3581"/>
      <c r="I121" s="3582"/>
      <c r="AA121" s="545"/>
    </row>
    <row r="122" spans="1:27" ht="18.75" customHeight="1">
      <c r="A122" s="3560" t="str">
        <f>IF(项目基本情况!B9="房地产市场价值","",MID(E107,3,LEN(E107)-2))</f>
        <v>房地产抵押价值</v>
      </c>
      <c r="B122" s="3560"/>
      <c r="C122" s="3560"/>
      <c r="D122" s="3583">
        <f t="shared" ref="D122:D126" ca="1" si="6">H107</f>
        <v>1496</v>
      </c>
      <c r="E122" s="3584"/>
      <c r="F122" s="3584"/>
      <c r="G122" s="3584"/>
      <c r="H122" s="3584"/>
      <c r="I122" s="3585"/>
      <c r="AA122" s="545"/>
    </row>
    <row r="123" spans="1:27" ht="18.75" customHeight="1">
      <c r="A123" s="3565" t="s">
        <v>2851</v>
      </c>
      <c r="B123" s="3565"/>
      <c r="C123" s="3565"/>
      <c r="D123" s="3580" t="str">
        <f t="shared" ref="D123:D127" ca="1" si="7">NUMBERSTRING(INT(D122*10000),2)&amp;"元整"</f>
        <v>壹仟肆佰玖拾陆万元整</v>
      </c>
      <c r="E123" s="3581"/>
      <c r="F123" s="3581"/>
      <c r="G123" s="3581"/>
      <c r="H123" s="3581"/>
      <c r="I123" s="3582"/>
      <c r="AA123" s="545"/>
    </row>
    <row r="124" spans="1:27" ht="18.75" customHeight="1">
      <c r="A124" s="3560" t="str">
        <f>IF(项目基本情况!B9="房地产市场价值","",MID(E109,3,LEN(E109)-2))</f>
        <v/>
      </c>
      <c r="B124" s="3560"/>
      <c r="C124" s="3560"/>
      <c r="D124" s="3583" t="str">
        <f t="shared" si="6"/>
        <v>——</v>
      </c>
      <c r="E124" s="3584"/>
      <c r="F124" s="3584"/>
      <c r="G124" s="3584"/>
      <c r="H124" s="3584"/>
      <c r="I124" s="3585"/>
      <c r="AA124" s="545"/>
    </row>
    <row r="125" spans="1:27" ht="18.75" customHeight="1">
      <c r="A125" s="3565" t="s">
        <v>2851</v>
      </c>
      <c r="B125" s="3565"/>
      <c r="C125" s="3565"/>
      <c r="D125" s="3580" t="e">
        <f t="shared" si="7"/>
        <v>#VALUE!</v>
      </c>
      <c r="E125" s="3581"/>
      <c r="F125" s="3581"/>
      <c r="G125" s="3581"/>
      <c r="H125" s="3581"/>
      <c r="I125" s="3582"/>
      <c r="AA125" s="545"/>
    </row>
    <row r="126" spans="1:27" ht="18.75" customHeight="1">
      <c r="A126" s="3560" t="str">
        <f>IF(项目基本情况!B9="房地产市场价值","",MID(E111,3,LEN(E111)-2))</f>
        <v/>
      </c>
      <c r="B126" s="3560"/>
      <c r="C126" s="3560"/>
      <c r="D126" s="3583" t="str">
        <f t="shared" si="6"/>
        <v>——</v>
      </c>
      <c r="E126" s="3584"/>
      <c r="F126" s="3584"/>
      <c r="G126" s="3584"/>
      <c r="H126" s="3584"/>
      <c r="I126" s="3585"/>
      <c r="AA126" s="545"/>
    </row>
    <row r="127" spans="1:27" ht="18.75" customHeight="1">
      <c r="A127" s="3565" t="s">
        <v>2851</v>
      </c>
      <c r="B127" s="3565"/>
      <c r="C127" s="3565"/>
      <c r="D127" s="3580" t="e">
        <f t="shared" si="7"/>
        <v>#VALUE!</v>
      </c>
      <c r="E127" s="3581"/>
      <c r="F127" s="3581"/>
      <c r="G127" s="3581"/>
      <c r="H127" s="3581"/>
      <c r="I127" s="3582"/>
      <c r="AA127" s="545"/>
    </row>
    <row r="128" spans="1:27" ht="21.75" customHeight="1">
      <c r="A128" s="3564" t="s">
        <v>113</v>
      </c>
      <c r="B128" s="3564"/>
      <c r="C128" s="3564"/>
      <c r="D128" s="3564"/>
      <c r="E128" s="3564"/>
      <c r="F128" s="3564"/>
      <c r="G128" s="3564"/>
      <c r="H128" s="3564"/>
      <c r="I128" s="3564"/>
      <c r="AA128" s="545"/>
    </row>
    <row r="129" spans="1:35" ht="21.75" customHeight="1">
      <c r="A129" s="1943" t="s">
        <v>2852</v>
      </c>
      <c r="B129" s="1944"/>
      <c r="C129" s="1945" t="s">
        <v>2853</v>
      </c>
      <c r="D129" s="1946"/>
      <c r="E129" s="1946"/>
      <c r="F129" s="1946"/>
      <c r="G129" s="1946"/>
      <c r="H129" s="1947"/>
      <c r="I129" s="1962"/>
      <c r="AA129" s="545"/>
    </row>
    <row r="130" spans="1:35" ht="21.75" customHeight="1">
      <c r="A130" s="1948">
        <v>1</v>
      </c>
      <c r="B130" s="1949"/>
      <c r="C130" s="1949"/>
      <c r="D130" s="1950"/>
      <c r="E130" s="1950"/>
      <c r="F130" s="1950"/>
      <c r="G130" s="1950"/>
      <c r="H130" s="1951"/>
      <c r="I130" s="1963"/>
      <c r="AA130" s="545"/>
    </row>
    <row r="131" spans="1:35" ht="21.75" customHeight="1">
      <c r="A131" s="1948">
        <v>2</v>
      </c>
      <c r="B131" s="1949"/>
      <c r="C131" s="1949"/>
      <c r="D131" s="1950"/>
      <c r="E131" s="1950"/>
      <c r="F131" s="1950"/>
      <c r="G131" s="1950"/>
      <c r="H131" s="1951"/>
      <c r="I131" s="1963"/>
      <c r="AA131" s="545"/>
    </row>
    <row r="132" spans="1:35" ht="21.75" customHeight="1">
      <c r="A132" s="1948">
        <v>3</v>
      </c>
      <c r="B132" s="1949"/>
      <c r="C132" s="1949"/>
      <c r="D132" s="1950"/>
      <c r="E132" s="1950"/>
      <c r="F132" s="1950"/>
      <c r="G132" s="1950"/>
      <c r="H132" s="1951"/>
      <c r="I132" s="1963"/>
      <c r="AA132" s="545"/>
    </row>
    <row r="133" spans="1:35" ht="21.75" customHeight="1">
      <c r="A133" s="1952"/>
      <c r="B133" s="1953"/>
      <c r="C133" s="1953"/>
      <c r="D133" s="1954"/>
      <c r="E133" s="1954"/>
      <c r="F133" s="1954"/>
      <c r="G133" s="1954"/>
      <c r="H133" s="1955"/>
      <c r="I133" s="1964"/>
    </row>
    <row r="134" spans="1:35" ht="21.75" customHeight="1">
      <c r="A134" s="1949"/>
      <c r="B134" s="1949"/>
      <c r="C134" s="1949"/>
      <c r="D134" s="1950"/>
      <c r="E134" s="1950"/>
      <c r="F134" s="1950"/>
      <c r="G134" s="1950"/>
      <c r="H134" s="1951"/>
      <c r="I134" s="545"/>
    </row>
    <row r="135" spans="1:35" ht="21.75" customHeight="1">
      <c r="A135" s="545"/>
      <c r="B135" s="545"/>
      <c r="C135" s="545"/>
      <c r="D135" s="545"/>
      <c r="E135" s="545"/>
      <c r="F135" s="1956" t="s">
        <v>2854</v>
      </c>
      <c r="G135" s="1957"/>
      <c r="H135" s="1957"/>
      <c r="I135" s="1965" t="s">
        <v>2855</v>
      </c>
    </row>
    <row r="136" spans="1:35" ht="21.75" customHeight="1">
      <c r="A136" s="545"/>
      <c r="B136" s="1958" t="s">
        <v>2856</v>
      </c>
      <c r="C136" s="545"/>
      <c r="D136" s="545"/>
      <c r="E136" s="545"/>
      <c r="F136" s="545"/>
      <c r="G136" s="545"/>
      <c r="H136" s="545"/>
      <c r="I136" s="545"/>
    </row>
    <row r="137" spans="1:35" ht="21.75" customHeight="1">
      <c r="A137" s="545"/>
      <c r="B137" s="545"/>
      <c r="C137" s="545"/>
      <c r="D137" s="545"/>
      <c r="E137" s="545"/>
      <c r="F137" s="545"/>
      <c r="G137" s="545"/>
      <c r="H137" s="545"/>
      <c r="I137" s="545"/>
    </row>
    <row r="138" spans="1:35" ht="21.75" customHeight="1">
      <c r="A138" s="545"/>
      <c r="B138" s="1957"/>
      <c r="C138" s="1957"/>
      <c r="D138" s="1957"/>
      <c r="E138" s="1957"/>
      <c r="F138" s="1957"/>
      <c r="G138" s="1957"/>
      <c r="H138" s="1957"/>
      <c r="I138" s="1965" t="s">
        <v>2857</v>
      </c>
    </row>
    <row r="139" spans="1:35" ht="21.75" customHeight="1">
      <c r="A139" s="545"/>
      <c r="B139" s="1958" t="s">
        <v>2858</v>
      </c>
      <c r="C139" s="545"/>
      <c r="D139" s="545"/>
      <c r="E139" s="545"/>
      <c r="F139" s="545"/>
      <c r="G139" s="545"/>
      <c r="H139" s="545"/>
      <c r="I139" s="545"/>
    </row>
    <row r="140" spans="1:35" ht="21.75" customHeight="1">
      <c r="A140" s="545"/>
      <c r="B140" s="1958"/>
      <c r="C140" s="545"/>
      <c r="D140" s="545"/>
      <c r="E140" s="545"/>
      <c r="F140" s="545"/>
      <c r="G140" s="545"/>
      <c r="H140" s="545"/>
      <c r="I140" s="545"/>
    </row>
    <row r="141" spans="1:35" ht="21.75" customHeight="1">
      <c r="A141" s="545"/>
      <c r="B141" s="1957"/>
      <c r="C141" s="1957"/>
      <c r="D141" s="1957"/>
      <c r="E141" s="1957"/>
      <c r="F141" s="1957"/>
      <c r="G141" s="1957"/>
      <c r="H141" s="1957"/>
      <c r="I141" s="1965" t="s">
        <v>2857</v>
      </c>
    </row>
    <row r="142" spans="1:35" ht="21.75" customHeight="1">
      <c r="A142" s="545"/>
      <c r="B142" s="1958"/>
      <c r="C142" s="1959"/>
      <c r="D142" s="1960"/>
      <c r="E142" s="1960"/>
      <c r="F142" s="1961"/>
      <c r="G142" s="545"/>
      <c r="H142" s="545"/>
      <c r="I142" s="545"/>
    </row>
    <row r="143" spans="1:35" s="542" customFormat="1" ht="21.75" customHeight="1">
      <c r="A143" s="545"/>
      <c r="B143" s="1958"/>
      <c r="C143" s="1959"/>
      <c r="D143" s="1960"/>
      <c r="E143" s="1960"/>
      <c r="F143" s="1961"/>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545"/>
      <c r="AH143" s="545"/>
      <c r="AI143" s="545"/>
    </row>
    <row r="144" spans="1:35" s="542" customFormat="1" ht="21.75" customHeight="1">
      <c r="A144" s="545"/>
      <c r="B144" s="545"/>
      <c r="C144" s="545"/>
      <c r="D144" s="545"/>
      <c r="E144" s="545"/>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row>
    <row r="145" spans="1:35" s="542" customFormat="1" ht="21.75" customHeight="1">
      <c r="A145" s="545"/>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row>
    <row r="146" spans="1:35" s="545" customFormat="1" ht="21.75" customHeight="1"/>
    <row r="147" spans="1:35" s="545" customFormat="1" ht="21.75" customHeight="1"/>
    <row r="148" spans="1:35" s="545" customFormat="1" ht="21.75" customHeight="1"/>
    <row r="149" spans="1:35" s="545" customFormat="1" ht="21.75" customHeight="1"/>
    <row r="150" spans="1:35" s="545" customFormat="1" ht="21.75" customHeight="1"/>
    <row r="151" spans="1:35" s="545" customFormat="1" ht="21.75" customHeight="1"/>
    <row r="152" spans="1:35" s="545" customFormat="1" ht="21.75" customHeight="1"/>
    <row r="153" spans="1:35" s="545" customFormat="1" ht="21.75" customHeight="1"/>
    <row r="154" spans="1:35" s="545" customFormat="1" ht="21.75" customHeight="1"/>
    <row r="155" spans="1:35" s="545" customFormat="1" ht="21.75" customHeight="1"/>
    <row r="156" spans="1:35" s="545" customFormat="1" ht="21.75" customHeight="1"/>
    <row r="157" spans="1:35" s="545" customFormat="1" ht="21.75" customHeight="1"/>
    <row r="158" spans="1:35" s="545" customFormat="1" ht="21.75" customHeight="1"/>
    <row r="159" spans="1:35" s="545" customFormat="1" ht="21.75" customHeight="1"/>
    <row r="160" spans="1:35" s="545" customFormat="1" ht="21.75" customHeight="1"/>
    <row r="161" s="545" customFormat="1" ht="21.75" customHeight="1"/>
    <row r="162" s="545" customFormat="1" ht="21.75" customHeight="1"/>
    <row r="163" s="545" customFormat="1" ht="21.75" customHeight="1"/>
    <row r="164" s="545" customFormat="1" ht="21.75" customHeight="1"/>
    <row r="165" s="545" customFormat="1" ht="21.75" customHeight="1"/>
    <row r="166" s="545" customFormat="1" ht="21.75" customHeight="1"/>
    <row r="167" s="545" customFormat="1" ht="21.75" customHeight="1"/>
    <row r="168" s="545" customFormat="1" ht="21.75" customHeight="1"/>
    <row r="169" s="545" customFormat="1" ht="21.75" customHeight="1"/>
    <row r="170" s="545" customFormat="1" ht="21.75" customHeight="1"/>
    <row r="171" s="545" customFormat="1" ht="21.75" customHeight="1"/>
    <row r="172" s="545" customFormat="1" ht="21.75" customHeight="1"/>
    <row r="173" s="545" customFormat="1" ht="21.75" customHeight="1"/>
    <row r="174" s="545" customFormat="1" ht="21.75" customHeight="1"/>
    <row r="175" s="545" customFormat="1" ht="21.75" customHeight="1"/>
    <row r="176" s="545" customFormat="1" ht="21.75" customHeight="1"/>
    <row r="177" s="545" customFormat="1" ht="21.75" customHeight="1"/>
    <row r="178" s="545" customFormat="1" ht="21.75" customHeight="1"/>
    <row r="179" s="545" customFormat="1" ht="21.75" customHeight="1"/>
    <row r="180" s="545" customFormat="1" ht="21.75" customHeight="1"/>
    <row r="181" s="545" customFormat="1" ht="21.75" customHeight="1"/>
    <row r="182" s="545" customFormat="1" ht="21.75" customHeight="1"/>
    <row r="183" s="545" customFormat="1" ht="21.75" customHeight="1"/>
    <row r="184" s="545" customFormat="1" ht="21.75" customHeight="1"/>
    <row r="185" s="545" customFormat="1" ht="21.75" customHeight="1"/>
    <row r="186" s="545" customFormat="1" ht="21.75" customHeight="1"/>
    <row r="187" s="545" customFormat="1" ht="21.75" customHeight="1"/>
    <row r="188" s="545" customFormat="1" ht="21.75" customHeight="1"/>
    <row r="189" s="545" customFormat="1" ht="21.75" customHeight="1"/>
    <row r="190" s="545" customFormat="1" ht="21.75" customHeight="1"/>
    <row r="191" s="545" customFormat="1" ht="21.75" customHeight="1"/>
    <row r="192" s="545" customFormat="1" ht="21.75" customHeight="1"/>
    <row r="193" s="545" customFormat="1" ht="21.75" customHeight="1"/>
    <row r="194" s="545" customFormat="1" ht="21.75" customHeight="1"/>
    <row r="195" s="545" customFormat="1" ht="21.75" customHeight="1"/>
    <row r="196" s="545" customFormat="1" ht="21.75" customHeight="1"/>
    <row r="197" s="545" customFormat="1" ht="21.75" customHeight="1"/>
    <row r="198" s="545" customFormat="1" ht="21.75" customHeight="1"/>
    <row r="199" s="545" customFormat="1" ht="21.75" customHeight="1"/>
    <row r="200" s="545" customFormat="1" ht="21.75" customHeight="1"/>
    <row r="201" s="545" customFormat="1" ht="21.75" customHeight="1"/>
    <row r="202" s="545" customFormat="1" ht="21.75" customHeight="1"/>
    <row r="203" s="545" customFormat="1" ht="21.75" customHeight="1"/>
    <row r="204" s="545" customFormat="1" ht="21.75" customHeight="1"/>
    <row r="205" s="545" customFormat="1" ht="21.75" customHeight="1"/>
    <row r="206" s="545" customFormat="1" ht="21.75" customHeight="1"/>
    <row r="207" s="545" customFormat="1" ht="21.75" customHeight="1"/>
    <row r="208" s="545" customFormat="1" ht="21.75" customHeight="1"/>
    <row r="209" s="545" customFormat="1" ht="21.75" customHeight="1"/>
    <row r="210" s="545" customFormat="1" ht="21.75" customHeight="1"/>
    <row r="211" s="545" customFormat="1" ht="21.75" customHeight="1"/>
    <row r="212" s="545" customFormat="1" ht="21.75" customHeight="1"/>
    <row r="213" s="545" customFormat="1" ht="21.75" customHeight="1"/>
    <row r="214" s="545" customFormat="1" ht="21.75" customHeight="1"/>
    <row r="215" s="545" customFormat="1" ht="21.75" customHeight="1"/>
    <row r="216" s="545" customFormat="1" ht="21.75" customHeight="1"/>
    <row r="217" s="545" customFormat="1" ht="21.75" customHeight="1"/>
    <row r="218" s="545" customFormat="1" ht="21.75" customHeight="1"/>
    <row r="219" s="545" customFormat="1" ht="21.75" customHeight="1"/>
    <row r="220" s="545" customFormat="1" ht="21.75" customHeight="1"/>
    <row r="221" s="545" customFormat="1" ht="21.75" customHeight="1"/>
    <row r="222" s="545" customFormat="1" ht="21.75" customHeight="1"/>
    <row r="223" s="545" customFormat="1" ht="21.75" customHeight="1"/>
    <row r="224" s="545" customFormat="1" ht="21.75" customHeight="1"/>
    <row r="225" s="545" customFormat="1" ht="21.75" customHeight="1"/>
    <row r="226" s="545" customFormat="1" ht="21.75" customHeight="1"/>
    <row r="227" s="545" customFormat="1" ht="21.75" customHeight="1"/>
    <row r="228" s="545" customFormat="1" ht="21.75" customHeight="1"/>
    <row r="229" s="545" customFormat="1" ht="21.75" customHeight="1"/>
    <row r="230" s="545" customFormat="1" ht="21.75" customHeight="1"/>
    <row r="231" s="545" customFormat="1" ht="21.75" customHeight="1"/>
    <row r="232" s="545" customFormat="1" ht="21.75" customHeight="1"/>
    <row r="233" s="545" customFormat="1" ht="21.75" customHeight="1"/>
    <row r="234" s="545" customFormat="1" ht="21.75" customHeight="1"/>
    <row r="235" s="545" customFormat="1" ht="21.75" customHeight="1"/>
    <row r="236" s="545" customFormat="1" ht="21.75" customHeight="1"/>
    <row r="237" s="545" customFormat="1" ht="21.75" customHeight="1"/>
    <row r="238" s="545" customFormat="1" ht="21.75" customHeight="1"/>
    <row r="239" s="545" customFormat="1" ht="21.75" customHeight="1"/>
    <row r="240" s="545" customFormat="1" ht="21.75" customHeight="1"/>
    <row r="241" s="545" customFormat="1" ht="21.75" customHeight="1"/>
    <row r="242" s="545" customFormat="1" ht="21.75" customHeight="1"/>
    <row r="243" s="545" customFormat="1" ht="21.75" customHeight="1"/>
    <row r="244" s="545" customFormat="1" ht="21.75" customHeight="1"/>
    <row r="245" s="545" customFormat="1" ht="21.75" customHeight="1"/>
    <row r="246" s="545" customFormat="1" ht="21.75" customHeight="1"/>
    <row r="247" s="545" customFormat="1" ht="21.75" customHeight="1"/>
    <row r="248" s="545" customFormat="1" ht="21.75" customHeight="1"/>
    <row r="249" s="545" customFormat="1" ht="21.75" customHeight="1"/>
    <row r="250" s="545" customFormat="1" ht="21.75" customHeight="1"/>
    <row r="251" s="545" customFormat="1" ht="21.75" customHeight="1"/>
    <row r="252" s="545" customFormat="1" ht="21.75" customHeight="1"/>
    <row r="253" s="545" customFormat="1" ht="21.75" customHeight="1"/>
    <row r="254" s="545" customFormat="1" ht="21.75" customHeight="1"/>
    <row r="255" s="545" customFormat="1" ht="21.75" customHeight="1"/>
    <row r="256" s="545" customFormat="1" ht="21.75" customHeight="1"/>
    <row r="257" s="545" customFormat="1" ht="21.75" customHeight="1"/>
    <row r="258" s="545" customFormat="1" ht="21.75" customHeight="1"/>
    <row r="259" s="545" customFormat="1" ht="21.75" customHeight="1"/>
    <row r="260" s="545" customFormat="1" ht="21.75" customHeight="1"/>
    <row r="261" s="545" customFormat="1" ht="21.75" customHeight="1"/>
    <row r="262" s="545" customFormat="1" ht="21.75" customHeight="1"/>
    <row r="263" s="545" customFormat="1" ht="21.75" customHeight="1"/>
    <row r="264" s="545" customFormat="1" ht="21.75" customHeight="1"/>
    <row r="265" s="545" customFormat="1" ht="21.75" customHeight="1"/>
    <row r="266" s="545" customFormat="1" ht="21.75" customHeight="1"/>
    <row r="267" s="545" customFormat="1" ht="21.75" customHeight="1"/>
    <row r="268" s="545" customFormat="1" ht="21.75" customHeight="1"/>
    <row r="269" s="545" customFormat="1" ht="21.75" customHeight="1"/>
    <row r="270" s="545" customFormat="1" ht="21.75" customHeight="1"/>
    <row r="271" s="545" customFormat="1" ht="21.75" customHeight="1"/>
    <row r="272" s="545" customFormat="1" ht="21.75" customHeight="1"/>
    <row r="273" s="545" customFormat="1" ht="21.75" customHeight="1"/>
    <row r="274" s="545" customFormat="1" ht="21.75" customHeight="1"/>
    <row r="275" s="545" customFormat="1" ht="21.75" customHeight="1"/>
    <row r="276" s="545" customFormat="1" ht="21.75" customHeight="1"/>
    <row r="277" s="545" customFormat="1" ht="21.75" customHeight="1"/>
    <row r="278" s="545" customFormat="1" ht="21.75" customHeight="1"/>
    <row r="279" s="545" customFormat="1" ht="21.75" customHeight="1"/>
    <row r="280" s="545" customFormat="1" ht="21.75" customHeight="1"/>
    <row r="281" s="545" customFormat="1" ht="21.75" customHeight="1"/>
    <row r="282" s="545" customFormat="1" ht="21.75" customHeight="1"/>
    <row r="283" s="545" customFormat="1" ht="21.75" customHeight="1"/>
    <row r="284" s="545" customFormat="1" ht="21.75" customHeight="1"/>
    <row r="285" s="545" customFormat="1" ht="21.75" customHeight="1"/>
    <row r="286" s="545" customFormat="1" ht="21.75" customHeight="1"/>
    <row r="287" s="545" customFormat="1" ht="21.75" customHeight="1"/>
    <row r="288" s="545" customFormat="1" ht="21.75" customHeight="1"/>
    <row r="289" s="545" customFormat="1" ht="21.75" customHeight="1"/>
    <row r="290" s="545" customFormat="1" ht="21.75" customHeight="1"/>
    <row r="291" s="545" customFormat="1" ht="21.75" customHeight="1"/>
    <row r="292" s="545" customFormat="1" ht="21.75" customHeight="1"/>
    <row r="293" s="545" customFormat="1" ht="21.75" customHeight="1"/>
    <row r="294" s="545" customFormat="1" ht="21.75" customHeight="1"/>
    <row r="295" s="545" customFormat="1" ht="21.75" customHeight="1"/>
    <row r="296" s="545" customFormat="1" ht="21.75" customHeight="1"/>
    <row r="297" s="545" customFormat="1" ht="21.75" customHeight="1"/>
    <row r="298" s="545" customFormat="1" ht="21.75" customHeight="1"/>
    <row r="299" s="545" customFormat="1" ht="21.75" customHeight="1"/>
    <row r="300" s="545" customFormat="1" ht="21.75" customHeight="1"/>
    <row r="301" s="545" customFormat="1" ht="21.75" customHeight="1"/>
    <row r="302" s="545" customFormat="1" ht="21.75" customHeight="1"/>
    <row r="303" s="545" customFormat="1" ht="21.75" customHeight="1"/>
    <row r="304" s="545" customFormat="1" ht="21.75" customHeight="1"/>
    <row r="305" s="545" customFormat="1" ht="21.75" customHeight="1"/>
    <row r="306" s="545" customFormat="1" ht="21.75" customHeight="1"/>
    <row r="307" s="545" customFormat="1" ht="21.75" customHeight="1"/>
    <row r="308" s="545" customFormat="1" ht="21.75" customHeight="1"/>
    <row r="309" s="545" customFormat="1" ht="21.75" customHeight="1"/>
    <row r="310" s="545" customFormat="1" ht="21.75" customHeight="1"/>
    <row r="311" s="545" customFormat="1" ht="21.75" customHeight="1"/>
    <row r="312" s="545" customFormat="1" ht="21.75" customHeight="1"/>
    <row r="313" s="545" customFormat="1" ht="21.75" customHeight="1"/>
    <row r="314" s="545" customFormat="1" ht="21.75" customHeight="1"/>
    <row r="315" s="545" customFormat="1" ht="21.75" customHeight="1"/>
    <row r="316" s="545" customFormat="1" ht="21.75" customHeight="1"/>
    <row r="317" s="545" customFormat="1" ht="21.75" customHeight="1"/>
    <row r="318" s="545" customFormat="1" ht="21.75" customHeight="1"/>
    <row r="319" s="545" customFormat="1" ht="21.75" customHeight="1"/>
    <row r="320" s="545" customFormat="1" ht="21.75" customHeight="1"/>
    <row r="321" s="545" customFormat="1" ht="21.75" customHeight="1"/>
    <row r="322" s="545" customFormat="1" ht="21.75" customHeight="1"/>
    <row r="323" s="545" customFormat="1" ht="21.75" customHeight="1"/>
    <row r="324" s="545" customFormat="1" ht="21.75" customHeight="1"/>
    <row r="325" s="545" customFormat="1" ht="21.75" customHeight="1"/>
    <row r="326" s="545" customFormat="1" ht="21.75" customHeight="1"/>
    <row r="327" s="545" customFormat="1" ht="21.75" customHeight="1"/>
    <row r="328" s="545" customFormat="1" ht="21.75" customHeight="1"/>
    <row r="329" s="545" customFormat="1" ht="21.75" customHeight="1"/>
    <row r="330" s="545" customFormat="1" ht="21.75" customHeight="1"/>
    <row r="331" s="545" customFormat="1" ht="21.75" customHeight="1"/>
    <row r="332" s="545" customFormat="1" ht="21.75" customHeight="1"/>
    <row r="333" s="545" customFormat="1" ht="21.75" customHeight="1"/>
    <row r="334" s="545" customFormat="1" ht="21.75" customHeight="1"/>
    <row r="335" s="545" customFormat="1" ht="21.75" customHeight="1"/>
    <row r="336" s="545" customFormat="1" ht="21.75" customHeight="1"/>
    <row r="337" s="545" customFormat="1" ht="21.75" customHeight="1"/>
    <row r="338" s="545" customFormat="1" ht="21.75" customHeight="1"/>
    <row r="339" s="545" customFormat="1" ht="21.75" customHeight="1"/>
    <row r="340" s="545" customFormat="1" ht="21.75" customHeight="1"/>
    <row r="341" s="545" customFormat="1" ht="21.75" customHeight="1"/>
    <row r="342" s="545" customFormat="1" ht="21.75" customHeight="1"/>
    <row r="343" s="545" customFormat="1" ht="21.75" customHeight="1"/>
    <row r="344" s="545" customFormat="1" ht="21.75" customHeight="1"/>
    <row r="345" s="545" customFormat="1" ht="21.75" customHeight="1"/>
    <row r="346" s="545" customFormat="1" ht="21.75" customHeight="1"/>
    <row r="347" s="545" customFormat="1" ht="21.75" customHeight="1"/>
    <row r="348" s="545" customFormat="1" ht="21.75" customHeight="1"/>
    <row r="349" s="545" customFormat="1" ht="21.75" customHeight="1"/>
    <row r="350" s="545" customFormat="1" ht="21.75" customHeight="1"/>
    <row r="351" s="545" customFormat="1" ht="21.75" customHeight="1"/>
    <row r="352" s="545" customFormat="1" ht="21.75" customHeight="1"/>
    <row r="353" s="545" customFormat="1" ht="21.75" customHeight="1"/>
    <row r="354" s="545" customFormat="1" ht="21.75" customHeight="1"/>
    <row r="355" s="545" customFormat="1" ht="21.75" customHeight="1"/>
    <row r="356" s="545" customFormat="1" ht="21.75" customHeight="1"/>
    <row r="357" s="545" customFormat="1" ht="21.75" customHeight="1"/>
    <row r="358" s="545" customFormat="1" ht="21.75" customHeight="1"/>
    <row r="359" s="545" customFormat="1" ht="21.75" customHeight="1"/>
    <row r="360" s="545" customFormat="1" ht="21.75" customHeight="1"/>
    <row r="361" s="545" customFormat="1" ht="21.75" customHeight="1"/>
    <row r="362" s="545" customFormat="1" ht="21.75" customHeight="1"/>
    <row r="363" s="545" customFormat="1" ht="21.75" customHeight="1"/>
    <row r="364" s="545" customFormat="1" ht="21.75" customHeight="1"/>
    <row r="365" s="545" customFormat="1" ht="21.75" customHeight="1"/>
    <row r="366" s="545" customFormat="1" ht="21.75" customHeight="1"/>
    <row r="367" s="545" customFormat="1" ht="21.75" customHeight="1"/>
    <row r="368" s="545" customFormat="1" ht="21.75" customHeight="1"/>
    <row r="369" s="545" customFormat="1" ht="21.75" customHeight="1"/>
    <row r="370" s="545" customFormat="1" ht="21.75" customHeight="1"/>
    <row r="371" s="545" customFormat="1" ht="21.75" customHeight="1"/>
    <row r="372" s="545" customFormat="1" ht="21.75" customHeight="1"/>
    <row r="373" s="545" customFormat="1" ht="21.75" customHeight="1"/>
    <row r="374" s="545" customFormat="1" ht="21.75" customHeight="1"/>
    <row r="375" s="545" customFormat="1" ht="21.75" customHeight="1"/>
    <row r="376" s="545" customFormat="1" ht="21.75" customHeight="1"/>
    <row r="377" s="545" customFormat="1" ht="21.75" customHeight="1"/>
    <row r="378" s="545" customFormat="1" ht="21.75" customHeight="1"/>
    <row r="379" s="545" customFormat="1" ht="21.75" customHeight="1"/>
    <row r="380" s="545" customFormat="1" ht="21.75" customHeight="1"/>
    <row r="381" s="545" customFormat="1" ht="21.75" customHeight="1"/>
    <row r="382" s="545" customFormat="1" ht="21.75" customHeight="1"/>
    <row r="383" s="545" customFormat="1" ht="21.75" customHeight="1"/>
    <row r="384" s="545" customFormat="1" ht="21.75" customHeight="1"/>
    <row r="385" s="545" customFormat="1" ht="21.75" customHeight="1"/>
    <row r="386" s="545" customFormat="1" ht="21.75" customHeight="1"/>
    <row r="387" s="545" customFormat="1" ht="21.75" customHeight="1"/>
    <row r="388" s="545" customFormat="1" ht="21.75" customHeight="1"/>
    <row r="389" s="545" customFormat="1" ht="21.75" customHeight="1"/>
    <row r="390" s="545" customFormat="1" ht="21.75" customHeight="1"/>
    <row r="391" s="545" customFormat="1" ht="21.75" customHeight="1"/>
    <row r="392" s="545" customFormat="1" ht="21.75" customHeight="1"/>
    <row r="393" s="545" customFormat="1" ht="21.75" customHeight="1"/>
    <row r="394" s="545" customFormat="1" ht="21.75" customHeight="1"/>
    <row r="395" s="545" customFormat="1" ht="21.75" customHeight="1"/>
    <row r="396" s="545" customFormat="1" ht="21.75" customHeight="1"/>
    <row r="397" s="545" customFormat="1" ht="21.75" customHeight="1"/>
    <row r="398" s="545" customFormat="1" ht="21.75" customHeight="1"/>
    <row r="399" s="545" customFormat="1" ht="21.75" customHeight="1"/>
    <row r="400" s="545" customFormat="1" ht="21.75" customHeight="1"/>
    <row r="401" spans="10:26" s="545" customFormat="1" ht="21.75" customHeight="1"/>
    <row r="402" spans="10:26" s="545" customFormat="1" ht="21.75" customHeight="1"/>
    <row r="403" spans="10:26" s="545" customFormat="1" ht="21.75" customHeight="1"/>
    <row r="404" spans="10:26" s="545" customFormat="1" ht="21.75" customHeight="1"/>
    <row r="405" spans="10:26" s="545" customFormat="1" ht="21.75" customHeight="1"/>
    <row r="406" spans="10:26" s="545" customFormat="1" ht="21.75" customHeight="1"/>
    <row r="407" spans="10:26" s="545" customFormat="1" ht="21.75" customHeight="1"/>
    <row r="408" spans="10:26" s="545" customFormat="1" ht="21.75" customHeight="1"/>
    <row r="409" spans="10:26" s="1677" customFormat="1" ht="21.75" customHeight="1">
      <c r="J409" s="545"/>
      <c r="K409" s="545"/>
      <c r="L409" s="545"/>
      <c r="M409" s="545"/>
      <c r="N409" s="545"/>
      <c r="O409" s="545"/>
      <c r="P409" s="545"/>
      <c r="Q409" s="545"/>
      <c r="R409" s="545"/>
      <c r="S409" s="545"/>
      <c r="T409" s="545"/>
      <c r="U409" s="545"/>
      <c r="V409" s="545"/>
      <c r="W409" s="545"/>
      <c r="X409" s="545"/>
      <c r="Y409" s="545"/>
      <c r="Z409" s="545"/>
    </row>
    <row r="410" spans="10:26" s="1677" customFormat="1" ht="21.75" customHeight="1">
      <c r="J410" s="545"/>
      <c r="K410" s="545"/>
      <c r="L410" s="545"/>
      <c r="M410" s="545"/>
      <c r="N410" s="545"/>
      <c r="O410" s="545"/>
      <c r="P410" s="545"/>
      <c r="Q410" s="545"/>
      <c r="R410" s="545"/>
      <c r="S410" s="545"/>
      <c r="T410" s="545"/>
      <c r="U410" s="545"/>
      <c r="V410" s="545"/>
      <c r="W410" s="545"/>
      <c r="X410" s="545"/>
      <c r="Y410" s="545"/>
      <c r="Z410" s="545"/>
    </row>
    <row r="411" spans="10:26" s="1677" customFormat="1" ht="21.75" customHeight="1">
      <c r="J411" s="545"/>
      <c r="K411" s="545"/>
      <c r="L411" s="545"/>
      <c r="M411" s="545"/>
      <c r="N411" s="545"/>
      <c r="O411" s="545"/>
      <c r="P411" s="545"/>
      <c r="Q411" s="545"/>
      <c r="R411" s="545"/>
      <c r="S411" s="545"/>
      <c r="T411" s="545"/>
      <c r="U411" s="545"/>
      <c r="V411" s="545"/>
      <c r="W411" s="545"/>
      <c r="X411" s="545"/>
      <c r="Y411" s="545"/>
      <c r="Z411" s="545"/>
    </row>
    <row r="412" spans="10:26" s="1677" customFormat="1" ht="21.75" customHeight="1">
      <c r="J412" s="545"/>
      <c r="K412" s="545"/>
      <c r="L412" s="545"/>
      <c r="M412" s="545"/>
      <c r="N412" s="545"/>
      <c r="O412" s="545"/>
      <c r="P412" s="545"/>
      <c r="Q412" s="545"/>
      <c r="R412" s="545"/>
      <c r="S412" s="545"/>
      <c r="T412" s="545"/>
      <c r="U412" s="545"/>
      <c r="V412" s="545"/>
      <c r="W412" s="545"/>
      <c r="X412" s="545"/>
      <c r="Y412" s="545"/>
      <c r="Z412" s="545"/>
    </row>
    <row r="413" spans="10:26" s="1677" customFormat="1" ht="21.75" customHeight="1">
      <c r="J413" s="545"/>
      <c r="K413" s="545"/>
      <c r="L413" s="545"/>
      <c r="M413" s="545"/>
      <c r="N413" s="545"/>
      <c r="O413" s="545"/>
      <c r="P413" s="545"/>
      <c r="Q413" s="545"/>
      <c r="R413" s="545"/>
      <c r="S413" s="545"/>
      <c r="T413" s="545"/>
      <c r="U413" s="545"/>
      <c r="V413" s="545"/>
      <c r="W413" s="545"/>
      <c r="X413" s="545"/>
      <c r="Y413" s="545"/>
      <c r="Z413" s="545"/>
    </row>
    <row r="414" spans="10:26" s="1677" customFormat="1" ht="21.75" customHeight="1">
      <c r="J414" s="545"/>
      <c r="K414" s="545"/>
      <c r="L414" s="545"/>
      <c r="M414" s="545"/>
      <c r="N414" s="545"/>
      <c r="O414" s="545"/>
      <c r="P414" s="545"/>
      <c r="Q414" s="545"/>
      <c r="R414" s="545"/>
      <c r="S414" s="545"/>
      <c r="T414" s="545"/>
      <c r="U414" s="545"/>
      <c r="V414" s="545"/>
      <c r="W414" s="545"/>
      <c r="X414" s="545"/>
      <c r="Y414" s="545"/>
      <c r="Z414" s="545"/>
    </row>
    <row r="415" spans="10:26" s="1677" customFormat="1" ht="21.75" customHeight="1">
      <c r="J415" s="545"/>
      <c r="K415" s="545"/>
      <c r="L415" s="545"/>
      <c r="M415" s="545"/>
      <c r="N415" s="545"/>
      <c r="O415" s="545"/>
      <c r="P415" s="545"/>
      <c r="Q415" s="545"/>
      <c r="R415" s="545"/>
      <c r="S415" s="545"/>
      <c r="T415" s="545"/>
      <c r="U415" s="545"/>
      <c r="V415" s="545"/>
      <c r="W415" s="545"/>
      <c r="X415" s="545"/>
      <c r="Y415" s="545"/>
      <c r="Z415" s="545"/>
    </row>
    <row r="416" spans="10:26" s="1677" customFormat="1" ht="21.75" customHeight="1">
      <c r="J416" s="545"/>
      <c r="K416" s="545"/>
      <c r="L416" s="545"/>
      <c r="M416" s="545"/>
      <c r="N416" s="545"/>
      <c r="O416" s="545"/>
      <c r="P416" s="545"/>
      <c r="Q416" s="545"/>
      <c r="R416" s="545"/>
      <c r="S416" s="545"/>
      <c r="T416" s="545"/>
      <c r="U416" s="545"/>
      <c r="V416" s="545"/>
      <c r="W416" s="545"/>
      <c r="X416" s="545"/>
      <c r="Y416" s="545"/>
      <c r="Z416" s="545"/>
    </row>
    <row r="417" spans="10:26" s="1677" customFormat="1" ht="21.75" customHeight="1">
      <c r="J417" s="545"/>
      <c r="K417" s="545"/>
      <c r="L417" s="545"/>
      <c r="M417" s="545"/>
      <c r="N417" s="545"/>
      <c r="O417" s="545"/>
      <c r="P417" s="545"/>
      <c r="Q417" s="545"/>
      <c r="R417" s="545"/>
      <c r="S417" s="545"/>
      <c r="T417" s="545"/>
      <c r="U417" s="545"/>
      <c r="V417" s="545"/>
      <c r="W417" s="545"/>
      <c r="X417" s="545"/>
      <c r="Y417" s="545"/>
      <c r="Z417" s="545"/>
    </row>
    <row r="418" spans="10:26" s="1677" customFormat="1" ht="21.75" customHeight="1">
      <c r="J418" s="545"/>
      <c r="K418" s="545"/>
      <c r="L418" s="545"/>
      <c r="M418" s="545"/>
      <c r="N418" s="545"/>
      <c r="O418" s="545"/>
      <c r="P418" s="545"/>
      <c r="Q418" s="545"/>
      <c r="R418" s="545"/>
      <c r="S418" s="545"/>
      <c r="T418" s="545"/>
      <c r="U418" s="545"/>
      <c r="V418" s="545"/>
      <c r="W418" s="545"/>
      <c r="X418" s="545"/>
      <c r="Y418" s="545"/>
      <c r="Z418" s="545"/>
    </row>
    <row r="419" spans="10:26" s="1677" customFormat="1" ht="21.75" customHeight="1">
      <c r="J419" s="545"/>
      <c r="K419" s="545"/>
      <c r="L419" s="545"/>
      <c r="M419" s="545"/>
      <c r="N419" s="545"/>
      <c r="O419" s="545"/>
      <c r="P419" s="545"/>
      <c r="Q419" s="545"/>
      <c r="R419" s="545"/>
      <c r="S419" s="545"/>
      <c r="T419" s="545"/>
      <c r="U419" s="545"/>
      <c r="V419" s="545"/>
      <c r="W419" s="545"/>
      <c r="X419" s="545"/>
      <c r="Y419" s="545"/>
      <c r="Z419" s="545"/>
    </row>
    <row r="420" spans="10:26" s="1677" customFormat="1" ht="21.75" customHeight="1">
      <c r="J420" s="545"/>
      <c r="K420" s="545"/>
      <c r="L420" s="545"/>
      <c r="M420" s="545"/>
      <c r="N420" s="545"/>
      <c r="O420" s="545"/>
      <c r="P420" s="545"/>
      <c r="Q420" s="545"/>
      <c r="R420" s="545"/>
      <c r="S420" s="545"/>
      <c r="T420" s="545"/>
      <c r="U420" s="545"/>
      <c r="V420" s="545"/>
      <c r="W420" s="545"/>
      <c r="X420" s="545"/>
      <c r="Y420" s="545"/>
      <c r="Z420" s="545"/>
    </row>
    <row r="421" spans="10:26" s="1677" customFormat="1" ht="21.75" customHeight="1">
      <c r="J421" s="545"/>
      <c r="K421" s="545"/>
      <c r="L421" s="545"/>
      <c r="M421" s="545"/>
      <c r="N421" s="545"/>
      <c r="O421" s="545"/>
      <c r="P421" s="545"/>
      <c r="Q421" s="545"/>
      <c r="R421" s="545"/>
      <c r="S421" s="545"/>
      <c r="T421" s="545"/>
      <c r="U421" s="545"/>
      <c r="V421" s="545"/>
      <c r="W421" s="545"/>
      <c r="X421" s="545"/>
      <c r="Y421" s="545"/>
      <c r="Z421" s="545"/>
    </row>
    <row r="422" spans="10:26" s="1677" customFormat="1" ht="21.75" customHeight="1">
      <c r="J422" s="545"/>
      <c r="K422" s="545"/>
      <c r="L422" s="545"/>
      <c r="M422" s="545"/>
      <c r="N422" s="545"/>
      <c r="O422" s="545"/>
      <c r="P422" s="545"/>
      <c r="Q422" s="545"/>
      <c r="R422" s="545"/>
      <c r="S422" s="545"/>
      <c r="T422" s="545"/>
      <c r="U422" s="545"/>
      <c r="V422" s="545"/>
      <c r="W422" s="545"/>
      <c r="X422" s="545"/>
      <c r="Y422" s="545"/>
      <c r="Z422" s="545"/>
    </row>
    <row r="423" spans="10:26" s="1677" customFormat="1" ht="21.75" customHeight="1">
      <c r="J423" s="545"/>
      <c r="K423" s="545"/>
      <c r="L423" s="545"/>
      <c r="M423" s="545"/>
      <c r="N423" s="545"/>
      <c r="O423" s="545"/>
      <c r="P423" s="545"/>
      <c r="Q423" s="545"/>
      <c r="R423" s="545"/>
      <c r="S423" s="545"/>
      <c r="T423" s="545"/>
      <c r="U423" s="545"/>
      <c r="V423" s="545"/>
      <c r="W423" s="545"/>
      <c r="X423" s="545"/>
      <c r="Y423" s="545"/>
      <c r="Z423" s="545"/>
    </row>
    <row r="424" spans="10:26" s="1677" customFormat="1" ht="21.75" customHeight="1">
      <c r="J424" s="545"/>
      <c r="K424" s="545"/>
      <c r="L424" s="545"/>
      <c r="M424" s="545"/>
      <c r="N424" s="545"/>
      <c r="O424" s="545"/>
      <c r="P424" s="545"/>
      <c r="Q424" s="545"/>
      <c r="R424" s="545"/>
      <c r="S424" s="545"/>
      <c r="T424" s="545"/>
      <c r="U424" s="545"/>
      <c r="V424" s="545"/>
      <c r="W424" s="545"/>
      <c r="X424" s="545"/>
      <c r="Y424" s="545"/>
      <c r="Z424" s="545"/>
    </row>
    <row r="425" spans="10:26" s="1677" customFormat="1" ht="21.75" customHeight="1">
      <c r="J425" s="545"/>
      <c r="K425" s="545"/>
      <c r="L425" s="545"/>
      <c r="M425" s="545"/>
      <c r="N425" s="545"/>
      <c r="O425" s="545"/>
      <c r="P425" s="545"/>
      <c r="Q425" s="545"/>
      <c r="R425" s="545"/>
      <c r="S425" s="545"/>
      <c r="T425" s="545"/>
      <c r="U425" s="545"/>
      <c r="V425" s="545"/>
      <c r="W425" s="545"/>
      <c r="X425" s="545"/>
      <c r="Y425" s="545"/>
      <c r="Z425" s="545"/>
    </row>
    <row r="426" spans="10:26" s="1677" customFormat="1" ht="21.75" customHeight="1">
      <c r="J426" s="545"/>
      <c r="K426" s="545"/>
      <c r="L426" s="545"/>
      <c r="M426" s="545"/>
      <c r="N426" s="545"/>
      <c r="O426" s="545"/>
      <c r="P426" s="545"/>
      <c r="Q426" s="545"/>
      <c r="R426" s="545"/>
      <c r="S426" s="545"/>
      <c r="T426" s="545"/>
      <c r="U426" s="545"/>
      <c r="V426" s="545"/>
      <c r="W426" s="545"/>
      <c r="X426" s="545"/>
      <c r="Y426" s="545"/>
      <c r="Z426" s="545"/>
    </row>
    <row r="427" spans="10:26" s="1677" customFormat="1" ht="21.75" customHeight="1">
      <c r="J427" s="545"/>
      <c r="K427" s="545"/>
      <c r="L427" s="545"/>
      <c r="M427" s="545"/>
      <c r="N427" s="545"/>
      <c r="O427" s="545"/>
      <c r="P427" s="545"/>
      <c r="Q427" s="545"/>
      <c r="R427" s="545"/>
      <c r="S427" s="545"/>
      <c r="T427" s="545"/>
      <c r="U427" s="545"/>
      <c r="V427" s="545"/>
      <c r="W427" s="545"/>
      <c r="X427" s="545"/>
      <c r="Y427" s="545"/>
      <c r="Z427" s="545"/>
    </row>
    <row r="428" spans="10:26" s="1677" customFormat="1" ht="21.75" customHeight="1">
      <c r="J428" s="545"/>
      <c r="K428" s="545"/>
      <c r="L428" s="545"/>
      <c r="M428" s="545"/>
      <c r="N428" s="545"/>
      <c r="O428" s="545"/>
      <c r="P428" s="545"/>
      <c r="Q428" s="545"/>
      <c r="R428" s="545"/>
      <c r="S428" s="545"/>
      <c r="T428" s="545"/>
      <c r="U428" s="545"/>
      <c r="V428" s="545"/>
      <c r="W428" s="545"/>
      <c r="X428" s="545"/>
      <c r="Y428" s="545"/>
      <c r="Z428" s="545"/>
    </row>
    <row r="429" spans="10:26" s="1677" customFormat="1" ht="21.75" customHeight="1">
      <c r="J429" s="545"/>
      <c r="K429" s="545"/>
      <c r="L429" s="545"/>
      <c r="M429" s="545"/>
      <c r="N429" s="545"/>
      <c r="O429" s="545"/>
      <c r="P429" s="545"/>
      <c r="Q429" s="545"/>
      <c r="R429" s="545"/>
      <c r="S429" s="545"/>
      <c r="T429" s="545"/>
      <c r="U429" s="545"/>
      <c r="V429" s="545"/>
      <c r="W429" s="545"/>
      <c r="X429" s="545"/>
      <c r="Y429" s="545"/>
      <c r="Z429" s="545"/>
    </row>
    <row r="430" spans="10:26" s="1677" customFormat="1" ht="21.75" customHeight="1">
      <c r="J430" s="545"/>
      <c r="K430" s="545"/>
      <c r="L430" s="545"/>
      <c r="M430" s="545"/>
      <c r="N430" s="545"/>
      <c r="O430" s="545"/>
      <c r="P430" s="545"/>
      <c r="Q430" s="545"/>
      <c r="R430" s="545"/>
      <c r="S430" s="545"/>
      <c r="T430" s="545"/>
      <c r="U430" s="545"/>
      <c r="V430" s="545"/>
      <c r="W430" s="545"/>
      <c r="X430" s="545"/>
      <c r="Y430" s="545"/>
      <c r="Z430" s="545"/>
    </row>
    <row r="431" spans="10:26" s="1677" customFormat="1" ht="21.75" customHeight="1">
      <c r="J431" s="545"/>
      <c r="K431" s="545"/>
      <c r="L431" s="545"/>
      <c r="M431" s="545"/>
      <c r="N431" s="545"/>
      <c r="O431" s="545"/>
      <c r="P431" s="545"/>
      <c r="Q431" s="545"/>
      <c r="R431" s="545"/>
      <c r="S431" s="545"/>
      <c r="T431" s="545"/>
      <c r="U431" s="545"/>
      <c r="V431" s="545"/>
      <c r="W431" s="545"/>
      <c r="X431" s="545"/>
      <c r="Y431" s="545"/>
      <c r="Z431" s="545"/>
    </row>
    <row r="432" spans="10:26" s="1677" customFormat="1" ht="21.75" customHeight="1">
      <c r="J432" s="545"/>
      <c r="K432" s="545"/>
      <c r="L432" s="545"/>
      <c r="M432" s="545"/>
      <c r="N432" s="545"/>
      <c r="O432" s="545"/>
      <c r="P432" s="545"/>
      <c r="Q432" s="545"/>
      <c r="R432" s="545"/>
      <c r="S432" s="545"/>
      <c r="T432" s="545"/>
      <c r="U432" s="545"/>
      <c r="V432" s="545"/>
      <c r="W432" s="545"/>
      <c r="X432" s="545"/>
      <c r="Y432" s="545"/>
      <c r="Z432" s="545"/>
    </row>
    <row r="433" spans="10:26" s="1677" customFormat="1" ht="21.75" customHeight="1">
      <c r="J433" s="545"/>
      <c r="K433" s="545"/>
      <c r="L433" s="545"/>
      <c r="M433" s="545"/>
      <c r="N433" s="545"/>
      <c r="O433" s="545"/>
      <c r="P433" s="545"/>
      <c r="Q433" s="545"/>
      <c r="R433" s="545"/>
      <c r="S433" s="545"/>
      <c r="T433" s="545"/>
      <c r="U433" s="545"/>
      <c r="V433" s="545"/>
      <c r="W433" s="545"/>
      <c r="X433" s="545"/>
      <c r="Y433" s="545"/>
      <c r="Z433" s="545"/>
    </row>
    <row r="434" spans="10:26" s="1677" customFormat="1" ht="21.75" customHeight="1">
      <c r="J434" s="545"/>
      <c r="K434" s="545"/>
      <c r="L434" s="545"/>
      <c r="M434" s="545"/>
      <c r="N434" s="545"/>
      <c r="O434" s="545"/>
      <c r="P434" s="545"/>
      <c r="Q434" s="545"/>
      <c r="R434" s="545"/>
      <c r="S434" s="545"/>
      <c r="T434" s="545"/>
      <c r="U434" s="545"/>
      <c r="V434" s="545"/>
      <c r="W434" s="545"/>
      <c r="X434" s="545"/>
      <c r="Y434" s="545"/>
      <c r="Z434" s="545"/>
    </row>
    <row r="435" spans="10:26" s="1677" customFormat="1" ht="21.75" customHeight="1">
      <c r="J435" s="545"/>
      <c r="K435" s="545"/>
      <c r="L435" s="545"/>
      <c r="M435" s="545"/>
      <c r="N435" s="545"/>
      <c r="O435" s="545"/>
      <c r="P435" s="545"/>
      <c r="Q435" s="545"/>
      <c r="R435" s="545"/>
      <c r="S435" s="545"/>
      <c r="T435" s="545"/>
      <c r="U435" s="545"/>
      <c r="V435" s="545"/>
      <c r="W435" s="545"/>
      <c r="X435" s="545"/>
      <c r="Y435" s="545"/>
      <c r="Z435" s="545"/>
    </row>
    <row r="436" spans="10:26" s="1677" customFormat="1" ht="21.75" customHeight="1">
      <c r="J436" s="545"/>
      <c r="K436" s="545"/>
      <c r="L436" s="545"/>
      <c r="M436" s="545"/>
      <c r="N436" s="545"/>
      <c r="O436" s="545"/>
      <c r="P436" s="545"/>
      <c r="Q436" s="545"/>
      <c r="R436" s="545"/>
      <c r="S436" s="545"/>
      <c r="T436" s="545"/>
      <c r="U436" s="545"/>
      <c r="V436" s="545"/>
      <c r="W436" s="545"/>
      <c r="X436" s="545"/>
      <c r="Y436" s="545"/>
      <c r="Z436" s="545"/>
    </row>
    <row r="437" spans="10:26" s="1677" customFormat="1" ht="21.75" customHeight="1">
      <c r="J437" s="545"/>
      <c r="K437" s="545"/>
      <c r="L437" s="545"/>
      <c r="M437" s="545"/>
      <c r="N437" s="545"/>
      <c r="O437" s="545"/>
      <c r="P437" s="545"/>
      <c r="Q437" s="545"/>
      <c r="R437" s="545"/>
      <c r="S437" s="545"/>
      <c r="T437" s="545"/>
      <c r="U437" s="545"/>
      <c r="V437" s="545"/>
      <c r="W437" s="545"/>
      <c r="X437" s="545"/>
      <c r="Y437" s="545"/>
      <c r="Z437" s="545"/>
    </row>
    <row r="438" spans="10:26" s="1677" customFormat="1" ht="21.75" customHeight="1">
      <c r="J438" s="545"/>
      <c r="K438" s="545"/>
      <c r="L438" s="545"/>
      <c r="M438" s="545"/>
      <c r="N438" s="545"/>
      <c r="O438" s="545"/>
      <c r="P438" s="545"/>
      <c r="Q438" s="545"/>
      <c r="R438" s="545"/>
      <c r="S438" s="545"/>
      <c r="T438" s="545"/>
      <c r="U438" s="545"/>
      <c r="V438" s="545"/>
      <c r="W438" s="545"/>
      <c r="X438" s="545"/>
      <c r="Y438" s="545"/>
      <c r="Z438" s="545"/>
    </row>
    <row r="439" spans="10:26" s="1677" customFormat="1" ht="21.75" customHeight="1">
      <c r="J439" s="545"/>
      <c r="K439" s="545"/>
      <c r="L439" s="545"/>
      <c r="M439" s="545"/>
      <c r="N439" s="545"/>
      <c r="O439" s="545"/>
      <c r="P439" s="545"/>
      <c r="Q439" s="545"/>
      <c r="R439" s="545"/>
      <c r="S439" s="545"/>
      <c r="T439" s="545"/>
      <c r="U439" s="545"/>
      <c r="V439" s="545"/>
      <c r="W439" s="545"/>
      <c r="X439" s="545"/>
      <c r="Y439" s="545"/>
      <c r="Z439" s="545"/>
    </row>
    <row r="440" spans="10:26" s="1677" customFormat="1" ht="21.75" customHeight="1">
      <c r="J440" s="545"/>
      <c r="K440" s="545"/>
      <c r="L440" s="545"/>
      <c r="M440" s="545"/>
      <c r="N440" s="545"/>
      <c r="O440" s="545"/>
      <c r="P440" s="545"/>
      <c r="Q440" s="545"/>
      <c r="R440" s="545"/>
      <c r="S440" s="545"/>
      <c r="T440" s="545"/>
      <c r="U440" s="545"/>
      <c r="V440" s="545"/>
      <c r="W440" s="545"/>
      <c r="X440" s="545"/>
      <c r="Y440" s="545"/>
      <c r="Z440" s="545"/>
    </row>
    <row r="441" spans="10:26" s="1677" customFormat="1" ht="21.75" customHeight="1">
      <c r="J441" s="545"/>
      <c r="K441" s="545"/>
      <c r="L441" s="545"/>
      <c r="M441" s="545"/>
      <c r="N441" s="545"/>
      <c r="O441" s="545"/>
      <c r="P441" s="545"/>
      <c r="Q441" s="545"/>
      <c r="R441" s="545"/>
      <c r="S441" s="545"/>
      <c r="T441" s="545"/>
      <c r="U441" s="545"/>
      <c r="V441" s="545"/>
      <c r="W441" s="545"/>
      <c r="X441" s="545"/>
      <c r="Y441" s="545"/>
      <c r="Z441" s="545"/>
    </row>
    <row r="442" spans="10:26" s="1677" customFormat="1" ht="21.75" customHeight="1">
      <c r="J442" s="545"/>
      <c r="K442" s="545"/>
      <c r="L442" s="545"/>
      <c r="M442" s="545"/>
      <c r="N442" s="545"/>
      <c r="O442" s="545"/>
      <c r="P442" s="545"/>
      <c r="Q442" s="545"/>
      <c r="R442" s="545"/>
      <c r="S442" s="545"/>
      <c r="T442" s="545"/>
      <c r="U442" s="545"/>
      <c r="V442" s="545"/>
      <c r="W442" s="545"/>
      <c r="X442" s="545"/>
      <c r="Y442" s="545"/>
      <c r="Z442" s="545"/>
    </row>
    <row r="443" spans="10:26" s="1677" customFormat="1" ht="21.75" customHeight="1">
      <c r="J443" s="545"/>
      <c r="K443" s="545"/>
      <c r="L443" s="545"/>
      <c r="M443" s="545"/>
      <c r="N443" s="545"/>
      <c r="O443" s="545"/>
      <c r="P443" s="545"/>
      <c r="Q443" s="545"/>
      <c r="R443" s="545"/>
      <c r="S443" s="545"/>
      <c r="T443" s="545"/>
      <c r="U443" s="545"/>
      <c r="V443" s="545"/>
      <c r="W443" s="545"/>
      <c r="X443" s="545"/>
      <c r="Y443" s="545"/>
      <c r="Z443" s="545"/>
    </row>
    <row r="444" spans="10:26" s="1677" customFormat="1" ht="21.75" customHeight="1">
      <c r="J444" s="545"/>
      <c r="K444" s="545"/>
      <c r="L444" s="545"/>
      <c r="M444" s="545"/>
      <c r="N444" s="545"/>
      <c r="O444" s="545"/>
      <c r="P444" s="545"/>
      <c r="Q444" s="545"/>
      <c r="R444" s="545"/>
      <c r="S444" s="545"/>
      <c r="T444" s="545"/>
      <c r="U444" s="545"/>
      <c r="V444" s="545"/>
      <c r="W444" s="545"/>
      <c r="X444" s="545"/>
      <c r="Y444" s="545"/>
      <c r="Z444" s="545"/>
    </row>
    <row r="445" spans="10:26" s="1677" customFormat="1" ht="21.75" customHeight="1">
      <c r="J445" s="545"/>
      <c r="K445" s="545"/>
      <c r="L445" s="545"/>
      <c r="M445" s="545"/>
      <c r="N445" s="545"/>
      <c r="O445" s="545"/>
      <c r="P445" s="545"/>
      <c r="Q445" s="545"/>
      <c r="R445" s="545"/>
      <c r="S445" s="545"/>
      <c r="T445" s="545"/>
      <c r="U445" s="545"/>
      <c r="V445" s="545"/>
      <c r="W445" s="545"/>
      <c r="X445" s="545"/>
      <c r="Y445" s="545"/>
      <c r="Z445" s="545"/>
    </row>
    <row r="446" spans="10:26" s="1677" customFormat="1" ht="21.75" customHeight="1">
      <c r="J446" s="545"/>
      <c r="K446" s="545"/>
      <c r="L446" s="545"/>
      <c r="M446" s="545"/>
      <c r="N446" s="545"/>
      <c r="O446" s="545"/>
      <c r="P446" s="545"/>
      <c r="Q446" s="545"/>
      <c r="R446" s="545"/>
      <c r="S446" s="545"/>
      <c r="T446" s="545"/>
      <c r="U446" s="545"/>
      <c r="V446" s="545"/>
      <c r="W446" s="545"/>
      <c r="X446" s="545"/>
      <c r="Y446" s="545"/>
      <c r="Z446" s="545"/>
    </row>
    <row r="447" spans="10:26" s="1677" customFormat="1" ht="21.75" customHeight="1">
      <c r="J447" s="545"/>
      <c r="K447" s="545"/>
      <c r="L447" s="545"/>
      <c r="M447" s="545"/>
      <c r="N447" s="545"/>
      <c r="O447" s="545"/>
      <c r="P447" s="545"/>
      <c r="Q447" s="545"/>
      <c r="R447" s="545"/>
      <c r="S447" s="545"/>
      <c r="T447" s="545"/>
      <c r="U447" s="545"/>
      <c r="V447" s="545"/>
      <c r="W447" s="545"/>
      <c r="X447" s="545"/>
      <c r="Y447" s="545"/>
      <c r="Z447" s="545"/>
    </row>
    <row r="448" spans="10:26" s="1677" customFormat="1" ht="21.75" customHeight="1">
      <c r="J448" s="545"/>
      <c r="K448" s="545"/>
      <c r="L448" s="545"/>
      <c r="M448" s="545"/>
      <c r="N448" s="545"/>
      <c r="O448" s="545"/>
      <c r="P448" s="545"/>
      <c r="Q448" s="545"/>
      <c r="R448" s="545"/>
      <c r="S448" s="545"/>
      <c r="T448" s="545"/>
      <c r="U448" s="545"/>
      <c r="V448" s="545"/>
      <c r="W448" s="545"/>
      <c r="X448" s="545"/>
      <c r="Y448" s="545"/>
      <c r="Z448" s="545"/>
    </row>
    <row r="449" spans="10:26" s="1677" customFormat="1" ht="21.75" customHeight="1">
      <c r="J449" s="545"/>
      <c r="K449" s="545"/>
      <c r="L449" s="545"/>
      <c r="M449" s="545"/>
      <c r="N449" s="545"/>
      <c r="O449" s="545"/>
      <c r="P449" s="545"/>
      <c r="Q449" s="545"/>
      <c r="R449" s="545"/>
      <c r="S449" s="545"/>
      <c r="T449" s="545"/>
      <c r="U449" s="545"/>
      <c r="V449" s="545"/>
      <c r="W449" s="545"/>
      <c r="X449" s="545"/>
      <c r="Y449" s="545"/>
      <c r="Z449" s="545"/>
    </row>
    <row r="450" spans="10:26" s="1677" customFormat="1" ht="21.75" customHeight="1">
      <c r="J450" s="545"/>
      <c r="K450" s="545"/>
      <c r="L450" s="545"/>
      <c r="M450" s="545"/>
      <c r="N450" s="545"/>
      <c r="O450" s="545"/>
      <c r="P450" s="545"/>
      <c r="Q450" s="545"/>
      <c r="R450" s="545"/>
      <c r="S450" s="545"/>
      <c r="T450" s="545"/>
      <c r="U450" s="545"/>
      <c r="V450" s="545"/>
      <c r="W450" s="545"/>
      <c r="X450" s="545"/>
      <c r="Y450" s="545"/>
      <c r="Z450" s="545"/>
    </row>
    <row r="451" spans="10:26" s="1677" customFormat="1" ht="21.75" customHeight="1">
      <c r="J451" s="545"/>
      <c r="K451" s="545"/>
      <c r="L451" s="545"/>
      <c r="M451" s="545"/>
      <c r="N451" s="545"/>
      <c r="O451" s="545"/>
      <c r="P451" s="545"/>
      <c r="Q451" s="545"/>
      <c r="R451" s="545"/>
      <c r="S451" s="545"/>
      <c r="T451" s="545"/>
      <c r="U451" s="545"/>
      <c r="V451" s="545"/>
      <c r="W451" s="545"/>
      <c r="X451" s="545"/>
      <c r="Y451" s="545"/>
      <c r="Z451" s="545"/>
    </row>
    <row r="452" spans="10:26" s="1677" customFormat="1" ht="21.75" customHeight="1">
      <c r="J452" s="545"/>
      <c r="K452" s="545"/>
      <c r="L452" s="545"/>
      <c r="M452" s="545"/>
      <c r="N452" s="545"/>
      <c r="O452" s="545"/>
      <c r="P452" s="545"/>
      <c r="Q452" s="545"/>
      <c r="R452" s="545"/>
      <c r="S452" s="545"/>
      <c r="T452" s="545"/>
      <c r="U452" s="545"/>
      <c r="V452" s="545"/>
      <c r="W452" s="545"/>
      <c r="X452" s="545"/>
      <c r="Y452" s="545"/>
      <c r="Z452" s="545"/>
    </row>
    <row r="453" spans="10:26" s="1677" customFormat="1" ht="21.75" customHeight="1">
      <c r="J453" s="545"/>
      <c r="K453" s="545"/>
      <c r="L453" s="545"/>
      <c r="M453" s="545"/>
      <c r="N453" s="545"/>
      <c r="O453" s="545"/>
      <c r="P453" s="545"/>
      <c r="Q453" s="545"/>
      <c r="R453" s="545"/>
      <c r="S453" s="545"/>
      <c r="T453" s="545"/>
      <c r="U453" s="545"/>
      <c r="V453" s="545"/>
      <c r="W453" s="545"/>
      <c r="X453" s="545"/>
      <c r="Y453" s="545"/>
      <c r="Z453" s="545"/>
    </row>
    <row r="454" spans="10:26" s="1677" customFormat="1" ht="21.75" customHeight="1">
      <c r="J454" s="545"/>
      <c r="K454" s="545"/>
      <c r="L454" s="545"/>
      <c r="M454" s="545"/>
      <c r="N454" s="545"/>
      <c r="O454" s="545"/>
      <c r="P454" s="545"/>
      <c r="Q454" s="545"/>
      <c r="R454" s="545"/>
      <c r="S454" s="545"/>
      <c r="T454" s="545"/>
      <c r="U454" s="545"/>
      <c r="V454" s="545"/>
      <c r="W454" s="545"/>
      <c r="X454" s="545"/>
      <c r="Y454" s="545"/>
      <c r="Z454" s="545"/>
    </row>
    <row r="455" spans="10:26" s="1677" customFormat="1" ht="21.75" customHeight="1">
      <c r="J455" s="545"/>
      <c r="K455" s="545"/>
      <c r="L455" s="545"/>
      <c r="M455" s="545"/>
      <c r="N455" s="545"/>
      <c r="O455" s="545"/>
      <c r="P455" s="545"/>
      <c r="Q455" s="545"/>
      <c r="R455" s="545"/>
      <c r="S455" s="545"/>
      <c r="T455" s="545"/>
      <c r="U455" s="545"/>
      <c r="V455" s="545"/>
      <c r="W455" s="545"/>
      <c r="X455" s="545"/>
      <c r="Y455" s="545"/>
      <c r="Z455" s="545"/>
    </row>
    <row r="456" spans="10:26" s="1677" customFormat="1" ht="21.75" customHeight="1">
      <c r="J456" s="545"/>
      <c r="K456" s="545"/>
      <c r="L456" s="545"/>
      <c r="M456" s="545"/>
      <c r="N456" s="545"/>
      <c r="O456" s="545"/>
      <c r="P456" s="545"/>
      <c r="Q456" s="545"/>
      <c r="R456" s="545"/>
      <c r="S456" s="545"/>
      <c r="T456" s="545"/>
      <c r="U456" s="545"/>
      <c r="V456" s="545"/>
      <c r="W456" s="545"/>
      <c r="X456" s="545"/>
      <c r="Y456" s="545"/>
      <c r="Z456" s="545"/>
    </row>
    <row r="457" spans="10:26" s="1677" customFormat="1" ht="21.75" customHeight="1">
      <c r="J457" s="545"/>
      <c r="K457" s="545"/>
      <c r="L457" s="545"/>
      <c r="M457" s="545"/>
      <c r="N457" s="545"/>
      <c r="O457" s="545"/>
      <c r="P457" s="545"/>
      <c r="Q457" s="545"/>
      <c r="R457" s="545"/>
      <c r="S457" s="545"/>
      <c r="T457" s="545"/>
      <c r="U457" s="545"/>
      <c r="V457" s="545"/>
      <c r="W457" s="545"/>
      <c r="X457" s="545"/>
      <c r="Y457" s="545"/>
      <c r="Z457" s="545"/>
    </row>
    <row r="458" spans="10:26" s="1677" customFormat="1" ht="21.75" customHeight="1">
      <c r="J458" s="545"/>
      <c r="K458" s="545"/>
      <c r="L458" s="545"/>
      <c r="M458" s="545"/>
      <c r="N458" s="545"/>
      <c r="O458" s="545"/>
      <c r="P458" s="545"/>
      <c r="Q458" s="545"/>
      <c r="R458" s="545"/>
      <c r="S458" s="545"/>
      <c r="T458" s="545"/>
      <c r="U458" s="545"/>
      <c r="V458" s="545"/>
      <c r="W458" s="545"/>
      <c r="X458" s="545"/>
      <c r="Y458" s="545"/>
      <c r="Z458" s="545"/>
    </row>
    <row r="459" spans="10:26" s="1677" customFormat="1" ht="21.75" customHeight="1">
      <c r="J459" s="545"/>
      <c r="K459" s="545"/>
      <c r="L459" s="545"/>
      <c r="M459" s="545"/>
      <c r="N459" s="545"/>
      <c r="O459" s="545"/>
      <c r="P459" s="545"/>
      <c r="Q459" s="545"/>
      <c r="R459" s="545"/>
      <c r="S459" s="545"/>
      <c r="T459" s="545"/>
      <c r="U459" s="545"/>
      <c r="V459" s="545"/>
      <c r="W459" s="545"/>
      <c r="X459" s="545"/>
      <c r="Y459" s="545"/>
      <c r="Z459" s="545"/>
    </row>
    <row r="460" spans="10:26" s="1677" customFormat="1" ht="21.75" customHeight="1">
      <c r="J460" s="545"/>
      <c r="K460" s="545"/>
      <c r="L460" s="545"/>
      <c r="M460" s="545"/>
      <c r="N460" s="545"/>
      <c r="O460" s="545"/>
      <c r="P460" s="545"/>
      <c r="Q460" s="545"/>
      <c r="R460" s="545"/>
      <c r="S460" s="545"/>
      <c r="T460" s="545"/>
      <c r="U460" s="545"/>
      <c r="V460" s="545"/>
      <c r="W460" s="545"/>
      <c r="X460" s="545"/>
      <c r="Y460" s="545"/>
      <c r="Z460" s="545"/>
    </row>
    <row r="461" spans="10:26" s="1677" customFormat="1" ht="21.75" customHeight="1">
      <c r="J461" s="545"/>
      <c r="K461" s="545"/>
      <c r="L461" s="545"/>
      <c r="M461" s="545"/>
      <c r="N461" s="545"/>
      <c r="O461" s="545"/>
      <c r="P461" s="545"/>
      <c r="Q461" s="545"/>
      <c r="R461" s="545"/>
      <c r="S461" s="545"/>
      <c r="T461" s="545"/>
      <c r="U461" s="545"/>
      <c r="V461" s="545"/>
      <c r="W461" s="545"/>
      <c r="X461" s="545"/>
      <c r="Y461" s="545"/>
      <c r="Z461" s="545"/>
    </row>
    <row r="462" spans="10:26" s="1677" customFormat="1" ht="21.75" customHeight="1">
      <c r="J462" s="545"/>
      <c r="K462" s="545"/>
      <c r="L462" s="545"/>
      <c r="M462" s="545"/>
      <c r="N462" s="545"/>
      <c r="O462" s="545"/>
      <c r="P462" s="545"/>
      <c r="Q462" s="545"/>
      <c r="R462" s="545"/>
      <c r="S462" s="545"/>
      <c r="T462" s="545"/>
      <c r="U462" s="545"/>
      <c r="V462" s="545"/>
      <c r="W462" s="545"/>
      <c r="X462" s="545"/>
      <c r="Y462" s="545"/>
      <c r="Z462" s="545"/>
    </row>
    <row r="463" spans="10:26" s="1677" customFormat="1" ht="21.75" customHeight="1">
      <c r="J463" s="545"/>
      <c r="K463" s="545"/>
      <c r="L463" s="545"/>
      <c r="M463" s="545"/>
      <c r="N463" s="545"/>
      <c r="O463" s="545"/>
      <c r="P463" s="545"/>
      <c r="Q463" s="545"/>
      <c r="R463" s="545"/>
      <c r="S463" s="545"/>
      <c r="T463" s="545"/>
      <c r="U463" s="545"/>
      <c r="V463" s="545"/>
      <c r="W463" s="545"/>
      <c r="X463" s="545"/>
      <c r="Y463" s="545"/>
      <c r="Z463" s="545"/>
    </row>
    <row r="464" spans="10:26" s="1677" customFormat="1" ht="21.75" customHeight="1">
      <c r="J464" s="545"/>
      <c r="K464" s="545"/>
      <c r="L464" s="545"/>
      <c r="M464" s="545"/>
      <c r="N464" s="545"/>
      <c r="O464" s="545"/>
      <c r="P464" s="545"/>
      <c r="Q464" s="545"/>
      <c r="R464" s="545"/>
      <c r="S464" s="545"/>
      <c r="T464" s="545"/>
      <c r="U464" s="545"/>
      <c r="V464" s="545"/>
      <c r="W464" s="545"/>
      <c r="X464" s="545"/>
      <c r="Y464" s="545"/>
      <c r="Z464" s="545"/>
    </row>
    <row r="465" spans="10:26" s="1677" customFormat="1" ht="21.75" customHeight="1">
      <c r="J465" s="545"/>
      <c r="K465" s="545"/>
      <c r="L465" s="545"/>
      <c r="M465" s="545"/>
      <c r="N465" s="545"/>
      <c r="O465" s="545"/>
      <c r="P465" s="545"/>
      <c r="Q465" s="545"/>
      <c r="R465" s="545"/>
      <c r="S465" s="545"/>
      <c r="T465" s="545"/>
      <c r="U465" s="545"/>
      <c r="V465" s="545"/>
      <c r="W465" s="545"/>
      <c r="X465" s="545"/>
      <c r="Y465" s="545"/>
      <c r="Z465" s="545"/>
    </row>
    <row r="466" spans="10:26" s="1677" customFormat="1" ht="21.75" customHeight="1">
      <c r="J466" s="545"/>
      <c r="K466" s="545"/>
      <c r="L466" s="545"/>
      <c r="M466" s="545"/>
      <c r="N466" s="545"/>
      <c r="O466" s="545"/>
      <c r="P466" s="545"/>
      <c r="Q466" s="545"/>
      <c r="R466" s="545"/>
      <c r="S466" s="545"/>
      <c r="T466" s="545"/>
      <c r="U466" s="545"/>
      <c r="V466" s="545"/>
      <c r="W466" s="545"/>
      <c r="X466" s="545"/>
      <c r="Y466" s="545"/>
      <c r="Z466" s="545"/>
    </row>
    <row r="467" spans="10:26" s="1677" customFormat="1" ht="21.75" customHeight="1">
      <c r="J467" s="545"/>
      <c r="K467" s="545"/>
      <c r="L467" s="545"/>
      <c r="M467" s="545"/>
      <c r="N467" s="545"/>
      <c r="O467" s="545"/>
      <c r="P467" s="545"/>
      <c r="Q467" s="545"/>
      <c r="R467" s="545"/>
      <c r="S467" s="545"/>
      <c r="T467" s="545"/>
      <c r="U467" s="545"/>
      <c r="V467" s="545"/>
      <c r="W467" s="545"/>
      <c r="X467" s="545"/>
      <c r="Y467" s="545"/>
      <c r="Z467" s="545"/>
    </row>
    <row r="468" spans="10:26" s="1677" customFormat="1" ht="21.75" customHeight="1">
      <c r="J468" s="545"/>
      <c r="K468" s="545"/>
      <c r="L468" s="545"/>
      <c r="M468" s="545"/>
      <c r="N468" s="545"/>
      <c r="O468" s="545"/>
      <c r="P468" s="545"/>
      <c r="Q468" s="545"/>
      <c r="R468" s="545"/>
      <c r="S468" s="545"/>
      <c r="T468" s="545"/>
      <c r="U468" s="545"/>
      <c r="V468" s="545"/>
      <c r="W468" s="545"/>
      <c r="X468" s="545"/>
      <c r="Y468" s="545"/>
      <c r="Z468" s="545"/>
    </row>
    <row r="469" spans="10:26" s="1677" customFormat="1" ht="21.75" customHeight="1">
      <c r="J469" s="545"/>
      <c r="K469" s="545"/>
      <c r="L469" s="545"/>
      <c r="M469" s="545"/>
      <c r="N469" s="545"/>
      <c r="O469" s="545"/>
      <c r="P469" s="545"/>
      <c r="Q469" s="545"/>
      <c r="R469" s="545"/>
      <c r="S469" s="545"/>
      <c r="T469" s="545"/>
      <c r="U469" s="545"/>
      <c r="V469" s="545"/>
      <c r="W469" s="545"/>
      <c r="X469" s="545"/>
      <c r="Y469" s="545"/>
      <c r="Z469" s="545"/>
    </row>
    <row r="470" spans="10:26" s="1677" customFormat="1" ht="21.75" customHeight="1">
      <c r="J470" s="545"/>
      <c r="K470" s="545"/>
      <c r="L470" s="545"/>
      <c r="M470" s="545"/>
      <c r="N470" s="545"/>
      <c r="O470" s="545"/>
      <c r="P470" s="545"/>
      <c r="Q470" s="545"/>
      <c r="R470" s="545"/>
      <c r="S470" s="545"/>
      <c r="T470" s="545"/>
      <c r="U470" s="545"/>
      <c r="V470" s="545"/>
      <c r="W470" s="545"/>
      <c r="X470" s="545"/>
      <c r="Y470" s="545"/>
      <c r="Z470" s="545"/>
    </row>
    <row r="471" spans="10:26" s="1677" customFormat="1" ht="21.75" customHeight="1">
      <c r="J471" s="545"/>
      <c r="K471" s="545"/>
      <c r="L471" s="545"/>
      <c r="M471" s="545"/>
      <c r="N471" s="545"/>
      <c r="O471" s="545"/>
      <c r="P471" s="545"/>
      <c r="Q471" s="545"/>
      <c r="R471" s="545"/>
      <c r="S471" s="545"/>
      <c r="T471" s="545"/>
      <c r="U471" s="545"/>
      <c r="V471" s="545"/>
      <c r="W471" s="545"/>
      <c r="X471" s="545"/>
      <c r="Y471" s="545"/>
      <c r="Z471" s="545"/>
    </row>
    <row r="472" spans="10:26" s="1677" customFormat="1" ht="21.75" customHeight="1">
      <c r="J472" s="545"/>
      <c r="K472" s="545"/>
      <c r="L472" s="545"/>
      <c r="M472" s="545"/>
      <c r="N472" s="545"/>
      <c r="O472" s="545"/>
      <c r="P472" s="545"/>
      <c r="Q472" s="545"/>
      <c r="R472" s="545"/>
      <c r="S472" s="545"/>
      <c r="T472" s="545"/>
      <c r="U472" s="545"/>
      <c r="V472" s="545"/>
      <c r="W472" s="545"/>
      <c r="X472" s="545"/>
      <c r="Y472" s="545"/>
      <c r="Z472" s="545"/>
    </row>
    <row r="473" spans="10:26" s="1677" customFormat="1" ht="21.75" customHeight="1">
      <c r="J473" s="545"/>
      <c r="K473" s="545"/>
      <c r="L473" s="545"/>
      <c r="M473" s="545"/>
      <c r="N473" s="545"/>
      <c r="O473" s="545"/>
      <c r="P473" s="545"/>
      <c r="Q473" s="545"/>
      <c r="R473" s="545"/>
      <c r="S473" s="545"/>
      <c r="T473" s="545"/>
      <c r="U473" s="545"/>
      <c r="V473" s="545"/>
      <c r="W473" s="545"/>
      <c r="X473" s="545"/>
      <c r="Y473" s="545"/>
      <c r="Z473" s="545"/>
    </row>
    <row r="474" spans="10:26" s="1677" customFormat="1" ht="21.75" customHeight="1">
      <c r="J474" s="545"/>
      <c r="K474" s="545"/>
      <c r="L474" s="545"/>
      <c r="M474" s="545"/>
      <c r="N474" s="545"/>
      <c r="O474" s="545"/>
      <c r="P474" s="545"/>
      <c r="Q474" s="545"/>
      <c r="R474" s="545"/>
      <c r="S474" s="545"/>
      <c r="T474" s="545"/>
      <c r="U474" s="545"/>
      <c r="V474" s="545"/>
      <c r="W474" s="545"/>
      <c r="X474" s="545"/>
      <c r="Y474" s="545"/>
      <c r="Z474" s="545"/>
    </row>
    <row r="475" spans="10:26" s="1677" customFormat="1" ht="21.75" customHeight="1">
      <c r="J475" s="545"/>
      <c r="K475" s="545"/>
      <c r="L475" s="545"/>
      <c r="M475" s="545"/>
      <c r="N475" s="545"/>
      <c r="O475" s="545"/>
      <c r="P475" s="545"/>
      <c r="Q475" s="545"/>
      <c r="R475" s="545"/>
      <c r="S475" s="545"/>
      <c r="T475" s="545"/>
      <c r="U475" s="545"/>
      <c r="V475" s="545"/>
      <c r="W475" s="545"/>
      <c r="X475" s="545"/>
      <c r="Y475" s="545"/>
      <c r="Z475" s="545"/>
    </row>
    <row r="476" spans="10:26" s="1677" customFormat="1" ht="21.75" customHeight="1">
      <c r="J476" s="545"/>
      <c r="K476" s="545"/>
      <c r="L476" s="545"/>
      <c r="M476" s="545"/>
      <c r="N476" s="545"/>
      <c r="O476" s="545"/>
      <c r="P476" s="545"/>
      <c r="Q476" s="545"/>
      <c r="R476" s="545"/>
      <c r="S476" s="545"/>
      <c r="T476" s="545"/>
      <c r="U476" s="545"/>
      <c r="V476" s="545"/>
      <c r="W476" s="545"/>
      <c r="X476" s="545"/>
      <c r="Y476" s="545"/>
      <c r="Z476" s="545"/>
    </row>
    <row r="477" spans="10:26" s="1677" customFormat="1" ht="21.75" customHeight="1">
      <c r="J477" s="545"/>
      <c r="K477" s="545"/>
      <c r="L477" s="545"/>
      <c r="M477" s="545"/>
      <c r="N477" s="545"/>
      <c r="O477" s="545"/>
      <c r="P477" s="545"/>
      <c r="Q477" s="545"/>
      <c r="R477" s="545"/>
      <c r="S477" s="545"/>
      <c r="T477" s="545"/>
      <c r="U477" s="545"/>
      <c r="V477" s="545"/>
      <c r="W477" s="545"/>
      <c r="X477" s="545"/>
      <c r="Y477" s="545"/>
      <c r="Z477" s="545"/>
    </row>
    <row r="478" spans="10:26" s="1677" customFormat="1" ht="21.75" customHeight="1">
      <c r="J478" s="545"/>
      <c r="K478" s="545"/>
      <c r="L478" s="545"/>
      <c r="M478" s="545"/>
      <c r="N478" s="545"/>
      <c r="O478" s="545"/>
      <c r="P478" s="545"/>
      <c r="Q478" s="545"/>
      <c r="R478" s="545"/>
      <c r="S478" s="545"/>
      <c r="T478" s="545"/>
      <c r="U478" s="545"/>
      <c r="V478" s="545"/>
      <c r="W478" s="545"/>
      <c r="X478" s="545"/>
      <c r="Y478" s="545"/>
      <c r="Z478" s="545"/>
    </row>
    <row r="479" spans="10:26" s="1677" customFormat="1" ht="21.75" customHeight="1">
      <c r="J479" s="545"/>
      <c r="K479" s="545"/>
      <c r="L479" s="545"/>
      <c r="M479" s="545"/>
      <c r="N479" s="545"/>
      <c r="O479" s="545"/>
      <c r="P479" s="545"/>
      <c r="Q479" s="545"/>
      <c r="R479" s="545"/>
      <c r="S479" s="545"/>
      <c r="T479" s="545"/>
      <c r="U479" s="545"/>
      <c r="V479" s="545"/>
      <c r="W479" s="545"/>
      <c r="X479" s="545"/>
      <c r="Y479" s="545"/>
      <c r="Z479" s="545"/>
    </row>
    <row r="480" spans="10:26" s="1677" customFormat="1" ht="21.75" customHeight="1">
      <c r="J480" s="545"/>
      <c r="K480" s="545"/>
      <c r="L480" s="545"/>
      <c r="M480" s="545"/>
      <c r="N480" s="545"/>
      <c r="O480" s="545"/>
      <c r="P480" s="545"/>
      <c r="Q480" s="545"/>
      <c r="R480" s="545"/>
      <c r="S480" s="545"/>
      <c r="T480" s="545"/>
      <c r="U480" s="545"/>
      <c r="V480" s="545"/>
      <c r="W480" s="545"/>
      <c r="X480" s="545"/>
      <c r="Y480" s="545"/>
      <c r="Z480" s="545"/>
    </row>
    <row r="481" spans="10:26" s="1677" customFormat="1" ht="21.75" customHeight="1">
      <c r="J481" s="545"/>
      <c r="K481" s="545"/>
      <c r="L481" s="545"/>
      <c r="M481" s="545"/>
      <c r="N481" s="545"/>
      <c r="O481" s="545"/>
      <c r="P481" s="545"/>
      <c r="Q481" s="545"/>
      <c r="R481" s="545"/>
      <c r="S481" s="545"/>
      <c r="T481" s="545"/>
      <c r="U481" s="545"/>
      <c r="V481" s="545"/>
      <c r="W481" s="545"/>
      <c r="X481" s="545"/>
      <c r="Y481" s="545"/>
      <c r="Z481" s="545"/>
    </row>
    <row r="482" spans="10:26" s="1677" customFormat="1" ht="21.75" customHeight="1">
      <c r="J482" s="545"/>
      <c r="K482" s="545"/>
      <c r="L482" s="545"/>
      <c r="M482" s="545"/>
      <c r="N482" s="545"/>
      <c r="O482" s="545"/>
      <c r="P482" s="545"/>
      <c r="Q482" s="545"/>
      <c r="R482" s="545"/>
      <c r="S482" s="545"/>
      <c r="T482" s="545"/>
      <c r="U482" s="545"/>
      <c r="V482" s="545"/>
      <c r="W482" s="545"/>
      <c r="X482" s="545"/>
      <c r="Y482" s="545"/>
      <c r="Z482" s="545"/>
    </row>
    <row r="483" spans="10:26" s="1677" customFormat="1" ht="21.75" customHeight="1">
      <c r="J483" s="545"/>
      <c r="K483" s="545"/>
      <c r="L483" s="545"/>
      <c r="M483" s="545"/>
      <c r="N483" s="545"/>
      <c r="O483" s="545"/>
      <c r="P483" s="545"/>
      <c r="Q483" s="545"/>
      <c r="R483" s="545"/>
      <c r="S483" s="545"/>
      <c r="T483" s="545"/>
      <c r="U483" s="545"/>
      <c r="V483" s="545"/>
      <c r="W483" s="545"/>
      <c r="X483" s="545"/>
      <c r="Y483" s="545"/>
      <c r="Z483" s="545"/>
    </row>
    <row r="484" spans="10:26" s="1677" customFormat="1" ht="21.75" customHeight="1">
      <c r="J484" s="545"/>
      <c r="K484" s="545"/>
      <c r="L484" s="545"/>
      <c r="M484" s="545"/>
      <c r="N484" s="545"/>
      <c r="O484" s="545"/>
      <c r="P484" s="545"/>
      <c r="Q484" s="545"/>
      <c r="R484" s="545"/>
      <c r="S484" s="545"/>
      <c r="T484" s="545"/>
      <c r="U484" s="545"/>
      <c r="V484" s="545"/>
      <c r="W484" s="545"/>
      <c r="X484" s="545"/>
      <c r="Y484" s="545"/>
      <c r="Z484" s="545"/>
    </row>
    <row r="485" spans="10:26" s="1677" customFormat="1" ht="21.75" customHeight="1">
      <c r="J485" s="545"/>
      <c r="K485" s="545"/>
      <c r="L485" s="545"/>
      <c r="M485" s="545"/>
      <c r="N485" s="545"/>
      <c r="O485" s="545"/>
      <c r="P485" s="545"/>
      <c r="Q485" s="545"/>
      <c r="R485" s="545"/>
      <c r="S485" s="545"/>
      <c r="T485" s="545"/>
      <c r="U485" s="545"/>
      <c r="V485" s="545"/>
      <c r="W485" s="545"/>
      <c r="X485" s="545"/>
      <c r="Y485" s="545"/>
      <c r="Z485" s="545"/>
    </row>
    <row r="486" spans="10:26" s="1677" customFormat="1" ht="21.75" customHeight="1">
      <c r="J486" s="545"/>
      <c r="K486" s="545"/>
      <c r="L486" s="545"/>
      <c r="M486" s="545"/>
      <c r="N486" s="545"/>
      <c r="O486" s="545"/>
      <c r="P486" s="545"/>
      <c r="Q486" s="545"/>
      <c r="R486" s="545"/>
      <c r="S486" s="545"/>
      <c r="T486" s="545"/>
      <c r="U486" s="545"/>
      <c r="V486" s="545"/>
      <c r="W486" s="545"/>
      <c r="X486" s="545"/>
      <c r="Y486" s="545"/>
      <c r="Z486" s="545"/>
    </row>
    <row r="487" spans="10:26" s="1677" customFormat="1" ht="21.75" customHeight="1">
      <c r="J487" s="545"/>
      <c r="K487" s="545"/>
      <c r="L487" s="545"/>
      <c r="M487" s="545"/>
      <c r="N487" s="545"/>
      <c r="O487" s="545"/>
      <c r="P487" s="545"/>
      <c r="Q487" s="545"/>
      <c r="R487" s="545"/>
      <c r="S487" s="545"/>
      <c r="T487" s="545"/>
      <c r="U487" s="545"/>
      <c r="V487" s="545"/>
      <c r="W487" s="545"/>
      <c r="X487" s="545"/>
      <c r="Y487" s="545"/>
      <c r="Z487" s="545"/>
    </row>
    <row r="488" spans="10:26" s="1677" customFormat="1" ht="21.75" customHeight="1">
      <c r="J488" s="545"/>
      <c r="K488" s="545"/>
      <c r="L488" s="545"/>
      <c r="M488" s="545"/>
      <c r="N488" s="545"/>
      <c r="O488" s="545"/>
      <c r="P488" s="545"/>
      <c r="Q488" s="545"/>
      <c r="R488" s="545"/>
      <c r="S488" s="545"/>
      <c r="T488" s="545"/>
      <c r="U488" s="545"/>
      <c r="V488" s="545"/>
      <c r="W488" s="545"/>
      <c r="X488" s="545"/>
      <c r="Y488" s="545"/>
      <c r="Z488" s="545"/>
    </row>
    <row r="489" spans="10:26" s="1677" customFormat="1" ht="21.75" customHeight="1">
      <c r="J489" s="545"/>
      <c r="K489" s="545"/>
      <c r="L489" s="545"/>
      <c r="M489" s="545"/>
      <c r="N489" s="545"/>
      <c r="O489" s="545"/>
      <c r="P489" s="545"/>
      <c r="Q489" s="545"/>
      <c r="R489" s="545"/>
      <c r="S489" s="545"/>
      <c r="T489" s="545"/>
      <c r="U489" s="545"/>
      <c r="V489" s="545"/>
      <c r="W489" s="545"/>
      <c r="X489" s="545"/>
      <c r="Y489" s="545"/>
      <c r="Z489" s="545"/>
    </row>
    <row r="490" spans="10:26" s="1677" customFormat="1" ht="21.75" customHeight="1">
      <c r="J490" s="545"/>
      <c r="K490" s="545"/>
      <c r="L490" s="545"/>
      <c r="M490" s="545"/>
      <c r="N490" s="545"/>
      <c r="O490" s="545"/>
      <c r="P490" s="545"/>
      <c r="Q490" s="545"/>
      <c r="R490" s="545"/>
      <c r="S490" s="545"/>
      <c r="T490" s="545"/>
      <c r="U490" s="545"/>
      <c r="V490" s="545"/>
      <c r="W490" s="545"/>
      <c r="X490" s="545"/>
      <c r="Y490" s="545"/>
      <c r="Z490" s="545"/>
    </row>
    <row r="491" spans="10:26" s="1677" customFormat="1" ht="21.75" customHeight="1">
      <c r="J491" s="545"/>
      <c r="K491" s="545"/>
      <c r="L491" s="545"/>
      <c r="M491" s="545"/>
      <c r="N491" s="545"/>
      <c r="O491" s="545"/>
      <c r="P491" s="545"/>
      <c r="Q491" s="545"/>
      <c r="R491" s="545"/>
      <c r="S491" s="545"/>
      <c r="T491" s="545"/>
      <c r="U491" s="545"/>
      <c r="V491" s="545"/>
      <c r="W491" s="545"/>
      <c r="X491" s="545"/>
      <c r="Y491" s="545"/>
      <c r="Z491" s="545"/>
    </row>
    <row r="492" spans="10:26" s="1677" customFormat="1" ht="21.75" customHeight="1">
      <c r="J492" s="545"/>
      <c r="K492" s="545"/>
      <c r="L492" s="545"/>
      <c r="M492" s="545"/>
      <c r="N492" s="545"/>
      <c r="O492" s="545"/>
      <c r="P492" s="545"/>
      <c r="Q492" s="545"/>
      <c r="R492" s="545"/>
      <c r="S492" s="545"/>
      <c r="T492" s="545"/>
      <c r="U492" s="545"/>
      <c r="V492" s="545"/>
      <c r="W492" s="545"/>
      <c r="X492" s="545"/>
      <c r="Y492" s="545"/>
      <c r="Z492" s="545"/>
    </row>
    <row r="493" spans="10:26" s="1677" customFormat="1" ht="21.75" customHeight="1">
      <c r="J493" s="545"/>
      <c r="K493" s="545"/>
      <c r="L493" s="545"/>
      <c r="M493" s="545"/>
      <c r="N493" s="545"/>
      <c r="O493" s="545"/>
      <c r="P493" s="545"/>
      <c r="Q493" s="545"/>
      <c r="R493" s="545"/>
      <c r="S493" s="545"/>
      <c r="T493" s="545"/>
      <c r="U493" s="545"/>
      <c r="V493" s="545"/>
      <c r="W493" s="545"/>
      <c r="X493" s="545"/>
      <c r="Y493" s="545"/>
      <c r="Z493" s="545"/>
    </row>
    <row r="494" spans="10:26" s="1677" customFormat="1" ht="21.75" customHeight="1">
      <c r="J494" s="545"/>
      <c r="K494" s="545"/>
      <c r="L494" s="545"/>
      <c r="M494" s="545"/>
      <c r="N494" s="545"/>
      <c r="O494" s="545"/>
      <c r="P494" s="545"/>
      <c r="Q494" s="545"/>
      <c r="R494" s="545"/>
      <c r="S494" s="545"/>
      <c r="T494" s="545"/>
      <c r="U494" s="545"/>
      <c r="V494" s="545"/>
      <c r="W494" s="545"/>
      <c r="X494" s="545"/>
      <c r="Y494" s="545"/>
      <c r="Z494" s="545"/>
    </row>
    <row r="495" spans="10:26" s="1677" customFormat="1" ht="21.75" customHeight="1">
      <c r="J495" s="545"/>
      <c r="K495" s="545"/>
      <c r="L495" s="545"/>
      <c r="M495" s="545"/>
      <c r="N495" s="545"/>
      <c r="O495" s="545"/>
      <c r="P495" s="545"/>
      <c r="Q495" s="545"/>
      <c r="R495" s="545"/>
      <c r="S495" s="545"/>
      <c r="T495" s="545"/>
      <c r="U495" s="545"/>
      <c r="V495" s="545"/>
      <c r="W495" s="545"/>
      <c r="X495" s="545"/>
      <c r="Y495" s="545"/>
      <c r="Z495" s="545"/>
    </row>
    <row r="496" spans="10:26" s="1677" customFormat="1" ht="21.75" customHeight="1">
      <c r="J496" s="545"/>
      <c r="K496" s="545"/>
      <c r="L496" s="545"/>
      <c r="M496" s="545"/>
      <c r="N496" s="545"/>
      <c r="O496" s="545"/>
      <c r="P496" s="545"/>
      <c r="Q496" s="545"/>
      <c r="R496" s="545"/>
      <c r="S496" s="545"/>
      <c r="T496" s="545"/>
      <c r="U496" s="545"/>
      <c r="V496" s="545"/>
      <c r="W496" s="545"/>
      <c r="X496" s="545"/>
      <c r="Y496" s="545"/>
      <c r="Z496" s="545"/>
    </row>
    <row r="497" spans="10:26" s="1677" customFormat="1" ht="21.75" customHeight="1">
      <c r="J497" s="545"/>
      <c r="K497" s="545"/>
      <c r="L497" s="545"/>
      <c r="M497" s="545"/>
      <c r="N497" s="545"/>
      <c r="O497" s="545"/>
      <c r="P497" s="545"/>
      <c r="Q497" s="545"/>
      <c r="R497" s="545"/>
      <c r="S497" s="545"/>
      <c r="T497" s="545"/>
      <c r="U497" s="545"/>
      <c r="V497" s="545"/>
      <c r="W497" s="545"/>
      <c r="X497" s="545"/>
      <c r="Y497" s="545"/>
      <c r="Z497" s="545"/>
    </row>
    <row r="498" spans="10:26" s="1677" customFormat="1" ht="21.75" customHeight="1">
      <c r="J498" s="545"/>
      <c r="K498" s="545"/>
      <c r="L498" s="545"/>
      <c r="M498" s="545"/>
      <c r="N498" s="545"/>
      <c r="O498" s="545"/>
      <c r="P498" s="545"/>
      <c r="Q498" s="545"/>
      <c r="R498" s="545"/>
      <c r="S498" s="545"/>
      <c r="T498" s="545"/>
      <c r="U498" s="545"/>
      <c r="V498" s="545"/>
      <c r="W498" s="545"/>
      <c r="X498" s="545"/>
      <c r="Y498" s="545"/>
      <c r="Z498" s="545"/>
    </row>
    <row r="499" spans="10:26" s="1677" customFormat="1" ht="21.75" customHeight="1">
      <c r="J499" s="545"/>
      <c r="K499" s="545"/>
      <c r="L499" s="545"/>
      <c r="M499" s="545"/>
      <c r="N499" s="545"/>
      <c r="O499" s="545"/>
      <c r="P499" s="545"/>
      <c r="Q499" s="545"/>
      <c r="R499" s="545"/>
      <c r="S499" s="545"/>
      <c r="T499" s="545"/>
      <c r="U499" s="545"/>
      <c r="V499" s="545"/>
      <c r="W499" s="545"/>
      <c r="X499" s="545"/>
      <c r="Y499" s="545"/>
      <c r="Z499" s="545"/>
    </row>
    <row r="500" spans="10:26" s="1677" customFormat="1" ht="21.75" customHeight="1">
      <c r="J500" s="545"/>
      <c r="K500" s="545"/>
      <c r="L500" s="545"/>
      <c r="M500" s="545"/>
      <c r="N500" s="545"/>
      <c r="O500" s="545"/>
      <c r="P500" s="545"/>
      <c r="Q500" s="545"/>
      <c r="R500" s="545"/>
      <c r="S500" s="545"/>
      <c r="T500" s="545"/>
      <c r="U500" s="545"/>
      <c r="V500" s="545"/>
      <c r="W500" s="545"/>
      <c r="X500" s="545"/>
      <c r="Y500" s="545"/>
      <c r="Z500" s="545"/>
    </row>
    <row r="501" spans="10:26" s="1677" customFormat="1" ht="21.75" customHeight="1">
      <c r="J501" s="545"/>
      <c r="K501" s="545"/>
      <c r="L501" s="545"/>
      <c r="M501" s="545"/>
      <c r="N501" s="545"/>
      <c r="O501" s="545"/>
      <c r="P501" s="545"/>
      <c r="Q501" s="545"/>
      <c r="R501" s="545"/>
      <c r="S501" s="545"/>
      <c r="T501" s="545"/>
      <c r="U501" s="545"/>
      <c r="V501" s="545"/>
      <c r="W501" s="545"/>
      <c r="X501" s="545"/>
      <c r="Y501" s="545"/>
      <c r="Z501" s="545"/>
    </row>
    <row r="502" spans="10:26" s="1677" customFormat="1" ht="21.75" customHeight="1">
      <c r="J502" s="545"/>
      <c r="K502" s="545"/>
      <c r="L502" s="545"/>
      <c r="M502" s="545"/>
      <c r="N502" s="545"/>
      <c r="O502" s="545"/>
      <c r="P502" s="545"/>
      <c r="Q502" s="545"/>
      <c r="R502" s="545"/>
      <c r="S502" s="545"/>
      <c r="T502" s="545"/>
      <c r="U502" s="545"/>
      <c r="V502" s="545"/>
      <c r="W502" s="545"/>
      <c r="X502" s="545"/>
      <c r="Y502" s="545"/>
      <c r="Z502" s="545"/>
    </row>
    <row r="503" spans="10:26" s="1677" customFormat="1" ht="21.75" customHeight="1">
      <c r="J503" s="545"/>
      <c r="K503" s="545"/>
      <c r="L503" s="545"/>
      <c r="M503" s="545"/>
      <c r="N503" s="545"/>
      <c r="O503" s="545"/>
      <c r="P503" s="545"/>
      <c r="Q503" s="545"/>
      <c r="R503" s="545"/>
      <c r="S503" s="545"/>
      <c r="T503" s="545"/>
      <c r="U503" s="545"/>
      <c r="V503" s="545"/>
      <c r="W503" s="545"/>
      <c r="X503" s="545"/>
      <c r="Y503" s="545"/>
      <c r="Z503" s="545"/>
    </row>
    <row r="504" spans="10:26" s="1677" customFormat="1" ht="21.75" customHeight="1">
      <c r="J504" s="545"/>
      <c r="K504" s="545"/>
      <c r="L504" s="545"/>
      <c r="M504" s="545"/>
      <c r="N504" s="545"/>
      <c r="O504" s="545"/>
      <c r="P504" s="545"/>
      <c r="Q504" s="545"/>
      <c r="R504" s="545"/>
      <c r="S504" s="545"/>
      <c r="T504" s="545"/>
      <c r="U504" s="545"/>
      <c r="V504" s="545"/>
      <c r="W504" s="545"/>
      <c r="X504" s="545"/>
      <c r="Y504" s="545"/>
      <c r="Z504" s="545"/>
    </row>
    <row r="505" spans="10:26" s="1677" customFormat="1" ht="21.75" customHeight="1">
      <c r="J505" s="545"/>
      <c r="K505" s="545"/>
      <c r="L505" s="545"/>
      <c r="M505" s="545"/>
      <c r="N505" s="545"/>
      <c r="O505" s="545"/>
      <c r="P505" s="545"/>
      <c r="Q505" s="545"/>
      <c r="R505" s="545"/>
      <c r="S505" s="545"/>
      <c r="T505" s="545"/>
      <c r="U505" s="545"/>
      <c r="V505" s="545"/>
      <c r="W505" s="545"/>
      <c r="X505" s="545"/>
      <c r="Y505" s="545"/>
      <c r="Z505" s="545"/>
    </row>
    <row r="506" spans="10:26" s="1677" customFormat="1" ht="21.75" customHeight="1">
      <c r="J506" s="545"/>
      <c r="K506" s="545"/>
      <c r="L506" s="545"/>
      <c r="M506" s="545"/>
      <c r="N506" s="545"/>
      <c r="O506" s="545"/>
      <c r="P506" s="545"/>
      <c r="Q506" s="545"/>
      <c r="R506" s="545"/>
      <c r="S506" s="545"/>
      <c r="T506" s="545"/>
      <c r="U506" s="545"/>
      <c r="V506" s="545"/>
      <c r="W506" s="545"/>
      <c r="X506" s="545"/>
      <c r="Y506" s="545"/>
      <c r="Z506" s="545"/>
    </row>
    <row r="507" spans="10:26" s="1677" customFormat="1" ht="21.75" customHeight="1">
      <c r="J507" s="545"/>
      <c r="K507" s="545"/>
      <c r="L507" s="545"/>
      <c r="M507" s="545"/>
      <c r="N507" s="545"/>
      <c r="O507" s="545"/>
      <c r="P507" s="545"/>
      <c r="Q507" s="545"/>
      <c r="R507" s="545"/>
      <c r="S507" s="545"/>
      <c r="T507" s="545"/>
      <c r="U507" s="545"/>
      <c r="V507" s="545"/>
      <c r="W507" s="545"/>
      <c r="X507" s="545"/>
      <c r="Y507" s="545"/>
      <c r="Z507" s="545"/>
    </row>
    <row r="508" spans="10:26" s="1677" customFormat="1" ht="21.75" customHeight="1">
      <c r="J508" s="545"/>
      <c r="K508" s="545"/>
      <c r="L508" s="545"/>
      <c r="M508" s="545"/>
      <c r="N508" s="545"/>
      <c r="O508" s="545"/>
      <c r="P508" s="545"/>
      <c r="Q508" s="545"/>
      <c r="R508" s="545"/>
      <c r="S508" s="545"/>
      <c r="T508" s="545"/>
      <c r="U508" s="545"/>
      <c r="V508" s="545"/>
      <c r="W508" s="545"/>
      <c r="X508" s="545"/>
      <c r="Y508" s="545"/>
      <c r="Z508" s="545"/>
    </row>
    <row r="509" spans="10:26" s="1677" customFormat="1" ht="21.75" customHeight="1">
      <c r="J509" s="545"/>
      <c r="K509" s="545"/>
      <c r="L509" s="545"/>
      <c r="M509" s="545"/>
      <c r="N509" s="545"/>
      <c r="O509" s="545"/>
      <c r="P509" s="545"/>
      <c r="Q509" s="545"/>
      <c r="R509" s="545"/>
      <c r="S509" s="545"/>
      <c r="T509" s="545"/>
      <c r="U509" s="545"/>
      <c r="V509" s="545"/>
      <c r="W509" s="545"/>
      <c r="X509" s="545"/>
      <c r="Y509" s="545"/>
      <c r="Z509" s="545"/>
    </row>
    <row r="510" spans="10:26" s="1677" customFormat="1" ht="21.75" customHeight="1">
      <c r="J510" s="545"/>
      <c r="K510" s="545"/>
      <c r="L510" s="545"/>
      <c r="M510" s="545"/>
      <c r="N510" s="545"/>
      <c r="O510" s="545"/>
      <c r="P510" s="545"/>
      <c r="Q510" s="545"/>
      <c r="R510" s="545"/>
      <c r="S510" s="545"/>
      <c r="T510" s="545"/>
      <c r="U510" s="545"/>
      <c r="V510" s="545"/>
      <c r="W510" s="545"/>
      <c r="X510" s="545"/>
      <c r="Y510" s="545"/>
      <c r="Z510" s="545"/>
    </row>
    <row r="511" spans="10:26" s="1677" customFormat="1" ht="21.75" customHeight="1">
      <c r="J511" s="545"/>
      <c r="K511" s="545"/>
      <c r="L511" s="545"/>
      <c r="M511" s="545"/>
      <c r="N511" s="545"/>
      <c r="O511" s="545"/>
      <c r="P511" s="545"/>
      <c r="Q511" s="545"/>
      <c r="R511" s="545"/>
      <c r="S511" s="545"/>
      <c r="T511" s="545"/>
      <c r="U511" s="545"/>
      <c r="V511" s="545"/>
      <c r="W511" s="545"/>
      <c r="X511" s="545"/>
      <c r="Y511" s="545"/>
      <c r="Z511" s="545"/>
    </row>
    <row r="512" spans="10:26" s="1677" customFormat="1" ht="21.75" customHeight="1">
      <c r="J512" s="545"/>
      <c r="K512" s="545"/>
      <c r="L512" s="545"/>
      <c r="M512" s="545"/>
      <c r="N512" s="545"/>
      <c r="O512" s="545"/>
      <c r="P512" s="545"/>
      <c r="Q512" s="545"/>
      <c r="R512" s="545"/>
      <c r="S512" s="545"/>
      <c r="T512" s="545"/>
      <c r="U512" s="545"/>
      <c r="V512" s="545"/>
      <c r="W512" s="545"/>
      <c r="X512" s="545"/>
      <c r="Y512" s="545"/>
      <c r="Z512" s="54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9" type="noConversion"/>
  <conditionalFormatting sqref="E36">
    <cfRule type="expression" dxfId="41" priority="1" stopIfTrue="1">
      <formula>$D$36="同一抵押权人同一抵押物续贷"</formula>
    </cfRule>
  </conditionalFormatting>
  <conditionalFormatting sqref="C90">
    <cfRule type="expression" dxfId="40" priority="3" stopIfTrue="1">
      <formula>$H$88&lt;&gt;"仅含出让金"</formula>
    </cfRule>
  </conditionalFormatting>
  <conditionalFormatting sqref="C91">
    <cfRule type="expression" dxfId="39" priority="2" stopIfTrue="1">
      <formula>$H$91="由企业提供"</formula>
    </cfRule>
  </conditionalFormatting>
  <conditionalFormatting sqref="C5:C7">
    <cfRule type="cellIs" dxfId="38" priority="10" stopIfTrue="1" operator="equal">
      <formula>25</formula>
    </cfRule>
  </conditionalFormatting>
  <conditionalFormatting sqref="C8:C9">
    <cfRule type="cellIs" dxfId="37" priority="9" stopIfTrue="1" operator="equal">
      <formula>15</formula>
    </cfRule>
  </conditionalFormatting>
  <conditionalFormatting sqref="C14:C16">
    <cfRule type="cellIs" dxfId="36" priority="8" stopIfTrue="1" operator="equal">
      <formula>30</formula>
    </cfRule>
  </conditionalFormatting>
  <conditionalFormatting sqref="D5:D7">
    <cfRule type="cellIs" dxfId="35" priority="7" stopIfTrue="1" operator="equal">
      <formula>25</formula>
    </cfRule>
  </conditionalFormatting>
  <conditionalFormatting sqref="D8:D9">
    <cfRule type="cellIs" dxfId="34" priority="6" stopIfTrue="1" operator="equal">
      <formula>15</formula>
    </cfRule>
  </conditionalFormatting>
  <conditionalFormatting sqref="D14:D16">
    <cfRule type="cellIs" dxfId="33" priority="4" stopIfTrue="1" operator="equal">
      <formula>30</formula>
    </cfRule>
  </conditionalFormatting>
  <conditionalFormatting sqref="C10:D13">
    <cfRule type="cellIs" dxfId="32"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80" zoomScaleNormal="70" workbookViewId="0">
      <selection activeCell="K24" sqref="K24"/>
    </sheetView>
  </sheetViews>
  <sheetFormatPr defaultColWidth="9" defaultRowHeight="13.8"/>
  <cols>
    <col min="1" max="1" width="10.44140625" style="1358" customWidth="1"/>
    <col min="2" max="2" width="15.77734375" style="1358" customWidth="1"/>
    <col min="3" max="3" width="15.109375" style="1358" customWidth="1"/>
    <col min="4" max="4" width="12.21875" style="1358" customWidth="1"/>
    <col min="5" max="5" width="14.33203125" style="1358" customWidth="1"/>
    <col min="6" max="6" width="12.21875" style="1358" customWidth="1"/>
    <col min="7" max="7" width="14.44140625" style="1358" customWidth="1"/>
    <col min="8" max="8" width="12.21875" style="1358" customWidth="1"/>
    <col min="9" max="9" width="14.44140625" style="1358" customWidth="1"/>
    <col min="10" max="10" width="12.21875" style="1358" customWidth="1"/>
    <col min="11" max="11" width="12.21875" style="1359" customWidth="1"/>
    <col min="12" max="12" width="12.21875" style="1360" customWidth="1"/>
    <col min="13" max="15" width="12.21875" style="1358" customWidth="1"/>
    <col min="16" max="16" width="4.77734375" style="1361" customWidth="1"/>
    <col min="17" max="17" width="19.44140625" style="1358" customWidth="1"/>
    <col min="18" max="22" width="6.109375" style="1358" customWidth="1"/>
    <col min="23" max="23" width="5.77734375" style="1358" customWidth="1"/>
    <col min="24" max="24" width="4.21875" style="1358" customWidth="1"/>
    <col min="25" max="25" width="3.44140625" style="1358" customWidth="1"/>
    <col min="26" max="26" width="19.77734375" style="1358" customWidth="1"/>
    <col min="27" max="28" width="9.33203125" style="1358" customWidth="1"/>
    <col min="29" max="16384" width="9" style="1358"/>
  </cols>
  <sheetData>
    <row r="1" spans="1:29" s="1351" customFormat="1" ht="28.5" customHeight="1">
      <c r="A1" s="1362" t="s">
        <v>3453</v>
      </c>
      <c r="B1" s="1363" t="s">
        <v>3769</v>
      </c>
      <c r="C1" s="1364" t="s">
        <v>2860</v>
      </c>
      <c r="D1" s="1365" t="s">
        <v>606</v>
      </c>
      <c r="E1" s="1366" t="s">
        <v>3770</v>
      </c>
      <c r="F1" s="1367" t="s">
        <v>2862</v>
      </c>
      <c r="G1" s="1368" t="s">
        <v>2863</v>
      </c>
      <c r="H1" s="1369"/>
      <c r="I1" s="1369"/>
      <c r="J1" s="1369"/>
      <c r="K1" s="1519"/>
      <c r="L1" s="1520"/>
      <c r="M1" s="1364"/>
      <c r="N1" s="1364"/>
      <c r="O1" s="1364"/>
      <c r="P1" s="1521"/>
      <c r="Q1" s="1572"/>
      <c r="R1" s="1572"/>
      <c r="S1" s="1572"/>
      <c r="T1" s="1572"/>
      <c r="U1" s="1572"/>
      <c r="V1" s="1572"/>
      <c r="W1" s="1572"/>
      <c r="X1" s="1572"/>
      <c r="Y1" s="1572"/>
      <c r="Z1" s="1572"/>
      <c r="AA1" s="1572"/>
      <c r="AB1" s="1572"/>
      <c r="AC1" s="1591"/>
    </row>
    <row r="2" spans="1:29" s="1352" customFormat="1" ht="28.5" customHeight="1">
      <c r="A2" s="1370" t="s">
        <v>2864</v>
      </c>
      <c r="B2" s="1371">
        <f>IF(E1="项目模式",IF(C2="——",ROUND(C49*D3/10000,0),ROUND(C49*D3/10000,0)-D2),IF(E1="单套模式",IF(C2="——",ROUND(C49*D3/10000,4),ROUND(C49*D3/10000,4)-D2)))</f>
        <v>1689.1379999999999</v>
      </c>
      <c r="C2" s="1372" t="s">
        <v>124</v>
      </c>
      <c r="D2" s="1373" t="e">
        <f ca="1">IF(E1="项目模式",SUMIF(INDIRECT("'"&amp;F2&amp;"'"&amp;"!A:A"),"承租人权益价值",INDIRECT("'"&amp;F2&amp;"'"&amp;"!c:c")),SUMIF(INDIRECT("'"&amp;F2&amp;"'"&amp;"!A:A"),"承租人权益价值（单套）",INDIRECT("'"&amp;F2&amp;"'"&amp;"!c:c")))</f>
        <v>#REF!</v>
      </c>
      <c r="E2" s="1374" t="s">
        <v>2865</v>
      </c>
      <c r="F2" s="1375"/>
      <c r="G2" s="1376"/>
      <c r="H2" s="1376"/>
      <c r="I2" s="1376"/>
      <c r="J2" s="1376"/>
      <c r="K2" s="1376"/>
      <c r="L2" s="1522"/>
      <c r="M2" s="1523"/>
      <c r="N2" s="1523"/>
      <c r="O2" s="1523"/>
      <c r="P2" s="1524"/>
      <c r="Q2" s="1573"/>
      <c r="R2" s="1573"/>
      <c r="S2" s="1573"/>
      <c r="T2" s="1573"/>
      <c r="U2" s="1573"/>
      <c r="V2" s="1573"/>
      <c r="W2" s="1573"/>
      <c r="X2" s="1573"/>
      <c r="Y2" s="1573"/>
      <c r="Z2" s="1573"/>
      <c r="AA2" s="1573"/>
      <c r="AB2" s="1573"/>
      <c r="AC2" s="1592"/>
    </row>
    <row r="3" spans="1:29" s="1352" customFormat="1" ht="28.5" customHeight="1">
      <c r="A3" s="380" t="s">
        <v>2866</v>
      </c>
      <c r="B3" s="1377">
        <f>IF(C2="——",C49,ROUND(B2*10000/D3,0))</f>
        <v>16753</v>
      </c>
      <c r="C3" s="1378" t="s">
        <v>2867</v>
      </c>
      <c r="D3" s="1379">
        <f>IF(D1="",'数据-汇总表'!E3,SUMIF('数据-汇总表'!$C19:$C33,D1,'数据-汇总表'!$E19:$E33))</f>
        <v>1008.26</v>
      </c>
      <c r="E3" s="1380"/>
      <c r="F3" s="1381"/>
      <c r="G3" s="1376"/>
      <c r="H3" s="1376"/>
      <c r="I3" s="1376"/>
      <c r="J3" s="1376"/>
      <c r="K3" s="1525"/>
      <c r="L3" s="1522"/>
      <c r="M3" s="1523"/>
      <c r="N3" s="1523"/>
      <c r="O3" s="1523"/>
      <c r="P3" s="1524"/>
      <c r="Q3" s="1573"/>
      <c r="R3" s="1573"/>
      <c r="S3" s="1573"/>
      <c r="T3" s="1573"/>
      <c r="U3" s="1573"/>
      <c r="V3" s="1573"/>
      <c r="W3" s="1573"/>
      <c r="X3" s="1573"/>
      <c r="Y3" s="1573"/>
      <c r="Z3" s="1573"/>
      <c r="AA3" s="1573"/>
      <c r="AB3" s="1573"/>
      <c r="AC3" s="1380"/>
    </row>
    <row r="4" spans="1:29" ht="14.4">
      <c r="A4" s="1382" t="s">
        <v>2869</v>
      </c>
      <c r="B4" s="1383"/>
      <c r="C4" s="3681" t="s">
        <v>2870</v>
      </c>
      <c r="D4" s="3682"/>
      <c r="E4" s="3683" t="s">
        <v>2871</v>
      </c>
      <c r="F4" s="3684"/>
      <c r="G4" s="3681" t="s">
        <v>2872</v>
      </c>
      <c r="H4" s="3682"/>
      <c r="I4" s="3681" t="s">
        <v>2873</v>
      </c>
      <c r="J4" s="3682"/>
      <c r="K4" s="1526" t="s">
        <v>2874</v>
      </c>
      <c r="L4" s="1527"/>
      <c r="M4" s="1528"/>
      <c r="N4" s="1528"/>
      <c r="O4" s="1528"/>
      <c r="P4" s="3652" t="s">
        <v>2875</v>
      </c>
      <c r="Q4" s="3653"/>
      <c r="R4" s="3658" t="s">
        <v>2871</v>
      </c>
      <c r="S4" s="3659"/>
      <c r="T4" s="3658" t="s">
        <v>2872</v>
      </c>
      <c r="U4" s="3659"/>
      <c r="V4" s="3664" t="s">
        <v>2873</v>
      </c>
      <c r="W4" s="3664"/>
      <c r="X4" s="1575"/>
      <c r="Y4" s="3658" t="s">
        <v>2875</v>
      </c>
      <c r="Z4" s="3659"/>
      <c r="AA4" s="3649" t="s">
        <v>2871</v>
      </c>
      <c r="AB4" s="3664" t="s">
        <v>2872</v>
      </c>
      <c r="AC4" s="3649" t="s">
        <v>2873</v>
      </c>
    </row>
    <row r="5" spans="1:29">
      <c r="A5" s="1384"/>
      <c r="B5" s="1385"/>
      <c r="C5" s="3685" t="s">
        <v>2876</v>
      </c>
      <c r="D5" s="3686"/>
      <c r="E5" s="3687" t="s">
        <v>3771</v>
      </c>
      <c r="F5" s="3688"/>
      <c r="G5" s="3689" t="s">
        <v>3772</v>
      </c>
      <c r="H5" s="3686"/>
      <c r="I5" s="3689" t="s">
        <v>3773</v>
      </c>
      <c r="J5" s="3686"/>
      <c r="K5" s="1526"/>
      <c r="L5" s="1527"/>
      <c r="M5" s="1528"/>
      <c r="N5" s="1528"/>
      <c r="O5" s="1528"/>
      <c r="P5" s="3654"/>
      <c r="Q5" s="3655"/>
      <c r="R5" s="3660"/>
      <c r="S5" s="3661"/>
      <c r="T5" s="3660"/>
      <c r="U5" s="3661"/>
      <c r="V5" s="3664"/>
      <c r="W5" s="3664"/>
      <c r="X5" s="1575"/>
      <c r="Y5" s="3660"/>
      <c r="Z5" s="3661"/>
      <c r="AA5" s="3650"/>
      <c r="AB5" s="3664"/>
      <c r="AC5" s="3650"/>
    </row>
    <row r="6" spans="1:29" ht="14.4">
      <c r="A6" s="1386"/>
      <c r="B6" s="1387"/>
      <c r="C6" s="3676" t="s">
        <v>2880</v>
      </c>
      <c r="D6" s="3677"/>
      <c r="E6" s="3678" t="s">
        <v>2880</v>
      </c>
      <c r="F6" s="3679"/>
      <c r="G6" s="3676" t="s">
        <v>2880</v>
      </c>
      <c r="H6" s="3677"/>
      <c r="I6" s="3676" t="s">
        <v>2880</v>
      </c>
      <c r="J6" s="3677"/>
      <c r="K6" s="1526" t="s">
        <v>2881</v>
      </c>
      <c r="L6" s="1527"/>
      <c r="M6" s="1528"/>
      <c r="N6" s="1528"/>
      <c r="O6" s="1528"/>
      <c r="P6" s="3656"/>
      <c r="Q6" s="3657"/>
      <c r="R6" s="3660"/>
      <c r="S6" s="3661"/>
      <c r="T6" s="3662"/>
      <c r="U6" s="3663"/>
      <c r="V6" s="3664"/>
      <c r="W6" s="3664"/>
      <c r="X6" s="1575"/>
      <c r="Y6" s="3662"/>
      <c r="Z6" s="3663"/>
      <c r="AA6" s="3651"/>
      <c r="AB6" s="3664"/>
      <c r="AC6" s="3651"/>
    </row>
    <row r="7" spans="1:29" s="1353" customFormat="1" ht="14.4">
      <c r="A7" s="1388" t="s">
        <v>2882</v>
      </c>
      <c r="B7" s="1389"/>
      <c r="C7" s="1390">
        <f>'数据-取费表'!B2</f>
        <v>45311</v>
      </c>
      <c r="D7" s="1391">
        <v>100</v>
      </c>
      <c r="E7" s="1392">
        <f>C7</f>
        <v>45311</v>
      </c>
      <c r="F7" s="1393">
        <f>SUMIF(58:58,YEAR(E7)&amp;"-"&amp;MONTH(E7),59:59)</f>
        <v>100</v>
      </c>
      <c r="G7" s="1392">
        <f>C7</f>
        <v>45311</v>
      </c>
      <c r="H7" s="1391">
        <f>SUMIF(58:58,YEAR(G7)&amp;"-"&amp;MONTH(G7),59:59)</f>
        <v>100</v>
      </c>
      <c r="I7" s="1392">
        <f>C7</f>
        <v>45311</v>
      </c>
      <c r="J7" s="1391">
        <f>SUMIF(58:58,YEAR(I7)&amp;"-"&amp;MONTH(I7),59:59)</f>
        <v>100</v>
      </c>
      <c r="K7" s="1529"/>
      <c r="L7" s="1530"/>
      <c r="M7" s="1531"/>
      <c r="N7" s="1531"/>
      <c r="O7" s="1531"/>
      <c r="P7" s="3670" t="s">
        <v>2883</v>
      </c>
      <c r="Q7" s="3680"/>
      <c r="R7" s="1576" t="s">
        <v>2884</v>
      </c>
      <c r="S7" s="1577">
        <f t="shared" ref="S7:S15" si="0">F7</f>
        <v>100</v>
      </c>
      <c r="T7" s="1576" t="s">
        <v>2884</v>
      </c>
      <c r="U7" s="1577">
        <f t="shared" ref="U7:U15" si="1">H7</f>
        <v>100</v>
      </c>
      <c r="V7" s="1576" t="s">
        <v>2884</v>
      </c>
      <c r="W7" s="1577">
        <f t="shared" ref="W7:W15" si="2">J7</f>
        <v>100</v>
      </c>
      <c r="X7" s="1578"/>
      <c r="Y7" s="3670" t="s">
        <v>2883</v>
      </c>
      <c r="Z7" s="3671"/>
      <c r="AA7" s="1593">
        <f>D7/F7</f>
        <v>1</v>
      </c>
      <c r="AB7" s="1593">
        <f>D7/H7</f>
        <v>1</v>
      </c>
      <c r="AC7" s="1593">
        <f>D7/J7</f>
        <v>1</v>
      </c>
    </row>
    <row r="8" spans="1:29" s="1353" customFormat="1" ht="14.4">
      <c r="A8" s="1388" t="s">
        <v>2885</v>
      </c>
      <c r="B8" s="1389"/>
      <c r="C8" s="1394" t="s">
        <v>2886</v>
      </c>
      <c r="D8" s="1391">
        <v>100</v>
      </c>
      <c r="E8" s="1394" t="s">
        <v>2886</v>
      </c>
      <c r="F8" s="1393">
        <f>SUMIF(61:61,E8,62:62)-SUMIF(61:61,C8,62:62)+100</f>
        <v>100</v>
      </c>
      <c r="G8" s="1394" t="s">
        <v>2886</v>
      </c>
      <c r="H8" s="1391">
        <f>SUMIF(61:61,G8,62:62)-SUMIF(61:61,C8,62:62)+100</f>
        <v>100</v>
      </c>
      <c r="I8" s="1394" t="s">
        <v>2886</v>
      </c>
      <c r="J8" s="1391">
        <f>SUMIF(61:61,I8,62:62)-SUMIF(61:61,C8,62:62)+100</f>
        <v>100</v>
      </c>
      <c r="K8" s="1529"/>
      <c r="L8" s="1530"/>
      <c r="M8" s="1531"/>
      <c r="N8" s="1531"/>
      <c r="O8" s="1531"/>
      <c r="P8" s="3670" t="s">
        <v>2887</v>
      </c>
      <c r="Q8" s="3671"/>
      <c r="R8" s="1576" t="s">
        <v>2884</v>
      </c>
      <c r="S8" s="1577">
        <f t="shared" si="0"/>
        <v>100</v>
      </c>
      <c r="T8" s="1576" t="s">
        <v>2884</v>
      </c>
      <c r="U8" s="1577">
        <f t="shared" si="1"/>
        <v>100</v>
      </c>
      <c r="V8" s="1576" t="s">
        <v>2884</v>
      </c>
      <c r="W8" s="1577">
        <f t="shared" si="2"/>
        <v>100</v>
      </c>
      <c r="X8" s="1578"/>
      <c r="Y8" s="3670" t="s">
        <v>2887</v>
      </c>
      <c r="Z8" s="3671"/>
      <c r="AA8" s="1593">
        <f t="shared" ref="AA8:AA46" si="3">D8/F8</f>
        <v>1</v>
      </c>
      <c r="AB8" s="1593">
        <f t="shared" ref="AB8:AB46" si="4">D8/H8</f>
        <v>1</v>
      </c>
      <c r="AC8" s="1593">
        <f t="shared" ref="AC8:AC46" si="5">D8/J8</f>
        <v>1</v>
      </c>
    </row>
    <row r="9" spans="1:29" s="1353" customFormat="1" ht="14.4">
      <c r="A9" s="1395" t="s">
        <v>2888</v>
      </c>
      <c r="B9" s="1396" t="s">
        <v>2889</v>
      </c>
      <c r="C9" s="1397" t="s">
        <v>552</v>
      </c>
      <c r="D9" s="1398">
        <v>100</v>
      </c>
      <c r="E9" s="1399" t="s">
        <v>552</v>
      </c>
      <c r="F9" s="1400">
        <f>SUMIF(63:63,E9,64:64)-SUMIF(63:63,C9,64:64)+100</f>
        <v>100</v>
      </c>
      <c r="G9" s="1399" t="s">
        <v>552</v>
      </c>
      <c r="H9" s="1398">
        <f>SUMIF(63:63,G9,64:64)-SUMIF(63:63,C9,64:64)+100</f>
        <v>100</v>
      </c>
      <c r="I9" s="1399" t="s">
        <v>552</v>
      </c>
      <c r="J9" s="1398">
        <f>SUMIF(63:63,I9,64:64)-SUMIF(63:63,C9,64:64)+100</f>
        <v>100</v>
      </c>
      <c r="K9" s="1529"/>
      <c r="L9" s="1530"/>
      <c r="M9" s="1531"/>
      <c r="N9" s="1531"/>
      <c r="O9" s="1531"/>
      <c r="P9" s="3726" t="s">
        <v>2891</v>
      </c>
      <c r="Q9" s="1580" t="str">
        <f t="shared" ref="Q9:Q15" si="6">B9</f>
        <v>用途</v>
      </c>
      <c r="R9" s="1576" t="s">
        <v>2884</v>
      </c>
      <c r="S9" s="1577">
        <f t="shared" si="0"/>
        <v>100</v>
      </c>
      <c r="T9" s="1576" t="s">
        <v>2884</v>
      </c>
      <c r="U9" s="1577">
        <f t="shared" si="1"/>
        <v>100</v>
      </c>
      <c r="V9" s="1576" t="s">
        <v>2884</v>
      </c>
      <c r="W9" s="1577">
        <f t="shared" si="2"/>
        <v>100</v>
      </c>
      <c r="X9" s="1578"/>
      <c r="Y9" s="3573" t="s">
        <v>2892</v>
      </c>
      <c r="Z9" s="1594" t="str">
        <f t="shared" ref="Z9:Z15" si="7">Q9</f>
        <v>用途</v>
      </c>
      <c r="AA9" s="1593">
        <f t="shared" si="3"/>
        <v>1</v>
      </c>
      <c r="AB9" s="1593">
        <f t="shared" si="4"/>
        <v>1</v>
      </c>
      <c r="AC9" s="1593">
        <f t="shared" si="5"/>
        <v>1</v>
      </c>
    </row>
    <row r="10" spans="1:29" s="1354" customFormat="1" ht="28.8">
      <c r="A10" s="1401"/>
      <c r="B10" s="1402" t="s">
        <v>2893</v>
      </c>
      <c r="C10" s="1403" t="s">
        <v>3774</v>
      </c>
      <c r="D10" s="1404">
        <v>100</v>
      </c>
      <c r="E10" s="1403" t="s">
        <v>3775</v>
      </c>
      <c r="F10" s="1405">
        <f>SUMIF(65:65,E10,66:66)-SUMIF(65:65,C10,66:66)+100</f>
        <v>99</v>
      </c>
      <c r="G10" s="1403" t="s">
        <v>3774</v>
      </c>
      <c r="H10" s="1404">
        <f>SUMIF(65:65,G10,66:66)-SUMIF(65:65,C10,66:66)+100</f>
        <v>100</v>
      </c>
      <c r="I10" s="1403" t="s">
        <v>3775</v>
      </c>
      <c r="J10" s="1404">
        <f>SUMIF(65:65,I10,66:66)-SUMIF(65:65,C10,66:66)+100</f>
        <v>99</v>
      </c>
      <c r="K10" s="1529"/>
      <c r="L10" s="1532"/>
      <c r="M10" s="1533"/>
      <c r="N10" s="1533"/>
      <c r="O10" s="1533"/>
      <c r="P10" s="3726"/>
      <c r="Q10" s="1580" t="str">
        <f t="shared" si="6"/>
        <v>土地使用年限（年）</v>
      </c>
      <c r="R10" s="1576" t="s">
        <v>2884</v>
      </c>
      <c r="S10" s="1577">
        <f t="shared" si="0"/>
        <v>99</v>
      </c>
      <c r="T10" s="1576" t="s">
        <v>2884</v>
      </c>
      <c r="U10" s="1577">
        <f t="shared" si="1"/>
        <v>100</v>
      </c>
      <c r="V10" s="1576" t="s">
        <v>2884</v>
      </c>
      <c r="W10" s="1577">
        <f t="shared" si="2"/>
        <v>99</v>
      </c>
      <c r="X10" s="1578"/>
      <c r="Y10" s="3573"/>
      <c r="Z10" s="1594" t="str">
        <f t="shared" si="7"/>
        <v>土地使用年限（年）</v>
      </c>
      <c r="AA10" s="1593">
        <f t="shared" si="3"/>
        <v>1.0101010101010102</v>
      </c>
      <c r="AB10" s="1593">
        <f t="shared" si="4"/>
        <v>1</v>
      </c>
      <c r="AC10" s="1593">
        <f t="shared" si="5"/>
        <v>1.0101010101010102</v>
      </c>
    </row>
    <row r="11" spans="1:29" ht="15">
      <c r="A11" s="1406"/>
      <c r="B11" s="1402" t="s">
        <v>3458</v>
      </c>
      <c r="C11" s="1407"/>
      <c r="D11" s="1404">
        <v>100</v>
      </c>
      <c r="E11" s="1408"/>
      <c r="F11" s="1405">
        <f>LOOKUP(E11,68:68,69:69)-LOOKUP(C11,68:68,69:69)+100</f>
        <v>100</v>
      </c>
      <c r="G11" s="1407"/>
      <c r="H11" s="1404">
        <f>LOOKUP(G11,68:68,69:69)-LOOKUP(C11,68:68,69:69)+100</f>
        <v>100</v>
      </c>
      <c r="I11" s="1407"/>
      <c r="J11" s="1404">
        <f>LOOKUP(I11,68:68,69:69)-LOOKUP(C11,68:68,69:69)+100</f>
        <v>100</v>
      </c>
      <c r="K11" s="1534"/>
      <c r="L11" s="1535"/>
      <c r="M11" s="1528"/>
      <c r="N11" s="1528"/>
      <c r="O11" s="1528"/>
      <c r="P11" s="3726"/>
      <c r="Q11" s="1580" t="str">
        <f t="shared" si="6"/>
        <v>容积率</v>
      </c>
      <c r="R11" s="1576" t="s">
        <v>2884</v>
      </c>
      <c r="S11" s="1577">
        <f t="shared" si="0"/>
        <v>100</v>
      </c>
      <c r="T11" s="1576" t="s">
        <v>2884</v>
      </c>
      <c r="U11" s="1577">
        <f t="shared" si="1"/>
        <v>100</v>
      </c>
      <c r="V11" s="1576" t="s">
        <v>2884</v>
      </c>
      <c r="W11" s="1577">
        <f t="shared" si="2"/>
        <v>100</v>
      </c>
      <c r="X11" s="1578"/>
      <c r="Y11" s="3573"/>
      <c r="Z11" s="1594" t="str">
        <f t="shared" si="7"/>
        <v>容积率</v>
      </c>
      <c r="AA11" s="1593">
        <f t="shared" si="3"/>
        <v>1</v>
      </c>
      <c r="AB11" s="1593">
        <f t="shared" si="4"/>
        <v>1</v>
      </c>
      <c r="AC11" s="1593">
        <f t="shared" si="5"/>
        <v>1</v>
      </c>
    </row>
    <row r="12" spans="1:29" s="1353" customFormat="1" ht="15">
      <c r="A12" s="1409"/>
      <c r="B12" s="1410">
        <v>111</v>
      </c>
      <c r="C12" s="1411"/>
      <c r="D12" s="1412">
        <v>100</v>
      </c>
      <c r="E12" s="1413"/>
      <c r="F12" s="1405">
        <f>SUMIF(70:70,E12,71:71)-SUMIF(70:70,C12,71:71)+100</f>
        <v>100</v>
      </c>
      <c r="G12" s="1413"/>
      <c r="H12" s="1404">
        <f>SUMIF(70:70,G12,71:71)-SUMIF(70:70,C12,71:71)+100</f>
        <v>100</v>
      </c>
      <c r="I12" s="1413"/>
      <c r="J12" s="1404">
        <f>SUMIF(70:70,I12,71:71)-SUMIF(70:70,C12,71:71)+100</f>
        <v>100</v>
      </c>
      <c r="K12" s="1536"/>
      <c r="L12" s="1530"/>
      <c r="M12" s="1531"/>
      <c r="N12" s="1531"/>
      <c r="O12" s="1531"/>
      <c r="P12" s="3726"/>
      <c r="Q12" s="1580">
        <f t="shared" si="6"/>
        <v>111</v>
      </c>
      <c r="R12" s="1576" t="s">
        <v>2884</v>
      </c>
      <c r="S12" s="1577">
        <f t="shared" si="0"/>
        <v>100</v>
      </c>
      <c r="T12" s="1576" t="s">
        <v>2884</v>
      </c>
      <c r="U12" s="1577">
        <f t="shared" si="1"/>
        <v>100</v>
      </c>
      <c r="V12" s="1576" t="s">
        <v>2884</v>
      </c>
      <c r="W12" s="1577">
        <f t="shared" si="2"/>
        <v>100</v>
      </c>
      <c r="X12" s="1578"/>
      <c r="Y12" s="3573"/>
      <c r="Z12" s="1594">
        <f t="shared" si="7"/>
        <v>111</v>
      </c>
      <c r="AA12" s="1593">
        <f t="shared" si="3"/>
        <v>1</v>
      </c>
      <c r="AB12" s="1593">
        <f t="shared" si="4"/>
        <v>1</v>
      </c>
      <c r="AC12" s="1593">
        <f t="shared" si="5"/>
        <v>1</v>
      </c>
    </row>
    <row r="13" spans="1:29" ht="15">
      <c r="A13" s="1406"/>
      <c r="B13" s="1410">
        <v>111</v>
      </c>
      <c r="C13" s="1413"/>
      <c r="D13" s="1414">
        <v>100</v>
      </c>
      <c r="E13" s="1413"/>
      <c r="F13" s="1405">
        <f>SUMIF(72:72,E13,73:73)-SUMIF(72:72,C13,73:73)+100</f>
        <v>100</v>
      </c>
      <c r="G13" s="1413"/>
      <c r="H13" s="1414">
        <f>SUMIF(72:72,G13,73:73)-SUMIF(72:72,C13,73:73)+100</f>
        <v>100</v>
      </c>
      <c r="I13" s="1413"/>
      <c r="J13" s="1414">
        <f>SUMIF(72:72,I13,73:73)-SUMIF(72:72,C13,73:73)+100</f>
        <v>100</v>
      </c>
      <c r="K13" s="1536"/>
      <c r="L13" s="1537"/>
      <c r="M13" s="1528"/>
      <c r="N13" s="1528"/>
      <c r="O13" s="1528"/>
      <c r="P13" s="3726"/>
      <c r="Q13" s="1580">
        <f t="shared" si="6"/>
        <v>111</v>
      </c>
      <c r="R13" s="1576" t="s">
        <v>2884</v>
      </c>
      <c r="S13" s="1577">
        <f t="shared" si="0"/>
        <v>100</v>
      </c>
      <c r="T13" s="1576" t="s">
        <v>2884</v>
      </c>
      <c r="U13" s="1577">
        <f t="shared" si="1"/>
        <v>100</v>
      </c>
      <c r="V13" s="1576" t="s">
        <v>2884</v>
      </c>
      <c r="W13" s="1577">
        <f t="shared" si="2"/>
        <v>100</v>
      </c>
      <c r="X13" s="1578"/>
      <c r="Y13" s="3573"/>
      <c r="Z13" s="1594">
        <f t="shared" si="7"/>
        <v>111</v>
      </c>
      <c r="AA13" s="1593">
        <f t="shared" si="3"/>
        <v>1</v>
      </c>
      <c r="AB13" s="1593">
        <f t="shared" si="4"/>
        <v>1</v>
      </c>
      <c r="AC13" s="1593">
        <f t="shared" si="5"/>
        <v>1</v>
      </c>
    </row>
    <row r="14" spans="1:29" ht="15">
      <c r="A14" s="1415"/>
      <c r="B14" s="1416">
        <v>111</v>
      </c>
      <c r="C14" s="1417"/>
      <c r="D14" s="1418">
        <v>100</v>
      </c>
      <c r="E14" s="1413"/>
      <c r="F14" s="1419">
        <f>SUMIF(74:74,E14,75:75)-SUMIF(74:74,C14,75:75)+100</f>
        <v>100</v>
      </c>
      <c r="G14" s="1413"/>
      <c r="H14" s="1418">
        <f>SUMIF(74:74,G14,75:75)-SUMIF(74:74,C14,75:75)+100</f>
        <v>100</v>
      </c>
      <c r="I14" s="1413"/>
      <c r="J14" s="1418">
        <f>SUMIF(74:74,I14,75:75)-SUMIF(74:74,C14,75:75)+100</f>
        <v>100</v>
      </c>
      <c r="K14" s="1536"/>
      <c r="L14" s="1537"/>
      <c r="M14" s="1528"/>
      <c r="N14" s="1528"/>
      <c r="O14" s="1528"/>
      <c r="P14" s="3726"/>
      <c r="Q14" s="1580">
        <f t="shared" si="6"/>
        <v>111</v>
      </c>
      <c r="R14" s="1576" t="s">
        <v>2884</v>
      </c>
      <c r="S14" s="1577">
        <f t="shared" si="0"/>
        <v>100</v>
      </c>
      <c r="T14" s="1576" t="s">
        <v>2884</v>
      </c>
      <c r="U14" s="1577">
        <f t="shared" si="1"/>
        <v>100</v>
      </c>
      <c r="V14" s="1576" t="s">
        <v>2884</v>
      </c>
      <c r="W14" s="1577">
        <f t="shared" si="2"/>
        <v>100</v>
      </c>
      <c r="X14" s="1578"/>
      <c r="Y14" s="3573"/>
      <c r="Z14" s="1594">
        <f t="shared" si="7"/>
        <v>111</v>
      </c>
      <c r="AA14" s="1593">
        <f t="shared" si="3"/>
        <v>1</v>
      </c>
      <c r="AB14" s="1593">
        <f t="shared" si="4"/>
        <v>1</v>
      </c>
      <c r="AC14" s="1593">
        <f t="shared" si="5"/>
        <v>1</v>
      </c>
    </row>
    <row r="15" spans="1:29" ht="69">
      <c r="A15" s="1420" t="s">
        <v>2895</v>
      </c>
      <c r="B15" s="1421" t="s">
        <v>3508</v>
      </c>
      <c r="C15" s="1422" t="str">
        <f>估价对象房地状况!C4</f>
        <v>估价对象位于XX商圈，周边商业氛围成熟，人流量大，商业繁华度好</v>
      </c>
      <c r="D15" s="1423">
        <v>100</v>
      </c>
      <c r="E15" s="1424"/>
      <c r="F15" s="1425">
        <f>SUMIF(76:76,E16,77:77)-SUMIF(76:76,C16,77:77)+100</f>
        <v>110</v>
      </c>
      <c r="G15" s="1426"/>
      <c r="H15" s="1423">
        <f>SUMIF(76:76,G16,77:77)-SUMIF(76:76,C16,77:77)+100</f>
        <v>110</v>
      </c>
      <c r="I15" s="1424"/>
      <c r="J15" s="1423">
        <f>SUMIF(76:76,I16,77:77)-SUMIF(76:76,C16,77:77)+100</f>
        <v>110</v>
      </c>
      <c r="K15" s="1538">
        <v>5</v>
      </c>
      <c r="L15" s="1537"/>
      <c r="M15" s="1528"/>
      <c r="N15" s="1528"/>
      <c r="O15" s="1528"/>
      <c r="P15" s="3727" t="s">
        <v>2897</v>
      </c>
      <c r="Q15" s="1076" t="str">
        <f t="shared" si="6"/>
        <v>商业繁华度</v>
      </c>
      <c r="R15" s="1581" t="s">
        <v>2884</v>
      </c>
      <c r="S15" s="1582">
        <f t="shared" si="0"/>
        <v>110</v>
      </c>
      <c r="T15" s="1581" t="s">
        <v>2884</v>
      </c>
      <c r="U15" s="1582">
        <f t="shared" si="1"/>
        <v>110</v>
      </c>
      <c r="V15" s="1581" t="s">
        <v>2884</v>
      </c>
      <c r="W15" s="1582">
        <f t="shared" si="2"/>
        <v>110</v>
      </c>
      <c r="X15" s="1575"/>
      <c r="Y15" s="3672" t="s">
        <v>2897</v>
      </c>
      <c r="Z15" s="1574" t="str">
        <f t="shared" si="7"/>
        <v>商业繁华度</v>
      </c>
      <c r="AA15" s="1587">
        <f t="shared" si="3"/>
        <v>0.90909090909090895</v>
      </c>
      <c r="AB15" s="1587">
        <f t="shared" si="4"/>
        <v>0.90909090909090895</v>
      </c>
      <c r="AC15" s="1587">
        <f t="shared" si="5"/>
        <v>0.90909090909090895</v>
      </c>
    </row>
    <row r="16" spans="1:29" ht="15">
      <c r="A16" s="1406"/>
      <c r="B16" s="1427"/>
      <c r="C16" s="1428" t="s">
        <v>3740</v>
      </c>
      <c r="D16" s="1429"/>
      <c r="E16" s="1428" t="s">
        <v>2898</v>
      </c>
      <c r="F16" s="1430"/>
      <c r="G16" s="1428" t="s">
        <v>2898</v>
      </c>
      <c r="H16" s="1431"/>
      <c r="I16" s="1428" t="s">
        <v>2898</v>
      </c>
      <c r="J16" s="1429"/>
      <c r="K16" s="1539"/>
      <c r="L16" s="1537"/>
      <c r="M16" s="1528"/>
      <c r="N16" s="1528"/>
      <c r="O16" s="1528"/>
      <c r="P16" s="3728"/>
      <c r="Q16" s="1076"/>
      <c r="R16" s="1581"/>
      <c r="S16" s="1582"/>
      <c r="T16" s="1581"/>
      <c r="U16" s="1582"/>
      <c r="V16" s="1581"/>
      <c r="W16" s="1582"/>
      <c r="X16" s="1575"/>
      <c r="Y16" s="3673"/>
      <c r="Z16" s="1574"/>
      <c r="AA16" s="1587">
        <v>1</v>
      </c>
      <c r="AB16" s="1587">
        <v>1</v>
      </c>
      <c r="AC16" s="1587">
        <v>1</v>
      </c>
    </row>
    <row r="17" spans="1:29" ht="82.8">
      <c r="A17" s="1406"/>
      <c r="B17" s="1432" t="s">
        <v>2896</v>
      </c>
      <c r="C17" s="1433" t="str">
        <f>估价对象房地状况!C6</f>
        <v>估价对象周边道路状况、公共交通通达情况、停车便捷程度，综合评价交通便捷度较好</v>
      </c>
      <c r="D17" s="1431">
        <v>100</v>
      </c>
      <c r="E17" s="1434"/>
      <c r="F17" s="1435">
        <f>SUMIF(78:78,E18,79:79)-SUMIF(78:78,C18,79:79)+100</f>
        <v>100</v>
      </c>
      <c r="G17" s="1436"/>
      <c r="H17" s="1437">
        <f>SUMIF(78:78,G18,79:79)-SUMIF(78:78,C18,79:79)+100</f>
        <v>100</v>
      </c>
      <c r="I17" s="1434"/>
      <c r="J17" s="1437">
        <f>SUMIF(78:78,I18,79:79)-SUMIF(78:78,C18,79:79)+100</f>
        <v>100</v>
      </c>
      <c r="K17" s="1538">
        <v>3</v>
      </c>
      <c r="L17" s="1537"/>
      <c r="M17" s="1528"/>
      <c r="N17" s="1528"/>
      <c r="O17" s="1528"/>
      <c r="P17" s="3728"/>
      <c r="Q17" s="1076" t="str">
        <f>B17</f>
        <v>交通便捷度</v>
      </c>
      <c r="R17" s="1581" t="s">
        <v>2884</v>
      </c>
      <c r="S17" s="1582">
        <f>F17</f>
        <v>100</v>
      </c>
      <c r="T17" s="1581" t="s">
        <v>2884</v>
      </c>
      <c r="U17" s="1582">
        <f>H17</f>
        <v>100</v>
      </c>
      <c r="V17" s="1581" t="s">
        <v>2884</v>
      </c>
      <c r="W17" s="1582">
        <f>J17</f>
        <v>100</v>
      </c>
      <c r="X17" s="1575"/>
      <c r="Y17" s="3673"/>
      <c r="Z17" s="1574" t="str">
        <f>Q17</f>
        <v>交通便捷度</v>
      </c>
      <c r="AA17" s="1587">
        <f t="shared" si="3"/>
        <v>1</v>
      </c>
      <c r="AB17" s="1587">
        <f t="shared" si="4"/>
        <v>1</v>
      </c>
      <c r="AC17" s="1587">
        <f t="shared" si="5"/>
        <v>1</v>
      </c>
    </row>
    <row r="18" spans="1:29" ht="15">
      <c r="A18" s="1406"/>
      <c r="B18" s="1438"/>
      <c r="C18" s="1439" t="s">
        <v>2898</v>
      </c>
      <c r="D18" s="1431"/>
      <c r="E18" s="1440" t="s">
        <v>2898</v>
      </c>
      <c r="F18" s="1435"/>
      <c r="G18" s="1441" t="s">
        <v>2898</v>
      </c>
      <c r="H18" s="1429"/>
      <c r="I18" s="1440" t="s">
        <v>2898</v>
      </c>
      <c r="J18" s="1429"/>
      <c r="K18" s="1539"/>
      <c r="L18" s="1537"/>
      <c r="M18" s="1528"/>
      <c r="N18" s="1528"/>
      <c r="O18" s="1528"/>
      <c r="P18" s="3728"/>
      <c r="Q18" s="1076"/>
      <c r="R18" s="1581"/>
      <c r="S18" s="1582"/>
      <c r="T18" s="1581"/>
      <c r="U18" s="1582"/>
      <c r="V18" s="1581"/>
      <c r="W18" s="1582"/>
      <c r="X18" s="1575"/>
      <c r="Y18" s="3673"/>
      <c r="Z18" s="1574"/>
      <c r="AA18" s="1587">
        <v>1</v>
      </c>
      <c r="AB18" s="1587">
        <v>1</v>
      </c>
      <c r="AC18" s="1587">
        <v>1</v>
      </c>
    </row>
    <row r="19" spans="1:29" ht="41.4">
      <c r="A19" s="1406"/>
      <c r="B19" s="1432" t="s">
        <v>2899</v>
      </c>
      <c r="C19" s="1433" t="str">
        <f>估价对象房地状况!C7</f>
        <v>估价对象所在区域公共配套设施齐备情况</v>
      </c>
      <c r="D19" s="1437">
        <v>100</v>
      </c>
      <c r="E19" s="1442"/>
      <c r="F19" s="1443">
        <f>SUMIF(80:80,E20,81:81)-SUMIF(80:80,C20,81:81)+100</f>
        <v>103</v>
      </c>
      <c r="G19" s="1444"/>
      <c r="H19" s="1431">
        <f>SUMIF(80:80,G20,81:81)-SUMIF(80:80,C20,81:81)+100</f>
        <v>103</v>
      </c>
      <c r="I19" s="1442"/>
      <c r="J19" s="1431">
        <f>SUMIF(80:80,I20,81:81)-SUMIF(80:80,C20,81:81)+100</f>
        <v>103</v>
      </c>
      <c r="K19" s="1538">
        <v>3</v>
      </c>
      <c r="L19" s="1537"/>
      <c r="M19" s="1528"/>
      <c r="N19" s="1528"/>
      <c r="O19" s="1528"/>
      <c r="P19" s="3728"/>
      <c r="Q19" s="1076" t="str">
        <f>B19</f>
        <v>公共配套设施</v>
      </c>
      <c r="R19" s="1581" t="s">
        <v>2884</v>
      </c>
      <c r="S19" s="1582">
        <f>F19</f>
        <v>103</v>
      </c>
      <c r="T19" s="1581" t="s">
        <v>2884</v>
      </c>
      <c r="U19" s="1582">
        <f>H19</f>
        <v>103</v>
      </c>
      <c r="V19" s="1581" t="s">
        <v>2884</v>
      </c>
      <c r="W19" s="1582">
        <f>J19</f>
        <v>103</v>
      </c>
      <c r="X19" s="1575"/>
      <c r="Y19" s="3673"/>
      <c r="Z19" s="1574" t="str">
        <f>Q19</f>
        <v>公共配套设施</v>
      </c>
      <c r="AA19" s="1587">
        <f t="shared" si="3"/>
        <v>0.970873786407767</v>
      </c>
      <c r="AB19" s="1587">
        <f t="shared" si="4"/>
        <v>0.970873786407767</v>
      </c>
      <c r="AC19" s="1587">
        <f t="shared" si="5"/>
        <v>0.970873786407767</v>
      </c>
    </row>
    <row r="20" spans="1:29" ht="15">
      <c r="A20" s="1406"/>
      <c r="B20" s="1438"/>
      <c r="C20" s="1428" t="s">
        <v>2900</v>
      </c>
      <c r="D20" s="1429"/>
      <c r="E20" s="1445" t="s">
        <v>2898</v>
      </c>
      <c r="F20" s="1430"/>
      <c r="G20" s="1446" t="s">
        <v>2898</v>
      </c>
      <c r="H20" s="1429"/>
      <c r="I20" s="1445" t="s">
        <v>2898</v>
      </c>
      <c r="J20" s="1429"/>
      <c r="K20" s="1539"/>
      <c r="L20" s="1537"/>
      <c r="M20" s="1528"/>
      <c r="N20" s="1528"/>
      <c r="O20" s="1528"/>
      <c r="P20" s="3728"/>
      <c r="Q20" s="1076"/>
      <c r="R20" s="1581"/>
      <c r="S20" s="1582"/>
      <c r="T20" s="1581"/>
      <c r="U20" s="1582"/>
      <c r="V20" s="1581"/>
      <c r="W20" s="1582"/>
      <c r="X20" s="1575"/>
      <c r="Y20" s="3673"/>
      <c r="Z20" s="1574"/>
      <c r="AA20" s="1587">
        <v>1</v>
      </c>
      <c r="AB20" s="1587">
        <v>1</v>
      </c>
      <c r="AC20" s="1587">
        <v>1</v>
      </c>
    </row>
    <row r="21" spans="1:29" ht="27.6">
      <c r="A21" s="1406"/>
      <c r="B21" s="1447" t="s">
        <v>2901</v>
      </c>
      <c r="C21" s="1433" t="str">
        <f>估价对象房地状况!C8</f>
        <v>估价对象所在区域基础设施水平</v>
      </c>
      <c r="D21" s="1437">
        <v>100</v>
      </c>
      <c r="E21" s="1442"/>
      <c r="F21" s="1443">
        <f>SUMIF(82:82,E22,83:83)-SUMIF(82:82,C22,83:83)+100</f>
        <v>100</v>
      </c>
      <c r="G21" s="1444"/>
      <c r="H21" s="1431">
        <f>SUMIF(82:82,G22,83:83)-SUMIF(82:82,C22,83:83)+100</f>
        <v>100</v>
      </c>
      <c r="I21" s="1442"/>
      <c r="J21" s="1431">
        <f>SUMIF(82:82,I22,83:83)-SUMIF(82:82,C22,83:83)+100</f>
        <v>100</v>
      </c>
      <c r="K21" s="1538">
        <v>1</v>
      </c>
      <c r="L21" s="1537"/>
      <c r="M21" s="1528"/>
      <c r="N21" s="1528"/>
      <c r="O21" s="1528"/>
      <c r="P21" s="3728"/>
      <c r="Q21" s="1076" t="str">
        <f>B21</f>
        <v>基础设施水平</v>
      </c>
      <c r="R21" s="1581" t="s">
        <v>2884</v>
      </c>
      <c r="S21" s="1582">
        <f>F21</f>
        <v>100</v>
      </c>
      <c r="T21" s="1581" t="s">
        <v>2884</v>
      </c>
      <c r="U21" s="1582">
        <f>H21</f>
        <v>100</v>
      </c>
      <c r="V21" s="1581" t="s">
        <v>2884</v>
      </c>
      <c r="W21" s="1582">
        <f>J21</f>
        <v>100</v>
      </c>
      <c r="X21" s="1575"/>
      <c r="Y21" s="3673"/>
      <c r="Z21" s="1574" t="str">
        <f>Q21</f>
        <v>基础设施水平</v>
      </c>
      <c r="AA21" s="1587">
        <f t="shared" ref="AA21" si="8">D21/F21</f>
        <v>1</v>
      </c>
      <c r="AB21" s="1587">
        <f t="shared" ref="AB21" si="9">D21/H21</f>
        <v>1</v>
      </c>
      <c r="AC21" s="1587">
        <f t="shared" ref="AC21" si="10">D21/J21</f>
        <v>1</v>
      </c>
    </row>
    <row r="22" spans="1:29" ht="15">
      <c r="A22" s="1406"/>
      <c r="B22" s="1447"/>
      <c r="C22" s="1439" t="s">
        <v>236</v>
      </c>
      <c r="D22" s="1429"/>
      <c r="E22" s="1439" t="s">
        <v>236</v>
      </c>
      <c r="F22" s="1430"/>
      <c r="G22" s="1439" t="s">
        <v>236</v>
      </c>
      <c r="H22" s="1429"/>
      <c r="I22" s="1439" t="s">
        <v>236</v>
      </c>
      <c r="J22" s="1429"/>
      <c r="K22" s="1540"/>
      <c r="L22" s="1537"/>
      <c r="M22" s="1528"/>
      <c r="N22" s="1528"/>
      <c r="O22" s="1528"/>
      <c r="P22" s="3728"/>
      <c r="Q22" s="1076"/>
      <c r="R22" s="1581"/>
      <c r="S22" s="1582"/>
      <c r="T22" s="1581"/>
      <c r="U22" s="1582"/>
      <c r="V22" s="1581"/>
      <c r="W22" s="1582"/>
      <c r="X22" s="1575"/>
      <c r="Y22" s="3673"/>
      <c r="Z22" s="1574"/>
      <c r="AA22" s="1587">
        <v>1</v>
      </c>
      <c r="AB22" s="1587">
        <v>1</v>
      </c>
      <c r="AC22" s="1587">
        <v>1</v>
      </c>
    </row>
    <row r="23" spans="1:29" ht="55.2">
      <c r="A23" s="1406"/>
      <c r="B23" s="1432" t="s">
        <v>2902</v>
      </c>
      <c r="C23" s="1073" t="str">
        <f>估价对象房地状况!C9</f>
        <v>区域自然环境：；人文环境；综合评价环境状况一般</v>
      </c>
      <c r="D23" s="1431">
        <v>100</v>
      </c>
      <c r="E23" s="1434"/>
      <c r="F23" s="1435">
        <f>SUMIF(84:84,E24,85:85)-SUMIF(84:84,C24,85:85)+100</f>
        <v>103</v>
      </c>
      <c r="G23" s="1436"/>
      <c r="H23" s="1431">
        <f>SUMIF(84:84,G24,85:85)-SUMIF(84:84,C24,85:85)+100</f>
        <v>103</v>
      </c>
      <c r="I23" s="1434"/>
      <c r="J23" s="1431">
        <f>SUMIF(84:84,I24,85:85)-SUMIF(84:84,C24,85:85)+100</f>
        <v>103</v>
      </c>
      <c r="K23" s="1538">
        <v>3</v>
      </c>
      <c r="L23" s="1537"/>
      <c r="M23" s="1528"/>
      <c r="N23" s="1528"/>
      <c r="O23" s="1528"/>
      <c r="P23" s="3728"/>
      <c r="Q23" s="1076" t="str">
        <f>B23</f>
        <v>自然及人文环境</v>
      </c>
      <c r="R23" s="1581" t="s">
        <v>2884</v>
      </c>
      <c r="S23" s="1582">
        <f>F23</f>
        <v>103</v>
      </c>
      <c r="T23" s="1581" t="s">
        <v>2884</v>
      </c>
      <c r="U23" s="1582">
        <f>H23</f>
        <v>103</v>
      </c>
      <c r="V23" s="1581" t="s">
        <v>2884</v>
      </c>
      <c r="W23" s="1582">
        <f>J23</f>
        <v>103</v>
      </c>
      <c r="X23" s="1575"/>
      <c r="Y23" s="3673"/>
      <c r="Z23" s="1574" t="str">
        <f>Q23</f>
        <v>自然及人文环境</v>
      </c>
      <c r="AA23" s="1587">
        <f t="shared" si="3"/>
        <v>0.970873786407767</v>
      </c>
      <c r="AB23" s="1587">
        <f t="shared" si="4"/>
        <v>0.970873786407767</v>
      </c>
      <c r="AC23" s="1587">
        <f t="shared" si="5"/>
        <v>0.970873786407767</v>
      </c>
    </row>
    <row r="24" spans="1:29" ht="15">
      <c r="A24" s="1406"/>
      <c r="B24" s="1438"/>
      <c r="C24" s="1428" t="s">
        <v>2900</v>
      </c>
      <c r="D24" s="1429"/>
      <c r="E24" s="1445" t="s">
        <v>2898</v>
      </c>
      <c r="F24" s="1430"/>
      <c r="G24" s="1446" t="s">
        <v>2898</v>
      </c>
      <c r="H24" s="1429"/>
      <c r="I24" s="1445" t="s">
        <v>2898</v>
      </c>
      <c r="J24" s="1429"/>
      <c r="K24" s="1539"/>
      <c r="L24" s="1537"/>
      <c r="M24" s="1528"/>
      <c r="N24" s="1528"/>
      <c r="O24" s="1528"/>
      <c r="P24" s="3728"/>
      <c r="Q24" s="1076"/>
      <c r="R24" s="1581"/>
      <c r="S24" s="1582"/>
      <c r="T24" s="1581"/>
      <c r="U24" s="1582"/>
      <c r="V24" s="1581"/>
      <c r="W24" s="1582"/>
      <c r="X24" s="1575"/>
      <c r="Y24" s="3673"/>
      <c r="Z24" s="1574"/>
      <c r="AA24" s="1587">
        <v>1</v>
      </c>
      <c r="AB24" s="1587">
        <v>1</v>
      </c>
      <c r="AC24" s="1587">
        <v>1</v>
      </c>
    </row>
    <row r="25" spans="1:29" ht="15">
      <c r="A25" s="1406"/>
      <c r="B25" s="1402" t="s">
        <v>3511</v>
      </c>
      <c r="C25" s="1448"/>
      <c r="D25" s="1414">
        <v>100</v>
      </c>
      <c r="E25" s="1448"/>
      <c r="F25" s="1449">
        <f>SUMIF(86:86,E25,87:87)-SUMIF(86:86,C25,87:87)+100</f>
        <v>100</v>
      </c>
      <c r="G25" s="1448"/>
      <c r="H25" s="1414">
        <f>SUMIF(86:86,G25,87:87)-SUMIF(86:86,C25,87:87)+100</f>
        <v>100</v>
      </c>
      <c r="I25" s="1448"/>
      <c r="J25" s="1414">
        <f>SUMIF(86:86,I25,87:87)-SUMIF(86:86,C25,87:87)+100</f>
        <v>100</v>
      </c>
      <c r="K25" s="1534"/>
      <c r="L25" s="1537"/>
      <c r="M25" s="1528"/>
      <c r="N25" s="1528"/>
      <c r="O25" s="1528"/>
      <c r="P25" s="3728"/>
      <c r="Q25" s="1076" t="str">
        <f t="shared" ref="Q25:Q46" si="11">B25</f>
        <v>临街状况</v>
      </c>
      <c r="R25" s="1581" t="s">
        <v>2884</v>
      </c>
      <c r="S25" s="1582">
        <f>F25</f>
        <v>100</v>
      </c>
      <c r="T25" s="1581" t="s">
        <v>2884</v>
      </c>
      <c r="U25" s="1582">
        <f>H25</f>
        <v>100</v>
      </c>
      <c r="V25" s="1581" t="s">
        <v>2884</v>
      </c>
      <c r="W25" s="1582">
        <f>J25</f>
        <v>100</v>
      </c>
      <c r="X25" s="1575"/>
      <c r="Y25" s="3673"/>
      <c r="Z25" s="1574" t="str">
        <f>Q25</f>
        <v>临街状况</v>
      </c>
      <c r="AA25" s="1587">
        <f t="shared" si="3"/>
        <v>1</v>
      </c>
      <c r="AB25" s="1587">
        <f t="shared" si="4"/>
        <v>1</v>
      </c>
      <c r="AC25" s="1587">
        <f t="shared" si="5"/>
        <v>1</v>
      </c>
    </row>
    <row r="26" spans="1:29" ht="15">
      <c r="A26" s="1406"/>
      <c r="B26" s="1450" t="s">
        <v>3776</v>
      </c>
      <c r="C26" s="1413"/>
      <c r="D26" s="1414">
        <v>100</v>
      </c>
      <c r="E26" s="1413"/>
      <c r="F26" s="1449">
        <f>SUMIF(88:88,E26,89:89)-SUMIF(88:88,C26,89:89)+100</f>
        <v>100</v>
      </c>
      <c r="G26" s="1413"/>
      <c r="H26" s="1414">
        <f>SUMIF(88:88,G26,89:89)-SUMIF(88:88,C26,89:89)+100</f>
        <v>100</v>
      </c>
      <c r="I26" s="1413"/>
      <c r="J26" s="1414">
        <f>SUMIF(88:88,I26,89:89)-SUMIF(88:88,C26,89:89)+100</f>
        <v>100</v>
      </c>
      <c r="K26" s="1536"/>
      <c r="L26" s="1537"/>
      <c r="M26" s="1528"/>
      <c r="N26" s="1528"/>
      <c r="O26" s="1528"/>
      <c r="P26" s="3728"/>
      <c r="Q26" s="1076" t="str">
        <f t="shared" si="11"/>
        <v>平面位置/可视性</v>
      </c>
      <c r="R26" s="1581" t="s">
        <v>2884</v>
      </c>
      <c r="S26" s="1582">
        <f>F26</f>
        <v>100</v>
      </c>
      <c r="T26" s="1581" t="s">
        <v>2884</v>
      </c>
      <c r="U26" s="1582">
        <f>H26</f>
        <v>100</v>
      </c>
      <c r="V26" s="1581" t="s">
        <v>2884</v>
      </c>
      <c r="W26" s="1582">
        <f>J26</f>
        <v>100</v>
      </c>
      <c r="X26" s="1575"/>
      <c r="Y26" s="3673"/>
      <c r="Z26" s="1574" t="str">
        <f>Q26</f>
        <v>平面位置/可视性</v>
      </c>
      <c r="AA26" s="1587">
        <f t="shared" si="3"/>
        <v>1</v>
      </c>
      <c r="AB26" s="1587">
        <f t="shared" si="4"/>
        <v>1</v>
      </c>
      <c r="AC26" s="1587">
        <f t="shared" si="5"/>
        <v>1</v>
      </c>
    </row>
    <row r="27" spans="1:29" s="1353" customFormat="1" ht="15">
      <c r="A27" s="1409"/>
      <c r="B27" s="1432" t="s">
        <v>3777</v>
      </c>
      <c r="C27" s="1451"/>
      <c r="D27" s="1452">
        <v>100</v>
      </c>
      <c r="E27" s="1451"/>
      <c r="F27" s="1453">
        <f>SUMIF(90:90,E27,91:91)-SUMIF(90:90,C27,91:91)+100</f>
        <v>100</v>
      </c>
      <c r="G27" s="1451"/>
      <c r="H27" s="1452">
        <f>SUMIF(90:90,G27,91:91)-SUMIF(90:90,C27,91:91)+100</f>
        <v>100</v>
      </c>
      <c r="I27" s="1451"/>
      <c r="J27" s="1452">
        <f>SUMIF(90:90,I27,91:91)-SUMIF(90:90,C27,91:91)+100</f>
        <v>100</v>
      </c>
      <c r="K27" s="1534"/>
      <c r="L27" s="1530"/>
      <c r="M27" s="1531"/>
      <c r="N27" s="1531"/>
      <c r="O27" s="1531"/>
      <c r="P27" s="3728"/>
      <c r="Q27" s="1580" t="str">
        <f t="shared" si="11"/>
        <v>人流量</v>
      </c>
      <c r="R27" s="1576" t="s">
        <v>2884</v>
      </c>
      <c r="S27" s="1577">
        <f>F27</f>
        <v>100</v>
      </c>
      <c r="T27" s="1576" t="s">
        <v>2884</v>
      </c>
      <c r="U27" s="1577">
        <f>H27</f>
        <v>100</v>
      </c>
      <c r="V27" s="1576" t="s">
        <v>2884</v>
      </c>
      <c r="W27" s="1577">
        <f>J27</f>
        <v>100</v>
      </c>
      <c r="X27" s="1578"/>
      <c r="Y27" s="3673"/>
      <c r="Z27" s="1594" t="str">
        <f>Q27</f>
        <v>人流量</v>
      </c>
      <c r="AA27" s="1587">
        <f t="shared" si="3"/>
        <v>1</v>
      </c>
      <c r="AB27" s="1587">
        <f t="shared" si="4"/>
        <v>1</v>
      </c>
      <c r="AC27" s="1587">
        <f t="shared" si="5"/>
        <v>1</v>
      </c>
    </row>
    <row r="28" spans="1:29" ht="15">
      <c r="A28" s="1406"/>
      <c r="B28" s="1402" t="s">
        <v>2903</v>
      </c>
      <c r="C28" s="1448">
        <v>-1</v>
      </c>
      <c r="D28" s="1414">
        <v>100</v>
      </c>
      <c r="E28" s="1448">
        <v>-1</v>
      </c>
      <c r="F28" s="1449">
        <f>SUMIF(92:92,E28,93:93)-SUMIF(92:92,C28,93:93)+100</f>
        <v>100</v>
      </c>
      <c r="G28" s="1448">
        <v>-1</v>
      </c>
      <c r="H28" s="1414">
        <f>SUMIF(92:92,G28,93:93)-SUMIF(92:92,C28,93:93)+100</f>
        <v>100</v>
      </c>
      <c r="I28" s="1448">
        <v>-1</v>
      </c>
      <c r="J28" s="1414">
        <f>SUMIF(92:92,I28,93:93)-SUMIF(92:92,C28,93:93)+100</f>
        <v>100</v>
      </c>
      <c r="K28" s="1536"/>
      <c r="L28" s="1537"/>
      <c r="M28" s="1528"/>
      <c r="N28" s="1528"/>
      <c r="O28" s="1528"/>
      <c r="P28" s="3728"/>
      <c r="Q28" s="1076" t="str">
        <f t="shared" si="11"/>
        <v>楼层</v>
      </c>
      <c r="R28" s="1581" t="s">
        <v>2884</v>
      </c>
      <c r="S28" s="1582">
        <f t="shared" ref="S28:S46" si="12">F28</f>
        <v>100</v>
      </c>
      <c r="T28" s="1581" t="s">
        <v>2884</v>
      </c>
      <c r="U28" s="1582">
        <f t="shared" ref="U28:U46" si="13">H28</f>
        <v>100</v>
      </c>
      <c r="V28" s="1581" t="s">
        <v>2884</v>
      </c>
      <c r="W28" s="1582">
        <f t="shared" ref="W28:W46" si="14">J28</f>
        <v>100</v>
      </c>
      <c r="X28" s="1575"/>
      <c r="Y28" s="3673"/>
      <c r="Z28" s="1574" t="str">
        <f t="shared" ref="Z28:Z46" si="15">Q28</f>
        <v>楼层</v>
      </c>
      <c r="AA28" s="1587">
        <f t="shared" si="3"/>
        <v>1</v>
      </c>
      <c r="AB28" s="1587">
        <f t="shared" si="4"/>
        <v>1</v>
      </c>
      <c r="AC28" s="1587">
        <f t="shared" si="5"/>
        <v>1</v>
      </c>
    </row>
    <row r="29" spans="1:29" ht="15">
      <c r="A29" s="1406"/>
      <c r="B29" s="1450">
        <v>111</v>
      </c>
      <c r="C29" s="1413"/>
      <c r="D29" s="1414">
        <v>100</v>
      </c>
      <c r="E29" s="1413"/>
      <c r="F29" s="1449">
        <f>SUMIF(94:94,E29,95:95)-SUMIF(94:94,C29,95:95)+100</f>
        <v>100</v>
      </c>
      <c r="G29" s="1413"/>
      <c r="H29" s="1414">
        <f>SUMIF(94:94,G29,95:95)-SUMIF(94:94,C29,95:95)+100</f>
        <v>100</v>
      </c>
      <c r="I29" s="1413"/>
      <c r="J29" s="1414">
        <f>SUMIF(94:94,I29,95:95)-SUMIF(94:94,C29,95:95)+100</f>
        <v>100</v>
      </c>
      <c r="K29" s="1536"/>
      <c r="L29" s="1537"/>
      <c r="M29" s="1528"/>
      <c r="N29" s="1528"/>
      <c r="O29" s="1528"/>
      <c r="P29" s="3728"/>
      <c r="Q29" s="1076">
        <f t="shared" si="11"/>
        <v>111</v>
      </c>
      <c r="R29" s="1581" t="s">
        <v>2884</v>
      </c>
      <c r="S29" s="1582">
        <f t="shared" si="12"/>
        <v>100</v>
      </c>
      <c r="T29" s="1581" t="s">
        <v>2884</v>
      </c>
      <c r="U29" s="1582">
        <f t="shared" si="13"/>
        <v>100</v>
      </c>
      <c r="V29" s="1581" t="s">
        <v>2884</v>
      </c>
      <c r="W29" s="1582">
        <f t="shared" si="14"/>
        <v>100</v>
      </c>
      <c r="X29" s="1575"/>
      <c r="Y29" s="3673"/>
      <c r="Z29" s="1574">
        <f t="shared" si="15"/>
        <v>111</v>
      </c>
      <c r="AA29" s="1587">
        <f t="shared" si="3"/>
        <v>1</v>
      </c>
      <c r="AB29" s="1587">
        <f t="shared" si="4"/>
        <v>1</v>
      </c>
      <c r="AC29" s="1587">
        <f t="shared" si="5"/>
        <v>1</v>
      </c>
    </row>
    <row r="30" spans="1:29" ht="15">
      <c r="A30" s="1406"/>
      <c r="B30" s="1450">
        <v>111</v>
      </c>
      <c r="C30" s="1413"/>
      <c r="D30" s="1414">
        <v>100</v>
      </c>
      <c r="E30" s="1413"/>
      <c r="F30" s="1449">
        <f>SUMIF(96:96,E30,97:97)-SUMIF(96:96,C30,97:97)+100</f>
        <v>100</v>
      </c>
      <c r="G30" s="1413"/>
      <c r="H30" s="1414">
        <f>SUMIF(96:96,G30,97:97)-SUMIF(96:96,C30,97:97)+100</f>
        <v>100</v>
      </c>
      <c r="I30" s="1413"/>
      <c r="J30" s="1414">
        <f>SUMIF(96:96,I30,97:97)-SUMIF(96:96,C30,97:97)+100</f>
        <v>100</v>
      </c>
      <c r="K30" s="1536"/>
      <c r="L30" s="1537"/>
      <c r="M30" s="1528"/>
      <c r="N30" s="1528"/>
      <c r="O30" s="1528"/>
      <c r="P30" s="3728"/>
      <c r="Q30" s="1076">
        <f t="shared" si="11"/>
        <v>111</v>
      </c>
      <c r="R30" s="1581" t="s">
        <v>2884</v>
      </c>
      <c r="S30" s="1582">
        <f t="shared" si="12"/>
        <v>100</v>
      </c>
      <c r="T30" s="1581" t="s">
        <v>2884</v>
      </c>
      <c r="U30" s="1582">
        <f t="shared" si="13"/>
        <v>100</v>
      </c>
      <c r="V30" s="1581" t="s">
        <v>2884</v>
      </c>
      <c r="W30" s="1582">
        <f t="shared" si="14"/>
        <v>100</v>
      </c>
      <c r="X30" s="1575"/>
      <c r="Y30" s="3673"/>
      <c r="Z30" s="1574">
        <f t="shared" si="15"/>
        <v>111</v>
      </c>
      <c r="AA30" s="1587">
        <f t="shared" si="3"/>
        <v>1</v>
      </c>
      <c r="AB30" s="1587">
        <f t="shared" si="4"/>
        <v>1</v>
      </c>
      <c r="AC30" s="1587">
        <f t="shared" si="5"/>
        <v>1</v>
      </c>
    </row>
    <row r="31" spans="1:29" ht="15">
      <c r="A31" s="1415"/>
      <c r="B31" s="1450">
        <v>111</v>
      </c>
      <c r="C31" s="1417"/>
      <c r="D31" s="1418">
        <v>100</v>
      </c>
      <c r="E31" s="1413"/>
      <c r="F31" s="1419">
        <f>SUMIF(98:98,E31,99:99)-SUMIF(98:98,C31,99:99)+100</f>
        <v>100</v>
      </c>
      <c r="G31" s="1413"/>
      <c r="H31" s="1418">
        <f>SUMIF(98:98,G31,99:99)-SUMIF(98:98,C31,99:99)+100</f>
        <v>100</v>
      </c>
      <c r="I31" s="1413"/>
      <c r="J31" s="1418">
        <f>SUMIF(98:98,I31,99:99)-SUMIF(98:98,C31,99:99)+100</f>
        <v>100</v>
      </c>
      <c r="K31" s="1536"/>
      <c r="L31" s="1537"/>
      <c r="M31" s="1528"/>
      <c r="N31" s="1528"/>
      <c r="O31" s="1528"/>
      <c r="P31" s="3728"/>
      <c r="Q31" s="1076">
        <f t="shared" si="11"/>
        <v>111</v>
      </c>
      <c r="R31" s="1581" t="s">
        <v>2884</v>
      </c>
      <c r="S31" s="1582">
        <f t="shared" si="12"/>
        <v>100</v>
      </c>
      <c r="T31" s="1581" t="s">
        <v>2884</v>
      </c>
      <c r="U31" s="1582">
        <f t="shared" si="13"/>
        <v>100</v>
      </c>
      <c r="V31" s="1581" t="s">
        <v>2884</v>
      </c>
      <c r="W31" s="1582">
        <f t="shared" si="14"/>
        <v>100</v>
      </c>
      <c r="X31" s="1575"/>
      <c r="Y31" s="3673"/>
      <c r="Z31" s="1574">
        <f t="shared" si="15"/>
        <v>111</v>
      </c>
      <c r="AA31" s="1587">
        <f t="shared" si="3"/>
        <v>1</v>
      </c>
      <c r="AB31" s="1587">
        <f t="shared" si="4"/>
        <v>1</v>
      </c>
      <c r="AC31" s="1587">
        <f t="shared" si="5"/>
        <v>1</v>
      </c>
    </row>
    <row r="32" spans="1:29" ht="15">
      <c r="A32" s="1420" t="s">
        <v>2904</v>
      </c>
      <c r="B32" s="1396" t="s">
        <v>3778</v>
      </c>
      <c r="C32" s="1454" t="s">
        <v>3779</v>
      </c>
      <c r="D32" s="1455">
        <v>100</v>
      </c>
      <c r="E32" s="1454" t="s">
        <v>3780</v>
      </c>
      <c r="F32" s="1449">
        <f>SUMIF(100:100,E32,101:101)-SUMIF(100:100,C32,101:101)+100</f>
        <v>110</v>
      </c>
      <c r="G32" s="1454" t="s">
        <v>3781</v>
      </c>
      <c r="H32" s="1414">
        <f>SUMIF(100:100,G32,101:101)-SUMIF(100:100,C32,101:101)+100</f>
        <v>105</v>
      </c>
      <c r="I32" s="1454" t="s">
        <v>3779</v>
      </c>
      <c r="J32" s="1455">
        <f>SUMIF(100:100,I32,101:101)-SUMIF(100:100,C32,101:101)+100</f>
        <v>100</v>
      </c>
      <c r="K32" s="1534">
        <v>5</v>
      </c>
      <c r="L32" s="1537"/>
      <c r="M32" s="1528"/>
      <c r="N32" s="1528"/>
      <c r="O32" s="1528"/>
      <c r="P32" s="3729" t="s">
        <v>2906</v>
      </c>
      <c r="Q32" s="1076" t="str">
        <f t="shared" si="11"/>
        <v>商业类型</v>
      </c>
      <c r="R32" s="1581" t="s">
        <v>2884</v>
      </c>
      <c r="S32" s="1582">
        <f t="shared" si="12"/>
        <v>110</v>
      </c>
      <c r="T32" s="1581" t="s">
        <v>2884</v>
      </c>
      <c r="U32" s="1582">
        <f t="shared" si="13"/>
        <v>105</v>
      </c>
      <c r="V32" s="1581" t="s">
        <v>2884</v>
      </c>
      <c r="W32" s="1582">
        <f t="shared" si="14"/>
        <v>100</v>
      </c>
      <c r="X32" s="1575"/>
      <c r="Y32" s="3675" t="s">
        <v>2906</v>
      </c>
      <c r="Z32" s="1574" t="str">
        <f t="shared" si="15"/>
        <v>商业类型</v>
      </c>
      <c r="AA32" s="1587">
        <f t="shared" si="3"/>
        <v>0.90909090909090906</v>
      </c>
      <c r="AB32" s="1587">
        <f t="shared" si="4"/>
        <v>0.95238095238095233</v>
      </c>
      <c r="AC32" s="1587">
        <f t="shared" si="5"/>
        <v>1</v>
      </c>
    </row>
    <row r="33" spans="1:29" s="1355" customFormat="1" ht="15">
      <c r="A33" s="1456"/>
      <c r="B33" s="1402" t="s">
        <v>3463</v>
      </c>
      <c r="C33" s="1457">
        <f>'数据-基础表'!M13</f>
        <v>1008.26</v>
      </c>
      <c r="D33" s="1404">
        <v>100</v>
      </c>
      <c r="E33" s="1408">
        <v>75.03</v>
      </c>
      <c r="F33" s="1405">
        <f>LOOKUP(E33,103:103,104:104)-LOOKUP(C33,103:103,104:104)+100</f>
        <v>100</v>
      </c>
      <c r="G33" s="1407">
        <v>136.03</v>
      </c>
      <c r="H33" s="1404">
        <f>LOOKUP(G33,103:103,104:104)-LOOKUP(C33,103:103,104:104)+100</f>
        <v>100</v>
      </c>
      <c r="I33" s="1407">
        <v>1207.96</v>
      </c>
      <c r="J33" s="1404">
        <f>LOOKUP(I33,103:103,104:104)-LOOKUP(C33,103:103,104:104)+100</f>
        <v>100</v>
      </c>
      <c r="K33" s="1536"/>
      <c r="L33" s="1535"/>
      <c r="M33" s="1541"/>
      <c r="N33" s="1541"/>
      <c r="O33" s="1541"/>
      <c r="P33" s="3730"/>
      <c r="Q33" s="1583" t="str">
        <f t="shared" si="11"/>
        <v>项目建筑规模</v>
      </c>
      <c r="R33" s="1584" t="s">
        <v>2884</v>
      </c>
      <c r="S33" s="1585">
        <f t="shared" si="12"/>
        <v>100</v>
      </c>
      <c r="T33" s="1584" t="s">
        <v>2884</v>
      </c>
      <c r="U33" s="1585">
        <f t="shared" si="13"/>
        <v>100</v>
      </c>
      <c r="V33" s="1584" t="s">
        <v>2884</v>
      </c>
      <c r="W33" s="1585">
        <f t="shared" si="14"/>
        <v>100</v>
      </c>
      <c r="X33" s="1586"/>
      <c r="Y33" s="3675"/>
      <c r="Z33" s="1595" t="str">
        <f t="shared" si="15"/>
        <v>项目建筑规模</v>
      </c>
      <c r="AA33" s="1587">
        <f t="shared" si="3"/>
        <v>1</v>
      </c>
      <c r="AB33" s="1587">
        <f t="shared" si="4"/>
        <v>1</v>
      </c>
      <c r="AC33" s="1587">
        <f t="shared" si="5"/>
        <v>1</v>
      </c>
    </row>
    <row r="34" spans="1:29" ht="15">
      <c r="A34" s="1458"/>
      <c r="B34" s="1402" t="s">
        <v>3464</v>
      </c>
      <c r="C34" s="1459" t="s">
        <v>3187</v>
      </c>
      <c r="D34" s="1414">
        <v>100</v>
      </c>
      <c r="E34" s="1459" t="s">
        <v>3187</v>
      </c>
      <c r="F34" s="1449">
        <f>SUMIF(105:105,E34,106:106)-SUMIF(105:105,C34,106:106)+100</f>
        <v>100</v>
      </c>
      <c r="G34" s="1459" t="s">
        <v>3187</v>
      </c>
      <c r="H34" s="1414">
        <f>SUMIF(105:105,G34,106:106)-SUMIF(105:105,C34,106:106)+100</f>
        <v>100</v>
      </c>
      <c r="I34" s="1459" t="s">
        <v>3187</v>
      </c>
      <c r="J34" s="1414">
        <f>SUMIF(105:105,I34,106:106)-SUMIF(105:105,C34,106:106)+100</f>
        <v>100</v>
      </c>
      <c r="K34" s="1534">
        <v>2</v>
      </c>
      <c r="L34" s="1537"/>
      <c r="M34" s="1528"/>
      <c r="N34" s="1528"/>
      <c r="O34" s="1528"/>
      <c r="P34" s="3730"/>
      <c r="Q34" s="1076" t="str">
        <f t="shared" si="11"/>
        <v>建筑结构</v>
      </c>
      <c r="R34" s="1581" t="s">
        <v>2884</v>
      </c>
      <c r="S34" s="1582">
        <f t="shared" si="12"/>
        <v>100</v>
      </c>
      <c r="T34" s="1581" t="s">
        <v>2884</v>
      </c>
      <c r="U34" s="1582">
        <f t="shared" si="13"/>
        <v>100</v>
      </c>
      <c r="V34" s="1581" t="s">
        <v>2884</v>
      </c>
      <c r="W34" s="1582">
        <f t="shared" si="14"/>
        <v>100</v>
      </c>
      <c r="X34" s="1575"/>
      <c r="Y34" s="3675"/>
      <c r="Z34" s="1574" t="str">
        <f t="shared" si="15"/>
        <v>建筑结构</v>
      </c>
      <c r="AA34" s="1587">
        <f t="shared" si="3"/>
        <v>1</v>
      </c>
      <c r="AB34" s="1587">
        <f t="shared" si="4"/>
        <v>1</v>
      </c>
      <c r="AC34" s="1587">
        <f t="shared" si="5"/>
        <v>1</v>
      </c>
    </row>
    <row r="35" spans="1:29" ht="15">
      <c r="A35" s="1458"/>
      <c r="B35" s="1402" t="s">
        <v>2912</v>
      </c>
      <c r="C35" s="1460" t="s">
        <v>3782</v>
      </c>
      <c r="D35" s="1414">
        <v>100</v>
      </c>
      <c r="E35" s="1460" t="s">
        <v>3782</v>
      </c>
      <c r="F35" s="1449">
        <f>SUMIF(107:107,E35,108:108)-SUMIF(107:107,C35,108:108)+100</f>
        <v>100</v>
      </c>
      <c r="G35" s="1460" t="s">
        <v>3782</v>
      </c>
      <c r="H35" s="1414">
        <f>SUMIF(107:107,G35,108:108)-SUMIF(107:107,C35,108:108)+100</f>
        <v>100</v>
      </c>
      <c r="I35" s="1460" t="s">
        <v>3782</v>
      </c>
      <c r="J35" s="1414">
        <f>SUMIF(107:107,I35,108:108)-SUMIF(107:107,C35,108:108)+100</f>
        <v>100</v>
      </c>
      <c r="K35" s="1534">
        <v>2</v>
      </c>
      <c r="L35" s="1537"/>
      <c r="M35" s="1528"/>
      <c r="N35" s="1528"/>
      <c r="O35" s="1528"/>
      <c r="P35" s="3730"/>
      <c r="Q35" s="1076" t="str">
        <f t="shared" si="11"/>
        <v>公共部分装修</v>
      </c>
      <c r="R35" s="1581" t="s">
        <v>2884</v>
      </c>
      <c r="S35" s="1582">
        <f t="shared" si="12"/>
        <v>100</v>
      </c>
      <c r="T35" s="1581" t="s">
        <v>2884</v>
      </c>
      <c r="U35" s="1582">
        <f t="shared" si="13"/>
        <v>100</v>
      </c>
      <c r="V35" s="1581" t="s">
        <v>2884</v>
      </c>
      <c r="W35" s="1582">
        <f t="shared" si="14"/>
        <v>100</v>
      </c>
      <c r="X35" s="1575"/>
      <c r="Y35" s="3675"/>
      <c r="Z35" s="1574" t="str">
        <f t="shared" si="15"/>
        <v>公共部分装修</v>
      </c>
      <c r="AA35" s="1587">
        <f t="shared" si="3"/>
        <v>1</v>
      </c>
      <c r="AB35" s="1587">
        <f t="shared" si="4"/>
        <v>1</v>
      </c>
      <c r="AC35" s="1587">
        <f t="shared" si="5"/>
        <v>1</v>
      </c>
    </row>
    <row r="36" spans="1:29" ht="15">
      <c r="A36" s="1458"/>
      <c r="B36" s="1402" t="s">
        <v>2507</v>
      </c>
      <c r="C36" s="1461">
        <v>1</v>
      </c>
      <c r="D36" s="1414">
        <v>100</v>
      </c>
      <c r="E36" s="1461">
        <v>0.9</v>
      </c>
      <c r="F36" s="1449">
        <f>LOOKUP(E36,110:110,111:111)-LOOKUP(C36,110:110,111:111)+100</f>
        <v>100</v>
      </c>
      <c r="G36" s="1461">
        <v>0.9</v>
      </c>
      <c r="H36" s="1449">
        <f>LOOKUP(G36,110:110,111:111)-LOOKUP(C36,110:110,111:111)+100</f>
        <v>100</v>
      </c>
      <c r="I36" s="1461">
        <v>0.9</v>
      </c>
      <c r="J36" s="1414">
        <f>LOOKUP(I36,110:110,111:111)-LOOKUP(C36,110:110,111:111)+100</f>
        <v>100</v>
      </c>
      <c r="K36" s="1534">
        <v>2</v>
      </c>
      <c r="L36" s="1537"/>
      <c r="M36" s="1528"/>
      <c r="N36" s="1528"/>
      <c r="O36" s="1528"/>
      <c r="P36" s="3730"/>
      <c r="Q36" s="1076" t="str">
        <f t="shared" si="11"/>
        <v>成新度</v>
      </c>
      <c r="R36" s="1581" t="s">
        <v>2884</v>
      </c>
      <c r="S36" s="1582">
        <f t="shared" si="12"/>
        <v>100</v>
      </c>
      <c r="T36" s="1581" t="s">
        <v>2884</v>
      </c>
      <c r="U36" s="1582">
        <f t="shared" si="13"/>
        <v>100</v>
      </c>
      <c r="V36" s="1581" t="s">
        <v>2884</v>
      </c>
      <c r="W36" s="1582">
        <f t="shared" si="14"/>
        <v>100</v>
      </c>
      <c r="X36" s="1575"/>
      <c r="Y36" s="3675"/>
      <c r="Z36" s="1574" t="str">
        <f t="shared" si="15"/>
        <v>成新度</v>
      </c>
      <c r="AA36" s="1587">
        <f t="shared" si="3"/>
        <v>1</v>
      </c>
      <c r="AB36" s="1587">
        <f t="shared" si="4"/>
        <v>1</v>
      </c>
      <c r="AC36" s="1587">
        <f t="shared" si="5"/>
        <v>1</v>
      </c>
    </row>
    <row r="37" spans="1:29" s="1353" customFormat="1" ht="15">
      <c r="A37" s="1462"/>
      <c r="B37" s="1402" t="s">
        <v>3467</v>
      </c>
      <c r="C37" s="1460"/>
      <c r="D37" s="1404">
        <v>100</v>
      </c>
      <c r="E37" s="1460"/>
      <c r="F37" s="1449">
        <f>SUMIF(112:112,E37,113:113)-SUMIF(112:112,C37,113:113)+100</f>
        <v>100</v>
      </c>
      <c r="G37" s="1460"/>
      <c r="H37" s="1414">
        <f>SUMIF(112:112,G37,113:113)-SUMIF(112:112,C37,113:113)+100</f>
        <v>100</v>
      </c>
      <c r="I37" s="1460"/>
      <c r="J37" s="1414">
        <f>SUMIF(112:112,I37,113:113)-SUMIF(112:112,C37,113:113)+100</f>
        <v>100</v>
      </c>
      <c r="K37" s="1534"/>
      <c r="L37" s="1530"/>
      <c r="M37" s="1531"/>
      <c r="N37" s="1531"/>
      <c r="O37" s="1531"/>
      <c r="P37" s="3730"/>
      <c r="Q37" s="1580" t="str">
        <f t="shared" si="11"/>
        <v>市政基础设施</v>
      </c>
      <c r="R37" s="1576" t="s">
        <v>2884</v>
      </c>
      <c r="S37" s="1577">
        <f t="shared" si="12"/>
        <v>100</v>
      </c>
      <c r="T37" s="1576" t="s">
        <v>2884</v>
      </c>
      <c r="U37" s="1577">
        <f t="shared" si="13"/>
        <v>100</v>
      </c>
      <c r="V37" s="1576" t="s">
        <v>2884</v>
      </c>
      <c r="W37" s="1577">
        <f t="shared" si="14"/>
        <v>100</v>
      </c>
      <c r="X37" s="1578"/>
      <c r="Y37" s="3675"/>
      <c r="Z37" s="1594" t="str">
        <f t="shared" si="15"/>
        <v>市政基础设施</v>
      </c>
      <c r="AA37" s="1593">
        <f t="shared" si="3"/>
        <v>1</v>
      </c>
      <c r="AB37" s="1593">
        <f t="shared" si="4"/>
        <v>1</v>
      </c>
      <c r="AC37" s="1593">
        <f t="shared" si="5"/>
        <v>1</v>
      </c>
    </row>
    <row r="38" spans="1:29" ht="15">
      <c r="A38" s="1458"/>
      <c r="B38" s="1402" t="s">
        <v>3783</v>
      </c>
      <c r="C38" s="1460"/>
      <c r="D38" s="1414">
        <v>100</v>
      </c>
      <c r="E38" s="1460"/>
      <c r="F38" s="1449">
        <f>SUMIF(114:114,E38,115:115)-SUMIF(114:114,C38,115:115)+100</f>
        <v>100</v>
      </c>
      <c r="G38" s="1460"/>
      <c r="H38" s="1414">
        <f>SUMIF(114:114,G38,115:115)-SUMIF(114:114,C38,115:115)+100</f>
        <v>100</v>
      </c>
      <c r="I38" s="1460"/>
      <c r="J38" s="1414">
        <f>SUMIF(114:114,I38,115:115)-SUMIF(114:114,C38,115:115)+100</f>
        <v>100</v>
      </c>
      <c r="K38" s="1534"/>
      <c r="L38" s="1537"/>
      <c r="M38" s="1528"/>
      <c r="N38" s="1528"/>
      <c r="O38" s="1528"/>
      <c r="P38" s="3730" t="s">
        <v>2906</v>
      </c>
      <c r="Q38" s="1076" t="str">
        <f t="shared" si="11"/>
        <v>业态</v>
      </c>
      <c r="R38" s="1581" t="s">
        <v>2884</v>
      </c>
      <c r="S38" s="1582">
        <f t="shared" si="12"/>
        <v>100</v>
      </c>
      <c r="T38" s="1581" t="s">
        <v>2884</v>
      </c>
      <c r="U38" s="1582">
        <f t="shared" si="13"/>
        <v>100</v>
      </c>
      <c r="V38" s="1581" t="s">
        <v>2884</v>
      </c>
      <c r="W38" s="1582">
        <f t="shared" si="14"/>
        <v>100</v>
      </c>
      <c r="X38" s="1575"/>
      <c r="Y38" s="3675" t="s">
        <v>2906</v>
      </c>
      <c r="Z38" s="1574" t="str">
        <f t="shared" si="15"/>
        <v>业态</v>
      </c>
      <c r="AA38" s="1587">
        <f t="shared" si="3"/>
        <v>1</v>
      </c>
      <c r="AB38" s="1587">
        <f t="shared" si="4"/>
        <v>1</v>
      </c>
      <c r="AC38" s="1587">
        <f t="shared" si="5"/>
        <v>1</v>
      </c>
    </row>
    <row r="39" spans="1:29" ht="15">
      <c r="A39" s="1458"/>
      <c r="B39" s="1402" t="s">
        <v>3497</v>
      </c>
      <c r="C39" s="1460"/>
      <c r="D39" s="1414">
        <v>100</v>
      </c>
      <c r="E39" s="1460"/>
      <c r="F39" s="1449">
        <f>SUMIF(116:116,E39,117:117)-SUMIF(116:116,C39,117:117)+100</f>
        <v>100</v>
      </c>
      <c r="G39" s="1460"/>
      <c r="H39" s="1414">
        <f>SUMIF(116:116,G39,117:117)-SUMIF(116:116,C39,117:117)+100</f>
        <v>100</v>
      </c>
      <c r="I39" s="1460"/>
      <c r="J39" s="1414">
        <f>SUMIF(116:116,I39,117:117)-SUMIF(116:116,C39,117:117)+100</f>
        <v>100</v>
      </c>
      <c r="K39" s="1534"/>
      <c r="L39" s="1537"/>
      <c r="M39" s="1528"/>
      <c r="N39" s="1528"/>
      <c r="O39" s="1528"/>
      <c r="P39" s="3730"/>
      <c r="Q39" s="1076" t="str">
        <f t="shared" si="11"/>
        <v>层高</v>
      </c>
      <c r="R39" s="1581" t="s">
        <v>2884</v>
      </c>
      <c r="S39" s="1582">
        <f t="shared" si="12"/>
        <v>100</v>
      </c>
      <c r="T39" s="1581" t="s">
        <v>2884</v>
      </c>
      <c r="U39" s="1582">
        <f t="shared" si="13"/>
        <v>100</v>
      </c>
      <c r="V39" s="1581" t="s">
        <v>2884</v>
      </c>
      <c r="W39" s="1582">
        <f t="shared" si="14"/>
        <v>100</v>
      </c>
      <c r="X39" s="1575"/>
      <c r="Y39" s="3675"/>
      <c r="Z39" s="1574" t="str">
        <f t="shared" si="15"/>
        <v>层高</v>
      </c>
      <c r="AA39" s="1587">
        <f t="shared" si="3"/>
        <v>1</v>
      </c>
      <c r="AB39" s="1587">
        <f t="shared" si="4"/>
        <v>1</v>
      </c>
      <c r="AC39" s="1587">
        <f t="shared" si="5"/>
        <v>1</v>
      </c>
    </row>
    <row r="40" spans="1:29" ht="15">
      <c r="A40" s="1458"/>
      <c r="B40" s="1402" t="s">
        <v>3500</v>
      </c>
      <c r="C40" s="1463"/>
      <c r="D40" s="1414">
        <v>100</v>
      </c>
      <c r="E40" s="1464"/>
      <c r="F40" s="1449">
        <f>SUMIF(118:118,E40,119:119)-SUMIF(118:118,C40,119:119)+100</f>
        <v>100</v>
      </c>
      <c r="G40" s="1464"/>
      <c r="H40" s="1414">
        <f>SUMIF(118:118,G40,119:119)-SUMIF(118:118,C40,119:119)+100</f>
        <v>100</v>
      </c>
      <c r="I40" s="1464"/>
      <c r="J40" s="1414">
        <f>SUMIF(118:118,I40,119:119)-SUMIF(118:118,C40,119:119)+100</f>
        <v>100</v>
      </c>
      <c r="K40" s="1536"/>
      <c r="L40" s="1537"/>
      <c r="M40" s="1528"/>
      <c r="N40" s="1528"/>
      <c r="O40" s="1528"/>
      <c r="P40" s="3730"/>
      <c r="Q40" s="1076" t="str">
        <f t="shared" si="11"/>
        <v>单套建筑面积</v>
      </c>
      <c r="R40" s="1581" t="s">
        <v>2884</v>
      </c>
      <c r="S40" s="1582">
        <f t="shared" si="12"/>
        <v>100</v>
      </c>
      <c r="T40" s="1581" t="s">
        <v>2884</v>
      </c>
      <c r="U40" s="1582">
        <f t="shared" si="13"/>
        <v>100</v>
      </c>
      <c r="V40" s="1581" t="s">
        <v>2884</v>
      </c>
      <c r="W40" s="1582">
        <f t="shared" si="14"/>
        <v>100</v>
      </c>
      <c r="X40" s="1575"/>
      <c r="Y40" s="3675"/>
      <c r="Z40" s="1574" t="str">
        <f t="shared" si="15"/>
        <v>单套建筑面积</v>
      </c>
      <c r="AA40" s="1587">
        <f t="shared" si="3"/>
        <v>1</v>
      </c>
      <c r="AB40" s="1587">
        <f t="shared" si="4"/>
        <v>1</v>
      </c>
      <c r="AC40" s="1587">
        <f t="shared" si="5"/>
        <v>1</v>
      </c>
    </row>
    <row r="41" spans="1:29" s="1355" customFormat="1" ht="15">
      <c r="A41" s="1456"/>
      <c r="B41" s="1465" t="s">
        <v>3784</v>
      </c>
      <c r="C41" s="1448"/>
      <c r="D41" s="1414">
        <v>100</v>
      </c>
      <c r="E41" s="1448"/>
      <c r="F41" s="1449">
        <f>SUMIF(120:120,E41,121:121)-SUMIF(120:120,C41,121:121)+100</f>
        <v>100</v>
      </c>
      <c r="G41" s="1448"/>
      <c r="H41" s="1414">
        <f>SUMIF(120:120,G41,121:121)-SUMIF(120:120,C41,121:121)+100</f>
        <v>100</v>
      </c>
      <c r="I41" s="1448"/>
      <c r="J41" s="1414">
        <f>SUMIF(120:120,I41,121:121)-SUMIF(120:120,C41,121:121)+100</f>
        <v>100</v>
      </c>
      <c r="K41" s="1534"/>
      <c r="L41" s="1535"/>
      <c r="M41" s="1541"/>
      <c r="N41" s="1541"/>
      <c r="O41" s="1541"/>
      <c r="P41" s="3730"/>
      <c r="Q41" s="1583" t="str">
        <f t="shared" si="11"/>
        <v>进深比</v>
      </c>
      <c r="R41" s="1584" t="s">
        <v>2884</v>
      </c>
      <c r="S41" s="1585">
        <f t="shared" si="12"/>
        <v>100</v>
      </c>
      <c r="T41" s="1584" t="s">
        <v>2884</v>
      </c>
      <c r="U41" s="1585">
        <f t="shared" si="13"/>
        <v>100</v>
      </c>
      <c r="V41" s="1584" t="s">
        <v>2884</v>
      </c>
      <c r="W41" s="1585">
        <f t="shared" si="14"/>
        <v>100</v>
      </c>
      <c r="X41" s="1586"/>
      <c r="Y41" s="3675"/>
      <c r="Z41" s="1595" t="str">
        <f t="shared" si="15"/>
        <v>进深比</v>
      </c>
      <c r="AA41" s="1587">
        <f t="shared" si="3"/>
        <v>1</v>
      </c>
      <c r="AB41" s="1587">
        <f t="shared" si="4"/>
        <v>1</v>
      </c>
      <c r="AC41" s="1587">
        <f t="shared" si="5"/>
        <v>1</v>
      </c>
    </row>
    <row r="42" spans="1:29" ht="15">
      <c r="A42" s="1458"/>
      <c r="B42" s="1402" t="s">
        <v>3470</v>
      </c>
      <c r="C42" s="1460" t="s">
        <v>3785</v>
      </c>
      <c r="D42" s="1414">
        <v>100</v>
      </c>
      <c r="E42" s="1460" t="s">
        <v>3785</v>
      </c>
      <c r="F42" s="1449">
        <f>SUMIF(122:122,E42,123:123)-SUMIF(122:122,C42,123:123)+100</f>
        <v>100</v>
      </c>
      <c r="G42" s="1460" t="s">
        <v>3785</v>
      </c>
      <c r="H42" s="1414">
        <f>SUMIF(122:122,G42,123:123)-SUMIF(122:122,C42,123:123)+100</f>
        <v>100</v>
      </c>
      <c r="I42" s="1460" t="s">
        <v>3785</v>
      </c>
      <c r="J42" s="1414">
        <f>SUMIF(122:122,I42,123:123)-SUMIF(122:122,C42,123:123)+100</f>
        <v>100</v>
      </c>
      <c r="K42" s="1534">
        <v>2</v>
      </c>
      <c r="L42" s="1537"/>
      <c r="M42" s="1528"/>
      <c r="N42" s="1528"/>
      <c r="O42" s="1528"/>
      <c r="P42" s="3730"/>
      <c r="Q42" s="1076" t="str">
        <f t="shared" si="11"/>
        <v>内部装修</v>
      </c>
      <c r="R42" s="1581" t="s">
        <v>2884</v>
      </c>
      <c r="S42" s="1582">
        <f t="shared" si="12"/>
        <v>100</v>
      </c>
      <c r="T42" s="1581" t="s">
        <v>2884</v>
      </c>
      <c r="U42" s="1582">
        <f t="shared" si="13"/>
        <v>100</v>
      </c>
      <c r="V42" s="1581" t="s">
        <v>2884</v>
      </c>
      <c r="W42" s="1582">
        <f t="shared" si="14"/>
        <v>100</v>
      </c>
      <c r="X42" s="1575"/>
      <c r="Y42" s="3675"/>
      <c r="Z42" s="1574" t="str">
        <f t="shared" si="15"/>
        <v>内部装修</v>
      </c>
      <c r="AA42" s="1587">
        <f t="shared" si="3"/>
        <v>1</v>
      </c>
      <c r="AB42" s="1587">
        <f t="shared" si="4"/>
        <v>1</v>
      </c>
      <c r="AC42" s="1587">
        <f t="shared" si="5"/>
        <v>1</v>
      </c>
    </row>
    <row r="43" spans="1:29" ht="28.8">
      <c r="A43" s="1458"/>
      <c r="B43" s="1402" t="s">
        <v>3471</v>
      </c>
      <c r="C43" s="1460"/>
      <c r="D43" s="1414">
        <v>100</v>
      </c>
      <c r="E43" s="1460"/>
      <c r="F43" s="1449">
        <f>SUMIF(124:124,E43,125:125)-SUMIF(124:124,C43,125:125)+100</f>
        <v>100</v>
      </c>
      <c r="G43" s="1460"/>
      <c r="H43" s="1414">
        <f>SUMIF(124:124,G43,125:125)-SUMIF(124:124,C43,125:125)+100</f>
        <v>100</v>
      </c>
      <c r="I43" s="1460"/>
      <c r="J43" s="1414">
        <f>SUMIF(124:124,I43,125:125)-SUMIF(124:124,C43,125:125)+100</f>
        <v>100</v>
      </c>
      <c r="K43" s="1534"/>
      <c r="L43" s="1537"/>
      <c r="M43" s="1528"/>
      <c r="N43" s="1528"/>
      <c r="O43" s="1528"/>
      <c r="P43" s="3730"/>
      <c r="Q43" s="1076" t="str">
        <f t="shared" si="11"/>
        <v>内部装修维护情况</v>
      </c>
      <c r="R43" s="1581" t="s">
        <v>2884</v>
      </c>
      <c r="S43" s="1582">
        <f t="shared" si="12"/>
        <v>100</v>
      </c>
      <c r="T43" s="1581" t="s">
        <v>2884</v>
      </c>
      <c r="U43" s="1582">
        <f t="shared" si="13"/>
        <v>100</v>
      </c>
      <c r="V43" s="1581" t="s">
        <v>2884</v>
      </c>
      <c r="W43" s="1582">
        <f t="shared" si="14"/>
        <v>100</v>
      </c>
      <c r="X43" s="1575"/>
      <c r="Y43" s="3675"/>
      <c r="Z43" s="1574" t="str">
        <f t="shared" si="15"/>
        <v>内部装修维护情况</v>
      </c>
      <c r="AA43" s="1587">
        <f t="shared" si="3"/>
        <v>1</v>
      </c>
      <c r="AB43" s="1587">
        <f t="shared" si="4"/>
        <v>1</v>
      </c>
      <c r="AC43" s="1587">
        <f t="shared" si="5"/>
        <v>1</v>
      </c>
    </row>
    <row r="44" spans="1:29" s="1353" customFormat="1" ht="15">
      <c r="A44" s="1462"/>
      <c r="B44" s="1450">
        <v>111</v>
      </c>
      <c r="C44" s="1457"/>
      <c r="D44" s="1404">
        <v>100</v>
      </c>
      <c r="E44" s="1413"/>
      <c r="F44" s="1405">
        <f>SUMIF(126:126,E44,127:127)-SUMIF(126:126,C44,127:127)+100</f>
        <v>100</v>
      </c>
      <c r="G44" s="1413"/>
      <c r="H44" s="1404">
        <f>SUMIF(126:126,G44,127:127)-SUMIF(126:126,C44,127:127)+100</f>
        <v>100</v>
      </c>
      <c r="I44" s="1413"/>
      <c r="J44" s="1404">
        <f>SUMIF(126:126,I44,127:127)-SUMIF(126:126,C44,127:127)+100</f>
        <v>100</v>
      </c>
      <c r="K44" s="1536"/>
      <c r="L44" s="1530"/>
      <c r="M44" s="1531"/>
      <c r="N44" s="1531"/>
      <c r="O44" s="1531"/>
      <c r="P44" s="3730"/>
      <c r="Q44" s="1580">
        <f t="shared" si="11"/>
        <v>111</v>
      </c>
      <c r="R44" s="1576" t="s">
        <v>2884</v>
      </c>
      <c r="S44" s="1577">
        <f t="shared" si="12"/>
        <v>100</v>
      </c>
      <c r="T44" s="1576" t="s">
        <v>2884</v>
      </c>
      <c r="U44" s="1577">
        <f t="shared" si="13"/>
        <v>100</v>
      </c>
      <c r="V44" s="1576" t="s">
        <v>2884</v>
      </c>
      <c r="W44" s="1577">
        <f t="shared" si="14"/>
        <v>100</v>
      </c>
      <c r="X44" s="1578"/>
      <c r="Y44" s="3675"/>
      <c r="Z44" s="1594">
        <f t="shared" si="15"/>
        <v>111</v>
      </c>
      <c r="AA44" s="1593">
        <f t="shared" si="3"/>
        <v>1</v>
      </c>
      <c r="AB44" s="1593">
        <f t="shared" si="4"/>
        <v>1</v>
      </c>
      <c r="AC44" s="1593">
        <f t="shared" si="5"/>
        <v>1</v>
      </c>
    </row>
    <row r="45" spans="1:29" ht="15">
      <c r="A45" s="1458"/>
      <c r="B45" s="1450">
        <v>111</v>
      </c>
      <c r="C45" s="1413"/>
      <c r="D45" s="1414">
        <v>100</v>
      </c>
      <c r="E45" s="1413"/>
      <c r="F45" s="1449">
        <f>SUMIF(128:128,E45,129:129)-SUMIF(128:128,C45,129:129)+100</f>
        <v>100</v>
      </c>
      <c r="G45" s="1413"/>
      <c r="H45" s="1414">
        <f>SUMIF(128:128,G45,129:129)-SUMIF(128:128,C45,129:129)+100</f>
        <v>100</v>
      </c>
      <c r="I45" s="1413"/>
      <c r="J45" s="1414">
        <f>SUMIF(128:128,I45,129:129)-SUMIF(128:128,C45,129:129)+100</f>
        <v>100</v>
      </c>
      <c r="K45" s="1536"/>
      <c r="L45" s="1537"/>
      <c r="M45" s="1528"/>
      <c r="N45" s="1528"/>
      <c r="O45" s="1528"/>
      <c r="P45" s="3730"/>
      <c r="Q45" s="1076">
        <f t="shared" si="11"/>
        <v>111</v>
      </c>
      <c r="R45" s="1581" t="s">
        <v>2884</v>
      </c>
      <c r="S45" s="1582">
        <f t="shared" si="12"/>
        <v>100</v>
      </c>
      <c r="T45" s="1581" t="s">
        <v>2884</v>
      </c>
      <c r="U45" s="1582">
        <f t="shared" si="13"/>
        <v>100</v>
      </c>
      <c r="V45" s="1581" t="s">
        <v>2884</v>
      </c>
      <c r="W45" s="1582">
        <f t="shared" si="14"/>
        <v>100</v>
      </c>
      <c r="X45" s="1575"/>
      <c r="Y45" s="3675"/>
      <c r="Z45" s="1574">
        <f t="shared" si="15"/>
        <v>111</v>
      </c>
      <c r="AA45" s="1587">
        <f t="shared" si="3"/>
        <v>1</v>
      </c>
      <c r="AB45" s="1587">
        <f t="shared" si="4"/>
        <v>1</v>
      </c>
      <c r="AC45" s="1587">
        <f t="shared" si="5"/>
        <v>1</v>
      </c>
    </row>
    <row r="46" spans="1:29" ht="15">
      <c r="A46" s="1466"/>
      <c r="B46" s="1416">
        <v>111</v>
      </c>
      <c r="C46" s="1417"/>
      <c r="D46" s="1418">
        <v>100</v>
      </c>
      <c r="E46" s="1413"/>
      <c r="F46" s="1419">
        <f>SUMIF(130:130,E46,131:131)-SUMIF(130:130,C46,131:131)+100</f>
        <v>100</v>
      </c>
      <c r="G46" s="1413"/>
      <c r="H46" s="1418">
        <f>SUMIF(130:130,G46,131:131)-SUMIF(130:130,C46,131:131)+100</f>
        <v>100</v>
      </c>
      <c r="I46" s="1413"/>
      <c r="J46" s="1418">
        <f>SUMIF(130:130,I46,131:131)-SUMIF(130:130,C46,131:131)+100</f>
        <v>100</v>
      </c>
      <c r="K46" s="1536"/>
      <c r="L46" s="1537"/>
      <c r="M46" s="1528"/>
      <c r="N46" s="1528"/>
      <c r="O46" s="1528"/>
      <c r="P46" s="3731"/>
      <c r="Q46" s="1076">
        <f t="shared" si="11"/>
        <v>111</v>
      </c>
      <c r="R46" s="1581" t="s">
        <v>2884</v>
      </c>
      <c r="S46" s="1582">
        <f t="shared" si="12"/>
        <v>100</v>
      </c>
      <c r="T46" s="1581" t="s">
        <v>2884</v>
      </c>
      <c r="U46" s="1582">
        <f t="shared" si="13"/>
        <v>100</v>
      </c>
      <c r="V46" s="1581" t="s">
        <v>2884</v>
      </c>
      <c r="W46" s="1582">
        <f t="shared" si="14"/>
        <v>100</v>
      </c>
      <c r="X46" s="1575"/>
      <c r="Y46" s="3732"/>
      <c r="Z46" s="1574">
        <f t="shared" si="15"/>
        <v>111</v>
      </c>
      <c r="AA46" s="1587">
        <f t="shared" si="3"/>
        <v>1</v>
      </c>
      <c r="AB46" s="1587">
        <f t="shared" si="4"/>
        <v>1</v>
      </c>
      <c r="AC46" s="1587">
        <f t="shared" si="5"/>
        <v>1</v>
      </c>
    </row>
    <row r="47" spans="1:29" ht="14.4">
      <c r="A47" s="1467" t="s">
        <v>3324</v>
      </c>
      <c r="B47" s="1468"/>
      <c r="C47" s="1469" t="s">
        <v>124</v>
      </c>
      <c r="D47" s="1470"/>
      <c r="E47" s="1471">
        <v>18013</v>
      </c>
      <c r="F47" s="1472"/>
      <c r="G47" s="1473">
        <v>21200</v>
      </c>
      <c r="H47" s="1474"/>
      <c r="I47" s="1471">
        <v>21700</v>
      </c>
      <c r="J47" s="1474"/>
      <c r="K47" s="1542"/>
      <c r="L47" s="1543"/>
      <c r="M47" s="1484"/>
      <c r="N47" s="1528"/>
      <c r="O47" s="1484"/>
      <c r="P47" s="3665" t="str">
        <f>A47</f>
        <v>成交单价（元/平方米）</v>
      </c>
      <c r="Q47" s="3665"/>
      <c r="R47" s="3664">
        <f>E47</f>
        <v>18013</v>
      </c>
      <c r="S47" s="3664"/>
      <c r="T47" s="3664">
        <f>G47</f>
        <v>21200</v>
      </c>
      <c r="U47" s="3664"/>
      <c r="V47" s="3664">
        <f>I47</f>
        <v>21700</v>
      </c>
      <c r="W47" s="3664"/>
      <c r="X47" s="1493"/>
      <c r="Y47" s="1596"/>
      <c r="Z47" s="1493"/>
      <c r="AA47" s="1493"/>
      <c r="AB47" s="1493"/>
      <c r="AC47" s="1493"/>
    </row>
    <row r="48" spans="1:29" ht="14.4">
      <c r="A48" s="1475" t="s">
        <v>2922</v>
      </c>
      <c r="B48" s="1476"/>
      <c r="C48" s="1477">
        <f>R49</f>
        <v>16753</v>
      </c>
      <c r="D48" s="1478" t="s">
        <v>2923</v>
      </c>
      <c r="E48" s="1479">
        <f>R48</f>
        <v>14174</v>
      </c>
      <c r="F48" s="1480"/>
      <c r="G48" s="1477">
        <f>T48</f>
        <v>17301</v>
      </c>
      <c r="H48" s="1480"/>
      <c r="I48" s="1479">
        <f>V48</f>
        <v>18783</v>
      </c>
      <c r="J48" s="1480"/>
      <c r="K48" s="1544">
        <f>F48+H48+J48</f>
        <v>0</v>
      </c>
      <c r="L48" s="1543"/>
      <c r="M48" s="1484"/>
      <c r="N48" s="1528"/>
      <c r="O48" s="1484"/>
      <c r="P48" s="3665" t="str">
        <f>A48</f>
        <v>比较价值（元/平方米）</v>
      </c>
      <c r="Q48" s="3665"/>
      <c r="R48" s="3666">
        <f>IF(F1="售价",ROUND(PRODUCT(R47,AA7:AA46),0),ROUND(PRODUCT(R47,AA7:AA46),1))</f>
        <v>14174</v>
      </c>
      <c r="S48" s="3666"/>
      <c r="T48" s="3666">
        <f>IF(F1="售价",ROUND(PRODUCT(T47,AB7:AB46),0),ROUND(PRODUCT(T47,AB7:AB46),1))</f>
        <v>17301</v>
      </c>
      <c r="U48" s="3666"/>
      <c r="V48" s="3666">
        <f>IF(F1="售价",ROUND(PRODUCT(V47,AC7:AC46),0),ROUND(PRODUCT(V47,AC7:AC46),1))</f>
        <v>18783</v>
      </c>
      <c r="W48" s="3666"/>
      <c r="X48" s="1493"/>
      <c r="Y48" s="1493"/>
      <c r="Z48" s="1493"/>
      <c r="AA48" s="1493"/>
      <c r="AB48" s="1493"/>
      <c r="AC48" s="1493"/>
    </row>
    <row r="49" spans="1:29" ht="14.4">
      <c r="A49" s="1481" t="s">
        <v>3325</v>
      </c>
      <c r="B49" s="1482"/>
      <c r="C49" s="1483">
        <f>R49</f>
        <v>16753</v>
      </c>
      <c r="D49" s="1483"/>
      <c r="E49" s="1483"/>
      <c r="F49" s="1483"/>
      <c r="G49" s="1483"/>
      <c r="H49" s="1483"/>
      <c r="I49" s="1483"/>
      <c r="J49" s="1483"/>
      <c r="K49" s="1545"/>
      <c r="L49" s="1543"/>
      <c r="M49" s="1484"/>
      <c r="N49" s="1528"/>
      <c r="O49" s="1484"/>
      <c r="P49" s="3667" t="str">
        <f>A49</f>
        <v>估价对象XX用房的比较价值（楼面单价，元/平方米）</v>
      </c>
      <c r="Q49" s="3668"/>
      <c r="R49" s="3725">
        <f>IF(F1="售价",ROUND(IF(D48="简单平均",AVERAGE(R48:V48),R48*F48+T48*H48+V48*J48),0),ROUND(IF(D48="简单平均",AVERAGE(R48:V48),R48*F48+T48*H48+V48*J48),1))</f>
        <v>16753</v>
      </c>
      <c r="S49" s="3725"/>
      <c r="T49" s="3725"/>
      <c r="U49" s="3725"/>
      <c r="V49" s="3725"/>
      <c r="W49" s="3725"/>
      <c r="X49" s="1493"/>
      <c r="Y49" s="1493"/>
      <c r="Z49" s="1493"/>
      <c r="AA49" s="1493"/>
      <c r="AB49" s="1493"/>
      <c r="AC49" s="1493"/>
    </row>
    <row r="50" spans="1:29">
      <c r="A50" s="1484"/>
      <c r="B50" s="1484"/>
      <c r="C50" s="1484"/>
      <c r="D50" s="1484"/>
      <c r="E50" s="1484"/>
      <c r="F50" s="1484"/>
      <c r="G50" s="1485"/>
      <c r="H50" s="1484"/>
      <c r="I50" s="1484"/>
      <c r="J50" s="1484"/>
      <c r="K50" s="1546"/>
      <c r="L50" s="1547"/>
      <c r="M50" s="1484"/>
      <c r="N50" s="1484"/>
      <c r="O50" s="1484"/>
      <c r="P50" s="1548"/>
      <c r="Q50" s="1484"/>
      <c r="R50" s="1484"/>
      <c r="S50" s="1484"/>
      <c r="T50" s="1484"/>
      <c r="U50" s="1484"/>
      <c r="V50" s="1484"/>
      <c r="W50" s="1484"/>
      <c r="X50" s="1484"/>
      <c r="Y50" s="1484"/>
      <c r="Z50" s="1484"/>
      <c r="AA50" s="1484"/>
      <c r="AB50" s="1484"/>
      <c r="AC50" s="1484"/>
    </row>
    <row r="51" spans="1:29">
      <c r="A51" s="1484"/>
      <c r="B51" s="1484"/>
      <c r="C51" s="1484"/>
      <c r="D51" s="1484"/>
      <c r="E51" s="1484"/>
      <c r="F51" s="1484"/>
      <c r="G51" s="1484"/>
      <c r="H51" s="1484"/>
      <c r="I51" s="1484"/>
      <c r="J51" s="1484"/>
      <c r="K51" s="1546"/>
      <c r="L51" s="1547"/>
      <c r="M51" s="1484"/>
      <c r="N51" s="1484"/>
      <c r="O51" s="1484"/>
      <c r="P51" s="1548"/>
      <c r="Q51" s="1484"/>
      <c r="R51" s="1484"/>
      <c r="S51" s="1484"/>
      <c r="T51" s="1484"/>
      <c r="U51" s="1484"/>
      <c r="V51" s="1484"/>
      <c r="W51" s="1484"/>
      <c r="X51" s="1484"/>
      <c r="Y51" s="1484"/>
      <c r="Z51" s="1484"/>
      <c r="AA51" s="1484"/>
      <c r="AB51" s="1484"/>
      <c r="AC51" s="1484"/>
    </row>
    <row r="52" spans="1:29" ht="13.5" customHeight="1">
      <c r="A52" s="1484"/>
      <c r="B52" s="1484"/>
      <c r="C52" s="1486" t="s">
        <v>2925</v>
      </c>
      <c r="D52" s="1120"/>
      <c r="E52" s="1487">
        <f>IF(E47&lt;E48,E48/E47-1,E47/E48-1)</f>
        <v>0.27084803160716797</v>
      </c>
      <c r="F52" s="1488" t="str">
        <f>IF(OR(E52&gt;=0.3,E52&lt;=-0.3),"超过30%","")</f>
        <v/>
      </c>
      <c r="G52" s="1487">
        <f>IF(G47&lt;G48,G48/G47-1,G47/G48-1)</f>
        <v>0.22536269579793067</v>
      </c>
      <c r="H52" s="1488" t="str">
        <f>IF(OR(G52&gt;=0.3,G52&lt;=-0.3),"超过30%","")</f>
        <v/>
      </c>
      <c r="I52" s="1487">
        <f>IF(I47&lt;I48,I48/I47-1,I47/I48-1)</f>
        <v>0.15530000532396326</v>
      </c>
      <c r="J52" s="1488" t="str">
        <f>IF(OR(I52&gt;=0.3,I52&lt;=-0.3),"超过30%","")</f>
        <v/>
      </c>
      <c r="K52" s="1546"/>
      <c r="L52" s="1547"/>
      <c r="M52" s="1484"/>
      <c r="N52" s="1484"/>
      <c r="O52" s="1484"/>
      <c r="P52" s="1548"/>
      <c r="Q52" s="1484"/>
      <c r="R52" s="1484"/>
      <c r="S52" s="1484"/>
      <c r="T52" s="1484"/>
      <c r="U52" s="1484"/>
      <c r="V52" s="1484"/>
      <c r="W52" s="1484"/>
      <c r="X52" s="1484"/>
      <c r="Y52" s="1484"/>
      <c r="Z52" s="1484"/>
      <c r="AA52" s="1484"/>
      <c r="AB52" s="1484"/>
      <c r="AC52" s="1484"/>
    </row>
    <row r="53" spans="1:29" ht="13.5" customHeight="1">
      <c r="A53" s="1484"/>
      <c r="B53" s="1484"/>
      <c r="C53" s="1486" t="s">
        <v>2926</v>
      </c>
      <c r="D53" s="1119"/>
      <c r="E53" s="1487">
        <f>IF(E48&lt;G48,G48/E48-1,E48/G48-1)</f>
        <v>0.22061521094962599</v>
      </c>
      <c r="F53" s="1488" t="str">
        <f>IF(OR(E53&gt;=0.2,E53&lt;=-0.2),"超过20%","")</f>
        <v>超过20%</v>
      </c>
      <c r="G53" s="1487">
        <f>IF(G48&lt;I48,I48/G48-1,G48/I48-1)</f>
        <v>8.5659788451534657E-2</v>
      </c>
      <c r="H53" s="1488" t="str">
        <f>IF(OR(G53&gt;=0.2,G53&lt;=-0.2),"超过20%","")</f>
        <v/>
      </c>
      <c r="I53" s="1487">
        <f>IF(I48&lt;E48,E48/I48-1,I48/E48-1)</f>
        <v>0.32517285170029631</v>
      </c>
      <c r="J53" s="1488" t="str">
        <f>IF(OR(I53&gt;=0.2,I53&lt;=-0.2),"超过20%","")</f>
        <v>超过20%</v>
      </c>
      <c r="K53" s="1546"/>
      <c r="L53" s="1547"/>
      <c r="M53" s="1484"/>
      <c r="N53" s="1484"/>
      <c r="O53" s="1484"/>
      <c r="P53" s="1548"/>
      <c r="Q53" s="1484"/>
      <c r="R53" s="1484"/>
      <c r="S53" s="1484"/>
      <c r="T53" s="1484"/>
      <c r="U53" s="1484"/>
      <c r="V53" s="1484"/>
      <c r="W53" s="1484"/>
      <c r="X53" s="1484"/>
      <c r="Y53" s="1484"/>
      <c r="Z53" s="1484"/>
      <c r="AA53" s="1484"/>
      <c r="AB53" s="1484"/>
      <c r="AC53" s="1484"/>
    </row>
    <row r="54" spans="1:29" s="1356" customFormat="1" ht="13.5" customHeight="1">
      <c r="A54" s="1489"/>
      <c r="B54" s="1489"/>
      <c r="C54" s="1486" t="s">
        <v>2927</v>
      </c>
      <c r="D54" s="1119"/>
      <c r="E54" s="1487">
        <f>IF(E47&lt;G47,G47/E47-1,E47/G47-1)</f>
        <v>0.17692777438516599</v>
      </c>
      <c r="F54" s="1488" t="str">
        <f>IF(OR(E54&gt;=0.3,E54&lt;=-0.3),"超过30%","")</f>
        <v/>
      </c>
      <c r="G54" s="1487">
        <f>IF(G47&lt;I47,I47/G47-1,G47/I47-1)</f>
        <v>2.3584905660377398E-2</v>
      </c>
      <c r="H54" s="1488" t="str">
        <f>IF(OR(G54&gt;=0.3,G54&lt;=-0.3),"超过30%","")</f>
        <v/>
      </c>
      <c r="I54" s="1487">
        <f>IF(I47&lt;E47,E47/I47-1,I47/E47-1)</f>
        <v>0.20468550491311799</v>
      </c>
      <c r="J54" s="1488" t="str">
        <f>IF(OR(I54&gt;=0.3,I54&lt;=-0.3),"超过30%","")</f>
        <v/>
      </c>
      <c r="K54" s="1549"/>
      <c r="L54" s="1550"/>
      <c r="M54" s="1489"/>
      <c r="N54" s="1489"/>
      <c r="O54" s="1489"/>
      <c r="P54" s="1551"/>
      <c r="Q54" s="1489"/>
      <c r="R54" s="1489"/>
      <c r="S54" s="1489"/>
      <c r="T54" s="1489"/>
      <c r="U54" s="1489"/>
      <c r="V54" s="1489"/>
      <c r="W54" s="1489"/>
      <c r="X54" s="1489"/>
      <c r="Y54" s="1489"/>
      <c r="Z54" s="1489"/>
      <c r="AA54" s="1489"/>
      <c r="AB54" s="1489"/>
      <c r="AC54" s="1489"/>
    </row>
    <row r="55" spans="1:29" s="1356" customFormat="1">
      <c r="A55" s="1489"/>
      <c r="B55" s="1490"/>
      <c r="C55" s="1491"/>
      <c r="D55" s="1489"/>
      <c r="E55" s="1489"/>
      <c r="F55" s="1489"/>
      <c r="G55" s="1489"/>
      <c r="H55" s="1489"/>
      <c r="I55" s="1489"/>
      <c r="J55" s="1489"/>
      <c r="K55" s="1549"/>
      <c r="L55" s="1550"/>
      <c r="M55" s="1489"/>
      <c r="N55" s="1489"/>
      <c r="O55" s="1489"/>
      <c r="P55" s="1551"/>
      <c r="Q55" s="1489"/>
      <c r="R55" s="1489"/>
      <c r="S55" s="1489"/>
      <c r="T55" s="1489"/>
      <c r="U55" s="1489"/>
      <c r="V55" s="1489"/>
      <c r="W55" s="1489"/>
      <c r="X55" s="1489"/>
      <c r="Y55" s="1489"/>
      <c r="Z55" s="1489"/>
      <c r="AA55" s="1489"/>
      <c r="AB55" s="1489"/>
      <c r="AC55" s="1489"/>
    </row>
    <row r="56" spans="1:29">
      <c r="A56" s="1484"/>
      <c r="B56" s="1490"/>
      <c r="C56" s="1491"/>
      <c r="D56" s="1484"/>
      <c r="E56" s="1484"/>
      <c r="F56" s="1484"/>
      <c r="G56" s="1484"/>
      <c r="H56" s="1484"/>
      <c r="I56" s="1484"/>
      <c r="J56" s="1484"/>
      <c r="K56" s="1546"/>
      <c r="L56" s="1547"/>
      <c r="M56" s="1484"/>
      <c r="N56" s="1484"/>
      <c r="O56" s="1484"/>
      <c r="P56" s="1548"/>
      <c r="Q56" s="1484"/>
      <c r="R56" s="1484"/>
      <c r="S56" s="1484"/>
      <c r="T56" s="1484"/>
      <c r="U56" s="1484"/>
      <c r="V56" s="1484"/>
      <c r="W56" s="1484"/>
      <c r="X56" s="1484"/>
      <c r="Y56" s="1484"/>
      <c r="Z56" s="1484"/>
      <c r="AA56" s="1484"/>
      <c r="AB56" s="1484"/>
      <c r="AC56" s="1484"/>
    </row>
    <row r="57" spans="1:29" ht="21.6">
      <c r="A57" s="1492" t="s">
        <v>2928</v>
      </c>
      <c r="B57" s="1493"/>
      <c r="C57" s="1494"/>
      <c r="D57" s="1494"/>
      <c r="E57" s="1494"/>
      <c r="F57" s="1495"/>
      <c r="G57" s="1495"/>
      <c r="H57" s="1494"/>
      <c r="I57" s="1494"/>
      <c r="J57" s="1494"/>
      <c r="K57" s="1552"/>
      <c r="L57" s="1553"/>
      <c r="M57" s="1554"/>
      <c r="N57" s="1554"/>
      <c r="O57" s="1554"/>
      <c r="P57" s="1555"/>
      <c r="Q57" s="1588"/>
      <c r="R57" s="1484"/>
      <c r="S57" s="1484"/>
      <c r="T57" s="1484"/>
      <c r="U57" s="1484"/>
      <c r="V57" s="1484"/>
      <c r="W57" s="1484"/>
      <c r="X57" s="1484"/>
      <c r="Y57" s="1484"/>
      <c r="Z57" s="1484"/>
      <c r="AA57" s="1484"/>
      <c r="AB57" s="1484"/>
      <c r="AC57" s="1484"/>
    </row>
    <row r="58" spans="1:29" s="1357" customFormat="1" ht="14.4">
      <c r="A58" s="1496" t="s">
        <v>2882</v>
      </c>
      <c r="B58" s="1497"/>
      <c r="C58" s="1498" t="str">
        <f>YEAR(C7)&amp;"-"&amp;MONTH(C7)</f>
        <v>2024-1</v>
      </c>
      <c r="D58" s="1499">
        <f>EDATE(C58,-1)</f>
        <v>45261</v>
      </c>
      <c r="E58" s="1499">
        <f t="shared" ref="E58:O58" si="16">EDATE(D58,-1)</f>
        <v>45231</v>
      </c>
      <c r="F58" s="1499">
        <f t="shared" si="16"/>
        <v>45200</v>
      </c>
      <c r="G58" s="1499">
        <f t="shared" si="16"/>
        <v>45170</v>
      </c>
      <c r="H58" s="1499">
        <f t="shared" si="16"/>
        <v>45139</v>
      </c>
      <c r="I58" s="1499">
        <f t="shared" si="16"/>
        <v>45108</v>
      </c>
      <c r="J58" s="1499">
        <f t="shared" si="16"/>
        <v>45078</v>
      </c>
      <c r="K58" s="1499">
        <f t="shared" si="16"/>
        <v>45047</v>
      </c>
      <c r="L58" s="1499">
        <f t="shared" si="16"/>
        <v>45017</v>
      </c>
      <c r="M58" s="1499">
        <f t="shared" si="16"/>
        <v>44986</v>
      </c>
      <c r="N58" s="1499">
        <f t="shared" si="16"/>
        <v>44958</v>
      </c>
      <c r="O58" s="1499">
        <f t="shared" si="16"/>
        <v>44927</v>
      </c>
      <c r="P58" s="1556"/>
      <c r="Q58" s="1589"/>
      <c r="R58" s="1589"/>
      <c r="S58" s="1589"/>
      <c r="T58" s="1589"/>
      <c r="U58" s="1589"/>
      <c r="V58" s="1589"/>
      <c r="W58" s="1589"/>
      <c r="X58" s="1589"/>
      <c r="Y58" s="1589"/>
      <c r="Z58" s="1589"/>
      <c r="AA58" s="1589"/>
      <c r="AB58" s="1589"/>
      <c r="AC58" s="1589"/>
    </row>
    <row r="59" spans="1:29" s="1353" customFormat="1">
      <c r="A59" s="1500"/>
      <c r="B59" s="1501"/>
      <c r="C59" s="1502">
        <v>100</v>
      </c>
      <c r="D59" s="1503"/>
      <c r="E59" s="1503"/>
      <c r="F59" s="1503"/>
      <c r="G59" s="1503"/>
      <c r="H59" s="1503"/>
      <c r="I59" s="1503"/>
      <c r="J59" s="1503"/>
      <c r="K59" s="1503"/>
      <c r="L59" s="1503"/>
      <c r="M59" s="1557"/>
      <c r="N59" s="1503"/>
      <c r="O59" s="1557"/>
      <c r="P59" s="1558"/>
      <c r="Q59" s="1590"/>
      <c r="R59" s="1590"/>
      <c r="S59" s="1590"/>
      <c r="T59" s="1590"/>
      <c r="U59" s="1590"/>
      <c r="V59" s="1590"/>
      <c r="W59" s="1590"/>
      <c r="X59" s="1590"/>
      <c r="Y59" s="1590"/>
      <c r="Z59" s="1590"/>
      <c r="AA59" s="1590"/>
      <c r="AB59" s="1590"/>
      <c r="AC59" s="1590"/>
    </row>
    <row r="60" spans="1:29" s="1353" customFormat="1" ht="14.4">
      <c r="A60" s="1504" t="s">
        <v>2929</v>
      </c>
      <c r="B60" s="1505"/>
      <c r="C60" s="1506"/>
      <c r="D60" s="1507"/>
      <c r="E60" s="1507"/>
      <c r="F60" s="1507"/>
      <c r="G60" s="1507"/>
      <c r="H60" s="1507"/>
      <c r="I60" s="1507"/>
      <c r="J60" s="1507"/>
      <c r="K60" s="1507"/>
      <c r="L60" s="1507"/>
      <c r="M60" s="1559"/>
      <c r="N60" s="1507"/>
      <c r="O60" s="1559"/>
      <c r="P60" s="1558"/>
      <c r="Q60" s="1588"/>
      <c r="R60" s="1590"/>
      <c r="S60" s="1590"/>
      <c r="T60" s="1590"/>
      <c r="U60" s="1590"/>
      <c r="V60" s="1590"/>
      <c r="W60" s="1590"/>
      <c r="X60" s="1590"/>
      <c r="Y60" s="1590"/>
      <c r="Z60" s="1590"/>
      <c r="AA60" s="1590"/>
      <c r="AB60" s="1590"/>
      <c r="AC60" s="1590"/>
    </row>
    <row r="61" spans="1:29" s="1353" customFormat="1" ht="14.4">
      <c r="A61" s="1508" t="s">
        <v>2885</v>
      </c>
      <c r="B61" s="1501"/>
      <c r="C61" s="1509" t="s">
        <v>2930</v>
      </c>
      <c r="D61" s="1510"/>
      <c r="E61" s="1510"/>
      <c r="F61" s="1510"/>
      <c r="G61" s="1510"/>
      <c r="H61" s="1510"/>
      <c r="I61" s="1510"/>
      <c r="J61" s="1510"/>
      <c r="K61" s="1510"/>
      <c r="L61" s="1560"/>
      <c r="M61" s="1561"/>
      <c r="N61" s="1562"/>
      <c r="O61" s="1562"/>
      <c r="P61" s="1563"/>
      <c r="Q61" s="1588"/>
      <c r="R61" s="1590"/>
      <c r="S61" s="1590"/>
      <c r="T61" s="1590"/>
      <c r="U61" s="1590"/>
      <c r="V61" s="1590"/>
      <c r="W61" s="1590"/>
      <c r="X61" s="1590"/>
      <c r="Y61" s="1590"/>
      <c r="Z61" s="1590"/>
      <c r="AA61" s="1590"/>
      <c r="AB61" s="1590"/>
      <c r="AC61" s="1590"/>
    </row>
    <row r="62" spans="1:29" s="1353" customFormat="1">
      <c r="A62" s="1508"/>
      <c r="B62" s="1501"/>
      <c r="C62" s="1511">
        <v>100</v>
      </c>
      <c r="D62" s="1503"/>
      <c r="E62" s="1503"/>
      <c r="F62" s="1503"/>
      <c r="G62" s="1503"/>
      <c r="H62" s="1503"/>
      <c r="I62" s="1503"/>
      <c r="J62" s="1503"/>
      <c r="K62" s="1503"/>
      <c r="L62" s="1503"/>
      <c r="M62" s="1564"/>
      <c r="N62" s="1562"/>
      <c r="O62" s="1562"/>
      <c r="P62" s="1558"/>
      <c r="Q62" s="1588"/>
      <c r="R62" s="1590"/>
      <c r="S62" s="1590"/>
      <c r="T62" s="1590"/>
      <c r="U62" s="1590"/>
      <c r="V62" s="1590"/>
      <c r="W62" s="1590"/>
      <c r="X62" s="1590"/>
      <c r="Y62" s="1590"/>
      <c r="Z62" s="1590"/>
      <c r="AA62" s="1590"/>
      <c r="AB62" s="1590"/>
      <c r="AC62" s="1590"/>
    </row>
    <row r="63" spans="1:29" ht="14.4">
      <c r="A63" s="1512" t="s">
        <v>2931</v>
      </c>
      <c r="B63" s="1513" t="s">
        <v>2889</v>
      </c>
      <c r="C63" s="1514" t="str">
        <f>C9</f>
        <v>商业</v>
      </c>
      <c r="D63" s="1515"/>
      <c r="E63" s="1515"/>
      <c r="F63" s="1515"/>
      <c r="G63" s="1515"/>
      <c r="H63" s="1515"/>
      <c r="I63" s="1515"/>
      <c r="J63" s="1515"/>
      <c r="K63" s="1565"/>
      <c r="L63" s="1566"/>
      <c r="M63" s="1567"/>
      <c r="N63" s="1568"/>
      <c r="O63" s="1568"/>
      <c r="P63" s="1569"/>
      <c r="Q63" s="1588"/>
      <c r="R63" s="1484"/>
      <c r="S63" s="1484"/>
      <c r="T63" s="1484"/>
      <c r="U63" s="1484"/>
      <c r="V63" s="1484"/>
      <c r="W63" s="1484"/>
      <c r="X63" s="1484"/>
      <c r="Y63" s="1484"/>
      <c r="Z63" s="1484"/>
      <c r="AA63" s="1484"/>
      <c r="AB63" s="1484"/>
      <c r="AC63" s="1484"/>
    </row>
    <row r="64" spans="1:29">
      <c r="A64" s="1516"/>
      <c r="B64" s="1517"/>
      <c r="C64" s="1518">
        <v>100</v>
      </c>
      <c r="D64" s="1518"/>
      <c r="E64" s="1518"/>
      <c r="F64" s="1518"/>
      <c r="G64" s="1518"/>
      <c r="H64" s="1518"/>
      <c r="I64" s="1518"/>
      <c r="J64" s="1518"/>
      <c r="K64" s="1518"/>
      <c r="L64" s="1518"/>
      <c r="M64" s="1570"/>
      <c r="N64" s="1571"/>
      <c r="O64" s="1571"/>
      <c r="P64" s="1569"/>
      <c r="Q64" s="1588"/>
      <c r="R64" s="1484"/>
      <c r="S64" s="1484"/>
      <c r="T64" s="1484"/>
      <c r="U64" s="1484"/>
      <c r="V64" s="1484"/>
      <c r="W64" s="1484"/>
      <c r="X64" s="1484"/>
      <c r="Y64" s="1484"/>
      <c r="Z64" s="1484"/>
      <c r="AA64" s="1484"/>
      <c r="AB64" s="1484"/>
      <c r="AC64" s="1484"/>
    </row>
    <row r="65" spans="1:29" ht="28.8">
      <c r="A65" s="1516"/>
      <c r="B65" s="1597" t="s">
        <v>2893</v>
      </c>
      <c r="C65" s="1598" t="s">
        <v>3786</v>
      </c>
      <c r="D65" s="1598" t="s">
        <v>3787</v>
      </c>
      <c r="E65" s="1598" t="s">
        <v>3788</v>
      </c>
      <c r="F65" s="1598"/>
      <c r="G65" s="1598"/>
      <c r="H65" s="1598"/>
      <c r="I65" s="1598"/>
      <c r="J65" s="1598"/>
      <c r="K65" s="1632"/>
      <c r="L65" s="1633"/>
      <c r="M65" s="1634"/>
      <c r="N65" s="1568"/>
      <c r="O65" s="1568"/>
      <c r="P65" s="1569"/>
      <c r="Q65" s="1588"/>
      <c r="R65" s="1484"/>
      <c r="S65" s="1484"/>
      <c r="T65" s="1484"/>
      <c r="U65" s="1484"/>
      <c r="V65" s="1484"/>
      <c r="W65" s="1484"/>
      <c r="X65" s="1484"/>
      <c r="Y65" s="1484"/>
      <c r="Z65" s="1484"/>
      <c r="AA65" s="1484"/>
      <c r="AB65" s="1484"/>
      <c r="AC65" s="1484"/>
    </row>
    <row r="66" spans="1:29">
      <c r="A66" s="1516"/>
      <c r="B66" s="1599"/>
      <c r="C66" s="1518">
        <v>100</v>
      </c>
      <c r="D66" s="1518">
        <v>99</v>
      </c>
      <c r="E66" s="1518">
        <v>93</v>
      </c>
      <c r="F66" s="1518"/>
      <c r="G66" s="1518"/>
      <c r="H66" s="1518"/>
      <c r="I66" s="1518"/>
      <c r="J66" s="1518"/>
      <c r="K66" s="1518"/>
      <c r="L66" s="1518"/>
      <c r="M66" s="1570"/>
      <c r="N66" s="1571"/>
      <c r="O66" s="1571"/>
      <c r="P66" s="1569"/>
      <c r="Q66" s="1588"/>
      <c r="R66" s="1484"/>
      <c r="S66" s="1484"/>
      <c r="T66" s="1484"/>
      <c r="U66" s="1484"/>
      <c r="V66" s="1484"/>
      <c r="W66" s="1484"/>
      <c r="X66" s="1484"/>
      <c r="Y66" s="1484"/>
      <c r="Z66" s="1484"/>
      <c r="AA66" s="1484"/>
      <c r="AB66" s="1484"/>
      <c r="AC66" s="1484"/>
    </row>
    <row r="67" spans="1:29" ht="14.4">
      <c r="A67" s="1516"/>
      <c r="B67" s="1600" t="s">
        <v>3458</v>
      </c>
      <c r="C67" s="1601" t="str">
        <f>C68&amp;"（含）"&amp;"-"&amp;D68</f>
        <v>0（含）-</v>
      </c>
      <c r="D67" s="1601" t="str">
        <f t="shared" ref="D67:L67" si="17">D68&amp;"（含）"&amp;"-"&amp;E68</f>
        <v>（含）-</v>
      </c>
      <c r="E67" s="1601" t="str">
        <f t="shared" si="17"/>
        <v>（含）-</v>
      </c>
      <c r="F67" s="1601" t="str">
        <f t="shared" si="17"/>
        <v>（含）-</v>
      </c>
      <c r="G67" s="1601" t="str">
        <f t="shared" si="17"/>
        <v>（含）-</v>
      </c>
      <c r="H67" s="1601" t="str">
        <f t="shared" si="17"/>
        <v>（含）-</v>
      </c>
      <c r="I67" s="1601" t="str">
        <f t="shared" si="17"/>
        <v>（含）-</v>
      </c>
      <c r="J67" s="1601" t="str">
        <f t="shared" si="17"/>
        <v>（含）-</v>
      </c>
      <c r="K67" s="1601" t="str">
        <f t="shared" si="17"/>
        <v>（含）-</v>
      </c>
      <c r="L67" s="1601" t="str">
        <f t="shared" si="17"/>
        <v>（含）-</v>
      </c>
      <c r="M67" s="1429" t="str">
        <f>M68&amp;"（含）"&amp;"-"&amp;P68</f>
        <v>（含）-</v>
      </c>
      <c r="N67" s="1571"/>
      <c r="O67" s="1571"/>
      <c r="P67" s="1569"/>
      <c r="Q67" s="1588"/>
      <c r="R67" s="1484"/>
      <c r="S67" s="1484"/>
      <c r="T67" s="1484"/>
      <c r="U67" s="1484"/>
      <c r="V67" s="1484"/>
      <c r="W67" s="1484"/>
      <c r="X67" s="1484"/>
      <c r="Y67" s="1484"/>
      <c r="Z67" s="1484"/>
      <c r="AA67" s="1484"/>
      <c r="AB67" s="1484"/>
      <c r="AC67" s="1484"/>
    </row>
    <row r="68" spans="1:29">
      <c r="A68" s="1516"/>
      <c r="B68" s="1602"/>
      <c r="C68" s="1603">
        <v>0</v>
      </c>
      <c r="D68" s="1603"/>
      <c r="E68" s="1603"/>
      <c r="F68" s="1603"/>
      <c r="G68" s="1603"/>
      <c r="H68" s="1603"/>
      <c r="I68" s="1603"/>
      <c r="J68" s="1603"/>
      <c r="K68" s="1635"/>
      <c r="L68" s="1636"/>
      <c r="M68" s="1637"/>
      <c r="N68" s="1568"/>
      <c r="O68" s="1568"/>
      <c r="P68" s="1569"/>
      <c r="Q68" s="1588"/>
      <c r="R68" s="1484"/>
      <c r="S68" s="1484"/>
      <c r="T68" s="1484"/>
      <c r="U68" s="1484"/>
      <c r="V68" s="1484"/>
      <c r="W68" s="1484"/>
      <c r="X68" s="1484"/>
      <c r="Y68" s="1484"/>
      <c r="Z68" s="1484"/>
      <c r="AA68" s="1484"/>
      <c r="AB68" s="1484"/>
      <c r="AC68" s="1484"/>
    </row>
    <row r="69" spans="1:29">
      <c r="A69" s="1516"/>
      <c r="B69" s="1517"/>
      <c r="C69" s="1604">
        <v>100</v>
      </c>
      <c r="D69" s="1604">
        <f t="shared" ref="D69:M69" si="18">C69-$K11</f>
        <v>100</v>
      </c>
      <c r="E69" s="1604">
        <f t="shared" si="18"/>
        <v>100</v>
      </c>
      <c r="F69" s="1604">
        <f t="shared" si="18"/>
        <v>100</v>
      </c>
      <c r="G69" s="1604">
        <f t="shared" si="18"/>
        <v>100</v>
      </c>
      <c r="H69" s="1604">
        <f t="shared" si="18"/>
        <v>100</v>
      </c>
      <c r="I69" s="1604">
        <f t="shared" si="18"/>
        <v>100</v>
      </c>
      <c r="J69" s="1604">
        <f t="shared" si="18"/>
        <v>100</v>
      </c>
      <c r="K69" s="1604">
        <f t="shared" si="18"/>
        <v>100</v>
      </c>
      <c r="L69" s="1604">
        <f t="shared" si="18"/>
        <v>100</v>
      </c>
      <c r="M69" s="1638">
        <f t="shared" si="18"/>
        <v>100</v>
      </c>
      <c r="N69" s="1571"/>
      <c r="O69" s="1571"/>
      <c r="P69" s="1569"/>
      <c r="Q69" s="1588"/>
      <c r="R69" s="1484"/>
      <c r="S69" s="1484"/>
      <c r="T69" s="1484"/>
      <c r="U69" s="1484"/>
      <c r="V69" s="1484"/>
      <c r="W69" s="1484"/>
      <c r="X69" s="1484"/>
      <c r="Y69" s="1484"/>
      <c r="Z69" s="1484"/>
      <c r="AA69" s="1484"/>
      <c r="AB69" s="1484"/>
      <c r="AC69" s="1484"/>
    </row>
    <row r="70" spans="1:29" s="1355" customFormat="1">
      <c r="A70" s="1605"/>
      <c r="B70" s="1597">
        <f>B12</f>
        <v>111</v>
      </c>
      <c r="C70" s="1606"/>
      <c r="D70" s="1606"/>
      <c r="E70" s="1606"/>
      <c r="F70" s="1606"/>
      <c r="G70" s="1606"/>
      <c r="H70" s="1607"/>
      <c r="I70" s="1607"/>
      <c r="J70" s="1607"/>
      <c r="K70" s="1607"/>
      <c r="L70" s="1639"/>
      <c r="M70" s="1640"/>
      <c r="N70" s="1641"/>
      <c r="O70" s="1641"/>
      <c r="P70" s="1642"/>
      <c r="Q70" s="1671"/>
      <c r="R70" s="1672"/>
      <c r="S70" s="1672"/>
      <c r="T70" s="1672"/>
      <c r="U70" s="1672"/>
      <c r="V70" s="1672"/>
      <c r="W70" s="1672"/>
      <c r="X70" s="1672"/>
      <c r="Y70" s="1672"/>
      <c r="Z70" s="1672"/>
      <c r="AA70" s="1672"/>
      <c r="AB70" s="1672"/>
      <c r="AC70" s="1672"/>
    </row>
    <row r="71" spans="1:29" s="1355" customFormat="1">
      <c r="A71" s="1605"/>
      <c r="B71" s="1599"/>
      <c r="C71" s="1608"/>
      <c r="D71" s="1518"/>
      <c r="E71" s="1518"/>
      <c r="F71" s="1518"/>
      <c r="G71" s="1518"/>
      <c r="H71" s="1518"/>
      <c r="I71" s="1518"/>
      <c r="J71" s="1518"/>
      <c r="K71" s="1518"/>
      <c r="L71" s="1518"/>
      <c r="M71" s="1570"/>
      <c r="N71" s="1571"/>
      <c r="O71" s="1571"/>
      <c r="P71" s="1642"/>
      <c r="Q71" s="1671"/>
      <c r="R71" s="1672"/>
      <c r="S71" s="1672"/>
      <c r="T71" s="1672"/>
      <c r="U71" s="1672"/>
      <c r="V71" s="1672"/>
      <c r="W71" s="1672"/>
      <c r="X71" s="1672"/>
      <c r="Y71" s="1672"/>
      <c r="Z71" s="1672"/>
      <c r="AA71" s="1672"/>
      <c r="AB71" s="1672"/>
      <c r="AC71" s="1672"/>
    </row>
    <row r="72" spans="1:29" s="1355" customFormat="1">
      <c r="A72" s="1605"/>
      <c r="B72" s="1597">
        <f>B13</f>
        <v>111</v>
      </c>
      <c r="C72" s="1606"/>
      <c r="D72" s="1606"/>
      <c r="E72" s="1606"/>
      <c r="F72" s="1606"/>
      <c r="G72" s="1606"/>
      <c r="H72" s="1607"/>
      <c r="I72" s="1607"/>
      <c r="J72" s="1607"/>
      <c r="K72" s="1607"/>
      <c r="L72" s="1639"/>
      <c r="M72" s="1640"/>
      <c r="N72" s="1641"/>
      <c r="O72" s="1641"/>
      <c r="P72" s="1643"/>
      <c r="Q72" s="1673"/>
      <c r="R72" s="1672"/>
      <c r="S72" s="1672"/>
      <c r="T72" s="1672"/>
      <c r="U72" s="1672"/>
      <c r="V72" s="1672"/>
      <c r="W72" s="1672"/>
      <c r="X72" s="1672"/>
      <c r="Y72" s="1672"/>
      <c r="Z72" s="1672"/>
      <c r="AA72" s="1672"/>
      <c r="AB72" s="1672"/>
      <c r="AC72" s="1672"/>
    </row>
    <row r="73" spans="1:29" s="1355" customFormat="1">
      <c r="A73" s="1605"/>
      <c r="B73" s="1599"/>
      <c r="C73" s="1608"/>
      <c r="D73" s="1518"/>
      <c r="E73" s="1518"/>
      <c r="F73" s="1518"/>
      <c r="G73" s="1608"/>
      <c r="H73" s="1609"/>
      <c r="I73" s="1609"/>
      <c r="J73" s="1609"/>
      <c r="K73" s="1609"/>
      <c r="L73" s="1609"/>
      <c r="M73" s="1644"/>
      <c r="N73" s="1641"/>
      <c r="O73" s="1641"/>
      <c r="P73" s="1642"/>
      <c r="Q73" s="1671"/>
      <c r="R73" s="1672"/>
      <c r="S73" s="1672"/>
      <c r="T73" s="1672"/>
      <c r="U73" s="1672"/>
      <c r="V73" s="1672"/>
      <c r="W73" s="1672"/>
      <c r="X73" s="1672"/>
      <c r="Y73" s="1672"/>
      <c r="Z73" s="1672"/>
      <c r="AA73" s="1672"/>
      <c r="AB73" s="1672"/>
      <c r="AC73" s="1672"/>
    </row>
    <row r="74" spans="1:29" s="1355" customFormat="1">
      <c r="A74" s="1605"/>
      <c r="B74" s="1600">
        <f>B14</f>
        <v>111</v>
      </c>
      <c r="C74" s="1606"/>
      <c r="D74" s="1606"/>
      <c r="E74" s="1606"/>
      <c r="F74" s="1606"/>
      <c r="G74" s="1510"/>
      <c r="H74" s="1610"/>
      <c r="I74" s="1610"/>
      <c r="J74" s="1610"/>
      <c r="K74" s="1610"/>
      <c r="L74" s="1645"/>
      <c r="M74" s="1646"/>
      <c r="N74" s="1641"/>
      <c r="O74" s="1641"/>
      <c r="P74" s="1647"/>
      <c r="Q74" s="1671"/>
      <c r="R74" s="1672"/>
      <c r="S74" s="1672"/>
      <c r="T74" s="1672"/>
      <c r="U74" s="1672"/>
      <c r="V74" s="1672"/>
      <c r="W74" s="1672"/>
      <c r="X74" s="1672"/>
      <c r="Y74" s="1672"/>
      <c r="Z74" s="1672"/>
      <c r="AA74" s="1672"/>
      <c r="AB74" s="1672"/>
      <c r="AC74" s="1672"/>
    </row>
    <row r="75" spans="1:29" s="1355" customFormat="1">
      <c r="A75" s="1611"/>
      <c r="B75" s="1612"/>
      <c r="C75" s="1613"/>
      <c r="D75" s="1613"/>
      <c r="E75" s="1613"/>
      <c r="F75" s="1613"/>
      <c r="G75" s="1613"/>
      <c r="H75" s="1614"/>
      <c r="I75" s="1614"/>
      <c r="J75" s="1614"/>
      <c r="K75" s="1614"/>
      <c r="L75" s="1614"/>
      <c r="M75" s="1648"/>
      <c r="N75" s="1641"/>
      <c r="O75" s="1641"/>
      <c r="P75" s="1642"/>
      <c r="Q75" s="1671"/>
      <c r="R75" s="1672"/>
      <c r="S75" s="1672"/>
      <c r="T75" s="1672"/>
      <c r="U75" s="1672"/>
      <c r="V75" s="1672"/>
      <c r="W75" s="1672"/>
      <c r="X75" s="1672"/>
      <c r="Y75" s="1672"/>
      <c r="Z75" s="1672"/>
      <c r="AA75" s="1672"/>
      <c r="AB75" s="1672"/>
      <c r="AC75" s="1672"/>
    </row>
    <row r="76" spans="1:29" ht="14.4">
      <c r="A76" s="1512" t="s">
        <v>2895</v>
      </c>
      <c r="B76" s="1513" t="s">
        <v>3459</v>
      </c>
      <c r="C76" s="1615" t="s">
        <v>2933</v>
      </c>
      <c r="D76" s="1615" t="s">
        <v>2934</v>
      </c>
      <c r="E76" s="1615" t="s">
        <v>2935</v>
      </c>
      <c r="F76" s="1615" t="s">
        <v>2936</v>
      </c>
      <c r="G76" s="1615" t="s">
        <v>2937</v>
      </c>
      <c r="H76" s="1514"/>
      <c r="I76" s="1514"/>
      <c r="J76" s="1514"/>
      <c r="K76" s="1649"/>
      <c r="L76" s="1650"/>
      <c r="M76" s="1651"/>
      <c r="N76" s="1568"/>
      <c r="O76" s="1568"/>
      <c r="P76" s="1652"/>
      <c r="Q76" s="1588"/>
      <c r="R76" s="1484"/>
      <c r="S76" s="1484"/>
      <c r="T76" s="1484"/>
      <c r="U76" s="1484"/>
      <c r="V76" s="1484"/>
      <c r="W76" s="1484"/>
      <c r="X76" s="1484"/>
      <c r="Y76" s="1484"/>
      <c r="Z76" s="1484"/>
      <c r="AA76" s="1484"/>
      <c r="AB76" s="1484"/>
      <c r="AC76" s="1484"/>
    </row>
    <row r="77" spans="1:29">
      <c r="A77" s="1516"/>
      <c r="B77" s="1599"/>
      <c r="C77" s="1604">
        <v>100</v>
      </c>
      <c r="D77" s="1604">
        <f>C77-$K15</f>
        <v>95</v>
      </c>
      <c r="E77" s="1604">
        <f>D77-$K15</f>
        <v>90</v>
      </c>
      <c r="F77" s="1604">
        <f>E77-$K15</f>
        <v>85</v>
      </c>
      <c r="G77" s="1604">
        <f>F77-$K15</f>
        <v>80</v>
      </c>
      <c r="H77" s="1604"/>
      <c r="I77" s="1604"/>
      <c r="J77" s="1604"/>
      <c r="K77" s="1604"/>
      <c r="L77" s="1604"/>
      <c r="M77" s="1638"/>
      <c r="N77" s="1571"/>
      <c r="O77" s="1571"/>
      <c r="P77" s="1569"/>
      <c r="Q77" s="1588"/>
      <c r="R77" s="1484"/>
      <c r="S77" s="1484"/>
      <c r="T77" s="1484"/>
      <c r="U77" s="1484"/>
      <c r="V77" s="1484"/>
      <c r="W77" s="1484"/>
      <c r="X77" s="1484"/>
      <c r="Y77" s="1484"/>
      <c r="Z77" s="1484"/>
      <c r="AA77" s="1484"/>
      <c r="AB77" s="1484"/>
      <c r="AC77" s="1484"/>
    </row>
    <row r="78" spans="1:29" ht="14.4">
      <c r="A78" s="1516"/>
      <c r="B78" s="1597" t="s">
        <v>2896</v>
      </c>
      <c r="C78" s="1616" t="s">
        <v>2933</v>
      </c>
      <c r="D78" s="1616" t="s">
        <v>2934</v>
      </c>
      <c r="E78" s="1616" t="s">
        <v>2935</v>
      </c>
      <c r="F78" s="1616" t="s">
        <v>2936</v>
      </c>
      <c r="G78" s="1616" t="s">
        <v>2937</v>
      </c>
      <c r="H78" s="1617"/>
      <c r="I78" s="1617"/>
      <c r="J78" s="1617"/>
      <c r="K78" s="1653"/>
      <c r="L78" s="1654"/>
      <c r="M78" s="1655"/>
      <c r="N78" s="1568"/>
      <c r="O78" s="1568"/>
      <c r="P78" s="1569"/>
      <c r="Q78" s="1588"/>
      <c r="R78" s="1484"/>
      <c r="S78" s="1484"/>
      <c r="T78" s="1484"/>
      <c r="U78" s="1484"/>
      <c r="V78" s="1484"/>
      <c r="W78" s="1484"/>
      <c r="X78" s="1484"/>
      <c r="Y78" s="1484"/>
      <c r="Z78" s="1484"/>
      <c r="AA78" s="1484"/>
      <c r="AB78" s="1484"/>
      <c r="AC78" s="1484"/>
    </row>
    <row r="79" spans="1:29">
      <c r="A79" s="1516"/>
      <c r="B79" s="1599"/>
      <c r="C79" s="1604">
        <v>100</v>
      </c>
      <c r="D79" s="1604">
        <f>C79-$K17</f>
        <v>97</v>
      </c>
      <c r="E79" s="1604">
        <f>D79-$K17</f>
        <v>94</v>
      </c>
      <c r="F79" s="1604">
        <f>E79-$K17</f>
        <v>91</v>
      </c>
      <c r="G79" s="1604">
        <f>F79-$K17</f>
        <v>88</v>
      </c>
      <c r="H79" s="1604"/>
      <c r="I79" s="1604"/>
      <c r="J79" s="1604"/>
      <c r="K79" s="1604"/>
      <c r="L79" s="1604"/>
      <c r="M79" s="1638"/>
      <c r="N79" s="1571"/>
      <c r="O79" s="1571"/>
      <c r="P79" s="1569"/>
      <c r="Q79" s="1588"/>
      <c r="R79" s="1484"/>
      <c r="S79" s="1484"/>
      <c r="T79" s="1484"/>
      <c r="U79" s="1484"/>
      <c r="V79" s="1484"/>
      <c r="W79" s="1484"/>
      <c r="X79" s="1484"/>
      <c r="Y79" s="1484"/>
      <c r="Z79" s="1484"/>
      <c r="AA79" s="1484"/>
      <c r="AB79" s="1484"/>
      <c r="AC79" s="1484"/>
    </row>
    <row r="80" spans="1:29" ht="14.4">
      <c r="A80" s="1516"/>
      <c r="B80" s="1597" t="s">
        <v>2899</v>
      </c>
      <c r="C80" s="1616" t="s">
        <v>2933</v>
      </c>
      <c r="D80" s="1616" t="s">
        <v>2934</v>
      </c>
      <c r="E80" s="1616" t="s">
        <v>2935</v>
      </c>
      <c r="F80" s="1616" t="s">
        <v>2936</v>
      </c>
      <c r="G80" s="1616" t="s">
        <v>2937</v>
      </c>
      <c r="H80" s="1617"/>
      <c r="I80" s="1617"/>
      <c r="J80" s="1617"/>
      <c r="K80" s="1653"/>
      <c r="L80" s="1654"/>
      <c r="M80" s="1655"/>
      <c r="N80" s="1568"/>
      <c r="O80" s="1568"/>
      <c r="P80" s="1569"/>
      <c r="Q80" s="1588"/>
      <c r="R80" s="1484"/>
      <c r="S80" s="1484"/>
      <c r="T80" s="1484"/>
      <c r="U80" s="1484"/>
      <c r="V80" s="1484"/>
      <c r="W80" s="1484"/>
      <c r="X80" s="1484"/>
      <c r="Y80" s="1484"/>
      <c r="Z80" s="1484"/>
      <c r="AA80" s="1484"/>
      <c r="AB80" s="1484"/>
      <c r="AC80" s="1484"/>
    </row>
    <row r="81" spans="1:29">
      <c r="A81" s="1516"/>
      <c r="B81" s="1599"/>
      <c r="C81" s="1604">
        <v>100</v>
      </c>
      <c r="D81" s="1604">
        <f>C81-$K19</f>
        <v>97</v>
      </c>
      <c r="E81" s="1604">
        <f>D81-$K19</f>
        <v>94</v>
      </c>
      <c r="F81" s="1604">
        <f>E81-$K19</f>
        <v>91</v>
      </c>
      <c r="G81" s="1604">
        <f>F81-$K19</f>
        <v>88</v>
      </c>
      <c r="H81" s="1604"/>
      <c r="I81" s="1604"/>
      <c r="J81" s="1604"/>
      <c r="K81" s="1604"/>
      <c r="L81" s="1604"/>
      <c r="M81" s="1638"/>
      <c r="N81" s="1571"/>
      <c r="O81" s="1571"/>
      <c r="P81" s="1569"/>
      <c r="Q81" s="1588"/>
      <c r="R81" s="1484"/>
      <c r="S81" s="1484"/>
      <c r="T81" s="1484"/>
      <c r="U81" s="1484"/>
      <c r="V81" s="1484"/>
      <c r="W81" s="1484"/>
      <c r="X81" s="1484"/>
      <c r="Y81" s="1484"/>
      <c r="Z81" s="1484"/>
      <c r="AA81" s="1484"/>
      <c r="AB81" s="1484"/>
      <c r="AC81" s="1484"/>
    </row>
    <row r="82" spans="1:29" ht="14.4">
      <c r="A82" s="1516"/>
      <c r="B82" s="1600" t="s">
        <v>2901</v>
      </c>
      <c r="C82" s="1618" t="s">
        <v>2938</v>
      </c>
      <c r="D82" s="1618" t="s">
        <v>2939</v>
      </c>
      <c r="E82" s="1618" t="s">
        <v>2940</v>
      </c>
      <c r="F82" s="1618" t="s">
        <v>2941</v>
      </c>
      <c r="G82" s="1618" t="s">
        <v>2942</v>
      </c>
      <c r="H82" s="1617"/>
      <c r="I82" s="1617"/>
      <c r="J82" s="1617"/>
      <c r="K82" s="1617"/>
      <c r="L82" s="1617"/>
      <c r="M82" s="1656"/>
      <c r="N82" s="1571"/>
      <c r="O82" s="1571"/>
      <c r="P82" s="1569"/>
      <c r="Q82" s="1588"/>
      <c r="R82" s="1484"/>
      <c r="S82" s="1484"/>
      <c r="T82" s="1484"/>
      <c r="U82" s="1484"/>
      <c r="V82" s="1484"/>
      <c r="W82" s="1484"/>
      <c r="X82" s="1484"/>
      <c r="Y82" s="1484"/>
      <c r="Z82" s="1484"/>
      <c r="AA82" s="1484"/>
      <c r="AB82" s="1484"/>
      <c r="AC82" s="1484"/>
    </row>
    <row r="83" spans="1:29">
      <c r="A83" s="1516"/>
      <c r="B83" s="1600"/>
      <c r="C83" s="1604">
        <v>100</v>
      </c>
      <c r="D83" s="1604">
        <f>C83-$K21</f>
        <v>99</v>
      </c>
      <c r="E83" s="1604">
        <f t="shared" ref="E83:G83" si="19">D83-$K21</f>
        <v>98</v>
      </c>
      <c r="F83" s="1604">
        <f t="shared" si="19"/>
        <v>97</v>
      </c>
      <c r="G83" s="1604">
        <f t="shared" si="19"/>
        <v>96</v>
      </c>
      <c r="H83" s="1618"/>
      <c r="I83" s="1618"/>
      <c r="J83" s="1618"/>
      <c r="K83" s="1618"/>
      <c r="L83" s="1618"/>
      <c r="M83" s="1431"/>
      <c r="N83" s="1571"/>
      <c r="O83" s="1571"/>
      <c r="P83" s="1569"/>
      <c r="Q83" s="1588"/>
      <c r="R83" s="1484"/>
      <c r="S83" s="1484"/>
      <c r="T83" s="1484"/>
      <c r="U83" s="1484"/>
      <c r="V83" s="1484"/>
      <c r="W83" s="1484"/>
      <c r="X83" s="1484"/>
      <c r="Y83" s="1484"/>
      <c r="Z83" s="1484"/>
      <c r="AA83" s="1484"/>
      <c r="AB83" s="1484"/>
      <c r="AC83" s="1484"/>
    </row>
    <row r="84" spans="1:29" ht="14.4">
      <c r="A84" s="1516"/>
      <c r="B84" s="1597" t="s">
        <v>2902</v>
      </c>
      <c r="C84" s="1616" t="s">
        <v>2933</v>
      </c>
      <c r="D84" s="1616" t="s">
        <v>2934</v>
      </c>
      <c r="E84" s="1616" t="s">
        <v>2935</v>
      </c>
      <c r="F84" s="1616" t="s">
        <v>2936</v>
      </c>
      <c r="G84" s="1616" t="s">
        <v>2937</v>
      </c>
      <c r="H84" s="1617"/>
      <c r="I84" s="1617"/>
      <c r="J84" s="1617"/>
      <c r="K84" s="1653"/>
      <c r="L84" s="1654"/>
      <c r="M84" s="1655"/>
      <c r="N84" s="1568"/>
      <c r="O84" s="1568"/>
      <c r="P84" s="1569"/>
      <c r="Q84" s="1588"/>
      <c r="R84" s="1484"/>
      <c r="S84" s="1484"/>
      <c r="T84" s="1484"/>
      <c r="U84" s="1484"/>
      <c r="V84" s="1484"/>
      <c r="W84" s="1484"/>
      <c r="X84" s="1484"/>
      <c r="Y84" s="1484"/>
      <c r="Z84" s="1484"/>
      <c r="AA84" s="1484"/>
      <c r="AB84" s="1484"/>
      <c r="AC84" s="1484"/>
    </row>
    <row r="85" spans="1:29">
      <c r="A85" s="1516"/>
      <c r="B85" s="1599"/>
      <c r="C85" s="1604">
        <v>100</v>
      </c>
      <c r="D85" s="1604">
        <f>C85-$K23</f>
        <v>97</v>
      </c>
      <c r="E85" s="1604">
        <f>D85-$K23</f>
        <v>94</v>
      </c>
      <c r="F85" s="1604">
        <f>E85-$K23</f>
        <v>91</v>
      </c>
      <c r="G85" s="1604">
        <f>F85-$K23</f>
        <v>88</v>
      </c>
      <c r="H85" s="1604"/>
      <c r="I85" s="1604"/>
      <c r="J85" s="1604"/>
      <c r="K85" s="1604"/>
      <c r="L85" s="1604"/>
      <c r="M85" s="1638"/>
      <c r="N85" s="1571"/>
      <c r="O85" s="1571"/>
      <c r="P85" s="1569"/>
      <c r="Q85" s="1588"/>
      <c r="R85" s="1484"/>
      <c r="S85" s="1484"/>
      <c r="T85" s="1484"/>
      <c r="U85" s="1484"/>
      <c r="V85" s="1484"/>
      <c r="W85" s="1484"/>
      <c r="X85" s="1484"/>
      <c r="Y85" s="1484"/>
      <c r="Z85" s="1484"/>
      <c r="AA85" s="1484"/>
      <c r="AB85" s="1484"/>
      <c r="AC85" s="1484"/>
    </row>
    <row r="86" spans="1:29" s="1353" customFormat="1" ht="14.4">
      <c r="A86" s="1619"/>
      <c r="B86" s="1597" t="s">
        <v>3511</v>
      </c>
      <c r="C86" s="1606"/>
      <c r="D86" s="1606"/>
      <c r="E86" s="1606"/>
      <c r="F86" s="1606"/>
      <c r="G86" s="1606"/>
      <c r="H86" s="1606"/>
      <c r="I86" s="1606"/>
      <c r="J86" s="1606"/>
      <c r="K86" s="1606"/>
      <c r="L86" s="1657"/>
      <c r="M86" s="1658"/>
      <c r="N86" s="1562"/>
      <c r="O86" s="1562"/>
      <c r="P86" s="1569"/>
      <c r="Q86" s="1588"/>
      <c r="R86" s="1590"/>
      <c r="S86" s="1590"/>
      <c r="T86" s="1590"/>
      <c r="U86" s="1590"/>
      <c r="V86" s="1590"/>
      <c r="W86" s="1590"/>
      <c r="X86" s="1590"/>
      <c r="Y86" s="1590"/>
      <c r="Z86" s="1590"/>
      <c r="AA86" s="1590"/>
      <c r="AB86" s="1590"/>
      <c r="AC86" s="1590"/>
    </row>
    <row r="87" spans="1:29" s="1353" customFormat="1">
      <c r="A87" s="1619"/>
      <c r="B87" s="1599"/>
      <c r="C87" s="1620">
        <v>100</v>
      </c>
      <c r="D87" s="1604">
        <f t="shared" ref="D87:M87" si="20">C87-$K25</f>
        <v>100</v>
      </c>
      <c r="E87" s="1604">
        <f t="shared" si="20"/>
        <v>100</v>
      </c>
      <c r="F87" s="1604">
        <f t="shared" si="20"/>
        <v>100</v>
      </c>
      <c r="G87" s="1604">
        <f t="shared" si="20"/>
        <v>100</v>
      </c>
      <c r="H87" s="1604">
        <f t="shared" si="20"/>
        <v>100</v>
      </c>
      <c r="I87" s="1604">
        <f t="shared" si="20"/>
        <v>100</v>
      </c>
      <c r="J87" s="1604">
        <f t="shared" si="20"/>
        <v>100</v>
      </c>
      <c r="K87" s="1604">
        <f t="shared" si="20"/>
        <v>100</v>
      </c>
      <c r="L87" s="1604">
        <f t="shared" si="20"/>
        <v>100</v>
      </c>
      <c r="M87" s="1604">
        <f t="shared" si="20"/>
        <v>100</v>
      </c>
      <c r="N87" s="1571"/>
      <c r="O87" s="1571"/>
      <c r="P87" s="1569"/>
      <c r="Q87" s="1588"/>
      <c r="R87" s="1590"/>
      <c r="S87" s="1590"/>
      <c r="T87" s="1590"/>
      <c r="U87" s="1590"/>
      <c r="V87" s="1590"/>
      <c r="W87" s="1590"/>
      <c r="X87" s="1590"/>
      <c r="Y87" s="1590"/>
      <c r="Z87" s="1590"/>
      <c r="AA87" s="1590"/>
      <c r="AB87" s="1590"/>
      <c r="AC87" s="1590"/>
    </row>
    <row r="88" spans="1:29" s="1353" customFormat="1">
      <c r="A88" s="1619"/>
      <c r="B88" s="1597" t="str">
        <f>B26</f>
        <v>平面位置/可视性</v>
      </c>
      <c r="C88" s="1606"/>
      <c r="D88" s="1606"/>
      <c r="E88" s="1606"/>
      <c r="F88" s="1621"/>
      <c r="G88" s="1606"/>
      <c r="H88" s="1606"/>
      <c r="I88" s="1606"/>
      <c r="J88" s="1606"/>
      <c r="K88" s="1606"/>
      <c r="L88" s="1606"/>
      <c r="M88" s="1658"/>
      <c r="N88" s="1562"/>
      <c r="O88" s="1562"/>
      <c r="P88" s="1569"/>
      <c r="Q88" s="1588"/>
      <c r="R88" s="1590"/>
      <c r="S88" s="1590"/>
      <c r="T88" s="1590"/>
      <c r="U88" s="1590"/>
      <c r="V88" s="1590"/>
      <c r="W88" s="1590"/>
      <c r="X88" s="1590"/>
      <c r="Y88" s="1590"/>
      <c r="Z88" s="1590"/>
      <c r="AA88" s="1590"/>
      <c r="AB88" s="1590"/>
      <c r="AC88" s="1590"/>
    </row>
    <row r="89" spans="1:29" s="1353" customFormat="1">
      <c r="A89" s="1619"/>
      <c r="B89" s="1599"/>
      <c r="C89" s="1608"/>
      <c r="D89" s="1518"/>
      <c r="E89" s="1518"/>
      <c r="F89" s="1518"/>
      <c r="G89" s="1518"/>
      <c r="H89" s="1518"/>
      <c r="I89" s="1518"/>
      <c r="J89" s="1518"/>
      <c r="K89" s="1518"/>
      <c r="L89" s="1518"/>
      <c r="M89" s="1518"/>
      <c r="N89" s="1571"/>
      <c r="O89" s="1571"/>
      <c r="P89" s="1569"/>
      <c r="Q89" s="1588"/>
      <c r="R89" s="1590"/>
      <c r="S89" s="1590"/>
      <c r="T89" s="1590"/>
      <c r="U89" s="1590"/>
      <c r="V89" s="1590"/>
      <c r="W89" s="1590"/>
      <c r="X89" s="1590"/>
      <c r="Y89" s="1590"/>
      <c r="Z89" s="1590"/>
      <c r="AA89" s="1590"/>
      <c r="AB89" s="1590"/>
      <c r="AC89" s="1590"/>
    </row>
    <row r="90" spans="1:29" s="1355" customFormat="1">
      <c r="A90" s="1605"/>
      <c r="B90" s="1597" t="str">
        <f>B27</f>
        <v>人流量</v>
      </c>
      <c r="C90" s="1606"/>
      <c r="D90" s="1606"/>
      <c r="E90" s="1606"/>
      <c r="F90" s="1606"/>
      <c r="G90" s="1606"/>
      <c r="H90" s="1607"/>
      <c r="I90" s="1607"/>
      <c r="J90" s="1607"/>
      <c r="K90" s="1607"/>
      <c r="L90" s="1639"/>
      <c r="M90" s="1640"/>
      <c r="N90" s="1641"/>
      <c r="O90" s="1641"/>
      <c r="P90" s="1642"/>
      <c r="Q90" s="1671"/>
      <c r="R90" s="1672"/>
      <c r="S90" s="1672"/>
      <c r="T90" s="1672"/>
      <c r="U90" s="1672"/>
      <c r="V90" s="1672"/>
      <c r="W90" s="1672"/>
      <c r="X90" s="1672"/>
      <c r="Y90" s="1672"/>
      <c r="Z90" s="1672"/>
      <c r="AA90" s="1672"/>
      <c r="AB90" s="1672"/>
      <c r="AC90" s="1672"/>
    </row>
    <row r="91" spans="1:29" s="1355" customFormat="1">
      <c r="A91" s="1605"/>
      <c r="B91" s="1599"/>
      <c r="C91" s="1620">
        <v>100</v>
      </c>
      <c r="D91" s="1604">
        <f>C91-$K27</f>
        <v>100</v>
      </c>
      <c r="E91" s="1604">
        <f t="shared" ref="E91:M91" si="21">D91-$K27</f>
        <v>100</v>
      </c>
      <c r="F91" s="1604">
        <f t="shared" si="21"/>
        <v>100</v>
      </c>
      <c r="G91" s="1604">
        <f t="shared" si="21"/>
        <v>100</v>
      </c>
      <c r="H91" s="1604">
        <f t="shared" si="21"/>
        <v>100</v>
      </c>
      <c r="I91" s="1604">
        <f t="shared" si="21"/>
        <v>100</v>
      </c>
      <c r="J91" s="1604">
        <f t="shared" si="21"/>
        <v>100</v>
      </c>
      <c r="K91" s="1604">
        <f t="shared" si="21"/>
        <v>100</v>
      </c>
      <c r="L91" s="1604">
        <f t="shared" si="21"/>
        <v>100</v>
      </c>
      <c r="M91" s="1604">
        <f t="shared" si="21"/>
        <v>100</v>
      </c>
      <c r="N91" s="1641"/>
      <c r="O91" s="1641"/>
      <c r="P91" s="1642"/>
      <c r="Q91" s="1671"/>
      <c r="R91" s="1672"/>
      <c r="S91" s="1672"/>
      <c r="T91" s="1672"/>
      <c r="U91" s="1672"/>
      <c r="V91" s="1672"/>
      <c r="W91" s="1672"/>
      <c r="X91" s="1672"/>
      <c r="Y91" s="1672"/>
      <c r="Z91" s="1672"/>
      <c r="AA91" s="1672"/>
      <c r="AB91" s="1672"/>
      <c r="AC91" s="1672"/>
    </row>
    <row r="92" spans="1:29">
      <c r="A92" s="1516"/>
      <c r="B92" s="1597" t="str">
        <f>B28</f>
        <v>楼层</v>
      </c>
      <c r="C92" s="1606">
        <v>-1</v>
      </c>
      <c r="D92" s="1606"/>
      <c r="E92" s="1606"/>
      <c r="F92" s="1606"/>
      <c r="G92" s="1606"/>
      <c r="H92" s="1606"/>
      <c r="I92" s="1606"/>
      <c r="J92" s="1606"/>
      <c r="K92" s="1606"/>
      <c r="L92" s="1657"/>
      <c r="M92" s="1658"/>
      <c r="N92" s="1568"/>
      <c r="O92" s="1568"/>
      <c r="P92" s="1569"/>
      <c r="Q92" s="1588"/>
      <c r="R92" s="1484"/>
      <c r="S92" s="1484"/>
      <c r="T92" s="1484"/>
      <c r="U92" s="1484"/>
      <c r="V92" s="1484"/>
      <c r="W92" s="1484"/>
      <c r="X92" s="1484"/>
      <c r="Y92" s="1484"/>
      <c r="Z92" s="1484"/>
      <c r="AA92" s="1484"/>
      <c r="AB92" s="1484"/>
      <c r="AC92" s="1484"/>
    </row>
    <row r="93" spans="1:29">
      <c r="A93" s="1516"/>
      <c r="B93" s="1599"/>
      <c r="C93" s="1518">
        <v>100</v>
      </c>
      <c r="D93" s="1518"/>
      <c r="E93" s="1518"/>
      <c r="F93" s="1518"/>
      <c r="G93" s="1518"/>
      <c r="H93" s="1518"/>
      <c r="I93" s="1518"/>
      <c r="J93" s="1518"/>
      <c r="K93" s="1518"/>
      <c r="L93" s="1518"/>
      <c r="M93" s="1570"/>
      <c r="N93" s="1571"/>
      <c r="O93" s="1571"/>
      <c r="P93" s="1569"/>
      <c r="Q93" s="1588"/>
      <c r="R93" s="1484"/>
      <c r="S93" s="1484"/>
      <c r="T93" s="1484"/>
      <c r="U93" s="1484"/>
      <c r="V93" s="1484"/>
      <c r="W93" s="1484"/>
      <c r="X93" s="1484"/>
      <c r="Y93" s="1484"/>
      <c r="Z93" s="1484"/>
      <c r="AA93" s="1484"/>
      <c r="AB93" s="1484"/>
      <c r="AC93" s="1484"/>
    </row>
    <row r="94" spans="1:29">
      <c r="A94" s="1516"/>
      <c r="B94" s="1597">
        <f>B29</f>
        <v>111</v>
      </c>
      <c r="C94" s="1606"/>
      <c r="D94" s="1606"/>
      <c r="E94" s="1606"/>
      <c r="F94" s="1606"/>
      <c r="G94" s="1598"/>
      <c r="H94" s="1598"/>
      <c r="I94" s="1598"/>
      <c r="J94" s="1598"/>
      <c r="K94" s="1632"/>
      <c r="L94" s="1633"/>
      <c r="M94" s="1634"/>
      <c r="N94" s="1568"/>
      <c r="O94" s="1568"/>
      <c r="P94" s="1569"/>
      <c r="Q94" s="1588"/>
      <c r="R94" s="1484"/>
      <c r="S94" s="1484"/>
      <c r="T94" s="1484"/>
      <c r="U94" s="1484"/>
      <c r="V94" s="1484"/>
      <c r="W94" s="1484"/>
      <c r="X94" s="1484"/>
      <c r="Y94" s="1484"/>
      <c r="Z94" s="1484"/>
      <c r="AA94" s="1484"/>
      <c r="AB94" s="1484"/>
      <c r="AC94" s="1484"/>
    </row>
    <row r="95" spans="1:29">
      <c r="A95" s="1516"/>
      <c r="B95" s="1599"/>
      <c r="C95" s="1608"/>
      <c r="D95" s="1518"/>
      <c r="E95" s="1518"/>
      <c r="F95" s="1518"/>
      <c r="G95" s="1518"/>
      <c r="H95" s="1518"/>
      <c r="I95" s="1518"/>
      <c r="J95" s="1518"/>
      <c r="K95" s="1518"/>
      <c r="L95" s="1518"/>
      <c r="M95" s="1570"/>
      <c r="N95" s="1571"/>
      <c r="O95" s="1571"/>
      <c r="P95" s="1569"/>
      <c r="Q95" s="1588"/>
      <c r="R95" s="1484"/>
      <c r="S95" s="1484"/>
      <c r="T95" s="1484"/>
      <c r="U95" s="1484"/>
      <c r="V95" s="1484"/>
      <c r="W95" s="1484"/>
      <c r="X95" s="1484"/>
      <c r="Y95" s="1484"/>
      <c r="Z95" s="1484"/>
      <c r="AA95" s="1484"/>
      <c r="AB95" s="1484"/>
      <c r="AC95" s="1484"/>
    </row>
    <row r="96" spans="1:29">
      <c r="A96" s="1516"/>
      <c r="B96" s="1597">
        <f>B30</f>
        <v>111</v>
      </c>
      <c r="C96" s="1606"/>
      <c r="D96" s="1606"/>
      <c r="E96" s="1606"/>
      <c r="F96" s="1606"/>
      <c r="G96" s="1598"/>
      <c r="H96" s="1598"/>
      <c r="I96" s="1598"/>
      <c r="J96" s="1598"/>
      <c r="K96" s="1632"/>
      <c r="L96" s="1633"/>
      <c r="M96" s="1634"/>
      <c r="N96" s="1568"/>
      <c r="O96" s="1568"/>
      <c r="P96" s="1569"/>
      <c r="Q96" s="1588"/>
      <c r="R96" s="1484"/>
      <c r="S96" s="1484"/>
      <c r="T96" s="1484"/>
      <c r="U96" s="1484"/>
      <c r="V96" s="1484"/>
      <c r="W96" s="1484"/>
      <c r="X96" s="1484"/>
      <c r="Y96" s="1484"/>
      <c r="Z96" s="1484"/>
      <c r="AA96" s="1484"/>
      <c r="AB96" s="1484"/>
      <c r="AC96" s="1484"/>
    </row>
    <row r="97" spans="1:29">
      <c r="A97" s="1516"/>
      <c r="B97" s="1599"/>
      <c r="C97" s="1608"/>
      <c r="D97" s="1518"/>
      <c r="E97" s="1518"/>
      <c r="F97" s="1518"/>
      <c r="G97" s="1518"/>
      <c r="H97" s="1518"/>
      <c r="I97" s="1518"/>
      <c r="J97" s="1518"/>
      <c r="K97" s="1518"/>
      <c r="L97" s="1518"/>
      <c r="M97" s="1570"/>
      <c r="N97" s="1571"/>
      <c r="O97" s="1571"/>
      <c r="P97" s="1569"/>
      <c r="Q97" s="1588"/>
      <c r="R97" s="1484"/>
      <c r="S97" s="1484"/>
      <c r="T97" s="1484"/>
      <c r="U97" s="1484"/>
      <c r="V97" s="1484"/>
      <c r="W97" s="1484"/>
      <c r="X97" s="1484"/>
      <c r="Y97" s="1484"/>
      <c r="Z97" s="1484"/>
      <c r="AA97" s="1484"/>
      <c r="AB97" s="1484"/>
      <c r="AC97" s="1484"/>
    </row>
    <row r="98" spans="1:29">
      <c r="A98" s="1516"/>
      <c r="B98" s="1600">
        <f>B31</f>
        <v>111</v>
      </c>
      <c r="C98" s="1606"/>
      <c r="D98" s="1606"/>
      <c r="E98" s="1606"/>
      <c r="F98" s="1606"/>
      <c r="G98" s="1622"/>
      <c r="H98" s="1622"/>
      <c r="I98" s="1622"/>
      <c r="J98" s="1622"/>
      <c r="K98" s="1659"/>
      <c r="L98" s="1660"/>
      <c r="M98" s="1661"/>
      <c r="N98" s="1568"/>
      <c r="O98" s="1568"/>
      <c r="P98" s="1569"/>
      <c r="Q98" s="1588"/>
      <c r="R98" s="1484"/>
      <c r="S98" s="1484"/>
      <c r="T98" s="1484"/>
      <c r="U98" s="1484"/>
      <c r="V98" s="1484"/>
      <c r="W98" s="1484"/>
      <c r="X98" s="1484"/>
      <c r="Y98" s="1484"/>
      <c r="Z98" s="1484"/>
      <c r="AA98" s="1484"/>
      <c r="AB98" s="1484"/>
      <c r="AC98" s="1484"/>
    </row>
    <row r="99" spans="1:29">
      <c r="A99" s="1623"/>
      <c r="B99" s="1612"/>
      <c r="C99" s="1613"/>
      <c r="D99" s="1613"/>
      <c r="E99" s="1613"/>
      <c r="F99" s="1613"/>
      <c r="G99" s="1624"/>
      <c r="H99" s="1624"/>
      <c r="I99" s="1624"/>
      <c r="J99" s="1624"/>
      <c r="K99" s="1624"/>
      <c r="L99" s="1624"/>
      <c r="M99" s="1662"/>
      <c r="N99" s="1571"/>
      <c r="O99" s="1571"/>
      <c r="P99" s="1569"/>
      <c r="Q99" s="1588"/>
      <c r="R99" s="1484"/>
      <c r="S99" s="1484"/>
      <c r="T99" s="1484"/>
      <c r="U99" s="1484"/>
      <c r="V99" s="1484"/>
      <c r="W99" s="1484"/>
      <c r="X99" s="1484"/>
      <c r="Y99" s="1484"/>
      <c r="Z99" s="1484"/>
      <c r="AA99" s="1484"/>
      <c r="AB99" s="1484"/>
      <c r="AC99" s="1484"/>
    </row>
    <row r="100" spans="1:29" ht="28.8">
      <c r="A100" s="1512" t="s">
        <v>2904</v>
      </c>
      <c r="B100" s="1513" t="s">
        <v>3778</v>
      </c>
      <c r="C100" s="1625" t="s">
        <v>3789</v>
      </c>
      <c r="D100" s="1625" t="s">
        <v>3780</v>
      </c>
      <c r="E100" s="1625" t="s">
        <v>3781</v>
      </c>
      <c r="F100" s="1625" t="s">
        <v>3779</v>
      </c>
      <c r="G100" s="1515"/>
      <c r="H100" s="1515"/>
      <c r="I100" s="1515"/>
      <c r="J100" s="1515"/>
      <c r="K100" s="1565"/>
      <c r="L100" s="1566"/>
      <c r="M100" s="1567"/>
      <c r="N100" s="1568"/>
      <c r="O100" s="1568"/>
      <c r="P100" s="1569"/>
      <c r="Q100" s="1588"/>
      <c r="R100" s="1484"/>
      <c r="S100" s="1484"/>
      <c r="T100" s="1484"/>
      <c r="U100" s="1484"/>
      <c r="V100" s="1484"/>
      <c r="W100" s="1484"/>
      <c r="X100" s="1484"/>
      <c r="Y100" s="1484"/>
      <c r="Z100" s="1484"/>
      <c r="AA100" s="1484"/>
      <c r="AB100" s="1484"/>
      <c r="AC100" s="1484"/>
    </row>
    <row r="101" spans="1:29">
      <c r="A101" s="1516"/>
      <c r="B101" s="1599"/>
      <c r="C101" s="1604">
        <v>100</v>
      </c>
      <c r="D101" s="1604">
        <f t="shared" ref="D101:M101" si="22">C101-$K32</f>
        <v>95</v>
      </c>
      <c r="E101" s="1604">
        <f t="shared" si="22"/>
        <v>90</v>
      </c>
      <c r="F101" s="1604">
        <f t="shared" si="22"/>
        <v>85</v>
      </c>
      <c r="G101" s="1604">
        <f t="shared" si="22"/>
        <v>80</v>
      </c>
      <c r="H101" s="1604">
        <f t="shared" si="22"/>
        <v>75</v>
      </c>
      <c r="I101" s="1604">
        <f t="shared" si="22"/>
        <v>70</v>
      </c>
      <c r="J101" s="1604">
        <f t="shared" si="22"/>
        <v>65</v>
      </c>
      <c r="K101" s="1604">
        <f t="shared" si="22"/>
        <v>60</v>
      </c>
      <c r="L101" s="1604">
        <f t="shared" si="22"/>
        <v>55</v>
      </c>
      <c r="M101" s="1638">
        <f t="shared" si="22"/>
        <v>50</v>
      </c>
      <c r="N101" s="1571"/>
      <c r="O101" s="1571"/>
      <c r="P101" s="1569"/>
      <c r="Q101" s="1588"/>
      <c r="R101" s="1484"/>
      <c r="S101" s="1484"/>
      <c r="T101" s="1484"/>
      <c r="U101" s="1484"/>
      <c r="V101" s="1484"/>
      <c r="W101" s="1484"/>
      <c r="X101" s="1484"/>
      <c r="Y101" s="1484"/>
      <c r="Z101" s="1484"/>
      <c r="AA101" s="1484"/>
      <c r="AB101" s="1484"/>
      <c r="AC101" s="1484"/>
    </row>
    <row r="102" spans="1:29" ht="14.4">
      <c r="A102" s="1516"/>
      <c r="B102" s="1597" t="s">
        <v>3463</v>
      </c>
      <c r="C102" s="1616" t="str">
        <f>C103&amp;"(含)"&amp;"-"&amp;D103</f>
        <v>0(含)-</v>
      </c>
      <c r="D102" s="1616" t="str">
        <f t="shared" ref="D102:L102" si="23">D103&amp;"(含)"&amp;"-"&amp;E103</f>
        <v>(含)-</v>
      </c>
      <c r="E102" s="1616" t="str">
        <f t="shared" si="23"/>
        <v>(含)-</v>
      </c>
      <c r="F102" s="1616" t="str">
        <f t="shared" si="23"/>
        <v>(含)-</v>
      </c>
      <c r="G102" s="1616" t="str">
        <f t="shared" si="23"/>
        <v>(含)-</v>
      </c>
      <c r="H102" s="1616" t="str">
        <f t="shared" si="23"/>
        <v>(含)-</v>
      </c>
      <c r="I102" s="1616" t="str">
        <f t="shared" si="23"/>
        <v>(含)-</v>
      </c>
      <c r="J102" s="1616" t="str">
        <f t="shared" si="23"/>
        <v>(含)-</v>
      </c>
      <c r="K102" s="1616" t="str">
        <f t="shared" si="23"/>
        <v>(含)-</v>
      </c>
      <c r="L102" s="1616" t="str">
        <f t="shared" si="23"/>
        <v>(含)-</v>
      </c>
      <c r="M102" s="1663" t="str">
        <f>M103&amp;"(含)"&amp;"-"&amp;P103</f>
        <v>(含)-</v>
      </c>
      <c r="N102" s="1562"/>
      <c r="O102" s="1562"/>
      <c r="P102" s="1569"/>
      <c r="Q102" s="1588"/>
      <c r="R102" s="1484"/>
      <c r="S102" s="1484"/>
      <c r="T102" s="1484"/>
      <c r="U102" s="1484"/>
      <c r="V102" s="1484"/>
      <c r="W102" s="1484"/>
      <c r="X102" s="1484"/>
      <c r="Y102" s="1484"/>
      <c r="Z102" s="1484"/>
      <c r="AA102" s="1484"/>
      <c r="AB102" s="1484"/>
      <c r="AC102" s="1484"/>
    </row>
    <row r="103" spans="1:29" s="1355" customFormat="1">
      <c r="A103" s="1626"/>
      <c r="B103" s="1627"/>
      <c r="C103" s="1628">
        <v>0</v>
      </c>
      <c r="D103" s="1628"/>
      <c r="E103" s="1628"/>
      <c r="F103" s="1628"/>
      <c r="G103" s="1628"/>
      <c r="H103" s="1628"/>
      <c r="I103" s="1628"/>
      <c r="J103" s="1664"/>
      <c r="K103" s="1664"/>
      <c r="L103" s="1665"/>
      <c r="M103" s="1666"/>
      <c r="N103" s="1641"/>
      <c r="O103" s="1641"/>
      <c r="P103" s="1642"/>
      <c r="Q103" s="1671"/>
      <c r="R103" s="1672"/>
      <c r="S103" s="1672"/>
      <c r="T103" s="1672"/>
      <c r="U103" s="1672"/>
      <c r="V103" s="1672"/>
      <c r="W103" s="1672"/>
      <c r="X103" s="1672"/>
      <c r="Y103" s="1672"/>
      <c r="Z103" s="1672"/>
      <c r="AA103" s="1672"/>
      <c r="AB103" s="1672"/>
      <c r="AC103" s="1672"/>
    </row>
    <row r="104" spans="1:29" s="1355" customFormat="1">
      <c r="A104" s="1605"/>
      <c r="B104" s="1599"/>
      <c r="C104" s="1608"/>
      <c r="D104" s="1518"/>
      <c r="E104" s="1518"/>
      <c r="F104" s="1518"/>
      <c r="G104" s="1518"/>
      <c r="H104" s="1518"/>
      <c r="I104" s="1518"/>
      <c r="J104" s="1518"/>
      <c r="K104" s="1518"/>
      <c r="L104" s="1518"/>
      <c r="M104" s="1570"/>
      <c r="N104" s="1571"/>
      <c r="O104" s="1571"/>
      <c r="P104" s="1642"/>
      <c r="Q104" s="1671"/>
      <c r="R104" s="1672"/>
      <c r="S104" s="1672"/>
      <c r="T104" s="1672"/>
      <c r="U104" s="1672"/>
      <c r="V104" s="1672"/>
      <c r="W104" s="1672"/>
      <c r="X104" s="1672"/>
      <c r="Y104" s="1672"/>
      <c r="Z104" s="1672"/>
      <c r="AA104" s="1672"/>
      <c r="AB104" s="1672"/>
      <c r="AC104" s="1672"/>
    </row>
    <row r="105" spans="1:29" ht="14.4">
      <c r="A105" s="1629"/>
      <c r="B105" s="1597" t="s">
        <v>3464</v>
      </c>
      <c r="C105" s="1630" t="s">
        <v>3187</v>
      </c>
      <c r="D105" s="1606"/>
      <c r="E105" s="1598"/>
      <c r="F105" s="1598"/>
      <c r="G105" s="1598"/>
      <c r="H105" s="1598"/>
      <c r="I105" s="1598"/>
      <c r="J105" s="1598"/>
      <c r="K105" s="1632"/>
      <c r="L105" s="1633"/>
      <c r="M105" s="1634"/>
      <c r="N105" s="1568"/>
      <c r="O105" s="1568"/>
      <c r="P105" s="1569"/>
      <c r="Q105" s="1588"/>
      <c r="R105" s="1484"/>
      <c r="S105" s="1484"/>
      <c r="T105" s="1484"/>
      <c r="U105" s="1484"/>
      <c r="V105" s="1484"/>
      <c r="W105" s="1484"/>
      <c r="X105" s="1484"/>
      <c r="Y105" s="1484"/>
      <c r="Z105" s="1484"/>
      <c r="AA105" s="1484"/>
      <c r="AB105" s="1484"/>
      <c r="AC105" s="1484"/>
    </row>
    <row r="106" spans="1:29">
      <c r="A106" s="1516"/>
      <c r="B106" s="1599"/>
      <c r="C106" s="1604">
        <v>100</v>
      </c>
      <c r="D106" s="1604">
        <f t="shared" ref="D106:M106" si="24">C106-$K34</f>
        <v>98</v>
      </c>
      <c r="E106" s="1604">
        <f t="shared" si="24"/>
        <v>96</v>
      </c>
      <c r="F106" s="1604">
        <f t="shared" si="24"/>
        <v>94</v>
      </c>
      <c r="G106" s="1604">
        <f t="shared" si="24"/>
        <v>92</v>
      </c>
      <c r="H106" s="1604">
        <f t="shared" si="24"/>
        <v>90</v>
      </c>
      <c r="I106" s="1604">
        <f t="shared" si="24"/>
        <v>88</v>
      </c>
      <c r="J106" s="1604">
        <f t="shared" si="24"/>
        <v>86</v>
      </c>
      <c r="K106" s="1604">
        <f t="shared" si="24"/>
        <v>84</v>
      </c>
      <c r="L106" s="1604">
        <f t="shared" si="24"/>
        <v>82</v>
      </c>
      <c r="M106" s="1638">
        <f t="shared" si="24"/>
        <v>80</v>
      </c>
      <c r="N106" s="1571"/>
      <c r="O106" s="1571"/>
      <c r="P106" s="1569"/>
      <c r="Q106" s="1588"/>
      <c r="R106" s="1484"/>
      <c r="S106" s="1484"/>
      <c r="T106" s="1484"/>
      <c r="U106" s="1484"/>
      <c r="V106" s="1484"/>
      <c r="W106" s="1484"/>
      <c r="X106" s="1484"/>
      <c r="Y106" s="1484"/>
      <c r="Z106" s="1484"/>
      <c r="AA106" s="1484"/>
      <c r="AB106" s="1484"/>
      <c r="AC106" s="1484"/>
    </row>
    <row r="107" spans="1:29" ht="14.4">
      <c r="A107" s="1629"/>
      <c r="B107" s="1597" t="s">
        <v>2912</v>
      </c>
      <c r="C107" s="1630" t="s">
        <v>3782</v>
      </c>
      <c r="D107" s="1606"/>
      <c r="E107" s="1606"/>
      <c r="F107" s="1598"/>
      <c r="G107" s="1598"/>
      <c r="H107" s="1598"/>
      <c r="I107" s="1598"/>
      <c r="J107" s="1598"/>
      <c r="K107" s="1632"/>
      <c r="L107" s="1633"/>
      <c r="M107" s="1634"/>
      <c r="N107" s="1568"/>
      <c r="O107" s="1568"/>
      <c r="P107" s="1569"/>
      <c r="Q107" s="1588"/>
      <c r="R107" s="1484"/>
      <c r="S107" s="1484"/>
      <c r="T107" s="1484"/>
      <c r="U107" s="1484"/>
      <c r="V107" s="1484"/>
      <c r="W107" s="1484"/>
      <c r="X107" s="1484"/>
      <c r="Y107" s="1484"/>
      <c r="Z107" s="1484"/>
      <c r="AA107" s="1484"/>
      <c r="AB107" s="1484"/>
      <c r="AC107" s="1484"/>
    </row>
    <row r="108" spans="1:29">
      <c r="A108" s="1516"/>
      <c r="B108" s="1599"/>
      <c r="C108" s="1604">
        <v>100</v>
      </c>
      <c r="D108" s="1604">
        <f t="shared" ref="D108:M108" si="25">C108-$K35</f>
        <v>98</v>
      </c>
      <c r="E108" s="1604">
        <f t="shared" si="25"/>
        <v>96</v>
      </c>
      <c r="F108" s="1604">
        <f t="shared" si="25"/>
        <v>94</v>
      </c>
      <c r="G108" s="1604">
        <f t="shared" si="25"/>
        <v>92</v>
      </c>
      <c r="H108" s="1604">
        <f t="shared" si="25"/>
        <v>90</v>
      </c>
      <c r="I108" s="1604">
        <f t="shared" si="25"/>
        <v>88</v>
      </c>
      <c r="J108" s="1604">
        <f t="shared" si="25"/>
        <v>86</v>
      </c>
      <c r="K108" s="1604">
        <f t="shared" si="25"/>
        <v>84</v>
      </c>
      <c r="L108" s="1604">
        <f t="shared" si="25"/>
        <v>82</v>
      </c>
      <c r="M108" s="1638">
        <f t="shared" si="25"/>
        <v>80</v>
      </c>
      <c r="N108" s="1571"/>
      <c r="O108" s="1571"/>
      <c r="P108" s="1569"/>
      <c r="Q108" s="1588"/>
      <c r="R108" s="1484"/>
      <c r="S108" s="1484"/>
      <c r="T108" s="1484"/>
      <c r="U108" s="1484"/>
      <c r="V108" s="1484"/>
      <c r="W108" s="1484"/>
      <c r="X108" s="1484"/>
      <c r="Y108" s="1484"/>
      <c r="Z108" s="1484"/>
      <c r="AA108" s="1484"/>
      <c r="AB108" s="1484"/>
      <c r="AC108" s="1484"/>
    </row>
    <row r="109" spans="1:29" ht="14.4">
      <c r="A109" s="1629"/>
      <c r="B109" s="1597" t="s">
        <v>2507</v>
      </c>
      <c r="C109" s="1616" t="str">
        <f>C110&amp;"(含)"&amp;"-"&amp;D110</f>
        <v>0.5(含)-0.6</v>
      </c>
      <c r="D109" s="1616" t="str">
        <f>D110&amp;"(含)"&amp;"-"&amp;E110</f>
        <v>0.6(含)-0.7</v>
      </c>
      <c r="E109" s="1616" t="str">
        <f>E110&amp;"(含)"&amp;"-"&amp;F110</f>
        <v>0.7(含)-0.8</v>
      </c>
      <c r="F109" s="1616" t="str">
        <f>F110&amp;"(含)"&amp;"-"&amp;G110</f>
        <v>0.8(含)-0.9</v>
      </c>
      <c r="G109" s="1616" t="str">
        <f>G110&amp;"(含)"&amp;"-"&amp;ROUND(H110,0)&amp;"(含)"</f>
        <v>0.9(含)-1(含)</v>
      </c>
      <c r="H109" s="1616"/>
      <c r="I109" s="1598"/>
      <c r="J109" s="1598"/>
      <c r="K109" s="1632"/>
      <c r="L109" s="1633"/>
      <c r="M109" s="1634"/>
      <c r="N109" s="1568"/>
      <c r="O109" s="1568"/>
      <c r="P109" s="1569"/>
      <c r="Q109" s="1588"/>
      <c r="R109" s="1484"/>
      <c r="S109" s="1484"/>
      <c r="T109" s="1484"/>
      <c r="U109" s="1484"/>
      <c r="V109" s="1484"/>
      <c r="W109" s="1484"/>
      <c r="X109" s="1484"/>
      <c r="Y109" s="1484"/>
      <c r="Z109" s="1484"/>
      <c r="AA109" s="1484"/>
      <c r="AB109" s="1484"/>
      <c r="AC109" s="1484"/>
    </row>
    <row r="110" spans="1:29">
      <c r="A110" s="1629"/>
      <c r="B110" s="1600"/>
      <c r="C110" s="1251">
        <v>0.5</v>
      </c>
      <c r="D110" s="1251">
        <v>0.6</v>
      </c>
      <c r="E110" s="1251">
        <v>0.7</v>
      </c>
      <c r="F110" s="1251">
        <v>0.8</v>
      </c>
      <c r="G110" s="1251">
        <v>0.9</v>
      </c>
      <c r="H110" s="1251">
        <v>1.0001</v>
      </c>
      <c r="I110" s="1667"/>
      <c r="J110" s="1667"/>
      <c r="K110" s="1668"/>
      <c r="L110" s="1669"/>
      <c r="M110" s="1670"/>
      <c r="N110" s="1568"/>
      <c r="O110" s="1568"/>
      <c r="P110" s="1569"/>
      <c r="Q110" s="1588"/>
      <c r="R110" s="1484"/>
      <c r="S110" s="1484"/>
      <c r="T110" s="1484"/>
      <c r="U110" s="1484"/>
      <c r="V110" s="1484"/>
      <c r="W110" s="1484"/>
      <c r="X110" s="1484"/>
      <c r="Y110" s="1484"/>
      <c r="Z110" s="1484"/>
      <c r="AA110" s="1484"/>
      <c r="AB110" s="1484"/>
      <c r="AC110" s="1484"/>
    </row>
    <row r="111" spans="1:29">
      <c r="A111" s="1516"/>
      <c r="B111" s="1599"/>
      <c r="C111" s="1620">
        <v>100</v>
      </c>
      <c r="D111" s="1604">
        <f>C111+$K36</f>
        <v>102</v>
      </c>
      <c r="E111" s="1604">
        <f t="shared" ref="E111:M111" si="26">D111+$K36</f>
        <v>104</v>
      </c>
      <c r="F111" s="1604">
        <f t="shared" si="26"/>
        <v>106</v>
      </c>
      <c r="G111" s="1604">
        <f t="shared" si="26"/>
        <v>108</v>
      </c>
      <c r="H111" s="1604">
        <f t="shared" si="26"/>
        <v>110</v>
      </c>
      <c r="I111" s="1604">
        <f t="shared" si="26"/>
        <v>112</v>
      </c>
      <c r="J111" s="1604">
        <f t="shared" si="26"/>
        <v>114</v>
      </c>
      <c r="K111" s="1604">
        <f t="shared" si="26"/>
        <v>116</v>
      </c>
      <c r="L111" s="1604">
        <f t="shared" si="26"/>
        <v>118</v>
      </c>
      <c r="M111" s="1604">
        <f t="shared" si="26"/>
        <v>120</v>
      </c>
      <c r="N111" s="1571"/>
      <c r="O111" s="1571"/>
      <c r="P111" s="1569"/>
      <c r="Q111" s="1588"/>
      <c r="R111" s="1484"/>
      <c r="S111" s="1484"/>
      <c r="T111" s="1484"/>
      <c r="U111" s="1484"/>
      <c r="V111" s="1484"/>
      <c r="W111" s="1484"/>
      <c r="X111" s="1484"/>
      <c r="Y111" s="1484"/>
      <c r="Z111" s="1484"/>
      <c r="AA111" s="1484"/>
      <c r="AB111" s="1484"/>
      <c r="AC111" s="1484"/>
    </row>
    <row r="112" spans="1:29" s="1355" customFormat="1" ht="14.4">
      <c r="A112" s="1626"/>
      <c r="B112" s="1597" t="s">
        <v>3467</v>
      </c>
      <c r="C112" s="1606"/>
      <c r="D112" s="1606"/>
      <c r="E112" s="1606"/>
      <c r="F112" s="1606"/>
      <c r="G112" s="1606"/>
      <c r="H112" s="1598"/>
      <c r="I112" s="1598"/>
      <c r="J112" s="1598"/>
      <c r="K112" s="1632"/>
      <c r="L112" s="1633"/>
      <c r="M112" s="1634"/>
      <c r="N112" s="1641"/>
      <c r="O112" s="1641"/>
      <c r="P112" s="1642"/>
      <c r="Q112" s="1671"/>
      <c r="R112" s="1672"/>
      <c r="S112" s="1672"/>
      <c r="T112" s="1672"/>
      <c r="U112" s="1672"/>
      <c r="V112" s="1672"/>
      <c r="W112" s="1672"/>
      <c r="X112" s="1672"/>
      <c r="Y112" s="1672"/>
      <c r="Z112" s="1672"/>
      <c r="AA112" s="1672"/>
      <c r="AB112" s="1672"/>
      <c r="AC112" s="1672"/>
    </row>
    <row r="113" spans="1:29" s="1355" customFormat="1">
      <c r="A113" s="1605"/>
      <c r="B113" s="1599"/>
      <c r="C113" s="1604">
        <v>100</v>
      </c>
      <c r="D113" s="1604">
        <f>C113-$K37</f>
        <v>100</v>
      </c>
      <c r="E113" s="1604">
        <f t="shared" ref="E113:M113" si="27">D113-$K37</f>
        <v>100</v>
      </c>
      <c r="F113" s="1604">
        <f t="shared" si="27"/>
        <v>100</v>
      </c>
      <c r="G113" s="1604">
        <f t="shared" si="27"/>
        <v>100</v>
      </c>
      <c r="H113" s="1604">
        <f t="shared" si="27"/>
        <v>100</v>
      </c>
      <c r="I113" s="1604">
        <f t="shared" si="27"/>
        <v>100</v>
      </c>
      <c r="J113" s="1604">
        <f t="shared" si="27"/>
        <v>100</v>
      </c>
      <c r="K113" s="1604">
        <f t="shared" si="27"/>
        <v>100</v>
      </c>
      <c r="L113" s="1604">
        <f t="shared" si="27"/>
        <v>100</v>
      </c>
      <c r="M113" s="1604">
        <f t="shared" si="27"/>
        <v>100</v>
      </c>
      <c r="N113" s="1641"/>
      <c r="O113" s="1641"/>
      <c r="P113" s="1642"/>
      <c r="Q113" s="1671"/>
      <c r="R113" s="1672"/>
      <c r="S113" s="1672"/>
      <c r="T113" s="1672"/>
      <c r="U113" s="1672"/>
      <c r="V113" s="1672"/>
      <c r="W113" s="1672"/>
      <c r="X113" s="1672"/>
      <c r="Y113" s="1672"/>
      <c r="Z113" s="1672"/>
      <c r="AA113" s="1672"/>
      <c r="AB113" s="1672"/>
      <c r="AC113" s="1672"/>
    </row>
    <row r="114" spans="1:29" ht="14.4">
      <c r="A114" s="1629"/>
      <c r="B114" s="1597" t="s">
        <v>3783</v>
      </c>
      <c r="C114" s="1606"/>
      <c r="D114" s="1606"/>
      <c r="E114" s="1598"/>
      <c r="F114" s="1598"/>
      <c r="G114" s="1598"/>
      <c r="H114" s="1598"/>
      <c r="I114" s="1598"/>
      <c r="J114" s="1598"/>
      <c r="K114" s="1632"/>
      <c r="L114" s="1633"/>
      <c r="M114" s="1634"/>
      <c r="N114" s="1568"/>
      <c r="O114" s="1568"/>
      <c r="P114" s="1569"/>
      <c r="Q114" s="1588"/>
      <c r="R114" s="1484"/>
      <c r="S114" s="1484"/>
      <c r="T114" s="1484"/>
      <c r="U114" s="1484"/>
      <c r="V114" s="1484"/>
      <c r="W114" s="1484"/>
      <c r="X114" s="1484"/>
      <c r="Y114" s="1484"/>
      <c r="Z114" s="1484"/>
      <c r="AA114" s="1484"/>
      <c r="AB114" s="1484"/>
      <c r="AC114" s="1484"/>
    </row>
    <row r="115" spans="1:29">
      <c r="A115" s="1516"/>
      <c r="B115" s="1599"/>
      <c r="C115" s="1604">
        <v>100</v>
      </c>
      <c r="D115" s="1604">
        <f t="shared" ref="D115:M115" si="28">C115-$K38</f>
        <v>100</v>
      </c>
      <c r="E115" s="1604">
        <f t="shared" si="28"/>
        <v>100</v>
      </c>
      <c r="F115" s="1604">
        <f t="shared" si="28"/>
        <v>100</v>
      </c>
      <c r="G115" s="1604">
        <f t="shared" si="28"/>
        <v>100</v>
      </c>
      <c r="H115" s="1604">
        <f t="shared" si="28"/>
        <v>100</v>
      </c>
      <c r="I115" s="1604">
        <f t="shared" si="28"/>
        <v>100</v>
      </c>
      <c r="J115" s="1604">
        <f t="shared" si="28"/>
        <v>100</v>
      </c>
      <c r="K115" s="1604">
        <f t="shared" si="28"/>
        <v>100</v>
      </c>
      <c r="L115" s="1604">
        <f t="shared" si="28"/>
        <v>100</v>
      </c>
      <c r="M115" s="1638">
        <f t="shared" si="28"/>
        <v>100</v>
      </c>
      <c r="N115" s="1571"/>
      <c r="O115" s="1571"/>
      <c r="P115" s="1569"/>
      <c r="Q115" s="1588"/>
      <c r="R115" s="1484"/>
      <c r="S115" s="1484"/>
      <c r="T115" s="1484"/>
      <c r="U115" s="1484"/>
      <c r="V115" s="1484"/>
      <c r="W115" s="1484"/>
      <c r="X115" s="1484"/>
      <c r="Y115" s="1484"/>
      <c r="Z115" s="1484"/>
      <c r="AA115" s="1484"/>
      <c r="AB115" s="1484"/>
      <c r="AC115" s="1484"/>
    </row>
    <row r="116" spans="1:29" ht="14.4">
      <c r="A116" s="1629"/>
      <c r="B116" s="1597" t="s">
        <v>3497</v>
      </c>
      <c r="C116" s="1606"/>
      <c r="D116" s="1606"/>
      <c r="E116" s="1606"/>
      <c r="F116" s="1606"/>
      <c r="G116" s="1606"/>
      <c r="H116" s="1598"/>
      <c r="I116" s="1598"/>
      <c r="J116" s="1598"/>
      <c r="K116" s="1632"/>
      <c r="L116" s="1633"/>
      <c r="M116" s="1634"/>
      <c r="N116" s="1568"/>
      <c r="O116" s="1568"/>
      <c r="P116" s="1569"/>
      <c r="Q116" s="1588"/>
      <c r="R116" s="1484"/>
      <c r="S116" s="1484"/>
      <c r="T116" s="1484"/>
      <c r="U116" s="1484"/>
      <c r="V116" s="1484"/>
      <c r="W116" s="1484"/>
      <c r="X116" s="1484"/>
      <c r="Y116" s="1484"/>
      <c r="Z116" s="1484"/>
      <c r="AA116" s="1484"/>
      <c r="AB116" s="1484"/>
      <c r="AC116" s="1484"/>
    </row>
    <row r="117" spans="1:29">
      <c r="A117" s="1516"/>
      <c r="B117" s="1599"/>
      <c r="C117" s="1604">
        <v>100</v>
      </c>
      <c r="D117" s="1604">
        <f>C117-$K39</f>
        <v>100</v>
      </c>
      <c r="E117" s="1604">
        <f>D117-$K39</f>
        <v>100</v>
      </c>
      <c r="F117" s="1604">
        <f>E117-$K39</f>
        <v>100</v>
      </c>
      <c r="G117" s="1604">
        <f>F117-$K39</f>
        <v>100</v>
      </c>
      <c r="H117" s="1604"/>
      <c r="I117" s="1604"/>
      <c r="J117" s="1604"/>
      <c r="K117" s="1604"/>
      <c r="L117" s="1604"/>
      <c r="M117" s="1638"/>
      <c r="N117" s="1571"/>
      <c r="O117" s="1571"/>
      <c r="P117" s="1569"/>
      <c r="Q117" s="1588"/>
      <c r="R117" s="1484"/>
      <c r="S117" s="1484"/>
      <c r="T117" s="1484"/>
      <c r="U117" s="1484"/>
      <c r="V117" s="1484"/>
      <c r="W117" s="1484"/>
      <c r="X117" s="1484"/>
      <c r="Y117" s="1484"/>
      <c r="Z117" s="1484"/>
      <c r="AA117" s="1484"/>
      <c r="AB117" s="1484"/>
      <c r="AC117" s="1484"/>
    </row>
    <row r="118" spans="1:29" ht="14.4">
      <c r="A118" s="1629"/>
      <c r="B118" s="1597" t="s">
        <v>3500</v>
      </c>
      <c r="C118" s="1631"/>
      <c r="D118" s="1631"/>
      <c r="E118" s="1631"/>
      <c r="F118" s="1631"/>
      <c r="G118" s="1631"/>
      <c r="H118" s="1607"/>
      <c r="I118" s="1607"/>
      <c r="J118" s="1607"/>
      <c r="K118" s="1607"/>
      <c r="L118" s="1639"/>
      <c r="M118" s="1640"/>
      <c r="N118" s="1568"/>
      <c r="O118" s="1568"/>
      <c r="P118" s="1569"/>
      <c r="Q118" s="1588"/>
      <c r="R118" s="1484"/>
      <c r="S118" s="1484"/>
      <c r="T118" s="1484"/>
      <c r="U118" s="1484"/>
      <c r="V118" s="1484"/>
      <c r="W118" s="1484"/>
      <c r="X118" s="1484"/>
      <c r="Y118" s="1484"/>
      <c r="Z118" s="1484"/>
      <c r="AA118" s="1484"/>
      <c r="AB118" s="1484"/>
      <c r="AC118" s="1484"/>
    </row>
    <row r="119" spans="1:29">
      <c r="A119" s="1516"/>
      <c r="B119" s="1599"/>
      <c r="C119" s="1608"/>
      <c r="D119" s="1518"/>
      <c r="E119" s="1518"/>
      <c r="F119" s="1518"/>
      <c r="G119" s="1518"/>
      <c r="H119" s="1518"/>
      <c r="I119" s="1518"/>
      <c r="J119" s="1518"/>
      <c r="K119" s="1518"/>
      <c r="L119" s="1518"/>
      <c r="M119" s="1570"/>
      <c r="N119" s="1571"/>
      <c r="O119" s="1571"/>
      <c r="P119" s="1569"/>
      <c r="Q119" s="1588"/>
      <c r="R119" s="1484"/>
      <c r="S119" s="1484"/>
      <c r="T119" s="1484"/>
      <c r="U119" s="1484"/>
      <c r="V119" s="1484"/>
      <c r="W119" s="1484"/>
      <c r="X119" s="1484"/>
      <c r="Y119" s="1484"/>
      <c r="Z119" s="1484"/>
      <c r="AA119" s="1484"/>
      <c r="AB119" s="1484"/>
      <c r="AC119" s="1484"/>
    </row>
    <row r="120" spans="1:29" s="1355" customFormat="1" ht="14.4">
      <c r="A120" s="1626"/>
      <c r="B120" s="1597" t="s">
        <v>3790</v>
      </c>
      <c r="C120" s="1598"/>
      <c r="D120" s="1598"/>
      <c r="E120" s="1598"/>
      <c r="F120" s="1598"/>
      <c r="G120" s="1607"/>
      <c r="H120" s="1607"/>
      <c r="I120" s="1607"/>
      <c r="J120" s="1607"/>
      <c r="K120" s="1607"/>
      <c r="L120" s="1639"/>
      <c r="M120" s="1640"/>
      <c r="N120" s="1641"/>
      <c r="O120" s="1641"/>
      <c r="P120" s="1642"/>
      <c r="Q120" s="1671"/>
      <c r="R120" s="1672"/>
      <c r="S120" s="1672"/>
      <c r="T120" s="1672"/>
      <c r="U120" s="1672"/>
      <c r="V120" s="1672"/>
      <c r="W120" s="1672"/>
      <c r="X120" s="1672"/>
      <c r="Y120" s="1672"/>
      <c r="Z120" s="1672"/>
      <c r="AA120" s="1672"/>
      <c r="AB120" s="1672"/>
      <c r="AC120" s="1672"/>
    </row>
    <row r="121" spans="1:29" s="1355" customFormat="1">
      <c r="A121" s="1605"/>
      <c r="B121" s="1517"/>
      <c r="C121" s="1620">
        <v>100</v>
      </c>
      <c r="D121" s="1604">
        <f>C121-$K41</f>
        <v>100</v>
      </c>
      <c r="E121" s="1604">
        <f t="shared" ref="E121:M121" si="29">D121-$K41</f>
        <v>100</v>
      </c>
      <c r="F121" s="1604">
        <f t="shared" si="29"/>
        <v>100</v>
      </c>
      <c r="G121" s="1604">
        <f t="shared" si="29"/>
        <v>100</v>
      </c>
      <c r="H121" s="1604">
        <f t="shared" si="29"/>
        <v>100</v>
      </c>
      <c r="I121" s="1604">
        <f t="shared" si="29"/>
        <v>100</v>
      </c>
      <c r="J121" s="1604">
        <f t="shared" si="29"/>
        <v>100</v>
      </c>
      <c r="K121" s="1604">
        <f t="shared" si="29"/>
        <v>100</v>
      </c>
      <c r="L121" s="1604">
        <f t="shared" si="29"/>
        <v>100</v>
      </c>
      <c r="M121" s="1638">
        <f t="shared" si="29"/>
        <v>100</v>
      </c>
      <c r="N121" s="1641"/>
      <c r="O121" s="1641"/>
      <c r="P121" s="1642"/>
      <c r="Q121" s="1671"/>
      <c r="R121" s="1672"/>
      <c r="S121" s="1672"/>
      <c r="T121" s="1672"/>
      <c r="U121" s="1672"/>
      <c r="V121" s="1672"/>
      <c r="W121" s="1672"/>
      <c r="X121" s="1672"/>
      <c r="Y121" s="1672"/>
      <c r="Z121" s="1672"/>
      <c r="AA121" s="1672"/>
      <c r="AB121" s="1672"/>
      <c r="AC121" s="1672"/>
    </row>
    <row r="122" spans="1:29" ht="14.4">
      <c r="A122" s="1629"/>
      <c r="B122" s="1597" t="s">
        <v>3470</v>
      </c>
      <c r="C122" s="1630" t="s">
        <v>3785</v>
      </c>
      <c r="D122" s="1606"/>
      <c r="E122" s="1606"/>
      <c r="F122" s="1598"/>
      <c r="G122" s="1598"/>
      <c r="H122" s="1598"/>
      <c r="I122" s="1598"/>
      <c r="J122" s="1598"/>
      <c r="K122" s="1632"/>
      <c r="L122" s="1633"/>
      <c r="M122" s="1634"/>
      <c r="N122" s="1568"/>
      <c r="O122" s="1568"/>
      <c r="P122" s="1569"/>
      <c r="Q122" s="1588"/>
      <c r="R122" s="1484"/>
      <c r="S122" s="1484"/>
      <c r="T122" s="1484"/>
      <c r="U122" s="1484"/>
      <c r="V122" s="1484"/>
      <c r="W122" s="1484"/>
      <c r="X122" s="1484"/>
      <c r="Y122" s="1484"/>
      <c r="Z122" s="1484"/>
      <c r="AA122" s="1484"/>
      <c r="AB122" s="1484"/>
      <c r="AC122" s="1484"/>
    </row>
    <row r="123" spans="1:29">
      <c r="A123" s="1516"/>
      <c r="B123" s="1599"/>
      <c r="C123" s="1604">
        <v>100</v>
      </c>
      <c r="D123" s="1604">
        <f t="shared" ref="D123:M123" si="30">C123-$K42</f>
        <v>98</v>
      </c>
      <c r="E123" s="1604">
        <f t="shared" si="30"/>
        <v>96</v>
      </c>
      <c r="F123" s="1604">
        <f t="shared" si="30"/>
        <v>94</v>
      </c>
      <c r="G123" s="1604">
        <f t="shared" si="30"/>
        <v>92</v>
      </c>
      <c r="H123" s="1604">
        <f t="shared" si="30"/>
        <v>90</v>
      </c>
      <c r="I123" s="1604">
        <f t="shared" si="30"/>
        <v>88</v>
      </c>
      <c r="J123" s="1604">
        <f t="shared" si="30"/>
        <v>86</v>
      </c>
      <c r="K123" s="1604">
        <f t="shared" si="30"/>
        <v>84</v>
      </c>
      <c r="L123" s="1604">
        <f t="shared" si="30"/>
        <v>82</v>
      </c>
      <c r="M123" s="1638">
        <f t="shared" si="30"/>
        <v>80</v>
      </c>
      <c r="N123" s="1571"/>
      <c r="O123" s="1571"/>
      <c r="P123" s="1569"/>
      <c r="Q123" s="1588"/>
      <c r="R123" s="1484"/>
      <c r="S123" s="1484"/>
      <c r="T123" s="1484"/>
      <c r="U123" s="1484"/>
      <c r="V123" s="1484"/>
      <c r="W123" s="1484"/>
      <c r="X123" s="1484"/>
      <c r="Y123" s="1484"/>
      <c r="Z123" s="1484"/>
      <c r="AA123" s="1484"/>
      <c r="AB123" s="1484"/>
      <c r="AC123" s="1484"/>
    </row>
    <row r="124" spans="1:29" ht="28.8">
      <c r="A124" s="1629"/>
      <c r="B124" s="1597" t="s">
        <v>3471</v>
      </c>
      <c r="C124" s="1616" t="s">
        <v>2933</v>
      </c>
      <c r="D124" s="1616" t="s">
        <v>2934</v>
      </c>
      <c r="E124" s="1616" t="s">
        <v>2935</v>
      </c>
      <c r="F124" s="1616" t="s">
        <v>2936</v>
      </c>
      <c r="G124" s="1616" t="s">
        <v>2937</v>
      </c>
      <c r="H124" s="1617"/>
      <c r="I124" s="1617"/>
      <c r="J124" s="1617"/>
      <c r="K124" s="1653"/>
      <c r="L124" s="1654"/>
      <c r="M124" s="1655"/>
      <c r="N124" s="1568"/>
      <c r="O124" s="1568"/>
      <c r="P124" s="1642"/>
      <c r="Q124" s="1588"/>
      <c r="R124" s="1484"/>
      <c r="S124" s="1484"/>
      <c r="T124" s="1484"/>
      <c r="U124" s="1484"/>
      <c r="V124" s="1484"/>
      <c r="W124" s="1484"/>
      <c r="X124" s="1484"/>
      <c r="Y124" s="1484"/>
      <c r="Z124" s="1484"/>
      <c r="AA124" s="1484"/>
      <c r="AB124" s="1484"/>
      <c r="AC124" s="1484"/>
    </row>
    <row r="125" spans="1:29">
      <c r="A125" s="1516"/>
      <c r="B125" s="1599"/>
      <c r="C125" s="1604">
        <v>100</v>
      </c>
      <c r="D125" s="1604">
        <f>C125-$K43</f>
        <v>100</v>
      </c>
      <c r="E125" s="1604">
        <f>D125-$K43</f>
        <v>100</v>
      </c>
      <c r="F125" s="1604">
        <f>E125-$K43</f>
        <v>100</v>
      </c>
      <c r="G125" s="1604">
        <f>F125-$K43</f>
        <v>100</v>
      </c>
      <c r="H125" s="1604"/>
      <c r="I125" s="1604"/>
      <c r="J125" s="1604"/>
      <c r="K125" s="1604"/>
      <c r="L125" s="1604"/>
      <c r="M125" s="1638"/>
      <c r="N125" s="1571"/>
      <c r="O125" s="1571"/>
      <c r="P125" s="1569"/>
      <c r="Q125" s="1588"/>
      <c r="R125" s="1484"/>
      <c r="S125" s="1484"/>
      <c r="T125" s="1484"/>
      <c r="U125" s="1484"/>
      <c r="V125" s="1484"/>
      <c r="W125" s="1484"/>
      <c r="X125" s="1484"/>
      <c r="Y125" s="1484"/>
      <c r="Z125" s="1484"/>
      <c r="AA125" s="1484"/>
      <c r="AB125" s="1484"/>
      <c r="AC125" s="1484"/>
    </row>
    <row r="126" spans="1:29" s="1355" customFormat="1">
      <c r="A126" s="1626"/>
      <c r="B126" s="1597">
        <f>B44</f>
        <v>111</v>
      </c>
      <c r="C126" s="1606"/>
      <c r="D126" s="1606"/>
      <c r="E126" s="1606"/>
      <c r="F126" s="1606"/>
      <c r="G126" s="1606"/>
      <c r="H126" s="1607"/>
      <c r="I126" s="1607"/>
      <c r="J126" s="1607"/>
      <c r="K126" s="1607"/>
      <c r="L126" s="1639"/>
      <c r="M126" s="1640"/>
      <c r="N126" s="1641"/>
      <c r="O126" s="1641"/>
      <c r="P126" s="1642"/>
      <c r="Q126" s="1671"/>
      <c r="R126" s="1672"/>
      <c r="S126" s="1672"/>
      <c r="T126" s="1672"/>
      <c r="U126" s="1672"/>
      <c r="V126" s="1672"/>
      <c r="W126" s="1672"/>
      <c r="X126" s="1672"/>
      <c r="Y126" s="1672"/>
      <c r="Z126" s="1672"/>
      <c r="AA126" s="1672"/>
      <c r="AB126" s="1672"/>
      <c r="AC126" s="1672"/>
    </row>
    <row r="127" spans="1:29" s="1355" customFormat="1">
      <c r="A127" s="1605"/>
      <c r="B127" s="1599"/>
      <c r="C127" s="1608"/>
      <c r="D127" s="1518"/>
      <c r="E127" s="1518"/>
      <c r="F127" s="1518"/>
      <c r="G127" s="1608"/>
      <c r="H127" s="1609"/>
      <c r="I127" s="1609"/>
      <c r="J127" s="1609"/>
      <c r="K127" s="1609"/>
      <c r="L127" s="1609"/>
      <c r="M127" s="1644"/>
      <c r="N127" s="1641"/>
      <c r="O127" s="1641"/>
      <c r="P127" s="1642"/>
      <c r="Q127" s="1671"/>
      <c r="R127" s="1672"/>
      <c r="S127" s="1672"/>
      <c r="T127" s="1672"/>
      <c r="U127" s="1672"/>
      <c r="V127" s="1672"/>
      <c r="W127" s="1672"/>
      <c r="X127" s="1672"/>
      <c r="Y127" s="1672"/>
      <c r="Z127" s="1672"/>
      <c r="AA127" s="1672"/>
      <c r="AB127" s="1672"/>
      <c r="AC127" s="1672"/>
    </row>
    <row r="128" spans="1:29">
      <c r="A128" s="1629"/>
      <c r="B128" s="1597">
        <f>B45</f>
        <v>111</v>
      </c>
      <c r="C128" s="1606"/>
      <c r="D128" s="1606"/>
      <c r="E128" s="1606"/>
      <c r="F128" s="1606"/>
      <c r="G128" s="1598"/>
      <c r="H128" s="1598"/>
      <c r="I128" s="1598"/>
      <c r="J128" s="1598"/>
      <c r="K128" s="1632"/>
      <c r="L128" s="1633"/>
      <c r="M128" s="1634"/>
      <c r="N128" s="1568"/>
      <c r="O128" s="1568"/>
      <c r="P128" s="1569"/>
      <c r="Q128" s="1588"/>
      <c r="R128" s="1484"/>
      <c r="S128" s="1484"/>
      <c r="T128" s="1484"/>
      <c r="U128" s="1484"/>
      <c r="V128" s="1484"/>
      <c r="W128" s="1484"/>
      <c r="X128" s="1484"/>
      <c r="Y128" s="1484"/>
      <c r="Z128" s="1484"/>
      <c r="AA128" s="1484"/>
      <c r="AB128" s="1484"/>
      <c r="AC128" s="1484"/>
    </row>
    <row r="129" spans="1:29">
      <c r="A129" s="1516"/>
      <c r="B129" s="1599"/>
      <c r="C129" s="1608"/>
      <c r="D129" s="1518"/>
      <c r="E129" s="1518"/>
      <c r="F129" s="1518"/>
      <c r="G129" s="1518"/>
      <c r="H129" s="1518"/>
      <c r="I129" s="1518"/>
      <c r="J129" s="1518"/>
      <c r="K129" s="1518"/>
      <c r="L129" s="1518"/>
      <c r="M129" s="1570"/>
      <c r="N129" s="1571"/>
      <c r="O129" s="1571"/>
      <c r="P129" s="1569"/>
      <c r="Q129" s="1588"/>
      <c r="R129" s="1484"/>
      <c r="S129" s="1484"/>
      <c r="T129" s="1484"/>
      <c r="U129" s="1484"/>
      <c r="V129" s="1484"/>
      <c r="W129" s="1484"/>
      <c r="X129" s="1484"/>
      <c r="Y129" s="1484"/>
      <c r="Z129" s="1484"/>
      <c r="AA129" s="1484"/>
      <c r="AB129" s="1484"/>
      <c r="AC129" s="1484"/>
    </row>
    <row r="130" spans="1:29">
      <c r="A130" s="1629"/>
      <c r="B130" s="1600">
        <f>B46</f>
        <v>111</v>
      </c>
      <c r="C130" s="1606"/>
      <c r="D130" s="1606"/>
      <c r="E130" s="1606"/>
      <c r="F130" s="1606"/>
      <c r="G130" s="1622"/>
      <c r="H130" s="1622"/>
      <c r="I130" s="1622"/>
      <c r="J130" s="1622"/>
      <c r="K130" s="1510"/>
      <c r="L130" s="1560"/>
      <c r="M130" s="1661"/>
      <c r="N130" s="1568"/>
      <c r="O130" s="1568"/>
      <c r="P130" s="1569"/>
      <c r="Q130" s="1588"/>
      <c r="R130" s="1484"/>
      <c r="S130" s="1484"/>
      <c r="T130" s="1484"/>
      <c r="U130" s="1484"/>
      <c r="V130" s="1484"/>
      <c r="W130" s="1484"/>
      <c r="X130" s="1484"/>
      <c r="Y130" s="1484"/>
      <c r="Z130" s="1484"/>
      <c r="AA130" s="1484"/>
      <c r="AB130" s="1484"/>
      <c r="AC130" s="1484"/>
    </row>
    <row r="131" spans="1:29">
      <c r="A131" s="1623"/>
      <c r="B131" s="1612"/>
      <c r="C131" s="1613"/>
      <c r="D131" s="1613"/>
      <c r="E131" s="1613"/>
      <c r="F131" s="1613"/>
      <c r="G131" s="1624"/>
      <c r="H131" s="1624"/>
      <c r="I131" s="1624"/>
      <c r="J131" s="1624"/>
      <c r="K131" s="1624"/>
      <c r="L131" s="1624"/>
      <c r="M131" s="1662"/>
      <c r="N131" s="1571"/>
      <c r="O131" s="1571"/>
      <c r="P131" s="1569"/>
      <c r="Q131" s="1588"/>
      <c r="R131" s="1484"/>
      <c r="S131" s="1484"/>
      <c r="T131" s="1484"/>
      <c r="U131" s="1484"/>
      <c r="V131" s="1484"/>
      <c r="W131" s="1484"/>
      <c r="X131" s="1484"/>
      <c r="Y131" s="1484"/>
      <c r="Z131" s="1484"/>
      <c r="AA131" s="1484"/>
      <c r="AB131" s="1484"/>
      <c r="AC131" s="148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31" priority="4">
      <formula>$D$48="简单平均"</formula>
    </cfRule>
  </conditionalFormatting>
  <conditionalFormatting sqref="H48">
    <cfRule type="expression" dxfId="30" priority="3">
      <formula>$D$48="简单平均"</formula>
    </cfRule>
  </conditionalFormatting>
  <conditionalFormatting sqref="J48">
    <cfRule type="expression" dxfId="29" priority="2">
      <formula>$D$48="简单平均"</formula>
    </cfRule>
  </conditionalFormatting>
  <conditionalFormatting sqref="E52">
    <cfRule type="expression" dxfId="28" priority="16" stopIfTrue="1">
      <formula>$F$52="超过30%"</formula>
    </cfRule>
  </conditionalFormatting>
  <conditionalFormatting sqref="G52">
    <cfRule type="expression" dxfId="27" priority="12" stopIfTrue="1">
      <formula>$H$52="超过30%"</formula>
    </cfRule>
  </conditionalFormatting>
  <conditionalFormatting sqref="I52">
    <cfRule type="expression" dxfId="26" priority="7" stopIfTrue="1">
      <formula>$J$52="超过30%"</formula>
    </cfRule>
  </conditionalFormatting>
  <conditionalFormatting sqref="J52">
    <cfRule type="containsText" dxfId="25" priority="10" stopIfTrue="1" operator="containsText" text="超过">
      <formula>NOT(ISERROR(SEARCH("超过",J52)))</formula>
    </cfRule>
  </conditionalFormatting>
  <conditionalFormatting sqref="E53">
    <cfRule type="expression" dxfId="24" priority="15" stopIfTrue="1">
      <formula>$F$53="超过20%"</formula>
    </cfRule>
  </conditionalFormatting>
  <conditionalFormatting sqref="G53">
    <cfRule type="expression" dxfId="23" priority="11" stopIfTrue="1">
      <formula>$H$53="超过20%"</formula>
    </cfRule>
  </conditionalFormatting>
  <conditionalFormatting sqref="I53">
    <cfRule type="expression" dxfId="22" priority="6" stopIfTrue="1">
      <formula>$J$53="超过20%"</formula>
    </cfRule>
  </conditionalFormatting>
  <conditionalFormatting sqref="J53">
    <cfRule type="containsText" dxfId="21" priority="8" stopIfTrue="1" operator="containsText" text="超过">
      <formula>NOT(ISERROR(SEARCH("超过",J53)))</formula>
    </cfRule>
  </conditionalFormatting>
  <conditionalFormatting sqref="E54">
    <cfRule type="expression" dxfId="20" priority="14" stopIfTrue="1">
      <formula>$F$54="超过30%"</formula>
    </cfRule>
  </conditionalFormatting>
  <conditionalFormatting sqref="F54">
    <cfRule type="containsText" dxfId="19" priority="18" stopIfTrue="1" operator="containsText" text="超过">
      <formula>NOT(ISERROR(SEARCH("超过",F54)))</formula>
    </cfRule>
  </conditionalFormatting>
  <conditionalFormatting sqref="G54">
    <cfRule type="expression" dxfId="18" priority="13" stopIfTrue="1">
      <formula>$H$54="超过30%"</formula>
    </cfRule>
  </conditionalFormatting>
  <conditionalFormatting sqref="H54">
    <cfRule type="containsText" dxfId="17" priority="19" stopIfTrue="1" operator="containsText" text="超过">
      <formula>NOT(ISERROR(SEARCH("超过",H54)))</formula>
    </cfRule>
  </conditionalFormatting>
  <conditionalFormatting sqref="I54">
    <cfRule type="expression" dxfId="16" priority="5" stopIfTrue="1">
      <formula>$J$54="超过30%"</formula>
    </cfRule>
  </conditionalFormatting>
  <conditionalFormatting sqref="J54">
    <cfRule type="containsText" dxfId="15" priority="9" stopIfTrue="1" operator="containsText"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containsText" text="超过">
      <formula>NOT(ISERROR(SEARCH("超过",F52)))</formula>
    </cfRule>
  </conditionalFormatting>
  <conditionalFormatting sqref="F53 H53">
    <cfRule type="containsText" dxfId="12"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H104" sqref="H104"/>
    </sheetView>
  </sheetViews>
  <sheetFormatPr defaultColWidth="9" defaultRowHeight="14.4"/>
  <sheetData/>
  <phoneticPr fontId="229" type="noConversion"/>
  <pageMargins left="0.75" right="0.75" top="1" bottom="1" header="0.5" footer="0.5"/>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N32" sqref="N32"/>
    </sheetView>
  </sheetViews>
  <sheetFormatPr defaultColWidth="8.33203125" defaultRowHeight="13.2"/>
  <cols>
    <col min="1" max="1" width="9.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8" width="10.77734375" style="371" customWidth="1"/>
    <col min="9" max="254" width="9" style="371" customWidth="1"/>
    <col min="255" max="16384" width="8.33203125" style="371"/>
  </cols>
  <sheetData>
    <row r="1" spans="1:8" s="365" customFormat="1" ht="21">
      <c r="A1" s="373" t="s">
        <v>2977</v>
      </c>
      <c r="B1" s="1338" t="s">
        <v>606</v>
      </c>
      <c r="C1" s="1339" t="s">
        <v>3791</v>
      </c>
      <c r="D1" s="375"/>
      <c r="E1" s="375"/>
      <c r="F1" s="375"/>
      <c r="G1" s="1340">
        <f>MATCH(B1,'数据-取费表'!A6:A16,0)+5</f>
        <v>8</v>
      </c>
      <c r="H1" s="1341" t="str">
        <f>IF(ISERROR(FIND("住宅",B1)),"非住宅","住宅")</f>
        <v>非住宅</v>
      </c>
    </row>
    <row r="2" spans="1:8" s="365" customFormat="1" ht="18" customHeight="1">
      <c r="A2" s="377" t="s">
        <v>2864</v>
      </c>
      <c r="B2" s="1342">
        <f ca="1">ROUND(IF(D2="——",C52/10000,C52/10000-E2),4)</f>
        <v>1952.2348999999999</v>
      </c>
      <c r="C2" s="376" t="s">
        <v>2865</v>
      </c>
      <c r="D2" s="1343" t="s">
        <v>124</v>
      </c>
      <c r="E2" s="1344" t="e">
        <f ca="1">SUMIF(INDIRECT("'"&amp;G2&amp;"'"&amp;"!A:A"),"承租人权益价值",INDIRECT("'"&amp;G2&amp;"'"&amp;"!c:c"))</f>
        <v>#REF!</v>
      </c>
      <c r="F2" s="1345" t="s">
        <v>2865</v>
      </c>
      <c r="G2" s="1346"/>
    </row>
    <row r="3" spans="1:8" s="365" customFormat="1" ht="18" customHeight="1">
      <c r="A3" s="380" t="s">
        <v>2866</v>
      </c>
      <c r="B3" s="381">
        <f ca="1">ROUND(B2*10000/(IF(B1="",'数据-汇总表'!E3,INDIRECT("'数据-取费表'!k"&amp;$G$1))),0)</f>
        <v>19362</v>
      </c>
      <c r="C3" s="376" t="s">
        <v>2978</v>
      </c>
      <c r="D3" s="376"/>
      <c r="E3" s="376"/>
      <c r="F3" s="376"/>
      <c r="G3" s="376"/>
    </row>
    <row r="4" spans="1:8" s="366" customFormat="1" ht="16.2">
      <c r="A4" s="382" t="s">
        <v>2979</v>
      </c>
      <c r="B4" s="383"/>
      <c r="C4" s="383"/>
      <c r="D4" s="383"/>
      <c r="E4" s="383"/>
      <c r="F4" s="383"/>
      <c r="G4" s="384"/>
    </row>
    <row r="5" spans="1:8" s="367" customFormat="1" ht="13.5" customHeight="1">
      <c r="A5" s="385" t="s">
        <v>2980</v>
      </c>
      <c r="B5" s="386" t="s">
        <v>2981</v>
      </c>
      <c r="C5" s="387">
        <f ca="1">C6+C7+C8</f>
        <v>9717962.3399999999</v>
      </c>
      <c r="D5" s="387" t="s">
        <v>2982</v>
      </c>
      <c r="E5" s="388" t="s">
        <v>2983</v>
      </c>
      <c r="F5" s="388" t="s">
        <v>2765</v>
      </c>
      <c r="G5" s="389"/>
    </row>
    <row r="6" spans="1:8" s="367" customFormat="1" ht="13.5" customHeight="1">
      <c r="A6" s="390" t="s">
        <v>2984</v>
      </c>
      <c r="B6" s="391" t="s">
        <v>2985</v>
      </c>
      <c r="C6" s="392">
        <f>'基准地价修正 (2)'!C37*'基准地价修正 (2)'!D37</f>
        <v>9234653.3399999999</v>
      </c>
      <c r="D6" s="393"/>
      <c r="E6" s="394"/>
      <c r="F6" s="394"/>
      <c r="G6" s="395"/>
    </row>
    <row r="7" spans="1:8" s="367" customFormat="1" ht="13.5" customHeight="1">
      <c r="A7" s="390" t="s">
        <v>2986</v>
      </c>
      <c r="B7" s="391" t="s">
        <v>2987</v>
      </c>
      <c r="C7" s="396">
        <f>ROUND(C6*F7,0)</f>
        <v>281657</v>
      </c>
      <c r="D7" s="396"/>
      <c r="E7" s="394"/>
      <c r="F7" s="397">
        <f>IF(项目基本情况!B8="出让",0,'数据-取费表'!B48+'数据-取费表'!B49)</f>
        <v>3.0499999999999999E-2</v>
      </c>
      <c r="G7" s="395"/>
    </row>
    <row r="8" spans="1:8" s="368" customFormat="1">
      <c r="A8" s="390" t="s">
        <v>2988</v>
      </c>
      <c r="B8" s="391" t="s">
        <v>2989</v>
      </c>
      <c r="C8" s="396">
        <f ca="1">IF(G8="已包含在土地购买价格中",0,C9+C10)</f>
        <v>201652</v>
      </c>
      <c r="D8" s="398"/>
      <c r="E8" s="396"/>
      <c r="F8" s="397"/>
      <c r="G8" s="1347" t="s">
        <v>2990</v>
      </c>
    </row>
    <row r="9" spans="1:8" s="367" customFormat="1" ht="13.5" customHeight="1">
      <c r="A9" s="400" t="s">
        <v>2991</v>
      </c>
      <c r="B9" s="401" t="s">
        <v>2992</v>
      </c>
      <c r="C9" s="402">
        <f ca="1">ROUND(D9*E9,0)</f>
        <v>0</v>
      </c>
      <c r="D9" s="403">
        <f ca="1">IF(B1="",'数据-汇总表'!E5,IF(INDIRECT("'数据-取费表'!c"&amp;$G$1)="住宅",INDIRECT("'数据-取费表'!k"&amp;$G$1),0))</f>
        <v>0</v>
      </c>
      <c r="E9" s="402">
        <f>'数据-取费表'!B27</f>
        <v>160</v>
      </c>
      <c r="F9" s="397"/>
      <c r="G9" s="404"/>
    </row>
    <row r="10" spans="1:8" s="367" customFormat="1" ht="13.5" customHeight="1">
      <c r="A10" s="400" t="s">
        <v>2995</v>
      </c>
      <c r="B10" s="401" t="s">
        <v>2996</v>
      </c>
      <c r="C10" s="402">
        <f ca="1">ROUND(D10*E10,0)</f>
        <v>201652</v>
      </c>
      <c r="D10" s="403">
        <f ca="1">IF(B1="",'数据-汇总表'!E6,IF(INDIRECT("'数据-取费表'!c"&amp;$G$1)="住宅",INDIRECT("'数据-取费表'!s"&amp;$G$1),INDIRECT("'数据-取费表'!k"&amp;$G$1)+INDIRECT("'数据-取费表'!s"&amp;$G$1)))</f>
        <v>1008.26</v>
      </c>
      <c r="E10" s="402">
        <f>'数据-取费表'!B28</f>
        <v>200</v>
      </c>
      <c r="F10" s="397"/>
      <c r="G10" s="404"/>
    </row>
    <row r="11" spans="1:8" s="367" customFormat="1" ht="13.5" hidden="1" customHeight="1">
      <c r="A11" s="405" t="s">
        <v>2997</v>
      </c>
      <c r="B11" s="391" t="s">
        <v>2998</v>
      </c>
      <c r="C11" s="387"/>
      <c r="D11" s="406"/>
      <c r="E11" s="394"/>
      <c r="F11" s="394"/>
      <c r="G11" s="395"/>
    </row>
    <row r="12" spans="1:8" s="367" customFormat="1" ht="13.5" hidden="1" customHeight="1">
      <c r="A12" s="405" t="s">
        <v>2999</v>
      </c>
      <c r="B12" s="391" t="s">
        <v>2801</v>
      </c>
      <c r="C12" s="387">
        <v>0</v>
      </c>
      <c r="D12" s="406"/>
      <c r="E12" s="407"/>
      <c r="F12" s="397">
        <v>3.0499999999999999E-2</v>
      </c>
      <c r="G12" s="395"/>
    </row>
    <row r="13" spans="1:8" s="367" customFormat="1" ht="13.5" hidden="1" customHeight="1">
      <c r="A13" s="405" t="s">
        <v>3000</v>
      </c>
      <c r="B13" s="391" t="s">
        <v>3001</v>
      </c>
      <c r="C13" s="387"/>
      <c r="D13" s="406"/>
      <c r="E13" s="394"/>
      <c r="F13" s="394"/>
      <c r="G13" s="395"/>
    </row>
    <row r="14" spans="1:8" s="367" customFormat="1" ht="13.5" hidden="1" customHeight="1">
      <c r="A14" s="405" t="s">
        <v>3002</v>
      </c>
      <c r="B14" s="391" t="s">
        <v>2989</v>
      </c>
      <c r="C14" s="387"/>
      <c r="D14" s="406"/>
      <c r="E14" s="394"/>
      <c r="F14" s="394"/>
      <c r="G14" s="395" t="s">
        <v>3003</v>
      </c>
    </row>
    <row r="15" spans="1:8" s="367" customFormat="1" ht="13.5" hidden="1" customHeight="1">
      <c r="A15" s="405" t="s">
        <v>3004</v>
      </c>
      <c r="B15" s="391" t="s">
        <v>3005</v>
      </c>
      <c r="C15" s="396"/>
      <c r="D15" s="406"/>
      <c r="E15" s="394"/>
      <c r="F15" s="394"/>
      <c r="G15" s="395" t="s">
        <v>3006</v>
      </c>
    </row>
    <row r="16" spans="1:8" s="367" customFormat="1" ht="13.5" hidden="1" customHeight="1">
      <c r="A16" s="405" t="s">
        <v>3007</v>
      </c>
      <c r="B16" s="391" t="s">
        <v>2989</v>
      </c>
      <c r="C16" s="396"/>
      <c r="D16" s="406"/>
      <c r="E16" s="394"/>
      <c r="F16" s="394"/>
      <c r="G16" s="395"/>
    </row>
    <row r="17" spans="1:7" s="367" customFormat="1" ht="13.5" hidden="1" customHeight="1">
      <c r="A17" s="405" t="s">
        <v>3008</v>
      </c>
      <c r="B17" s="391" t="s">
        <v>3009</v>
      </c>
      <c r="C17" s="408"/>
      <c r="D17" s="409"/>
      <c r="E17" s="408"/>
      <c r="F17" s="408"/>
      <c r="G17" s="395" t="s">
        <v>3006</v>
      </c>
    </row>
    <row r="18" spans="1:7" s="367" customFormat="1" ht="13.5" hidden="1" customHeight="1">
      <c r="A18" s="405" t="s">
        <v>3010</v>
      </c>
      <c r="B18" s="391" t="s">
        <v>3011</v>
      </c>
      <c r="C18" s="396">
        <v>0</v>
      </c>
      <c r="D18" s="406"/>
      <c r="E18" s="394"/>
      <c r="F18" s="397">
        <v>3.0499999999999999E-2</v>
      </c>
      <c r="G18" s="395" t="s">
        <v>3012</v>
      </c>
    </row>
    <row r="19" spans="1:7" s="368" customFormat="1" ht="13.5" customHeight="1">
      <c r="A19" s="385" t="s">
        <v>3013</v>
      </c>
      <c r="B19" s="386" t="s">
        <v>3014</v>
      </c>
      <c r="C19" s="387" t="str">
        <f>IF(G19="已包含在土地取得成本中","0",ROUND(D19*E19,0))</f>
        <v>0</v>
      </c>
      <c r="D19" s="411">
        <f ca="1">D9+D10</f>
        <v>1008.26</v>
      </c>
      <c r="E19" s="387">
        <f>'数据-取费表'!B31</f>
        <v>200</v>
      </c>
      <c r="F19" s="412"/>
      <c r="G19" s="1347" t="s">
        <v>3015</v>
      </c>
    </row>
    <row r="20" spans="1:7" s="367" customFormat="1" ht="13.5" customHeight="1">
      <c r="A20" s="385" t="s">
        <v>3016</v>
      </c>
      <c r="B20" s="386" t="s">
        <v>3017</v>
      </c>
      <c r="C20" s="413">
        <f ca="1">ROUND((C5+C19)*F20,0)</f>
        <v>194359</v>
      </c>
      <c r="D20" s="413"/>
      <c r="E20" s="413"/>
      <c r="F20" s="414">
        <f>'数据-取费表'!B37</f>
        <v>0.02</v>
      </c>
      <c r="G20" s="418" t="s">
        <v>3018</v>
      </c>
    </row>
    <row r="21" spans="1:7" s="367" customFormat="1" ht="13.5" customHeight="1">
      <c r="A21" s="385" t="s">
        <v>3019</v>
      </c>
      <c r="B21" s="386" t="s">
        <v>3020</v>
      </c>
      <c r="C21" s="416">
        <f>F21</f>
        <v>0.02</v>
      </c>
      <c r="D21" s="417" t="s">
        <v>3021</v>
      </c>
      <c r="E21" s="413"/>
      <c r="F21" s="414">
        <f>'数据-取费表'!B38</f>
        <v>0.02</v>
      </c>
      <c r="G21" s="418" t="s">
        <v>3022</v>
      </c>
    </row>
    <row r="22" spans="1:7" s="367" customFormat="1" ht="13.5" customHeight="1">
      <c r="A22" s="385" t="s">
        <v>3023</v>
      </c>
      <c r="B22" s="386" t="s">
        <v>3024</v>
      </c>
      <c r="C22" s="1348">
        <f ca="1">ROUND(SUM(C23:C25),0)</f>
        <v>688811</v>
      </c>
      <c r="D22" s="416">
        <f ca="1">C26</f>
        <v>6.9999999999999999E-4</v>
      </c>
      <c r="E22" s="417" t="s">
        <v>3021</v>
      </c>
      <c r="F22" s="420">
        <f ca="1">'数据-取费表'!B40</f>
        <v>3.4500000000000003E-2</v>
      </c>
      <c r="G22" s="418" t="str">
        <f>IF('数据-取费表'!B22&lt;=1,"单利计息","复利计息")</f>
        <v>复利计息</v>
      </c>
    </row>
    <row r="23" spans="1:7" s="367" customFormat="1" ht="13.5" customHeight="1">
      <c r="A23" s="421" t="s">
        <v>2984</v>
      </c>
      <c r="B23" s="391" t="s">
        <v>3025</v>
      </c>
      <c r="C23" s="1349">
        <f ca="1">ROUND(IF('数据-取费表'!B22&lt;=1,C5*F22*'数据-取费表'!B22,C5*(POWER((1+F22),'数据-取费表'!B22)-1)),0)</f>
        <v>682106</v>
      </c>
      <c r="D23" s="423"/>
      <c r="E23" s="423"/>
      <c r="F23" s="424"/>
      <c r="G23" s="425" t="s">
        <v>3026</v>
      </c>
    </row>
    <row r="24" spans="1:7" s="367" customFormat="1" ht="13.5" customHeight="1">
      <c r="A24" s="421" t="s">
        <v>2986</v>
      </c>
      <c r="B24" s="391" t="s">
        <v>3027</v>
      </c>
      <c r="C24" s="1349">
        <f ca="1">ROUND(IF('数据-取费表'!B22&lt;=1,C19*F22*('数据-取费表'!B19/2+'数据-取费表'!B20),C19*(POWER((1+F22),('数据-取费表'!B19/2+'数据-取费表'!B20))-1)),0)</f>
        <v>0</v>
      </c>
      <c r="D24" s="423"/>
      <c r="E24" s="423"/>
      <c r="F24" s="424"/>
      <c r="G24" s="425" t="s">
        <v>3028</v>
      </c>
    </row>
    <row r="25" spans="1:7" s="367" customFormat="1" ht="24">
      <c r="A25" s="421" t="s">
        <v>2988</v>
      </c>
      <c r="B25" s="391" t="s">
        <v>3029</v>
      </c>
      <c r="C25" s="1349">
        <f ca="1">ROUND(IF('数据-取费表'!B22&lt;=1,C20*F22*'数据-取费表'!B22/2,C20*(POWER((1+F22),'数据-取费表'!B22/2)-1)),0)</f>
        <v>6705</v>
      </c>
      <c r="D25" s="423"/>
      <c r="E25" s="426"/>
      <c r="F25" s="424"/>
      <c r="G25" s="427" t="s">
        <v>3030</v>
      </c>
    </row>
    <row r="26" spans="1:7" s="367" customFormat="1">
      <c r="A26" s="421" t="s">
        <v>3031</v>
      </c>
      <c r="B26" s="391" t="s">
        <v>3032</v>
      </c>
      <c r="C26" s="423">
        <f ca="1">ROUND(IF('数据-取费表'!B22&lt;=1,F21*F22*'数据-取费表'!B22/2,F21*(POWER((1+F22),'数据-取费表'!B22/2)-1)),4)</f>
        <v>6.9999999999999999E-4</v>
      </c>
      <c r="D26" s="423"/>
      <c r="E26" s="426"/>
      <c r="F26" s="424"/>
      <c r="G26" s="428"/>
    </row>
    <row r="27" spans="1:7" s="367" customFormat="1" ht="26.4">
      <c r="A27" s="385" t="s">
        <v>3033</v>
      </c>
      <c r="B27" s="429" t="s">
        <v>3034</v>
      </c>
      <c r="C27" s="430">
        <f ca="1">C28</f>
        <v>991232</v>
      </c>
      <c r="D27" s="416">
        <f ca="1">C29</f>
        <v>2E-3</v>
      </c>
      <c r="E27" s="417" t="s">
        <v>3021</v>
      </c>
      <c r="F27" s="431">
        <f ca="1">IF(B1="",'数据-取费表'!Q16,INDIRECT("'数据-取费表'!q"&amp;$G$1))</f>
        <v>0.1</v>
      </c>
      <c r="G27" s="432" t="s">
        <v>3035</v>
      </c>
    </row>
    <row r="28" spans="1:7" s="367" customFormat="1" ht="13.5" customHeight="1">
      <c r="A28" s="421" t="s">
        <v>2984</v>
      </c>
      <c r="B28" s="433" t="s">
        <v>3036</v>
      </c>
      <c r="C28" s="434">
        <f ca="1">ROUND((C5+C19+C20)*F27,0)</f>
        <v>991232</v>
      </c>
      <c r="D28" s="416"/>
      <c r="E28" s="417"/>
      <c r="F28" s="431"/>
      <c r="G28" s="432"/>
    </row>
    <row r="29" spans="1:7" s="367" customFormat="1" ht="13.5" customHeight="1">
      <c r="A29" s="421" t="s">
        <v>2986</v>
      </c>
      <c r="B29" s="433" t="s">
        <v>3037</v>
      </c>
      <c r="C29" s="423">
        <f ca="1">ROUND(C21*F27,4)</f>
        <v>2E-3</v>
      </c>
      <c r="D29" s="416"/>
      <c r="E29" s="417"/>
      <c r="F29" s="431"/>
      <c r="G29" s="432"/>
    </row>
    <row r="30" spans="1:7" s="367" customFormat="1" ht="13.5" customHeight="1">
      <c r="A30" s="385" t="s">
        <v>3038</v>
      </c>
      <c r="B30" s="386" t="s">
        <v>3039</v>
      </c>
      <c r="C30" s="416">
        <f>ROUND(F30/(1+'数据-取费表'!C42),4)</f>
        <v>5.33E-2</v>
      </c>
      <c r="D30" s="417" t="s">
        <v>3021</v>
      </c>
      <c r="E30" s="426"/>
      <c r="F30" s="420">
        <f>'数据-取费表'!B41</f>
        <v>5.6000000000000001E-2</v>
      </c>
      <c r="G30" s="418" t="s">
        <v>3040</v>
      </c>
    </row>
    <row r="31" spans="1:7" ht="16.5" customHeight="1">
      <c r="A31" s="435">
        <v>1</v>
      </c>
      <c r="B31" s="386" t="s">
        <v>3041</v>
      </c>
      <c r="C31" s="387">
        <f ca="1">ROUND((C5+C19+C20+C22+C27)/(1-C21-D22-D27-C30),0)</f>
        <v>12545849</v>
      </c>
      <c r="D31" s="436"/>
      <c r="E31" s="387"/>
      <c r="F31" s="437"/>
      <c r="G31" s="418" t="s">
        <v>3042</v>
      </c>
    </row>
    <row r="32" spans="1:7" s="366" customFormat="1" ht="16.2">
      <c r="A32" s="438" t="s">
        <v>3792</v>
      </c>
      <c r="B32" s="439"/>
      <c r="C32" s="439"/>
      <c r="D32" s="439"/>
      <c r="E32" s="439"/>
      <c r="F32" s="439"/>
      <c r="G32" s="440"/>
    </row>
    <row r="33" spans="1:7" s="367" customFormat="1" ht="13.5" customHeight="1">
      <c r="A33" s="385" t="s">
        <v>2980</v>
      </c>
      <c r="B33" s="386" t="s">
        <v>3793</v>
      </c>
      <c r="C33" s="441">
        <f ca="1">SUM(C34:C38)</f>
        <v>5570637</v>
      </c>
      <c r="D33" s="413"/>
      <c r="E33" s="388"/>
      <c r="F33" s="426"/>
      <c r="G33" s="418"/>
    </row>
    <row r="34" spans="1:7" s="369" customFormat="1" ht="13.5" customHeight="1">
      <c r="A34" s="421" t="s">
        <v>2984</v>
      </c>
      <c r="B34" s="391" t="s">
        <v>3045</v>
      </c>
      <c r="C34" s="396">
        <f ca="1">ROUND(IF(B1="",SUMPRODUCT('数据-取费表'!K6:K14,'数据-取费表'!L6:L14),INDIRECT("'数据-取费表'!l"&amp;$G$1)*INDIRECT("'数据-取费表'!k"&amp;$G$1)+'数据-取费表'!L14*INDIRECT("'数据-取费表'!S"&amp;$G$1)),0)</f>
        <v>5041300</v>
      </c>
      <c r="D34" s="393"/>
      <c r="E34" s="396"/>
      <c r="F34" s="442"/>
      <c r="G34" s="395"/>
    </row>
    <row r="35" spans="1:7" ht="13.5" customHeight="1">
      <c r="A35" s="421" t="s">
        <v>2986</v>
      </c>
      <c r="B35" s="391" t="s">
        <v>3047</v>
      </c>
      <c r="C35" s="396">
        <f ca="1">ROUND(C34*F35,0)</f>
        <v>252065</v>
      </c>
      <c r="D35" s="396"/>
      <c r="E35" s="396"/>
      <c r="F35" s="443">
        <f>'数据-取费表'!B33</f>
        <v>0.05</v>
      </c>
      <c r="G35" s="395" t="s">
        <v>3048</v>
      </c>
    </row>
    <row r="36" spans="1:7" ht="24">
      <c r="A36" s="421" t="s">
        <v>2988</v>
      </c>
      <c r="B36" s="391" t="s">
        <v>3049</v>
      </c>
      <c r="C36" s="396">
        <f ca="1">ROUND(IF(B1="",SUM('数据-取费表'!AP6:AP13)*F36,IF(INDIRECT("'数据-取费表'!c"&amp;$G$1)="住宅",INDIRECT("'数据-取费表'!k"&amp;$G$1)*INDIRECT("'数据-取费表'!l"&amp;$G$1)*F36,0)),0)</f>
        <v>0</v>
      </c>
      <c r="D36" s="396"/>
      <c r="E36" s="396"/>
      <c r="F36" s="443">
        <f>'数据-取费表'!B34</f>
        <v>0</v>
      </c>
      <c r="G36" s="444" t="s">
        <v>3050</v>
      </c>
    </row>
    <row r="37" spans="1:7" s="369" customFormat="1" ht="13.5" customHeight="1">
      <c r="A37" s="421" t="s">
        <v>3031</v>
      </c>
      <c r="B37" s="391" t="s">
        <v>3051</v>
      </c>
      <c r="C37" s="434">
        <f ca="1">ROUND(E37*D37,0)</f>
        <v>201652</v>
      </c>
      <c r="D37" s="393">
        <f ca="1">D19</f>
        <v>1008.26</v>
      </c>
      <c r="E37" s="434">
        <f>'数据-取费表'!B35</f>
        <v>200</v>
      </c>
      <c r="F37" s="443"/>
      <c r="G37" s="445"/>
    </row>
    <row r="38" spans="1:7" ht="13.5" customHeight="1">
      <c r="A38" s="421" t="s">
        <v>3053</v>
      </c>
      <c r="B38" s="391" t="s">
        <v>2801</v>
      </c>
      <c r="C38" s="396">
        <f ca="1">ROUND(C34*F38,0)</f>
        <v>75620</v>
      </c>
      <c r="D38" s="396"/>
      <c r="E38" s="396"/>
      <c r="F38" s="443">
        <f>'数据-取费表'!B36</f>
        <v>1.4999999999999999E-2</v>
      </c>
      <c r="G38" s="395" t="s">
        <v>3048</v>
      </c>
    </row>
    <row r="39" spans="1:7" s="367" customFormat="1" ht="13.5" customHeight="1">
      <c r="A39" s="385" t="s">
        <v>3013</v>
      </c>
      <c r="B39" s="386" t="s">
        <v>3017</v>
      </c>
      <c r="C39" s="413">
        <f ca="1">ROUND(C33*F20,0)</f>
        <v>111413</v>
      </c>
      <c r="D39" s="413"/>
      <c r="E39" s="413"/>
      <c r="F39" s="414">
        <f>F20</f>
        <v>0.02</v>
      </c>
      <c r="G39" s="418" t="s">
        <v>3054</v>
      </c>
    </row>
    <row r="40" spans="1:7" s="367" customFormat="1" ht="13.5" customHeight="1">
      <c r="A40" s="385" t="s">
        <v>3016</v>
      </c>
      <c r="B40" s="386" t="s">
        <v>3020</v>
      </c>
      <c r="C40" s="1350">
        <f>F21</f>
        <v>0.02</v>
      </c>
      <c r="D40" s="417" t="s">
        <v>3055</v>
      </c>
      <c r="E40" s="413"/>
      <c r="F40" s="414">
        <f>F21</f>
        <v>0.02</v>
      </c>
      <c r="G40" s="418" t="s">
        <v>3056</v>
      </c>
    </row>
    <row r="41" spans="1:7" s="367" customFormat="1" ht="13.5" customHeight="1">
      <c r="A41" s="385" t="s">
        <v>3019</v>
      </c>
      <c r="B41" s="386" t="s">
        <v>3024</v>
      </c>
      <c r="C41" s="413">
        <f ca="1">ROUND(SUM(C42:C43),0)</f>
        <v>196031</v>
      </c>
      <c r="D41" s="416">
        <f ca="1">C44</f>
        <v>6.9999999999999999E-4</v>
      </c>
      <c r="E41" s="417" t="s">
        <v>3055</v>
      </c>
      <c r="F41" s="420">
        <f ca="1">F22</f>
        <v>3.4500000000000003E-2</v>
      </c>
      <c r="G41" s="418" t="str">
        <f>IF('数据-取费表'!B22&lt;=1,"单利计息","复利计息")</f>
        <v>复利计息</v>
      </c>
    </row>
    <row r="42" spans="1:7" ht="13.5" customHeight="1">
      <c r="A42" s="421" t="s">
        <v>2984</v>
      </c>
      <c r="B42" s="391" t="s">
        <v>3025</v>
      </c>
      <c r="C42" s="423">
        <f ca="1">ROUND(IF('数据-取费表'!B22&lt;=1,C33*F22*'数据-取费表'!B20/2,C33*(POWER((1+F22),'数据-取费表'!B20/2)-1)),0)</f>
        <v>192187</v>
      </c>
      <c r="D42" s="423"/>
      <c r="E42" s="423"/>
      <c r="F42" s="424"/>
      <c r="G42" s="3696" t="s">
        <v>3794</v>
      </c>
    </row>
    <row r="43" spans="1:7" ht="13.5" customHeight="1">
      <c r="A43" s="421" t="s">
        <v>2986</v>
      </c>
      <c r="B43" s="391" t="s">
        <v>3027</v>
      </c>
      <c r="C43" s="423">
        <f ca="1">ROUND(IF('数据-取费表'!B22&lt;=1,C39*F22*'数据-取费表'!B20/2,C39*(POWER((1+F22),'数据-取费表'!B20/2)-1)),0)</f>
        <v>3844</v>
      </c>
      <c r="D43" s="423"/>
      <c r="E43" s="423"/>
      <c r="F43" s="424"/>
      <c r="G43" s="3697"/>
    </row>
    <row r="44" spans="1:7" ht="13.5" customHeight="1">
      <c r="A44" s="421" t="s">
        <v>2988</v>
      </c>
      <c r="B44" s="391" t="s">
        <v>3029</v>
      </c>
      <c r="C44" s="423">
        <f ca="1">ROUND(IF('数据-取费表'!B22&lt;=1,C40*F22*'数据-取费表'!B20/2,C40*(POWER((1+F22),'数据-取费表'!B20/2)-1)),4)</f>
        <v>6.9999999999999999E-4</v>
      </c>
      <c r="D44" s="423"/>
      <c r="E44" s="423"/>
      <c r="F44" s="424"/>
      <c r="G44" s="3698"/>
    </row>
    <row r="45" spans="1:7" s="367" customFormat="1" ht="13.5" customHeight="1">
      <c r="A45" s="385" t="s">
        <v>3023</v>
      </c>
      <c r="B45" s="429" t="s">
        <v>3034</v>
      </c>
      <c r="C45" s="430">
        <f ca="1">C46</f>
        <v>568205</v>
      </c>
      <c r="D45" s="416">
        <f ca="1">C47</f>
        <v>2E-3</v>
      </c>
      <c r="E45" s="417" t="s">
        <v>3055</v>
      </c>
      <c r="F45" s="431">
        <f ca="1">F27</f>
        <v>0.1</v>
      </c>
      <c r="G45" s="432" t="s">
        <v>3058</v>
      </c>
    </row>
    <row r="46" spans="1:7" s="367" customFormat="1" ht="13.5" customHeight="1">
      <c r="A46" s="421" t="s">
        <v>2984</v>
      </c>
      <c r="B46" s="433" t="s">
        <v>3059</v>
      </c>
      <c r="C46" s="434">
        <f ca="1">ROUND((C33+C39)*F27,0)</f>
        <v>568205</v>
      </c>
      <c r="D46" s="447"/>
      <c r="E46" s="417"/>
      <c r="F46" s="431"/>
      <c r="G46" s="432"/>
    </row>
    <row r="47" spans="1:7" s="367" customFormat="1" ht="13.5" customHeight="1">
      <c r="A47" s="421" t="s">
        <v>2986</v>
      </c>
      <c r="B47" s="433" t="s">
        <v>3060</v>
      </c>
      <c r="C47" s="423">
        <f ca="1">ROUND(C40*F27,4)</f>
        <v>2E-3</v>
      </c>
      <c r="D47" s="447"/>
      <c r="E47" s="417"/>
      <c r="F47" s="431"/>
      <c r="G47" s="432"/>
    </row>
    <row r="48" spans="1:7" s="367" customFormat="1" ht="13.5" customHeight="1">
      <c r="A48" s="385" t="s">
        <v>3033</v>
      </c>
      <c r="B48" s="386" t="s">
        <v>3039</v>
      </c>
      <c r="C48" s="446">
        <f>ROUND(F30/(1+'数据-取费表'!C42),4)</f>
        <v>5.33E-2</v>
      </c>
      <c r="D48" s="417" t="s">
        <v>3055</v>
      </c>
      <c r="E48" s="413"/>
      <c r="F48" s="420">
        <f>F30</f>
        <v>5.6000000000000001E-2</v>
      </c>
      <c r="G48" s="418" t="s">
        <v>3061</v>
      </c>
    </row>
    <row r="49" spans="1:7" ht="16.5" customHeight="1">
      <c r="A49" s="385" t="s">
        <v>3038</v>
      </c>
      <c r="B49" s="386" t="s">
        <v>3795</v>
      </c>
      <c r="C49" s="413">
        <f ca="1">ROUND((C33+C39+C41+C45)/(1-C40-D41-D45-C48),0)</f>
        <v>6976500</v>
      </c>
      <c r="D49" s="413"/>
      <c r="E49" s="413"/>
      <c r="F49" s="448"/>
      <c r="G49" s="418" t="s">
        <v>3063</v>
      </c>
    </row>
    <row r="50" spans="1:7" s="369" customFormat="1">
      <c r="A50" s="385" t="s">
        <v>3064</v>
      </c>
      <c r="B50" s="386" t="s">
        <v>3065</v>
      </c>
      <c r="C50" s="413"/>
      <c r="D50" s="413"/>
      <c r="E50" s="413"/>
      <c r="F50" s="448">
        <f>IF('数据-取费表'!B24=0,'数据-取费表'!N16,1)</f>
        <v>1</v>
      </c>
      <c r="G50" s="432"/>
    </row>
    <row r="51" spans="1:7" ht="16.5" customHeight="1">
      <c r="A51" s="385" t="s">
        <v>3067</v>
      </c>
      <c r="B51" s="386" t="s">
        <v>3796</v>
      </c>
      <c r="C51" s="413">
        <f ca="1">ROUND(C49*F50,0)</f>
        <v>6976500</v>
      </c>
      <c r="D51" s="413"/>
      <c r="E51" s="413"/>
      <c r="F51" s="448"/>
      <c r="G51" s="418" t="s">
        <v>3069</v>
      </c>
    </row>
    <row r="52" spans="1:7" s="366" customFormat="1" ht="16.2">
      <c r="A52" s="449" t="s">
        <v>3070</v>
      </c>
      <c r="B52" s="450"/>
      <c r="C52" s="451">
        <f ca="1">C31+C51</f>
        <v>19522349</v>
      </c>
      <c r="D52" s="450"/>
      <c r="E52" s="450"/>
      <c r="F52" s="450"/>
      <c r="G52" s="452"/>
    </row>
    <row r="55" spans="1:7" ht="15">
      <c r="B55" s="453" t="s">
        <v>3071</v>
      </c>
      <c r="C55" s="454"/>
    </row>
    <row r="56" spans="1:7">
      <c r="B56" s="455" t="s">
        <v>3072</v>
      </c>
      <c r="C56" s="457">
        <f ca="1">1-C57</f>
        <v>0.64300000000000002</v>
      </c>
    </row>
    <row r="57" spans="1:7">
      <c r="B57" s="455" t="s">
        <v>3073</v>
      </c>
      <c r="C57" s="456">
        <f ca="1">ROUND(C51/C52,3)</f>
        <v>0.35699999999999998</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5" zoomScale="80" zoomScaleNormal="80" workbookViewId="0">
      <selection activeCell="F54" sqref="F54"/>
    </sheetView>
  </sheetViews>
  <sheetFormatPr defaultColWidth="12" defaultRowHeight="13.2"/>
  <cols>
    <col min="1" max="1" width="9.77734375" style="954" customWidth="1"/>
    <col min="2" max="2" width="22.44140625" style="955" customWidth="1"/>
    <col min="3" max="3" width="12" style="956"/>
    <col min="4" max="4" width="14.88671875" style="956" customWidth="1"/>
    <col min="5" max="5" width="14.6640625" style="956" customWidth="1"/>
    <col min="6" max="8" width="12" style="956"/>
    <col min="9" max="9" width="12.21875" style="956" customWidth="1"/>
    <col min="10" max="10" width="12" style="956"/>
    <col min="11" max="11" width="8.109375" style="957" customWidth="1"/>
    <col min="12" max="12" width="19.44140625" style="956" customWidth="1"/>
    <col min="13" max="13" width="8.44140625" style="956" customWidth="1"/>
    <col min="14" max="14" width="9.77734375" style="956" customWidth="1"/>
    <col min="15" max="25" width="12" style="956"/>
    <col min="26" max="26" width="9.33203125" style="954" customWidth="1"/>
    <col min="27" max="32" width="9.33203125" style="958" customWidth="1"/>
    <col min="33" max="36" width="9.33203125" style="954" customWidth="1"/>
    <col min="37" max="38" width="9.33203125" style="956" customWidth="1"/>
    <col min="39" max="16384" width="12" style="956"/>
  </cols>
  <sheetData>
    <row r="1" spans="1:36" ht="31.2">
      <c r="A1" s="373" t="s">
        <v>3563</v>
      </c>
      <c r="B1" s="374"/>
      <c r="C1" s="377" t="s">
        <v>2867</v>
      </c>
      <c r="D1" s="944">
        <f>SUM(D33:D34,D37:D42)</f>
        <v>1008.26</v>
      </c>
      <c r="E1" s="959"/>
      <c r="F1" s="959"/>
      <c r="G1" s="959"/>
      <c r="H1" s="959"/>
      <c r="I1" s="959"/>
      <c r="J1" s="959"/>
      <c r="K1" s="952"/>
      <c r="L1" s="1162" t="s">
        <v>3564</v>
      </c>
      <c r="M1" s="1163">
        <f>SUMPRODUCT((区片价!B5:B9=I2)*(区片价!C3:G3=E2)*(区片价!C5:G9))</f>
        <v>0</v>
      </c>
      <c r="N1" s="1164">
        <f>SUMPRODUCT((因素修正幅度!B5:B9=I2)*(因素修正幅度!C3:G3=E2)*(因素修正幅度!C5:G9))</f>
        <v>0</v>
      </c>
      <c r="O1" s="953"/>
      <c r="P1" s="953"/>
      <c r="Q1" s="952"/>
      <c r="R1" s="1255" t="s">
        <v>3565</v>
      </c>
      <c r="S1" s="1255" t="s">
        <v>3566</v>
      </c>
      <c r="T1" s="1255" t="s">
        <v>3567</v>
      </c>
      <c r="U1" s="1255" t="s">
        <v>3568</v>
      </c>
      <c r="V1" s="1255" t="s">
        <v>3569</v>
      </c>
      <c r="W1" s="1256"/>
      <c r="X1" s="1256"/>
      <c r="Y1" s="1256"/>
      <c r="Z1" s="1256"/>
      <c r="AA1" s="1256"/>
      <c r="AB1" s="1256"/>
      <c r="AC1" s="1267"/>
      <c r="AD1" s="1268"/>
      <c r="AE1" s="1268"/>
      <c r="AF1" s="1268"/>
      <c r="AG1" s="1268"/>
      <c r="AH1" s="1268"/>
      <c r="AI1" s="1268"/>
      <c r="AJ1" s="1277"/>
    </row>
    <row r="2" spans="1:36" ht="15.6">
      <c r="A2" s="377" t="s">
        <v>2864</v>
      </c>
      <c r="B2" s="381">
        <f>C30</f>
        <v>923</v>
      </c>
      <c r="C2" s="960" t="s">
        <v>2865</v>
      </c>
      <c r="D2" s="961" t="s">
        <v>3570</v>
      </c>
      <c r="E2" s="962" t="s">
        <v>552</v>
      </c>
      <c r="F2" s="961" t="s">
        <v>3571</v>
      </c>
      <c r="G2" s="963" t="str">
        <f>IF(E2="商业",项目基本情况!B37,IF(E2="办公",项目基本情况!C37,IF(E2="住宅",项目基本情况!D37,IF(E2="工业",项目基本情况!E37,项目基本情况!F37))))</f>
        <v>四级</v>
      </c>
      <c r="H2" s="961" t="s">
        <v>3572</v>
      </c>
      <c r="I2" s="963" t="str">
        <f>IF(E2="商业",项目基本情况!B38,IF(E2="办公",项目基本情况!C38,IF(E2="住宅",项目基本情况!D38,IF(E2="工业",项目基本情况!E38,项目基本情况!F38))))</f>
        <v>Ⅳ-15</v>
      </c>
      <c r="J2" s="1165"/>
      <c r="K2" s="952"/>
      <c r="L2" s="1166" t="s">
        <v>3573</v>
      </c>
      <c r="M2" s="1167">
        <f>SUMPRODUCT((区片价!B10:B29=I2)*(区片价!C3:G3=E2)*(区片价!C10:G29))</f>
        <v>0</v>
      </c>
      <c r="N2" s="1164">
        <f>SUMPRODUCT((因素修正幅度!B10:B29=I2)*(因素修正幅度!C3:G3=E2)*(因素修正幅度!C10:G29))</f>
        <v>0</v>
      </c>
      <c r="O2" s="952"/>
      <c r="P2" s="952"/>
      <c r="Q2" s="952"/>
      <c r="R2" s="1255">
        <v>1</v>
      </c>
      <c r="S2" s="1257">
        <f>ROUND(SUMPRODUCT((B106:B110=R2)*(C105:N105=G2)*(C106:N110)),4)</f>
        <v>1.5019</v>
      </c>
      <c r="T2" s="1257">
        <f t="shared" ref="T2:T16" si="0">ROUND($C$5*$C$22*$C$23*$C$24*S2*$C$28,0)</f>
        <v>22926</v>
      </c>
      <c r="U2" s="1258"/>
      <c r="V2" s="1257">
        <f t="shared" ref="V2:V16" si="1">ROUND(T2*U2/10000,0)</f>
        <v>0</v>
      </c>
      <c r="W2" s="1256"/>
      <c r="X2" s="1256"/>
      <c r="Y2" s="1256"/>
      <c r="Z2" s="1256"/>
      <c r="AA2" s="1256"/>
      <c r="AB2" s="1256"/>
      <c r="AC2" s="1267"/>
      <c r="AD2" s="1268"/>
      <c r="AE2" s="1268"/>
      <c r="AF2" s="1268"/>
      <c r="AG2" s="1268"/>
      <c r="AH2" s="1268"/>
      <c r="AI2" s="1268"/>
      <c r="AJ2" s="1277"/>
    </row>
    <row r="3" spans="1:36" ht="15.6">
      <c r="A3" s="380" t="s">
        <v>2866</v>
      </c>
      <c r="B3" s="381">
        <f>ROUND(B2*10000/D1,0)</f>
        <v>9154</v>
      </c>
      <c r="C3" s="960" t="s">
        <v>2978</v>
      </c>
      <c r="D3" s="961" t="s">
        <v>3574</v>
      </c>
      <c r="E3" s="964" t="s">
        <v>3797</v>
      </c>
      <c r="F3" s="965" t="s">
        <v>3576</v>
      </c>
      <c r="G3" s="966">
        <f>IF(F3="宗地容积率",'数据-汇总表'!I4,IF(F3="估价对象容积率",'数据-汇总表'!I6,'数据-汇总表'!I7))</f>
        <v>2.8</v>
      </c>
      <c r="H3" s="967" t="s">
        <v>3577</v>
      </c>
      <c r="I3" s="1168"/>
      <c r="J3" s="1165" t="s">
        <v>3578</v>
      </c>
      <c r="K3" s="952"/>
      <c r="L3" s="1166" t="s">
        <v>3579</v>
      </c>
      <c r="M3" s="1167">
        <f>SUMPRODUCT((区片价!B30:B54=I2)*(区片价!C3:G3=E2)*(区片价!C30:G54))</f>
        <v>0</v>
      </c>
      <c r="N3" s="1164">
        <f>SUMPRODUCT((因素修正幅度!B30:B54=I2)*(因素修正幅度!C3:G3=E2)*(因素修正幅度!C30:G54))</f>
        <v>0</v>
      </c>
      <c r="O3" s="952"/>
      <c r="P3" s="952"/>
      <c r="Q3" s="952"/>
      <c r="R3" s="1255">
        <v>2</v>
      </c>
      <c r="S3" s="1257">
        <f>ROUND(SUMPRODUCT((B106:B110=R3)*(C105:N105=G2)*(C106:N110)),4)</f>
        <v>1.1838</v>
      </c>
      <c r="T3" s="1257">
        <f t="shared" si="0"/>
        <v>18071</v>
      </c>
      <c r="U3" s="1258"/>
      <c r="V3" s="1257">
        <f t="shared" si="1"/>
        <v>0</v>
      </c>
      <c r="W3" s="1256"/>
      <c r="X3" s="1256"/>
      <c r="Y3" s="1256"/>
      <c r="Z3" s="1256"/>
      <c r="AA3" s="1256"/>
      <c r="AB3" s="1256"/>
      <c r="AC3" s="1267"/>
      <c r="AD3" s="1268"/>
      <c r="AE3" s="1268"/>
      <c r="AF3" s="1268"/>
      <c r="AG3" s="1268"/>
      <c r="AH3" s="1268"/>
      <c r="AI3" s="1268"/>
      <c r="AJ3" s="1277"/>
    </row>
    <row r="4" spans="1:36" ht="15.6">
      <c r="A4" s="3756"/>
      <c r="B4" s="3757"/>
      <c r="C4" s="3757"/>
      <c r="D4" s="3758"/>
      <c r="E4" s="3758"/>
      <c r="F4" s="3758"/>
      <c r="G4" s="3758"/>
      <c r="H4" s="3758"/>
      <c r="I4" s="3758"/>
      <c r="J4" s="3759"/>
      <c r="K4" s="952"/>
      <c r="L4" s="1166" t="s">
        <v>3580</v>
      </c>
      <c r="M4" s="1167">
        <f>SUMPRODUCT((区片价!B55:B86=I2)*(区片价!C3:G3=E2)*(区片价!C55:G86))</f>
        <v>18510</v>
      </c>
      <c r="N4" s="1164">
        <f>SUMPRODUCT((因素修正幅度!B55:B86=I2)*(因素修正幅度!C3:G3=E2)*(因素修正幅度!C55:G86))</f>
        <v>6.8000000000000005E-2</v>
      </c>
      <c r="O4" s="952"/>
      <c r="P4" s="952"/>
      <c r="Q4" s="952"/>
      <c r="R4" s="1255">
        <v>3</v>
      </c>
      <c r="S4" s="1257">
        <f>ROUND(SUMPRODUCT((B106:B110=R4)*(C105:N105=G2)*(C106:N110)),4)</f>
        <v>1.0004999999999999</v>
      </c>
      <c r="T4" s="1257">
        <f t="shared" si="0"/>
        <v>15273</v>
      </c>
      <c r="U4" s="1258"/>
      <c r="V4" s="1257">
        <f t="shared" si="1"/>
        <v>0</v>
      </c>
      <c r="W4" s="1256"/>
      <c r="X4" s="1256"/>
      <c r="Y4" s="1256"/>
      <c r="Z4" s="1256"/>
      <c r="AA4" s="1256"/>
      <c r="AB4" s="1256"/>
      <c r="AC4" s="1267"/>
      <c r="AD4" s="1268"/>
      <c r="AE4" s="1268"/>
      <c r="AF4" s="1268"/>
      <c r="AG4" s="1268"/>
      <c r="AH4" s="1268"/>
      <c r="AI4" s="1268"/>
      <c r="AJ4" s="1277"/>
    </row>
    <row r="5" spans="1:36" s="951" customFormat="1" ht="15">
      <c r="A5" s="968" t="s">
        <v>2766</v>
      </c>
      <c r="B5" s="969" t="s">
        <v>3581</v>
      </c>
      <c r="C5" s="970">
        <f>ROUND(IF(E2="商业",C6*C7*C17+C20,(IF(E2="住宅",C6*C13*C17+C20,IF(E2="办公",C6*C12*C17+C20,C6+C20)))),0)</f>
        <v>18510</v>
      </c>
      <c r="D5" s="971">
        <f>ROUND(C6*C17+C20,0)</f>
        <v>18510</v>
      </c>
      <c r="E5" s="971"/>
      <c r="F5" s="972"/>
      <c r="G5" s="973"/>
      <c r="H5" s="973"/>
      <c r="I5" s="973"/>
      <c r="J5" s="1169"/>
      <c r="K5" s="1170"/>
      <c r="L5" s="1166" t="s">
        <v>3582</v>
      </c>
      <c r="M5" s="1167">
        <f>SUMPRODUCT((区片价!B87:B126=I2)*(区片价!C3:G3=E2)*(区片价!C87:G126))</f>
        <v>0</v>
      </c>
      <c r="N5" s="1164">
        <f>SUMPRODUCT((因素修正幅度!B87:B126=I2)*(因素修正幅度!C3:G3=E2)*(因素修正幅度!C87:G126))</f>
        <v>0</v>
      </c>
      <c r="O5" s="952"/>
      <c r="P5" s="952"/>
      <c r="Q5" s="952"/>
      <c r="R5" s="1255">
        <v>4</v>
      </c>
      <c r="S5" s="1257">
        <f>ROUND(SUMPRODUCT((B106:B110=R5)*(C105:N105=G2)*(C106:N110)),4)</f>
        <v>0.88239999999999996</v>
      </c>
      <c r="T5" s="1257">
        <f t="shared" si="0"/>
        <v>13470</v>
      </c>
      <c r="U5" s="1258"/>
      <c r="V5" s="1257">
        <f t="shared" si="1"/>
        <v>0</v>
      </c>
      <c r="W5" s="1256"/>
      <c r="X5" s="1256"/>
      <c r="Y5" s="1256"/>
      <c r="Z5" s="1256"/>
      <c r="AA5" s="1256"/>
      <c r="AB5" s="1256"/>
      <c r="AC5" s="1269"/>
      <c r="AD5" s="1270"/>
      <c r="AE5" s="1270"/>
      <c r="AF5" s="1270"/>
      <c r="AG5" s="1270"/>
      <c r="AH5" s="1270"/>
      <c r="AI5" s="1270"/>
      <c r="AJ5" s="1278"/>
    </row>
    <row r="6" spans="1:36" ht="15">
      <c r="A6" s="974" t="s">
        <v>2980</v>
      </c>
      <c r="B6" s="975" t="s">
        <v>3583</v>
      </c>
      <c r="C6" s="976">
        <f>SUMIF(L1:L12,G2,M1:M12)</f>
        <v>18510</v>
      </c>
      <c r="D6" s="977"/>
      <c r="E6" s="978"/>
      <c r="F6" s="978"/>
      <c r="G6" s="979"/>
      <c r="H6" s="979"/>
      <c r="I6" s="979"/>
      <c r="J6" s="1171"/>
      <c r="K6" s="667"/>
      <c r="L6" s="1166" t="s">
        <v>3584</v>
      </c>
      <c r="M6" s="1167">
        <f>SUMPRODUCT((区片价!B127:B189=I2)*(区片价!C3:G3=E2)*(区片价!C127:G189))</f>
        <v>0</v>
      </c>
      <c r="N6" s="1164">
        <f>SUMPRODUCT((因素修正幅度!B127:B189=I2)*(因素修正幅度!C3:G3=E2)*(因素修正幅度!C127:G189))</f>
        <v>0</v>
      </c>
      <c r="O6" s="952"/>
      <c r="P6" s="952"/>
      <c r="Q6" s="952"/>
      <c r="R6" s="1255">
        <v>5</v>
      </c>
      <c r="S6" s="1257">
        <f>ROUND(SUMPRODUCT((B106:B110=R6)*(C105:N105=G2)*(C106:N110)),4)</f>
        <v>0.84799999999999998</v>
      </c>
      <c r="T6" s="1257">
        <f t="shared" si="0"/>
        <v>12945</v>
      </c>
      <c r="U6" s="1258"/>
      <c r="V6" s="1257">
        <f t="shared" si="1"/>
        <v>0</v>
      </c>
      <c r="W6" s="1256"/>
      <c r="X6" s="1256"/>
      <c r="Y6" s="1256"/>
      <c r="Z6" s="1256"/>
      <c r="AA6" s="1256"/>
      <c r="AB6" s="1256"/>
      <c r="AC6" s="1269"/>
      <c r="AD6" s="1270"/>
      <c r="AE6" s="1270"/>
      <c r="AF6" s="1270"/>
      <c r="AG6" s="1270"/>
      <c r="AH6" s="1270"/>
      <c r="AI6" s="1270"/>
      <c r="AJ6" s="1278"/>
    </row>
    <row r="7" spans="1:36" ht="24">
      <c r="A7" s="980" t="s">
        <v>3585</v>
      </c>
      <c r="B7" s="981" t="s">
        <v>3586</v>
      </c>
      <c r="C7" s="982">
        <f>IF(C8="不临65条商业街",1,ROUND(1+(1.6*E8+1.2*E9+0.8*E10+0.4*E11)*C9,4))</f>
        <v>1</v>
      </c>
      <c r="D7" s="983" t="s">
        <v>3587</v>
      </c>
      <c r="E7" s="984"/>
      <c r="F7" s="985"/>
      <c r="G7" s="986"/>
      <c r="H7" s="986"/>
      <c r="I7" s="986"/>
      <c r="J7" s="1172"/>
      <c r="K7" s="667"/>
      <c r="L7" s="1166" t="s">
        <v>3588</v>
      </c>
      <c r="M7" s="1167">
        <f>SUMPRODUCT((区片价!B190:B233=I2)*(区片价!C3:G3=E2)*(区片价!C190:G233))</f>
        <v>0</v>
      </c>
      <c r="N7" s="1164">
        <f>SUMPRODUCT((因素修正幅度!B190:B233=I2)*(因素修正幅度!C3:G3=E2)*(因素修正幅度!C190:G233))</f>
        <v>0</v>
      </c>
      <c r="O7" s="952"/>
      <c r="P7" s="952"/>
      <c r="Q7" s="952"/>
      <c r="R7" s="1255">
        <v>6</v>
      </c>
      <c r="S7" s="1259"/>
      <c r="T7" s="1257">
        <f t="shared" si="0"/>
        <v>0</v>
      </c>
      <c r="U7" s="1258"/>
      <c r="V7" s="1257">
        <f t="shared" si="1"/>
        <v>0</v>
      </c>
      <c r="W7" s="1260" t="s">
        <v>3589</v>
      </c>
      <c r="X7" s="1261" t="str">
        <f>G2</f>
        <v>四级</v>
      </c>
      <c r="Y7" s="1261" t="s">
        <v>3590</v>
      </c>
      <c r="Z7" s="1271">
        <f>G3</f>
        <v>2.8</v>
      </c>
      <c r="AA7" s="1256"/>
      <c r="AB7" s="1256"/>
      <c r="AC7" s="1267"/>
      <c r="AD7" s="1268"/>
      <c r="AE7" s="1268"/>
      <c r="AF7" s="1268"/>
      <c r="AG7" s="1268"/>
      <c r="AH7" s="1268"/>
      <c r="AI7" s="1268"/>
      <c r="AJ7" s="1277"/>
    </row>
    <row r="8" spans="1:36" ht="26.4">
      <c r="A8" s="987"/>
      <c r="B8" s="967" t="s">
        <v>3591</v>
      </c>
      <c r="C8" s="988" t="s">
        <v>3592</v>
      </c>
      <c r="D8" s="989" t="s">
        <v>3593</v>
      </c>
      <c r="E8" s="990" t="e">
        <f>ROUND(C11/E7,4)</f>
        <v>#DIV/0!</v>
      </c>
      <c r="F8" s="991" t="s">
        <v>3594</v>
      </c>
      <c r="G8" s="992"/>
      <c r="H8" s="992"/>
      <c r="I8" s="992"/>
      <c r="J8" s="1173"/>
      <c r="K8" s="952"/>
      <c r="L8" s="1166" t="s">
        <v>3595</v>
      </c>
      <c r="M8" s="1167">
        <f>SUMPRODUCT((区片价!B234:B276=I2)*(区片价!C3:G3=E2)*(区片价!C234:G276))</f>
        <v>0</v>
      </c>
      <c r="N8" s="1164">
        <f>SUMPRODUCT((因素修正幅度!B234:B276=I2)*(因素修正幅度!C3:G3=E2)*(因素修正幅度!C234:G276))</f>
        <v>0</v>
      </c>
      <c r="O8" s="952"/>
      <c r="P8" s="952"/>
      <c r="Q8" s="952"/>
      <c r="R8" s="1255">
        <v>7</v>
      </c>
      <c r="S8" s="1258"/>
      <c r="T8" s="1257">
        <f t="shared" si="0"/>
        <v>0</v>
      </c>
      <c r="U8" s="1258"/>
      <c r="V8" s="1257">
        <f t="shared" si="1"/>
        <v>0</v>
      </c>
      <c r="W8" s="3760" t="s">
        <v>3596</v>
      </c>
      <c r="X8" s="3761"/>
      <c r="Y8" s="1272" t="s">
        <v>3597</v>
      </c>
      <c r="Z8" s="1272" t="s">
        <v>3598</v>
      </c>
      <c r="AA8" s="1272" t="s">
        <v>3599</v>
      </c>
      <c r="AB8" s="1272" t="s">
        <v>3600</v>
      </c>
      <c r="AC8" s="1272" t="s">
        <v>3601</v>
      </c>
      <c r="AD8" s="1272" t="s">
        <v>3602</v>
      </c>
      <c r="AE8" s="1272" t="s">
        <v>3603</v>
      </c>
      <c r="AF8" s="1272" t="s">
        <v>3604</v>
      </c>
      <c r="AG8" s="1272" t="s">
        <v>3605</v>
      </c>
      <c r="AH8" s="1272" t="s">
        <v>3606</v>
      </c>
      <c r="AI8" s="1272" t="s">
        <v>3607</v>
      </c>
      <c r="AJ8" s="1272" t="s">
        <v>3608</v>
      </c>
    </row>
    <row r="9" spans="1:36" ht="15">
      <c r="A9" s="987"/>
      <c r="B9" s="967" t="s">
        <v>3609</v>
      </c>
      <c r="C9" s="993">
        <f>SUMIF(修正!C71:C138,C8,修正!E71:E138)</f>
        <v>0</v>
      </c>
      <c r="D9" s="994" t="s">
        <v>3610</v>
      </c>
      <c r="E9" s="994" t="e">
        <f>ROUND(C11/E7,4)</f>
        <v>#DIV/0!</v>
      </c>
      <c r="F9" s="991" t="s">
        <v>3611</v>
      </c>
      <c r="G9" s="992"/>
      <c r="H9" s="992"/>
      <c r="I9" s="992"/>
      <c r="J9" s="1173"/>
      <c r="K9" s="952"/>
      <c r="L9" s="1166" t="s">
        <v>3612</v>
      </c>
      <c r="M9" s="1167">
        <f>SUMPRODUCT((区片价!B277:B326=I2)*(区片价!C3:G3=E2)*(区片价!C277:G326))</f>
        <v>0</v>
      </c>
      <c r="N9" s="1164">
        <f>SUMPRODUCT((因素修正幅度!B277:B326=I2)*(因素修正幅度!C3:G3=E2)*(因素修正幅度!C277:G326))</f>
        <v>0</v>
      </c>
      <c r="O9" s="952"/>
      <c r="P9" s="952"/>
      <c r="Q9" s="952"/>
      <c r="R9" s="1255">
        <v>8</v>
      </c>
      <c r="S9" s="1258"/>
      <c r="T9" s="1257">
        <f t="shared" si="0"/>
        <v>0</v>
      </c>
      <c r="U9" s="1258"/>
      <c r="V9" s="1257">
        <f t="shared" si="1"/>
        <v>0</v>
      </c>
      <c r="W9" s="3774"/>
      <c r="X9" s="1262" t="s">
        <v>3613</v>
      </c>
      <c r="Y9" s="1273">
        <v>6</v>
      </c>
      <c r="Z9" s="1274">
        <f t="shared" ref="Z9:AJ9" si="2">$Y$9</f>
        <v>6</v>
      </c>
      <c r="AA9" s="1274">
        <f t="shared" si="2"/>
        <v>6</v>
      </c>
      <c r="AB9" s="1274">
        <f t="shared" si="2"/>
        <v>6</v>
      </c>
      <c r="AC9" s="1274">
        <f t="shared" si="2"/>
        <v>6</v>
      </c>
      <c r="AD9" s="1274">
        <f t="shared" si="2"/>
        <v>6</v>
      </c>
      <c r="AE9" s="1274">
        <f t="shared" si="2"/>
        <v>6</v>
      </c>
      <c r="AF9" s="1274">
        <f t="shared" si="2"/>
        <v>6</v>
      </c>
      <c r="AG9" s="1274">
        <f t="shared" si="2"/>
        <v>6</v>
      </c>
      <c r="AH9" s="1274">
        <f t="shared" si="2"/>
        <v>6</v>
      </c>
      <c r="AI9" s="1274">
        <f t="shared" si="2"/>
        <v>6</v>
      </c>
      <c r="AJ9" s="1274">
        <f t="shared" si="2"/>
        <v>6</v>
      </c>
    </row>
    <row r="10" spans="1:36" ht="15">
      <c r="A10" s="987"/>
      <c r="B10" s="967" t="s">
        <v>3614</v>
      </c>
      <c r="C10" s="994">
        <f>SUMIF(修正!C71:C138,C8,修正!F71:F138)</f>
        <v>0</v>
      </c>
      <c r="D10" s="994" t="s">
        <v>3615</v>
      </c>
      <c r="E10" s="994" t="e">
        <f>ROUND(C11/E7,4)</f>
        <v>#DIV/0!</v>
      </c>
      <c r="F10" s="991" t="s">
        <v>3616</v>
      </c>
      <c r="G10" s="992"/>
      <c r="H10" s="992"/>
      <c r="I10" s="992"/>
      <c r="J10" s="1173"/>
      <c r="K10" s="952"/>
      <c r="L10" s="1166" t="s">
        <v>3617</v>
      </c>
      <c r="M10" s="1167">
        <f>SUMPRODUCT((区片价!B327:B357=I2)*(区片价!C3:G3=E2)*(区片价!C327:G357))</f>
        <v>0</v>
      </c>
      <c r="N10" s="1164">
        <f>SUMPRODUCT((因素修正幅度!B327:B357=I2)*(因素修正幅度!C3:G3=E2)*(因素修正幅度!C327:G357))</f>
        <v>0</v>
      </c>
      <c r="O10" s="952"/>
      <c r="P10" s="952"/>
      <c r="Q10" s="952"/>
      <c r="R10" s="1255">
        <v>9</v>
      </c>
      <c r="S10" s="1258"/>
      <c r="T10" s="1257">
        <f t="shared" si="0"/>
        <v>0</v>
      </c>
      <c r="U10" s="1258"/>
      <c r="V10" s="1257">
        <f t="shared" si="1"/>
        <v>0</v>
      </c>
      <c r="W10" s="3774"/>
      <c r="X10" s="1262">
        <v>6</v>
      </c>
      <c r="Y10" s="1275">
        <f>ROUND((-0.5556*(Y9^2)-0.2719*Y9+8944)*(10^(-4)),4)</f>
        <v>0.89219999999999999</v>
      </c>
      <c r="Z10" s="1275">
        <f>ROUND((-0.5556*(Z9^2)-0.2719*Z9+8944)*(10^(-4)),4)</f>
        <v>0.89219999999999999</v>
      </c>
      <c r="AA10" s="1275">
        <f t="shared" ref="AA10:AE10" si="3">ROUND((-0.7912*(AA9^2)-11.3794*AA9+8482)*(10^(-4)),4)</f>
        <v>0.83850000000000002</v>
      </c>
      <c r="AB10" s="1275">
        <f t="shared" si="3"/>
        <v>0.83850000000000002</v>
      </c>
      <c r="AC10" s="1275">
        <f t="shared" si="3"/>
        <v>0.83850000000000002</v>
      </c>
      <c r="AD10" s="1275">
        <f t="shared" si="3"/>
        <v>0.83850000000000002</v>
      </c>
      <c r="AE10" s="1275">
        <f t="shared" si="3"/>
        <v>0.83850000000000002</v>
      </c>
      <c r="AF10" s="1275">
        <f t="shared" ref="AF10:AJ10" si="4">ROUND((-0.989*(AF9^2)-63.78*AF9+7771)*(10^(-4)),4)</f>
        <v>0.73529999999999995</v>
      </c>
      <c r="AG10" s="1275">
        <f t="shared" si="4"/>
        <v>0.73529999999999995</v>
      </c>
      <c r="AH10" s="1275">
        <f t="shared" si="4"/>
        <v>0.73529999999999995</v>
      </c>
      <c r="AI10" s="1275">
        <f t="shared" si="4"/>
        <v>0.73529999999999995</v>
      </c>
      <c r="AJ10" s="1275">
        <f t="shared" si="4"/>
        <v>0.73529999999999995</v>
      </c>
    </row>
    <row r="11" spans="1:36" ht="15">
      <c r="A11" s="995"/>
      <c r="B11" s="996" t="s">
        <v>3618</v>
      </c>
      <c r="C11" s="997">
        <f>C10/4</f>
        <v>0</v>
      </c>
      <c r="D11" s="997" t="s">
        <v>3619</v>
      </c>
      <c r="E11" s="997" t="e">
        <f>ROUND(C11/E7,4)</f>
        <v>#DIV/0!</v>
      </c>
      <c r="F11" s="998" t="s">
        <v>3620</v>
      </c>
      <c r="G11" s="999"/>
      <c r="H11" s="999"/>
      <c r="I11" s="999"/>
      <c r="J11" s="1174"/>
      <c r="K11" s="952"/>
      <c r="L11" s="1166" t="s">
        <v>3621</v>
      </c>
      <c r="M11" s="1167">
        <f>SUMPRODUCT((区片价!B358:B377=I2)*(区片价!C3:G3=E2)*(区片价!C358:G377))</f>
        <v>0</v>
      </c>
      <c r="N11" s="1164">
        <f>SUMPRODUCT((因素修正幅度!B358:B377=I2)*(因素修正幅度!C3:G3=E2)*(因素修正幅度!C358:G377))</f>
        <v>0</v>
      </c>
      <c r="O11" s="952"/>
      <c r="P11" s="952"/>
      <c r="Q11" s="952"/>
      <c r="R11" s="1255">
        <v>10</v>
      </c>
      <c r="S11" s="1258"/>
      <c r="T11" s="1257">
        <f t="shared" si="0"/>
        <v>0</v>
      </c>
      <c r="U11" s="1258"/>
      <c r="V11" s="1257">
        <f t="shared" si="1"/>
        <v>0</v>
      </c>
      <c r="W11" s="1256"/>
      <c r="X11" s="1256"/>
      <c r="Y11" s="1256"/>
      <c r="Z11" s="1256"/>
      <c r="AA11" s="1256"/>
      <c r="AB11" s="1256"/>
      <c r="AC11" s="1267"/>
      <c r="AD11" s="1276"/>
      <c r="AE11" s="1276"/>
      <c r="AF11" s="1276"/>
      <c r="AG11" s="1276"/>
      <c r="AH11" s="1276"/>
      <c r="AI11" s="1276"/>
      <c r="AJ11" s="1279"/>
    </row>
    <row r="12" spans="1:36" ht="25.2">
      <c r="A12" s="980" t="s">
        <v>3622</v>
      </c>
      <c r="B12" s="1000" t="s">
        <v>3623</v>
      </c>
      <c r="C12" s="1001"/>
      <c r="D12" s="1002" t="s">
        <v>3624</v>
      </c>
      <c r="E12" s="1003" t="s">
        <v>3625</v>
      </c>
      <c r="F12" s="1004"/>
      <c r="G12" s="1005"/>
      <c r="H12" s="1005"/>
      <c r="I12" s="1005"/>
      <c r="J12" s="1175"/>
      <c r="K12" s="952"/>
      <c r="L12" s="1176" t="s">
        <v>3626</v>
      </c>
      <c r="M12" s="1177">
        <f>SUMPRODUCT((区片价!B378:B384=I2)*(区片价!C3:G3=E2)*(区片价!C378:G384))</f>
        <v>0</v>
      </c>
      <c r="N12" s="1164">
        <f>SUMPRODUCT((因素修正幅度!B378:B384=I2)*(因素修正幅度!C3:G3=E2)*(因素修正幅度!C378:G384))</f>
        <v>0</v>
      </c>
      <c r="O12" s="952"/>
      <c r="P12" s="952"/>
      <c r="Q12" s="952"/>
      <c r="R12" s="1255">
        <v>11</v>
      </c>
      <c r="S12" s="1258"/>
      <c r="T12" s="1257">
        <f t="shared" si="0"/>
        <v>0</v>
      </c>
      <c r="U12" s="1258"/>
      <c r="V12" s="1257">
        <f t="shared" si="1"/>
        <v>0</v>
      </c>
      <c r="W12" s="1256"/>
      <c r="X12" s="1256"/>
      <c r="Y12" s="1256"/>
      <c r="Z12" s="1256"/>
      <c r="AA12" s="1256"/>
      <c r="AB12" s="1256"/>
      <c r="AC12" s="1267"/>
      <c r="AD12" s="1276"/>
      <c r="AE12" s="1276"/>
      <c r="AF12" s="1276"/>
      <c r="AG12" s="1276"/>
      <c r="AH12" s="1276"/>
      <c r="AI12" s="1276"/>
      <c r="AJ12" s="1279"/>
    </row>
    <row r="13" spans="1:36" ht="24">
      <c r="A13" s="980" t="s">
        <v>3627</v>
      </c>
      <c r="B13" s="1006" t="s">
        <v>3628</v>
      </c>
      <c r="C13" s="982">
        <f>ROUND(C16*D16*E16*F16*G16*H16*I16*J16,4)</f>
        <v>1</v>
      </c>
      <c r="D13" s="1007" t="s">
        <v>3629</v>
      </c>
      <c r="E13" s="1008"/>
      <c r="F13" s="1008"/>
      <c r="G13" s="1009"/>
      <c r="H13" s="1009"/>
      <c r="I13" s="1009"/>
      <c r="J13" s="1178"/>
      <c r="K13" s="952"/>
      <c r="L13" s="1179"/>
      <c r="M13" s="1180"/>
      <c r="N13" s="1181"/>
      <c r="O13" s="952"/>
      <c r="P13" s="952"/>
      <c r="Q13" s="952"/>
      <c r="R13" s="1255">
        <v>12</v>
      </c>
      <c r="S13" s="1258"/>
      <c r="T13" s="1257">
        <f t="shared" si="0"/>
        <v>0</v>
      </c>
      <c r="U13" s="1258"/>
      <c r="V13" s="1257">
        <f t="shared" si="1"/>
        <v>0</v>
      </c>
      <c r="W13" s="1256"/>
      <c r="X13" s="1256"/>
      <c r="Y13" s="1256"/>
      <c r="Z13" s="1256"/>
      <c r="AA13" s="1256"/>
      <c r="AB13" s="1256"/>
      <c r="AC13" s="1267"/>
      <c r="AD13" s="1276"/>
      <c r="AE13" s="1276"/>
      <c r="AF13" s="1276"/>
      <c r="AG13" s="1276"/>
      <c r="AH13" s="1276"/>
      <c r="AI13" s="1276"/>
      <c r="AJ13" s="1279"/>
    </row>
    <row r="14" spans="1:36" ht="24">
      <c r="A14" s="1010"/>
      <c r="B14" s="1011" t="s">
        <v>3630</v>
      </c>
      <c r="C14" s="1012" t="s">
        <v>3631</v>
      </c>
      <c r="D14" s="1013" t="s">
        <v>3632</v>
      </c>
      <c r="E14" s="1014" t="s">
        <v>3633</v>
      </c>
      <c r="F14" s="1015" t="s">
        <v>3634</v>
      </c>
      <c r="G14" s="1015" t="s">
        <v>3634</v>
      </c>
      <c r="H14" s="1015" t="s">
        <v>3634</v>
      </c>
      <c r="I14" s="1015" t="s">
        <v>3634</v>
      </c>
      <c r="J14" s="1015" t="s">
        <v>3634</v>
      </c>
      <c r="K14" s="952"/>
      <c r="L14" s="952"/>
      <c r="M14" s="952"/>
      <c r="N14" s="952"/>
      <c r="O14" s="952"/>
      <c r="P14" s="952"/>
      <c r="Q14" s="952"/>
      <c r="R14" s="1255">
        <v>13</v>
      </c>
      <c r="S14" s="1258"/>
      <c r="T14" s="1257">
        <f t="shared" si="0"/>
        <v>0</v>
      </c>
      <c r="U14" s="1258"/>
      <c r="V14" s="1257">
        <f t="shared" si="1"/>
        <v>0</v>
      </c>
      <c r="W14" s="1256"/>
      <c r="X14" s="1256"/>
      <c r="Y14" s="1256"/>
      <c r="Z14" s="1256"/>
      <c r="AA14" s="1256"/>
      <c r="AB14" s="1256"/>
      <c r="AC14" s="1267"/>
      <c r="AD14" s="1276"/>
      <c r="AE14" s="1276"/>
      <c r="AF14" s="1276"/>
      <c r="AG14" s="1276"/>
      <c r="AH14" s="1276"/>
      <c r="AI14" s="1276"/>
      <c r="AJ14" s="1279"/>
    </row>
    <row r="15" spans="1:36" ht="15">
      <c r="A15" s="1010"/>
      <c r="B15" s="1016"/>
      <c r="C15" s="1017"/>
      <c r="D15" s="1018"/>
      <c r="E15" s="1019"/>
      <c r="F15" s="1020" t="s">
        <v>3635</v>
      </c>
      <c r="G15" s="1021"/>
      <c r="H15" s="1022"/>
      <c r="I15" s="1182"/>
      <c r="J15" s="1183"/>
      <c r="K15" s="952"/>
      <c r="L15" s="952"/>
      <c r="M15" s="952"/>
      <c r="N15" s="952"/>
      <c r="O15" s="952"/>
      <c r="P15" s="952"/>
      <c r="Q15" s="952"/>
      <c r="R15" s="1255">
        <v>14</v>
      </c>
      <c r="S15" s="1258"/>
      <c r="T15" s="1257">
        <f t="shared" si="0"/>
        <v>0</v>
      </c>
      <c r="U15" s="1258"/>
      <c r="V15" s="1257">
        <f t="shared" si="1"/>
        <v>0</v>
      </c>
      <c r="W15" s="1256"/>
      <c r="X15" s="1256"/>
      <c r="Y15" s="1256"/>
      <c r="Z15" s="1256"/>
      <c r="AA15" s="1256"/>
      <c r="AB15" s="1256"/>
      <c r="AC15" s="1267"/>
      <c r="AD15" s="1276"/>
      <c r="AE15" s="1276"/>
      <c r="AF15" s="1276"/>
      <c r="AG15" s="1276"/>
      <c r="AH15" s="1276"/>
      <c r="AI15" s="1276"/>
      <c r="AJ15" s="1279"/>
    </row>
    <row r="16" spans="1:36" ht="15">
      <c r="A16" s="1010"/>
      <c r="B16" s="1023" t="s">
        <v>2957</v>
      </c>
      <c r="C16" s="1024">
        <v>1</v>
      </c>
      <c r="D16" s="1024">
        <v>1</v>
      </c>
      <c r="E16" s="1024">
        <v>1</v>
      </c>
      <c r="F16" s="1024">
        <v>1</v>
      </c>
      <c r="G16" s="1024">
        <v>1</v>
      </c>
      <c r="H16" s="1024">
        <v>1</v>
      </c>
      <c r="I16" s="1024">
        <v>1</v>
      </c>
      <c r="J16" s="1184">
        <v>1</v>
      </c>
      <c r="K16" s="952"/>
      <c r="L16" s="953"/>
      <c r="M16" s="953"/>
      <c r="N16" s="953"/>
      <c r="O16" s="953"/>
      <c r="P16" s="953"/>
      <c r="Q16" s="952"/>
      <c r="R16" s="1255">
        <v>15</v>
      </c>
      <c r="S16" s="1258"/>
      <c r="T16" s="1257">
        <f t="shared" si="0"/>
        <v>0</v>
      </c>
      <c r="U16" s="1258"/>
      <c r="V16" s="1257">
        <f t="shared" si="1"/>
        <v>0</v>
      </c>
      <c r="W16" s="1256"/>
      <c r="X16" s="1256"/>
      <c r="Y16" s="1256"/>
      <c r="Z16" s="1256"/>
      <c r="AA16" s="1256"/>
      <c r="AB16" s="1256"/>
      <c r="AC16" s="1267"/>
      <c r="AD16" s="1276"/>
      <c r="AE16" s="1276"/>
      <c r="AF16" s="1276"/>
      <c r="AG16" s="1276"/>
      <c r="AH16" s="1276"/>
      <c r="AI16" s="1276"/>
      <c r="AJ16" s="1279"/>
    </row>
    <row r="17" spans="1:37" ht="24">
      <c r="A17" s="1025" t="s">
        <v>3636</v>
      </c>
      <c r="B17" s="1026" t="s">
        <v>3637</v>
      </c>
      <c r="C17" s="1027">
        <f>ROUND(IF(OR(E2="工业",E2="公共服务"),1,IF(AND(E18=0,E19=0),1,IF(AND(E18=J24,E19=G19),0.8,IF(E19=0,1+E17*(-0.2),1+E17*G17*(-0.2))))),4)</f>
        <v>1</v>
      </c>
      <c r="D17" s="1028" t="s">
        <v>3638</v>
      </c>
      <c r="E17" s="1027">
        <f>ROUND(G18/I18,2)</f>
        <v>0</v>
      </c>
      <c r="F17" s="1028" t="s">
        <v>3639</v>
      </c>
      <c r="G17" s="1027" t="e">
        <f>ROUND(E19/G19,2)</f>
        <v>#DIV/0!</v>
      </c>
      <c r="H17" s="1027"/>
      <c r="I17" s="1027"/>
      <c r="J17" s="1185"/>
      <c r="K17" s="952"/>
      <c r="L17" s="953"/>
      <c r="M17" s="953"/>
      <c r="N17" s="953"/>
      <c r="O17" s="953"/>
      <c r="P17" s="953"/>
      <c r="Q17" s="952"/>
      <c r="R17" s="952"/>
      <c r="S17" s="952"/>
      <c r="T17" s="952"/>
      <c r="U17" s="952"/>
      <c r="V17" s="952"/>
      <c r="W17" s="952"/>
      <c r="X17" s="952"/>
      <c r="Y17" s="952"/>
      <c r="Z17" s="1127"/>
      <c r="AA17" s="1127"/>
      <c r="AB17" s="1127"/>
      <c r="AC17" s="1127"/>
      <c r="AD17" s="1127"/>
      <c r="AE17" s="952"/>
      <c r="AF17" s="952"/>
      <c r="AG17" s="953"/>
      <c r="AH17" s="953"/>
      <c r="AI17" s="953"/>
      <c r="AJ17" s="953"/>
    </row>
    <row r="18" spans="1:37" s="951" customFormat="1" ht="13.8">
      <c r="A18" s="1029"/>
      <c r="B18" s="1030"/>
      <c r="C18" s="1031"/>
      <c r="D18" s="1032" t="s">
        <v>3640</v>
      </c>
      <c r="E18" s="1033"/>
      <c r="F18" s="1034" t="s">
        <v>3641</v>
      </c>
      <c r="G18" s="1031">
        <f>ROUND(1-(1/(POWER(1+G24,E18))),4)</f>
        <v>0</v>
      </c>
      <c r="H18" s="1034" t="s">
        <v>3642</v>
      </c>
      <c r="I18" s="1031">
        <f>ROUND(1-(1/(POWER(1+G24,J24))),4)</f>
        <v>0.88249999999999995</v>
      </c>
      <c r="J18" s="1186"/>
      <c r="K18" s="952"/>
      <c r="L18" s="953"/>
      <c r="M18" s="953"/>
      <c r="N18" s="953"/>
      <c r="O18" s="953"/>
      <c r="P18" s="953"/>
      <c r="Q18" s="952"/>
      <c r="R18" s="1263"/>
      <c r="S18" s="1263"/>
      <c r="T18" s="1127"/>
      <c r="U18" s="1127"/>
      <c r="V18" s="1127"/>
      <c r="W18" s="952"/>
      <c r="X18" s="952"/>
      <c r="Y18" s="952"/>
      <c r="Z18" s="1194"/>
      <c r="AA18" s="1194"/>
      <c r="AB18" s="1194"/>
      <c r="AC18" s="1194"/>
      <c r="AD18" s="1194"/>
      <c r="AE18" s="1127"/>
      <c r="AF18" s="1127"/>
      <c r="AG18" s="1280"/>
      <c r="AH18" s="1280"/>
      <c r="AI18" s="1280"/>
      <c r="AJ18" s="1195"/>
    </row>
    <row r="19" spans="1:37" s="951" customFormat="1" ht="13.8">
      <c r="A19" s="1035"/>
      <c r="B19" s="1036"/>
      <c r="C19" s="1037"/>
      <c r="D19" s="1037" t="s">
        <v>3643</v>
      </c>
      <c r="E19" s="1038"/>
      <c r="F19" s="1039" t="s">
        <v>3644</v>
      </c>
      <c r="G19" s="1038"/>
      <c r="H19" s="1037"/>
      <c r="I19" s="1037"/>
      <c r="J19" s="1187"/>
      <c r="K19" s="952"/>
      <c r="L19" s="953"/>
      <c r="M19" s="953"/>
      <c r="N19" s="953"/>
      <c r="O19" s="953"/>
      <c r="P19" s="953"/>
      <c r="Q19" s="1263"/>
      <c r="R19" s="1263"/>
      <c r="S19" s="1263"/>
      <c r="T19" s="1127"/>
      <c r="U19" s="1127"/>
      <c r="V19" s="1127"/>
      <c r="W19" s="952"/>
      <c r="X19" s="952"/>
      <c r="Y19" s="952"/>
      <c r="Z19" s="1194"/>
      <c r="AA19" s="1194"/>
      <c r="AB19" s="1194"/>
      <c r="AC19" s="1194"/>
      <c r="AD19" s="1194"/>
      <c r="AE19" s="1194"/>
      <c r="AF19" s="1263"/>
      <c r="AG19" s="1281"/>
      <c r="AH19" s="1280"/>
      <c r="AI19" s="1282"/>
      <c r="AJ19" s="1282"/>
      <c r="AK19" s="1283"/>
    </row>
    <row r="20" spans="1:37" s="951" customFormat="1" ht="13.8">
      <c r="A20" s="3766" t="s">
        <v>3645</v>
      </c>
      <c r="B20" s="1040" t="s">
        <v>3646</v>
      </c>
      <c r="C20" s="1041">
        <f>ROUND(IF(F21="与级别开发程度一致",0,(G21-E21)/C21),0)</f>
        <v>0</v>
      </c>
      <c r="D20" s="1042" t="s">
        <v>3647</v>
      </c>
      <c r="E20" s="1043"/>
      <c r="F20" s="3762" t="s">
        <v>3648</v>
      </c>
      <c r="G20" s="3763"/>
      <c r="H20" s="1044"/>
      <c r="I20" s="1044"/>
      <c r="J20" s="1188"/>
      <c r="K20" s="1189"/>
      <c r="L20" s="1189"/>
      <c r="M20" s="1189"/>
      <c r="N20" s="1189"/>
      <c r="O20" s="1190"/>
      <c r="P20" s="953"/>
      <c r="Q20" s="1263"/>
      <c r="R20" s="1263"/>
      <c r="S20" s="1263"/>
      <c r="T20" s="1127"/>
      <c r="U20" s="1127"/>
      <c r="V20" s="1127"/>
      <c r="W20" s="952"/>
      <c r="X20" s="952"/>
      <c r="Y20" s="952"/>
      <c r="Z20" s="1194"/>
      <c r="AA20" s="1194"/>
      <c r="AB20" s="1194"/>
      <c r="AC20" s="1194"/>
      <c r="AD20" s="1194"/>
      <c r="AE20" s="1194"/>
      <c r="AF20" s="1194"/>
      <c r="AG20" s="1195"/>
      <c r="AH20" s="1195"/>
      <c r="AI20" s="1195"/>
      <c r="AJ20" s="1195"/>
    </row>
    <row r="21" spans="1:37" s="951" customFormat="1" ht="26.4">
      <c r="A21" s="3767"/>
      <c r="B21" s="1045" t="s">
        <v>3649</v>
      </c>
      <c r="C21" s="1046">
        <f>IF(E3="M4科研用地",SUMPRODUCT((修正!A2:A7=E3)*(修正!B1:M1=G2)*(修正!B2:M7)),SUMPRODUCT((修正!A2:A7=E2)*(修正!B1:M1=G2)*(修正!B2:M7)))</f>
        <v>2.5</v>
      </c>
      <c r="D21" s="1047" t="str">
        <f>IF(OR(G2="八级",G2="九级",G2="十级",G2="十一级",G2="十二级"),"五通一平","七通一平")</f>
        <v>七通一平</v>
      </c>
      <c r="E21" s="1048">
        <f>SUMPRODUCT((修正!B1:M1=G2)*(修正!B17:M17))</f>
        <v>315</v>
      </c>
      <c r="F21" s="1049" t="s">
        <v>3650</v>
      </c>
      <c r="G21" s="1050">
        <f>SUM(H21:O21)</f>
        <v>0</v>
      </c>
      <c r="H21" s="1046">
        <f>SUMPRODUCT((七通一平=H20)*(修正!B1:M1=G2)*(修正!B8:M16))</f>
        <v>0</v>
      </c>
      <c r="I21" s="1046">
        <f>SUMPRODUCT((七通一平=I20)*(修正!B1:M1=G2)*(修正!B8:M16))</f>
        <v>0</v>
      </c>
      <c r="J21" s="1191">
        <f>SUMPRODUCT((七通一平=J20)*(修正!B1:M1=G2)*(修正!B8:M16))</f>
        <v>0</v>
      </c>
      <c r="K21" s="1046">
        <f>SUMPRODUCT((七通一平=K20)*(修正!B1:M1=G2)*(修正!B8:M16))</f>
        <v>0</v>
      </c>
      <c r="L21" s="1046">
        <f>SUMPRODUCT((七通一平=L20)*(修正!B1:M1=G2)*(修正!B8:M16))</f>
        <v>0</v>
      </c>
      <c r="M21" s="1046">
        <f>SUMPRODUCT((七通一平=M20)*(修正!B1:M1=G2)*(修正!B8:M16))</f>
        <v>0</v>
      </c>
      <c r="N21" s="1046">
        <f>SUMPRODUCT((七通一平=N20)*(修正!B1:M1=G2)*(修正!B8:M16))</f>
        <v>0</v>
      </c>
      <c r="O21" s="1192">
        <f>SUMPRODUCT((七通一平=O20)*(修正!B1:M1=G2)*(修正!B8:M16))</f>
        <v>0</v>
      </c>
      <c r="P21" s="953"/>
      <c r="Q21" s="1195"/>
      <c r="R21" s="1263"/>
      <c r="S21" s="1263"/>
      <c r="T21" s="1127"/>
      <c r="U21" s="1127"/>
      <c r="V21" s="1127"/>
      <c r="W21" s="952"/>
      <c r="X21" s="952"/>
      <c r="Y21" s="952"/>
      <c r="Z21" s="1194"/>
      <c r="AA21" s="1194"/>
      <c r="AB21" s="1194"/>
      <c r="AC21" s="1194"/>
      <c r="AD21" s="1194"/>
      <c r="AE21" s="1194"/>
      <c r="AF21" s="1194"/>
      <c r="AG21" s="1195"/>
      <c r="AH21" s="1195"/>
      <c r="AI21" s="1195"/>
      <c r="AJ21" s="1195"/>
    </row>
    <row r="22" spans="1:37" s="951" customFormat="1" ht="14.4">
      <c r="A22" s="1051" t="s">
        <v>2777</v>
      </c>
      <c r="B22" s="1052" t="s">
        <v>3651</v>
      </c>
      <c r="C22" s="1053">
        <f>SUMIF(修正!C20:C51,E3,修正!E20:E51)</f>
        <v>0.8</v>
      </c>
      <c r="D22" s="1054"/>
      <c r="E22" s="1055"/>
      <c r="F22" s="1055"/>
      <c r="G22" s="1055"/>
      <c r="H22" s="1055"/>
      <c r="I22" s="1055"/>
      <c r="J22" s="1193"/>
      <c r="K22" s="1194"/>
      <c r="L22" s="1195"/>
      <c r="M22" s="1195"/>
      <c r="N22" s="1195"/>
      <c r="O22" s="1196"/>
      <c r="P22" s="1196"/>
      <c r="Q22" s="1195"/>
      <c r="R22" s="1263"/>
      <c r="S22" s="1263"/>
      <c r="T22" s="1127"/>
      <c r="U22" s="1127"/>
      <c r="V22" s="1127"/>
      <c r="W22" s="952"/>
      <c r="X22" s="952"/>
      <c r="Y22" s="952"/>
      <c r="Z22" s="1194"/>
      <c r="AA22" s="1194"/>
      <c r="AB22" s="1194"/>
      <c r="AC22" s="1194"/>
      <c r="AD22" s="1194"/>
      <c r="AE22" s="1194"/>
      <c r="AF22" s="1194"/>
      <c r="AG22" s="1195"/>
      <c r="AH22" s="1195"/>
      <c r="AI22" s="1195"/>
      <c r="AJ22" s="1195"/>
    </row>
    <row r="23" spans="1:37" ht="26.4">
      <c r="A23" s="1056" t="s">
        <v>2782</v>
      </c>
      <c r="B23" s="1057" t="s">
        <v>3652</v>
      </c>
      <c r="C23" s="10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059" t="s">
        <v>3653</v>
      </c>
      <c r="E23" s="1060">
        <v>44197</v>
      </c>
      <c r="F23" s="1059" t="s">
        <v>3654</v>
      </c>
      <c r="G23" s="1061">
        <f>'数据-取费表'!B2</f>
        <v>45311</v>
      </c>
      <c r="H23" s="1062" t="s">
        <v>3655</v>
      </c>
      <c r="I23" s="1197" t="str">
        <f>IF(H23="季度增幅（自定义）",SUMIF(N25:N28,E2,O25:O28),"")</f>
        <v/>
      </c>
      <c r="J23" s="1198" t="s">
        <v>3656</v>
      </c>
      <c r="K23" s="1194"/>
      <c r="L23" s="1199" t="s">
        <v>3657</v>
      </c>
      <c r="M23" s="1200">
        <f>ROUND(SUMIF(地价!B2:G2,E2,地价!B16:G16),0)</f>
        <v>350</v>
      </c>
      <c r="N23" s="1201" t="s">
        <v>3658</v>
      </c>
      <c r="O23" s="1202">
        <f>ROUNDDOWN(DATEDIF(E23,G23,"M")/3,0)</f>
        <v>12</v>
      </c>
      <c r="P23" s="1203"/>
      <c r="Q23" s="1195"/>
      <c r="R23" s="1263"/>
      <c r="S23" s="1263"/>
      <c r="T23" s="1127"/>
      <c r="U23" s="1127"/>
      <c r="V23" s="1127"/>
      <c r="W23" s="952"/>
      <c r="X23" s="952"/>
      <c r="Y23" s="952"/>
      <c r="Z23" s="1194"/>
      <c r="AA23" s="1194"/>
      <c r="AB23" s="1194"/>
      <c r="AC23" s="1194"/>
      <c r="AD23" s="1194"/>
      <c r="AE23" s="1127"/>
      <c r="AF23" s="1127"/>
      <c r="AG23" s="1280"/>
      <c r="AH23" s="1280"/>
      <c r="AI23" s="1280"/>
      <c r="AJ23" s="1280"/>
      <c r="AK23" s="954"/>
    </row>
    <row r="24" spans="1:37" s="951" customFormat="1" ht="24">
      <c r="A24" s="1063" t="s">
        <v>2785</v>
      </c>
      <c r="B24" s="1064" t="s">
        <v>3659</v>
      </c>
      <c r="C24" s="1065">
        <f>ROUND(POWER(1+G24,J24-I24)*(POWER(1+G24,I24)-1)/(POWER(1+G24,J24)-1),4)</f>
        <v>0.97140000000000004</v>
      </c>
      <c r="D24" s="1066" t="s">
        <v>3660</v>
      </c>
      <c r="E24" s="1067">
        <f>存贷款利率!E24/100</f>
        <v>4.3499999999999997E-2</v>
      </c>
      <c r="F24" s="1066" t="s">
        <v>3661</v>
      </c>
      <c r="G24" s="1068">
        <f>SUMIF(M30:Q30,E2,M33:Q33)</f>
        <v>5.5E-2</v>
      </c>
      <c r="H24" s="1066" t="s">
        <v>3662</v>
      </c>
      <c r="I24" s="1204">
        <f>SUMIF('数据-取费表'!C6:C15,E2,'数据-取费表'!F6:F15)/COUNTIF('数据-取费表'!C6:C15,E2)</f>
        <v>36.369999999999997</v>
      </c>
      <c r="J24" s="1205">
        <f>IF(E2="住宅",70,IF(E2="商业",40,50))</f>
        <v>40</v>
      </c>
      <c r="K24" s="1194"/>
      <c r="L24" s="1206" t="s">
        <v>3663</v>
      </c>
      <c r="M24" s="1207">
        <f>ROUND(SUMPRODUCT((地价!A4:A16=YEAR(G23)&amp;"-"&amp;ROUNDUP(MONTH(G23)/3,0))*(地价!B2:G2=E2)*(地价!B4:G16)),0)</f>
        <v>0</v>
      </c>
      <c r="N24" s="1208" t="s">
        <v>3664</v>
      </c>
      <c r="O24" s="1209" t="s">
        <v>3665</v>
      </c>
      <c r="P24" s="1210" t="s">
        <v>3666</v>
      </c>
      <c r="Q24" s="953"/>
      <c r="R24" s="1263"/>
      <c r="S24" s="1263"/>
      <c r="T24" s="1127"/>
      <c r="U24" s="1127"/>
      <c r="V24" s="1127"/>
      <c r="W24" s="952"/>
      <c r="X24" s="952"/>
      <c r="Y24" s="952"/>
      <c r="Z24" s="1194"/>
      <c r="AA24" s="1194"/>
      <c r="AB24" s="1194"/>
      <c r="AC24" s="1194"/>
      <c r="AD24" s="1194"/>
      <c r="AE24" s="1194"/>
      <c r="AF24" s="1194"/>
      <c r="AG24" s="1195"/>
      <c r="AH24" s="1195"/>
      <c r="AI24" s="1195"/>
      <c r="AJ24" s="1195"/>
    </row>
    <row r="25" spans="1:37" ht="14.4">
      <c r="A25" s="1069" t="s">
        <v>2807</v>
      </c>
      <c r="B25" s="1070" t="s">
        <v>3667</v>
      </c>
      <c r="C25" s="1071">
        <f>IF(B25="容积率修正",IF(G3&lt;10,D26,J26),C27)</f>
        <v>0.98260000000000003</v>
      </c>
      <c r="D25" s="1072"/>
      <c r="E25" s="1072"/>
      <c r="F25" s="1072"/>
      <c r="G25" s="1072"/>
      <c r="H25" s="1072"/>
      <c r="I25" s="1072"/>
      <c r="J25" s="1211"/>
      <c r="K25" s="1194"/>
      <c r="L25" s="1195"/>
      <c r="M25" s="1195"/>
      <c r="N25" s="1212" t="s">
        <v>3668</v>
      </c>
      <c r="O25" s="1213"/>
      <c r="P25" s="1214">
        <f>SUMPRODUCT((地价!A3:A40=YEAR(G23)&amp;"-"&amp;ROUNDUP(MONTH(G23)/3,0))*(地价!AD2:AH2=N25)*(地价!AD3:AH40))</f>
        <v>0</v>
      </c>
      <c r="Q25" s="1195"/>
      <c r="R25" s="1263"/>
      <c r="S25" s="1263"/>
      <c r="T25" s="1127"/>
      <c r="U25" s="1127"/>
      <c r="V25" s="1127"/>
      <c r="W25" s="952"/>
      <c r="X25" s="952"/>
      <c r="Y25" s="952"/>
      <c r="Z25" s="1194"/>
      <c r="AA25" s="1194"/>
      <c r="AB25" s="1194"/>
      <c r="AC25" s="1194"/>
      <c r="AD25" s="1194"/>
      <c r="AE25" s="1127"/>
      <c r="AF25" s="1127"/>
      <c r="AG25" s="1280"/>
      <c r="AH25" s="1280"/>
      <c r="AI25" s="1280"/>
      <c r="AJ25" s="1280"/>
    </row>
    <row r="26" spans="1:37" ht="14.4">
      <c r="A26" s="1073" t="s">
        <v>3669</v>
      </c>
      <c r="B26" s="1074" t="s">
        <v>3670</v>
      </c>
      <c r="C26" s="1075" t="s">
        <v>3671</v>
      </c>
      <c r="D26" s="1076">
        <f>IF(E26=G26,F26,IF(G3&lt;10,ROUND(F26+(H26-F26)*(G3-E26)/(G26-E26),4),"——"))</f>
        <v>0.98260000000000003</v>
      </c>
      <c r="E26" s="966">
        <f>ROUNDDOWN(G3,1)</f>
        <v>2.8</v>
      </c>
      <c r="F26" s="107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0.98260000000000003</v>
      </c>
      <c r="G26" s="966">
        <f>ROUNDUP(G3,1)</f>
        <v>2.8</v>
      </c>
      <c r="H26" s="107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0.98260000000000003</v>
      </c>
      <c r="I26" s="1075" t="s">
        <v>3672</v>
      </c>
      <c r="J26" s="1215" t="str">
        <f>IF(G3&gt;=10,D115,"——")</f>
        <v>——</v>
      </c>
      <c r="K26" s="1194"/>
      <c r="L26" s="1195"/>
      <c r="M26" s="1195"/>
      <c r="N26" s="1212" t="s">
        <v>3673</v>
      </c>
      <c r="O26" s="1213"/>
      <c r="P26" s="1214">
        <f>SUMPRODUCT((地价!A3:A40=YEAR(G23)&amp;"-"&amp;ROUNDUP(MONTH(G23)/3,0))*(地价!AD2:AH2=N26)*(地价!AD3:AH40))</f>
        <v>0</v>
      </c>
      <c r="Q26" s="953"/>
      <c r="R26" s="1263"/>
      <c r="S26" s="1263"/>
      <c r="T26" s="1127"/>
      <c r="U26" s="1127"/>
      <c r="V26" s="1127"/>
      <c r="W26" s="952"/>
      <c r="X26" s="952"/>
      <c r="Y26" s="952"/>
      <c r="Z26" s="1194"/>
      <c r="AA26" s="1194"/>
      <c r="AB26" s="1194"/>
      <c r="AC26" s="1194"/>
      <c r="AD26" s="1194"/>
      <c r="AE26" s="1127"/>
      <c r="AF26" s="1127"/>
      <c r="AG26" s="1280"/>
      <c r="AH26" s="1280"/>
      <c r="AI26" s="1280"/>
      <c r="AJ26" s="1280"/>
    </row>
    <row r="27" spans="1:37" ht="14.4">
      <c r="A27" s="1073" t="s">
        <v>3674</v>
      </c>
      <c r="B27" s="1077" t="s">
        <v>3675</v>
      </c>
      <c r="C27" s="1078">
        <f>ROUND(IF(I3&lt;6,SUMPRODUCT((B106:B110=I3)*(C105:N105=G2)*(C106:N110)),SUMIF(C105:N105,G2,C112:N112)),4)</f>
        <v>0</v>
      </c>
      <c r="D27" s="1079"/>
      <c r="E27" s="1079"/>
      <c r="F27" s="1080"/>
      <c r="G27" s="1081"/>
      <c r="H27" s="1082"/>
      <c r="I27" s="1216"/>
      <c r="J27" s="1217"/>
      <c r="K27" s="952"/>
      <c r="L27" s="953"/>
      <c r="M27" s="953"/>
      <c r="N27" s="1212" t="s">
        <v>3676</v>
      </c>
      <c r="O27" s="1213"/>
      <c r="P27" s="1214">
        <f>SUMPRODUCT((地价!A3:A40=YEAR(G23)&amp;"-"&amp;ROUNDUP(MONTH(G23)/3,0))*(地价!AD2:AH2=N27)*(地价!AD3:AH40))</f>
        <v>0</v>
      </c>
      <c r="Q27" s="953"/>
      <c r="R27" s="1263"/>
      <c r="S27" s="1263"/>
      <c r="T27" s="1127"/>
      <c r="U27" s="1127"/>
      <c r="V27" s="1127"/>
      <c r="W27" s="952"/>
      <c r="X27" s="952"/>
      <c r="Y27" s="952"/>
      <c r="Z27" s="1194"/>
      <c r="AA27" s="1194"/>
      <c r="AB27" s="1194"/>
      <c r="AC27" s="1194"/>
      <c r="AD27" s="1194"/>
      <c r="AE27" s="1127"/>
      <c r="AF27" s="1127"/>
      <c r="AG27" s="1280"/>
      <c r="AH27" s="1280"/>
      <c r="AI27" s="1280"/>
      <c r="AJ27" s="1280"/>
    </row>
    <row r="28" spans="1:37" ht="14.4">
      <c r="A28" s="1063" t="s">
        <v>3677</v>
      </c>
      <c r="B28" s="1057" t="s">
        <v>3678</v>
      </c>
      <c r="C28" s="1058">
        <f>SUMIF(A47:A101,E2,B47:B101)</f>
        <v>1.0158</v>
      </c>
      <c r="D28" s="1083"/>
      <c r="E28" s="1084"/>
      <c r="F28" s="1084"/>
      <c r="G28" s="1084"/>
      <c r="H28" s="1084"/>
      <c r="I28" s="1084"/>
      <c r="J28" s="1218"/>
      <c r="K28" s="1194"/>
      <c r="L28" s="1195"/>
      <c r="M28" s="1195"/>
      <c r="N28" s="1219" t="s">
        <v>3679</v>
      </c>
      <c r="O28" s="1220"/>
      <c r="P28" s="1221">
        <f>SUMPRODUCT((地价!A3:A40=YEAR(G23)&amp;"-"&amp;ROUNDUP(MONTH(G23)/3,0))*(地价!AD2:AH2=N28)*(地价!AD3:AH40))</f>
        <v>0</v>
      </c>
      <c r="Q28" s="1263"/>
      <c r="R28" s="1263"/>
      <c r="S28" s="1263"/>
      <c r="T28" s="1127"/>
      <c r="U28" s="1127"/>
      <c r="V28" s="1127"/>
      <c r="W28" s="952"/>
      <c r="X28" s="952"/>
      <c r="Y28" s="952"/>
      <c r="Z28" s="1194"/>
      <c r="AA28" s="1194"/>
      <c r="AB28" s="1194"/>
      <c r="AC28" s="1194"/>
      <c r="AD28" s="1194"/>
      <c r="AE28" s="1127"/>
      <c r="AF28" s="1127"/>
      <c r="AG28" s="1280"/>
      <c r="AH28" s="1280"/>
      <c r="AI28" s="1280"/>
      <c r="AJ28" s="1280"/>
    </row>
    <row r="29" spans="1:37" ht="14.4">
      <c r="A29" s="1063" t="s">
        <v>3680</v>
      </c>
      <c r="B29" s="1085" t="s">
        <v>3681</v>
      </c>
      <c r="C29" s="1086"/>
      <c r="D29" s="986"/>
      <c r="E29" s="986"/>
      <c r="F29" s="1087"/>
      <c r="G29" s="986"/>
      <c r="H29" s="986"/>
      <c r="I29" s="986"/>
      <c r="J29" s="1172"/>
      <c r="K29" s="952"/>
      <c r="L29" s="953"/>
      <c r="M29" s="953"/>
      <c r="N29" s="1222" t="s">
        <v>3682</v>
      </c>
      <c r="O29" s="1223"/>
      <c r="P29" s="1224">
        <f>SUMPRODUCT((地价!A3:A40=YEAR(G23)&amp;"-"&amp;ROUNDUP(MONTH(G23)/3,0))*(地价!AD2:AH2=N29)*(地价!AD3:AH40))</f>
        <v>0</v>
      </c>
      <c r="Q29" s="1263"/>
      <c r="R29" s="1263"/>
      <c r="S29" s="1263"/>
      <c r="T29" s="1127"/>
      <c r="U29" s="1127"/>
      <c r="V29" s="1127"/>
      <c r="W29" s="952"/>
      <c r="X29" s="952"/>
      <c r="Y29" s="952"/>
      <c r="Z29" s="1194"/>
      <c r="AA29" s="1194"/>
      <c r="AB29" s="1194"/>
      <c r="AC29" s="1194"/>
      <c r="AD29" s="1194"/>
      <c r="AE29" s="952"/>
      <c r="AF29" s="952"/>
      <c r="AG29" s="953"/>
      <c r="AH29" s="953"/>
      <c r="AI29" s="953"/>
      <c r="AJ29" s="953"/>
    </row>
    <row r="30" spans="1:37" ht="14.4">
      <c r="A30" s="1088"/>
      <c r="B30" s="1074" t="s">
        <v>3683</v>
      </c>
      <c r="C30" s="1089">
        <f>IF(B25="容积率修正",E33+SUM(E37:E42),SUM(V2:V16)+SUM(E37:E42))</f>
        <v>923</v>
      </c>
      <c r="D30" s="1090"/>
      <c r="E30" s="1079"/>
      <c r="F30" s="1091"/>
      <c r="G30" s="1079"/>
      <c r="H30" s="1079"/>
      <c r="I30" s="1079"/>
      <c r="J30" s="1225"/>
      <c r="K30" s="952"/>
      <c r="L30" s="1226" t="s">
        <v>3570</v>
      </c>
      <c r="M30" s="1227" t="s">
        <v>3684</v>
      </c>
      <c r="N30" s="1227" t="s">
        <v>3685</v>
      </c>
      <c r="O30" s="1227" t="s">
        <v>3686</v>
      </c>
      <c r="P30" s="1227" t="s">
        <v>3687</v>
      </c>
      <c r="Q30" s="1264" t="s">
        <v>280</v>
      </c>
      <c r="R30" s="1263"/>
      <c r="S30" s="1263"/>
      <c r="T30" s="1127"/>
      <c r="U30" s="1127"/>
      <c r="V30" s="1127"/>
      <c r="W30" s="952"/>
      <c r="X30" s="952"/>
      <c r="Y30" s="952"/>
      <c r="Z30" s="1194"/>
      <c r="AA30" s="1194"/>
      <c r="AB30" s="1194"/>
      <c r="AC30" s="1194"/>
      <c r="AD30" s="1194"/>
      <c r="AE30" s="952"/>
      <c r="AF30" s="952"/>
      <c r="AG30" s="953"/>
      <c r="AH30" s="953"/>
      <c r="AI30" s="953"/>
      <c r="AJ30" s="953"/>
    </row>
    <row r="31" spans="1:37" ht="14.4">
      <c r="A31" s="1088"/>
      <c r="B31" s="1092" t="s">
        <v>3688</v>
      </c>
      <c r="C31" s="1093">
        <f>E34+SUM(I37:I42)</f>
        <v>231</v>
      </c>
      <c r="D31" s="1094"/>
      <c r="E31" s="1095"/>
      <c r="F31" s="1096"/>
      <c r="G31" s="1095"/>
      <c r="H31" s="1095"/>
      <c r="I31" s="1095"/>
      <c r="J31" s="1228"/>
      <c r="K31" s="952"/>
      <c r="L31" s="1229" t="s">
        <v>3689</v>
      </c>
      <c r="M31" s="961">
        <v>0.25</v>
      </c>
      <c r="N31" s="961">
        <v>0.2</v>
      </c>
      <c r="O31" s="961">
        <v>0.15</v>
      </c>
      <c r="P31" s="961">
        <v>0.1</v>
      </c>
      <c r="Q31" s="1265">
        <v>0.15</v>
      </c>
      <c r="R31" s="1263"/>
      <c r="S31" s="1263"/>
      <c r="T31" s="1127"/>
      <c r="U31" s="1127"/>
      <c r="V31" s="1127"/>
      <c r="W31" s="952"/>
      <c r="X31" s="952"/>
      <c r="Y31" s="952"/>
      <c r="Z31" s="1194"/>
      <c r="AA31" s="1194"/>
      <c r="AB31" s="1194"/>
      <c r="AC31" s="1194"/>
      <c r="AD31" s="1194"/>
      <c r="AE31" s="952"/>
      <c r="AF31" s="952"/>
      <c r="AG31" s="953"/>
      <c r="AH31" s="953"/>
      <c r="AI31" s="953"/>
      <c r="AJ31" s="953"/>
    </row>
    <row r="32" spans="1:37" ht="14.4">
      <c r="A32" s="1097"/>
      <c r="B32" s="1098" t="s">
        <v>3690</v>
      </c>
      <c r="C32" s="1099" t="s">
        <v>3691</v>
      </c>
      <c r="D32" s="1099" t="s">
        <v>565</v>
      </c>
      <c r="E32" s="1100" t="s">
        <v>3692</v>
      </c>
      <c r="F32" s="1101"/>
      <c r="G32" s="1009"/>
      <c r="H32" s="1009"/>
      <c r="I32" s="1009"/>
      <c r="J32" s="1178"/>
      <c r="K32" s="952"/>
      <c r="L32" s="1230" t="s">
        <v>3661</v>
      </c>
      <c r="M32" s="1231">
        <f>ROUND($E$24*(1+M31),3)</f>
        <v>5.3999999999999999E-2</v>
      </c>
      <c r="N32" s="1231">
        <f>ROUND($E$24*(1+N31),3)</f>
        <v>5.1999999999999998E-2</v>
      </c>
      <c r="O32" s="1231">
        <f>ROUND($E$24*(1+O31),3)</f>
        <v>0.05</v>
      </c>
      <c r="P32" s="1231">
        <f>ROUND($E$24*(1+P31),3)</f>
        <v>4.8000000000000001E-2</v>
      </c>
      <c r="Q32" s="1266">
        <f>ROUND($E$24*(1+Q31),3)</f>
        <v>0.05</v>
      </c>
      <c r="R32" s="1263"/>
      <c r="S32" s="1263"/>
      <c r="T32" s="1127"/>
      <c r="U32" s="1127"/>
      <c r="V32" s="1127"/>
      <c r="W32" s="952"/>
      <c r="X32" s="952"/>
      <c r="Y32" s="952"/>
      <c r="Z32" s="1194"/>
      <c r="AA32" s="1194"/>
      <c r="AB32" s="1194"/>
      <c r="AC32" s="1194"/>
      <c r="AD32" s="1194"/>
      <c r="AE32" s="952"/>
      <c r="AF32" s="952"/>
      <c r="AG32" s="953"/>
      <c r="AH32" s="953"/>
      <c r="AI32" s="953"/>
      <c r="AJ32" s="953"/>
    </row>
    <row r="33" spans="1:37" ht="13.8">
      <c r="A33" s="1102"/>
      <c r="B33" s="1103" t="s">
        <v>3693</v>
      </c>
      <c r="C33" s="1104">
        <f>ROUND(C5*C22*C23*C24*C25*C28,0)</f>
        <v>14999</v>
      </c>
      <c r="D33" s="1105"/>
      <c r="E33" s="1106">
        <f t="shared" ref="E33:E42" si="5">ROUND(C33*D33/10000,0)</f>
        <v>0</v>
      </c>
      <c r="F33" s="1107" t="s">
        <v>3694</v>
      </c>
      <c r="G33" s="1108"/>
      <c r="H33" s="1108"/>
      <c r="I33" s="1108"/>
      <c r="J33" s="1232"/>
      <c r="K33" s="952"/>
      <c r="L33" s="1233" t="s">
        <v>3695</v>
      </c>
      <c r="M33" s="1234">
        <v>5.5E-2</v>
      </c>
      <c r="N33" s="1234">
        <v>5.5E-2</v>
      </c>
      <c r="O33" s="1234">
        <v>0.05</v>
      </c>
      <c r="P33" s="1234">
        <v>0.05</v>
      </c>
      <c r="Q33" s="1234">
        <v>0.05</v>
      </c>
      <c r="R33" s="1263"/>
      <c r="S33" s="1263"/>
      <c r="T33" s="1127"/>
      <c r="U33" s="1127"/>
      <c r="V33" s="1127"/>
      <c r="W33" s="952"/>
      <c r="X33" s="952"/>
      <c r="Y33" s="952"/>
      <c r="Z33" s="1194"/>
      <c r="AA33" s="1194"/>
      <c r="AB33" s="1194"/>
      <c r="AC33" s="1194"/>
      <c r="AD33" s="1194"/>
      <c r="AE33" s="1127"/>
      <c r="AF33" s="1127"/>
      <c r="AG33" s="1280"/>
      <c r="AH33" s="1280"/>
      <c r="AI33" s="1280"/>
      <c r="AJ33" s="1280"/>
    </row>
    <row r="34" spans="1:37" ht="25.2">
      <c r="A34" s="1109"/>
      <c r="B34" s="1110" t="s">
        <v>3696</v>
      </c>
      <c r="C34" s="1047">
        <f>ROUND(IF(E2="工业",C33*M42,IF(B25="楼层修正",SUM(V2:V16)*M41*10000/D34,C33*M41)),0)</f>
        <v>3750</v>
      </c>
      <c r="D34" s="1111"/>
      <c r="E34" s="1106">
        <f>ROUND(IF(B25="楼层修正",SUM(V2:V16)*M40,C34*D34/10000),0)</f>
        <v>0</v>
      </c>
      <c r="F34" s="1112" t="s">
        <v>3697</v>
      </c>
      <c r="G34" s="1113"/>
      <c r="H34" s="1113"/>
      <c r="I34" s="1113"/>
      <c r="J34" s="1235"/>
      <c r="K34" s="952"/>
      <c r="L34" s="1233" t="s">
        <v>3698</v>
      </c>
      <c r="M34" s="1234">
        <v>6.5000000000000002E-2</v>
      </c>
      <c r="N34" s="1234">
        <v>6.5000000000000002E-2</v>
      </c>
      <c r="O34" s="1234">
        <v>0.06</v>
      </c>
      <c r="P34" s="1234">
        <v>0.06</v>
      </c>
      <c r="Q34" s="1234">
        <v>0.06</v>
      </c>
      <c r="R34" s="1263"/>
      <c r="S34" s="1263"/>
      <c r="T34" s="1127"/>
      <c r="U34" s="1127"/>
      <c r="V34" s="1127"/>
      <c r="W34" s="952"/>
      <c r="X34" s="952"/>
      <c r="Y34" s="952"/>
      <c r="Z34" s="1194"/>
      <c r="AA34" s="1194"/>
      <c r="AB34" s="1194"/>
      <c r="AC34" s="1194"/>
      <c r="AD34" s="1194"/>
      <c r="AE34" s="1127"/>
      <c r="AF34" s="1127"/>
      <c r="AG34" s="1280"/>
      <c r="AH34" s="1280"/>
      <c r="AI34" s="1280"/>
      <c r="AJ34" s="1280"/>
    </row>
    <row r="35" spans="1:37">
      <c r="A35" s="1114"/>
      <c r="B35" s="1115" t="s">
        <v>3699</v>
      </c>
      <c r="C35" s="1116" t="s">
        <v>3700</v>
      </c>
      <c r="D35" s="1009"/>
      <c r="E35" s="1117"/>
      <c r="F35" s="1117"/>
      <c r="G35" s="1007" t="s">
        <v>3697</v>
      </c>
      <c r="H35" s="1009"/>
      <c r="I35" s="1236"/>
      <c r="J35" s="1178"/>
      <c r="K35" s="952"/>
      <c r="L35" s="952"/>
      <c r="M35" s="952"/>
      <c r="N35" s="952"/>
      <c r="O35" s="1196"/>
      <c r="P35" s="1196"/>
      <c r="Q35" s="1263"/>
      <c r="R35" s="952"/>
      <c r="S35" s="952"/>
      <c r="T35" s="952"/>
      <c r="U35" s="952"/>
      <c r="V35" s="952"/>
      <c r="W35" s="952"/>
      <c r="X35" s="952"/>
      <c r="Y35" s="952"/>
      <c r="Z35" s="1127"/>
      <c r="AA35" s="1127"/>
      <c r="AB35" s="1127"/>
      <c r="AC35" s="1127"/>
      <c r="AD35" s="1127"/>
      <c r="AE35" s="1127"/>
      <c r="AF35" s="1127"/>
      <c r="AG35" s="1280"/>
      <c r="AH35" s="1280"/>
      <c r="AI35" s="1280"/>
      <c r="AJ35" s="1280"/>
    </row>
    <row r="36" spans="1:37" ht="36">
      <c r="A36" s="1102"/>
      <c r="B36" s="1118"/>
      <c r="C36" s="1119" t="s">
        <v>3691</v>
      </c>
      <c r="D36" s="1120" t="s">
        <v>565</v>
      </c>
      <c r="E36" s="1120" t="s">
        <v>3692</v>
      </c>
      <c r="F36" s="944" t="s">
        <v>3701</v>
      </c>
      <c r="G36" s="1121" t="s">
        <v>3691</v>
      </c>
      <c r="H36" s="1121" t="s">
        <v>565</v>
      </c>
      <c r="I36" s="1121" t="s">
        <v>3692</v>
      </c>
      <c r="J36" s="428"/>
      <c r="K36" s="1237" t="s">
        <v>3702</v>
      </c>
      <c r="L36" s="1238">
        <f ca="1">'数据-取费表'!B40</f>
        <v>3.4500000000000003E-2</v>
      </c>
      <c r="M36" s="1239">
        <f t="shared" ref="M36:Q36" ca="1" si="6">ROUND($L$36*(1+M31),3)</f>
        <v>4.2999999999999997E-2</v>
      </c>
      <c r="N36" s="1239">
        <f t="shared" ca="1" si="6"/>
        <v>4.1000000000000002E-2</v>
      </c>
      <c r="O36" s="1239">
        <f t="shared" ca="1" si="6"/>
        <v>0.04</v>
      </c>
      <c r="P36" s="1239">
        <f t="shared" ca="1" si="6"/>
        <v>3.7999999999999999E-2</v>
      </c>
      <c r="Q36" s="1239">
        <f t="shared" ca="1" si="6"/>
        <v>0.04</v>
      </c>
      <c r="R36" s="952"/>
      <c r="S36" s="952"/>
      <c r="T36" s="952"/>
      <c r="U36" s="952"/>
      <c r="V36" s="952"/>
      <c r="W36" s="952"/>
      <c r="X36" s="952"/>
      <c r="Y36" s="952"/>
      <c r="Z36" s="1127"/>
      <c r="AA36" s="1127"/>
      <c r="AB36" s="1127"/>
      <c r="AC36" s="1127"/>
      <c r="AD36" s="1127"/>
      <c r="AE36" s="1127"/>
      <c r="AF36" s="1127"/>
      <c r="AG36" s="1280"/>
      <c r="AH36" s="1280"/>
      <c r="AI36" s="1280"/>
      <c r="AJ36" s="1280"/>
    </row>
    <row r="37" spans="1:37" ht="24">
      <c r="A37" s="3768"/>
      <c r="B37" s="1122" t="s">
        <v>3703</v>
      </c>
      <c r="C37" s="1104">
        <f>ROUND(D5*C22*C23*C24*C28*F37,0)</f>
        <v>9159</v>
      </c>
      <c r="D37" s="1105">
        <f>最新商业清单!K2</f>
        <v>1008.26</v>
      </c>
      <c r="E37" s="994">
        <f t="shared" si="5"/>
        <v>923</v>
      </c>
      <c r="F37" s="994">
        <f>SUMIF(修正!A57:A68,G2,修正!B57:B68)</f>
        <v>0.6</v>
      </c>
      <c r="G37" s="994">
        <f>ROUND(IF(E2="工业",C37*$M$42,C37*$M$41),0)</f>
        <v>2290</v>
      </c>
      <c r="H37" s="994">
        <f t="shared" ref="H37:H42" si="7">D37</f>
        <v>1008.26</v>
      </c>
      <c r="I37" s="994">
        <f t="shared" ref="I37:I42" si="8">ROUND(G37*H37/10000,0)</f>
        <v>231</v>
      </c>
      <c r="J37" s="1240"/>
      <c r="K37" s="1241" t="s">
        <v>3704</v>
      </c>
      <c r="L37" s="1237">
        <f ca="1">L36+K38</f>
        <v>3.95E-2</v>
      </c>
      <c r="M37" s="1239">
        <f t="shared" ref="M37:Q37" ca="1" si="9">ROUND($L$37*(1+M31),3)</f>
        <v>4.9000000000000002E-2</v>
      </c>
      <c r="N37" s="1239">
        <f t="shared" ca="1" si="9"/>
        <v>4.7E-2</v>
      </c>
      <c r="O37" s="1239">
        <f t="shared" ca="1" si="9"/>
        <v>4.4999999999999998E-2</v>
      </c>
      <c r="P37" s="1239">
        <f t="shared" ca="1" si="9"/>
        <v>4.2999999999999997E-2</v>
      </c>
      <c r="Q37" s="1239">
        <f t="shared" ca="1" si="9"/>
        <v>4.4999999999999998E-2</v>
      </c>
      <c r="R37" s="952"/>
      <c r="S37" s="952"/>
      <c r="T37" s="952"/>
      <c r="U37" s="952"/>
      <c r="V37" s="952"/>
      <c r="W37" s="952"/>
      <c r="X37" s="952"/>
      <c r="Y37" s="952"/>
      <c r="Z37" s="1127"/>
      <c r="AA37" s="1127"/>
      <c r="AB37" s="1127"/>
      <c r="AC37" s="1127"/>
      <c r="AD37" s="1127"/>
      <c r="AE37" s="1127"/>
      <c r="AF37" s="1127"/>
      <c r="AG37" s="1280"/>
      <c r="AH37" s="1280"/>
      <c r="AI37" s="1280"/>
      <c r="AJ37" s="1280"/>
    </row>
    <row r="38" spans="1:37">
      <c r="A38" s="3769"/>
      <c r="B38" s="1012" t="s">
        <v>3705</v>
      </c>
      <c r="C38" s="1104">
        <f>ROUND(D5*C22*C23*C24*C28*F38,0)</f>
        <v>4579</v>
      </c>
      <c r="D38" s="1105"/>
      <c r="E38" s="994">
        <f t="shared" si="5"/>
        <v>0</v>
      </c>
      <c r="F38" s="994">
        <f>SUMIF(修正!A57:A68,G2,修正!C57:C68)</f>
        <v>0.3</v>
      </c>
      <c r="G38" s="994">
        <f>ROUND(IF(E2="工业",C38*$M$42,C38*$M$41),0)</f>
        <v>1145</v>
      </c>
      <c r="H38" s="994">
        <f t="shared" si="7"/>
        <v>0</v>
      </c>
      <c r="I38" s="994">
        <f t="shared" si="8"/>
        <v>0</v>
      </c>
      <c r="J38" s="1123"/>
      <c r="K38" s="1237">
        <v>5.0000000000000001E-3</v>
      </c>
      <c r="L38" s="1237"/>
      <c r="M38" s="1237"/>
      <c r="N38" s="1237"/>
      <c r="O38" s="1237"/>
      <c r="P38" s="1237"/>
      <c r="Q38" s="1237"/>
      <c r="R38" s="952"/>
      <c r="S38" s="952"/>
      <c r="T38" s="952"/>
      <c r="U38" s="952"/>
      <c r="V38" s="952"/>
      <c r="W38" s="952"/>
      <c r="X38" s="952"/>
      <c r="Y38" s="952"/>
      <c r="Z38" s="1127"/>
      <c r="AA38" s="1127"/>
      <c r="AB38" s="1127"/>
      <c r="AC38" s="1127"/>
      <c r="AD38" s="1127"/>
    </row>
    <row r="39" spans="1:37">
      <c r="A39" s="3769"/>
      <c r="B39" s="1012" t="s">
        <v>3706</v>
      </c>
      <c r="C39" s="1104">
        <f>ROUND(D5*C22*C23*C24*C28*F39,0)</f>
        <v>3816</v>
      </c>
      <c r="D39" s="1105"/>
      <c r="E39" s="994">
        <f t="shared" si="5"/>
        <v>0</v>
      </c>
      <c r="F39" s="994">
        <f>SUMIF(修正!A57:A68,G2,修正!D57:D68)</f>
        <v>0.25</v>
      </c>
      <c r="G39" s="994">
        <f>ROUND(IF(E2="工业",C39*$M$42,C39*$M$41),0)</f>
        <v>954</v>
      </c>
      <c r="H39" s="994">
        <f t="shared" si="7"/>
        <v>0</v>
      </c>
      <c r="I39" s="994">
        <f t="shared" si="8"/>
        <v>0</v>
      </c>
      <c r="J39" s="1123"/>
      <c r="K39" s="952"/>
      <c r="L39" s="952"/>
      <c r="M39" s="952"/>
      <c r="N39" s="952"/>
      <c r="O39" s="952"/>
      <c r="P39" s="952"/>
      <c r="Q39" s="952"/>
      <c r="R39" s="952"/>
      <c r="S39" s="952"/>
      <c r="T39" s="952"/>
      <c r="U39" s="952"/>
      <c r="V39" s="952"/>
      <c r="W39" s="952"/>
      <c r="X39" s="952"/>
      <c r="Y39" s="952"/>
      <c r="Z39" s="1127"/>
      <c r="AA39" s="1127"/>
      <c r="AB39" s="1127"/>
      <c r="AC39" s="1127"/>
      <c r="AD39" s="1127"/>
    </row>
    <row r="40" spans="1:37" s="952" customFormat="1">
      <c r="A40" s="1124"/>
      <c r="B40" s="1012" t="s">
        <v>3707</v>
      </c>
      <c r="C40" s="994">
        <f>ROUND(D5*C22*C23*C24*C28*F40,0)</f>
        <v>3816</v>
      </c>
      <c r="D40" s="1105"/>
      <c r="E40" s="994">
        <f t="shared" si="5"/>
        <v>0</v>
      </c>
      <c r="F40" s="1104">
        <f>SUMIF(修正!A57:A68,G2,修正!E57:E68)</f>
        <v>0.25</v>
      </c>
      <c r="G40" s="994">
        <f>ROUND(IF(E2="工业",C40*$M$42,C40*$M$41),0)</f>
        <v>954</v>
      </c>
      <c r="H40" s="994">
        <f t="shared" si="7"/>
        <v>0</v>
      </c>
      <c r="I40" s="994">
        <f t="shared" si="8"/>
        <v>0</v>
      </c>
      <c r="J40" s="1242"/>
      <c r="L40" s="1243" t="s">
        <v>3708</v>
      </c>
      <c r="M40" s="1244"/>
      <c r="Z40" s="1127"/>
      <c r="AA40" s="1127"/>
      <c r="AB40" s="1127"/>
      <c r="AC40" s="1127"/>
      <c r="AD40" s="1127"/>
      <c r="AE40" s="1127"/>
      <c r="AF40" s="1127"/>
      <c r="AG40" s="1127"/>
      <c r="AH40" s="1127"/>
      <c r="AI40" s="1127"/>
      <c r="AJ40" s="1127"/>
    </row>
    <row r="41" spans="1:37" s="952" customFormat="1">
      <c r="A41" s="1124"/>
      <c r="B41" s="1012" t="s">
        <v>3709</v>
      </c>
      <c r="C41" s="994">
        <f>ROUND(D5*C22*C23*C44*C28*F41,0)</f>
        <v>3867</v>
      </c>
      <c r="D41" s="1105"/>
      <c r="E41" s="994">
        <f t="shared" si="5"/>
        <v>0</v>
      </c>
      <c r="F41" s="1104">
        <f>SUMIF(修正!A57:A68,G2,修正!F57:F68)</f>
        <v>0.25</v>
      </c>
      <c r="G41" s="994">
        <f>ROUND(IF(E2="工业",C41*$M$42,C41*$M$41),0)</f>
        <v>967</v>
      </c>
      <c r="H41" s="994">
        <f t="shared" si="7"/>
        <v>0</v>
      </c>
      <c r="I41" s="994">
        <f t="shared" si="8"/>
        <v>0</v>
      </c>
      <c r="J41" s="1242"/>
      <c r="L41" s="1245" t="s">
        <v>3710</v>
      </c>
      <c r="M41" s="1246">
        <v>0.25</v>
      </c>
      <c r="Z41" s="1127"/>
      <c r="AA41" s="1127"/>
      <c r="AB41" s="1127"/>
      <c r="AC41" s="1127"/>
      <c r="AD41" s="1127"/>
      <c r="AE41" s="1127"/>
      <c r="AF41" s="1127"/>
      <c r="AG41" s="1127"/>
      <c r="AH41" s="1127"/>
      <c r="AI41" s="1127"/>
      <c r="AJ41" s="1127"/>
    </row>
    <row r="42" spans="1:37" s="952" customFormat="1">
      <c r="A42" s="1109"/>
      <c r="B42" s="1125" t="s">
        <v>3711</v>
      </c>
      <c r="C42" s="1047">
        <f>ROUND(D5*C22*C23*C44*C28*F42,0)</f>
        <v>2320</v>
      </c>
      <c r="D42" s="1111"/>
      <c r="E42" s="1047">
        <f t="shared" si="5"/>
        <v>0</v>
      </c>
      <c r="F42" s="1126">
        <f>SUMIF(修正!A57:A68,G2,修正!G57:G68)</f>
        <v>0.15</v>
      </c>
      <c r="G42" s="1047">
        <f>ROUND(IF(E2="工业",C42*$M$42,C42*$M$41),0)</f>
        <v>580</v>
      </c>
      <c r="H42" s="1047">
        <f t="shared" si="7"/>
        <v>0</v>
      </c>
      <c r="I42" s="1047">
        <f t="shared" si="8"/>
        <v>0</v>
      </c>
      <c r="J42" s="1247"/>
      <c r="L42" s="1248" t="s">
        <v>3687</v>
      </c>
      <c r="M42" s="1249">
        <v>0.15</v>
      </c>
      <c r="Z42" s="1127"/>
      <c r="AA42" s="1127"/>
      <c r="AB42" s="1127"/>
      <c r="AC42" s="1127"/>
      <c r="AD42" s="1127"/>
      <c r="AE42" s="1127"/>
      <c r="AF42" s="1127"/>
      <c r="AG42" s="1127"/>
      <c r="AH42" s="1127"/>
      <c r="AI42" s="1127"/>
      <c r="AJ42" s="1127"/>
    </row>
    <row r="43" spans="1:37" s="952" customFormat="1">
      <c r="Z43" s="1127"/>
      <c r="AA43" s="1127"/>
      <c r="AB43" s="1127"/>
      <c r="AC43" s="1127"/>
      <c r="AD43" s="1127"/>
      <c r="AE43" s="1127"/>
      <c r="AF43" s="1127"/>
      <c r="AG43" s="1127"/>
      <c r="AH43" s="1127"/>
      <c r="AI43" s="1127"/>
      <c r="AJ43" s="1127"/>
    </row>
    <row r="44" spans="1:37" s="952" customFormat="1" ht="24">
      <c r="A44" s="1127"/>
      <c r="B44" s="1128" t="s">
        <v>3712</v>
      </c>
      <c r="C44" s="944">
        <f>ROUND(POWER(1+E44,H44-G44)*(POWER(1+E44,G44)-1)/(POWER(1+E44,H44)-1),4)</f>
        <v>0.98419999999999996</v>
      </c>
      <c r="D44" s="994" t="s">
        <v>3661</v>
      </c>
      <c r="E44" s="1129">
        <f>G24</f>
        <v>5.5E-2</v>
      </c>
      <c r="F44" s="994" t="s">
        <v>3662</v>
      </c>
      <c r="G44" s="1130">
        <f>项目基本情况!F15</f>
        <v>46.38</v>
      </c>
      <c r="H44" s="994">
        <v>50</v>
      </c>
      <c r="Z44" s="1127"/>
      <c r="AA44" s="1127"/>
      <c r="AB44" s="1127"/>
      <c r="AC44" s="1127"/>
      <c r="AD44" s="1127"/>
      <c r="AE44" s="1127"/>
      <c r="AF44" s="1127"/>
      <c r="AG44" s="1127"/>
      <c r="AH44" s="1127"/>
      <c r="AI44" s="1127"/>
      <c r="AJ44" s="1127"/>
    </row>
    <row r="45" spans="1:37" s="952" customFormat="1">
      <c r="A45" s="1127"/>
      <c r="B45" s="1131"/>
      <c r="Z45" s="1127"/>
      <c r="AA45" s="1127"/>
      <c r="AB45" s="1127"/>
      <c r="AC45" s="1127"/>
      <c r="AD45" s="1127"/>
      <c r="AE45" s="1127"/>
      <c r="AF45" s="1127"/>
      <c r="AG45" s="1127"/>
      <c r="AH45" s="1127"/>
      <c r="AI45" s="1127"/>
      <c r="AJ45" s="1127"/>
    </row>
    <row r="46" spans="1:37" s="952" customFormat="1">
      <c r="A46" s="1127"/>
      <c r="B46" s="1131"/>
      <c r="AA46" s="1127"/>
      <c r="AB46" s="1127"/>
      <c r="AC46" s="1127"/>
      <c r="AD46" s="1127"/>
      <c r="AE46" s="1127"/>
      <c r="AF46" s="1127"/>
      <c r="AG46" s="1127"/>
      <c r="AH46" s="1127"/>
      <c r="AI46" s="1127"/>
      <c r="AJ46" s="1127"/>
      <c r="AK46" s="1127"/>
    </row>
    <row r="47" spans="1:37" s="952" customFormat="1" ht="14.4">
      <c r="A47" s="1132" t="s">
        <v>3713</v>
      </c>
      <c r="B47" s="1133"/>
      <c r="C47" s="1134"/>
      <c r="D47" s="1134"/>
      <c r="E47" s="1134"/>
      <c r="F47" s="1135"/>
      <c r="G47" s="1135"/>
      <c r="H47" s="1135"/>
      <c r="I47" s="1250"/>
      <c r="J47" s="1250"/>
      <c r="K47" s="1250"/>
      <c r="L47" s="1250"/>
      <c r="M47" s="1250"/>
      <c r="AA47" s="1127"/>
      <c r="AB47" s="1127"/>
      <c r="AC47" s="1127"/>
      <c r="AD47" s="1127"/>
      <c r="AE47" s="1127"/>
      <c r="AF47" s="1127"/>
      <c r="AG47" s="1127"/>
      <c r="AH47" s="1127"/>
      <c r="AI47" s="1127"/>
      <c r="AJ47" s="1127"/>
      <c r="AK47" s="1127"/>
    </row>
    <row r="48" spans="1:37" s="952" customFormat="1" ht="14.4">
      <c r="A48" s="1136" t="s">
        <v>3714</v>
      </c>
      <c r="B48" s="1137">
        <f>1+E50</f>
        <v>1.0158</v>
      </c>
      <c r="C48" s="1138"/>
      <c r="D48" s="1139"/>
      <c r="E48" s="1140"/>
      <c r="F48" s="1141"/>
      <c r="G48" s="1135"/>
      <c r="H48" s="1134"/>
      <c r="I48" s="1250"/>
      <c r="J48" s="1250"/>
      <c r="K48" s="1250"/>
      <c r="L48" s="1250"/>
      <c r="M48" s="1250"/>
      <c r="AA48" s="1127"/>
      <c r="AB48" s="1127"/>
      <c r="AC48" s="1127"/>
      <c r="AD48" s="1127"/>
      <c r="AE48" s="1127"/>
      <c r="AF48" s="1127"/>
      <c r="AG48" s="1127"/>
      <c r="AH48" s="1127"/>
      <c r="AI48" s="1127"/>
      <c r="AJ48" s="1127"/>
      <c r="AK48" s="1127"/>
    </row>
    <row r="49" spans="1:37" s="952" customFormat="1" ht="25.2">
      <c r="A49" s="1142" t="s">
        <v>3715</v>
      </c>
      <c r="B49" s="1143" t="s">
        <v>3716</v>
      </c>
      <c r="C49" s="1143" t="s">
        <v>3717</v>
      </c>
      <c r="D49" s="1143" t="s">
        <v>3718</v>
      </c>
      <c r="E49" s="1144" t="s">
        <v>3719</v>
      </c>
      <c r="F49" s="1145" t="s">
        <v>3720</v>
      </c>
      <c r="G49" s="1143" t="s">
        <v>2957</v>
      </c>
      <c r="H49" s="1146" t="s">
        <v>3721</v>
      </c>
      <c r="I49" s="1143" t="s">
        <v>3722</v>
      </c>
      <c r="J49" s="1251" t="s">
        <v>2933</v>
      </c>
      <c r="K49" s="1251" t="s">
        <v>2934</v>
      </c>
      <c r="L49" s="1251" t="s">
        <v>2935</v>
      </c>
      <c r="M49" s="1251" t="s">
        <v>2936</v>
      </c>
      <c r="N49" s="1251" t="s">
        <v>2937</v>
      </c>
      <c r="AA49" s="1127"/>
      <c r="AB49" s="1127"/>
      <c r="AC49" s="1127"/>
      <c r="AD49" s="1127"/>
      <c r="AE49" s="1127"/>
      <c r="AF49" s="1127"/>
      <c r="AG49" s="1127"/>
      <c r="AH49" s="1127"/>
      <c r="AI49" s="1127"/>
      <c r="AJ49" s="1127"/>
      <c r="AK49" s="1127"/>
    </row>
    <row r="50" spans="1:37" s="952" customFormat="1" ht="39.6">
      <c r="A50" s="1142" t="s">
        <v>3723</v>
      </c>
      <c r="B50" s="1147" t="str">
        <f>估价对象房地状况!C4</f>
        <v>估价对象位于XX商圈，周边商业氛围成熟，人流量大，商业繁华度好</v>
      </c>
      <c r="C50" s="1018" t="s">
        <v>2900</v>
      </c>
      <c r="D50" s="1148">
        <f t="shared" ref="D50:D58" si="10">SUMIF($J$49:$N$49,C50,J50:N50)</f>
        <v>0</v>
      </c>
      <c r="E50" s="1149">
        <f>ROUND(SUM(D50:D58),4)</f>
        <v>1.5800000000000002E-2</v>
      </c>
      <c r="F50" s="1150">
        <f>IF(E2="商业",SUMIF(L1:L12,G2,N1:N12),"——")</f>
        <v>6.8000000000000005E-2</v>
      </c>
      <c r="G50" s="1151">
        <f>H50</f>
        <v>1.0200000000000001E-2</v>
      </c>
      <c r="H50" s="1152">
        <f t="shared" ref="H50:H58" si="11">IFERROR(ROUNDDOWN($F$50*I50/2,4),"——")</f>
        <v>1.0200000000000001E-2</v>
      </c>
      <c r="I50" s="1252">
        <v>0.3</v>
      </c>
      <c r="J50" s="1253">
        <f t="shared" ref="J50:J58" si="12">K50+$G50</f>
        <v>2.0400000000000001E-2</v>
      </c>
      <c r="K50" s="1253">
        <f t="shared" ref="K50:K58" si="13">$L50+$G50</f>
        <v>1.0200000000000001E-2</v>
      </c>
      <c r="L50" s="1253">
        <v>0</v>
      </c>
      <c r="M50" s="1253">
        <f t="shared" ref="M50:M58" si="14">L50-$G50</f>
        <v>-1.0200000000000001E-2</v>
      </c>
      <c r="N50" s="1253">
        <f t="shared" ref="N50:N58" si="15">M50-$G50</f>
        <v>-2.0400000000000001E-2</v>
      </c>
      <c r="AA50" s="1127"/>
      <c r="AB50" s="1127"/>
      <c r="AC50" s="1127"/>
      <c r="AD50" s="1127"/>
      <c r="AE50" s="1127"/>
      <c r="AF50" s="1127"/>
      <c r="AG50" s="1127"/>
      <c r="AH50" s="1127"/>
      <c r="AI50" s="1127"/>
      <c r="AJ50" s="1127"/>
      <c r="AK50" s="1127"/>
    </row>
    <row r="51" spans="1:37" s="952" customFormat="1" ht="52.8">
      <c r="A51" s="1142" t="s">
        <v>3724</v>
      </c>
      <c r="B51" s="1153" t="str">
        <f>估价对象房地状况!C18</f>
        <v>估价对象周边道路状况、公共交通通达情况、停车便捷程度，综合评价交通便捷度较好</v>
      </c>
      <c r="C51" s="1018" t="s">
        <v>2898</v>
      </c>
      <c r="D51" s="1148">
        <f t="shared" si="10"/>
        <v>7.4000000000000003E-3</v>
      </c>
      <c r="E51" s="1154"/>
      <c r="F51" s="1150"/>
      <c r="G51" s="1151">
        <f t="shared" ref="G51:G58" si="16">H51</f>
        <v>7.4000000000000003E-3</v>
      </c>
      <c r="H51" s="1152">
        <f t="shared" si="11"/>
        <v>7.4000000000000003E-3</v>
      </c>
      <c r="I51" s="1252">
        <v>0.22</v>
      </c>
      <c r="J51" s="1253">
        <f t="shared" si="12"/>
        <v>1.4800000000000001E-2</v>
      </c>
      <c r="K51" s="1253">
        <f t="shared" si="13"/>
        <v>7.4000000000000003E-3</v>
      </c>
      <c r="L51" s="1253">
        <v>0</v>
      </c>
      <c r="M51" s="1253">
        <f t="shared" si="14"/>
        <v>-7.4000000000000003E-3</v>
      </c>
      <c r="N51" s="1253">
        <f t="shared" si="15"/>
        <v>-1.4800000000000001E-2</v>
      </c>
      <c r="AA51" s="1127"/>
      <c r="AB51" s="1127"/>
      <c r="AC51" s="1127"/>
      <c r="AD51" s="1127"/>
      <c r="AE51" s="1127"/>
      <c r="AF51" s="1127"/>
      <c r="AG51" s="1127"/>
      <c r="AH51" s="1127"/>
      <c r="AI51" s="1127"/>
      <c r="AJ51" s="1127"/>
      <c r="AK51" s="1127"/>
    </row>
    <row r="52" spans="1:37" s="952" customFormat="1" ht="48">
      <c r="A52" s="1155" t="s">
        <v>3725</v>
      </c>
      <c r="B52" s="1153">
        <f>估价对象房地状况!C19</f>
        <v>0</v>
      </c>
      <c r="C52" s="1018" t="s">
        <v>2898</v>
      </c>
      <c r="D52" s="1148">
        <f t="shared" si="10"/>
        <v>4.0000000000000001E-3</v>
      </c>
      <c r="E52" s="1154"/>
      <c r="F52" s="1150"/>
      <c r="G52" s="1151">
        <f t="shared" si="16"/>
        <v>4.0000000000000001E-3</v>
      </c>
      <c r="H52" s="1152">
        <f t="shared" si="11"/>
        <v>4.0000000000000001E-3</v>
      </c>
      <c r="I52" s="1252">
        <v>0.12</v>
      </c>
      <c r="J52" s="1253">
        <f t="shared" si="12"/>
        <v>8.0000000000000002E-3</v>
      </c>
      <c r="K52" s="1253">
        <f t="shared" si="13"/>
        <v>4.0000000000000001E-3</v>
      </c>
      <c r="L52" s="1253">
        <v>0</v>
      </c>
      <c r="M52" s="1253">
        <f t="shared" si="14"/>
        <v>-4.0000000000000001E-3</v>
      </c>
      <c r="N52" s="1253">
        <f t="shared" si="15"/>
        <v>-8.0000000000000002E-3</v>
      </c>
      <c r="AA52" s="1127"/>
      <c r="AB52" s="1127"/>
      <c r="AC52" s="1127"/>
      <c r="AD52" s="1127"/>
      <c r="AE52" s="1127"/>
      <c r="AF52" s="1127"/>
      <c r="AG52" s="1127"/>
      <c r="AH52" s="1127"/>
      <c r="AI52" s="1127"/>
      <c r="AJ52" s="1127"/>
      <c r="AK52" s="1127"/>
    </row>
    <row r="53" spans="1:37" s="952" customFormat="1" ht="37.200000000000003">
      <c r="A53" s="1142" t="s">
        <v>3726</v>
      </c>
      <c r="B53" s="1156" t="s">
        <v>3727</v>
      </c>
      <c r="C53" s="1018" t="s">
        <v>2898</v>
      </c>
      <c r="D53" s="1148">
        <f t="shared" si="10"/>
        <v>1.6999999999999999E-3</v>
      </c>
      <c r="E53" s="1154"/>
      <c r="F53" s="1150"/>
      <c r="G53" s="1151">
        <f t="shared" si="16"/>
        <v>1.6999999999999999E-3</v>
      </c>
      <c r="H53" s="1152">
        <f t="shared" si="11"/>
        <v>1.6999999999999999E-3</v>
      </c>
      <c r="I53" s="1252">
        <v>0.05</v>
      </c>
      <c r="J53" s="1253">
        <f t="shared" si="12"/>
        <v>3.3999999999999998E-3</v>
      </c>
      <c r="K53" s="1253">
        <f t="shared" si="13"/>
        <v>1.6999999999999999E-3</v>
      </c>
      <c r="L53" s="1253">
        <v>0</v>
      </c>
      <c r="M53" s="1253">
        <f t="shared" si="14"/>
        <v>-1.6999999999999999E-3</v>
      </c>
      <c r="N53" s="1253">
        <f t="shared" si="15"/>
        <v>-3.3999999999999998E-3</v>
      </c>
      <c r="AA53" s="1127"/>
      <c r="AB53" s="1127"/>
      <c r="AC53" s="1127"/>
      <c r="AD53" s="1127"/>
      <c r="AE53" s="1127"/>
      <c r="AF53" s="1127"/>
      <c r="AG53" s="1127"/>
      <c r="AH53" s="1127"/>
      <c r="AI53" s="1127"/>
      <c r="AJ53" s="1127"/>
      <c r="AK53" s="1127"/>
    </row>
    <row r="54" spans="1:37" s="952" customFormat="1" ht="24">
      <c r="A54" s="1142" t="s">
        <v>3728</v>
      </c>
      <c r="B54" s="1153">
        <f>估价对象房地状况!C24</f>
        <v>0</v>
      </c>
      <c r="C54" s="1018" t="s">
        <v>3740</v>
      </c>
      <c r="D54" s="1148">
        <f t="shared" si="10"/>
        <v>-2.7000000000000001E-3</v>
      </c>
      <c r="E54" s="1154"/>
      <c r="F54" s="1150"/>
      <c r="G54" s="1151">
        <f t="shared" si="16"/>
        <v>2.7000000000000001E-3</v>
      </c>
      <c r="H54" s="1152">
        <f t="shared" si="11"/>
        <v>2.7000000000000001E-3</v>
      </c>
      <c r="I54" s="1252">
        <v>0.08</v>
      </c>
      <c r="J54" s="1253">
        <f t="shared" si="12"/>
        <v>5.4000000000000003E-3</v>
      </c>
      <c r="K54" s="1253">
        <f t="shared" si="13"/>
        <v>2.7000000000000001E-3</v>
      </c>
      <c r="L54" s="1253">
        <v>0</v>
      </c>
      <c r="M54" s="1253">
        <f t="shared" si="14"/>
        <v>-2.7000000000000001E-3</v>
      </c>
      <c r="N54" s="1253">
        <f t="shared" si="15"/>
        <v>-5.4000000000000003E-3</v>
      </c>
      <c r="AA54" s="1127"/>
      <c r="AB54" s="1127"/>
      <c r="AC54" s="1127"/>
      <c r="AD54" s="1127"/>
      <c r="AE54" s="1127"/>
      <c r="AF54" s="1127"/>
      <c r="AG54" s="1127"/>
      <c r="AH54" s="1127"/>
      <c r="AI54" s="1127"/>
      <c r="AJ54" s="1127"/>
      <c r="AK54" s="1127"/>
    </row>
    <row r="55" spans="1:37" s="952" customFormat="1" ht="36">
      <c r="A55" s="1142" t="s">
        <v>3729</v>
      </c>
      <c r="B55" s="1157" t="s">
        <v>3730</v>
      </c>
      <c r="C55" s="1018" t="s">
        <v>2900</v>
      </c>
      <c r="D55" s="1148">
        <f t="shared" si="10"/>
        <v>0</v>
      </c>
      <c r="E55" s="1154"/>
      <c r="F55" s="1150"/>
      <c r="G55" s="1151">
        <f t="shared" si="16"/>
        <v>1.6999999999999999E-3</v>
      </c>
      <c r="H55" s="1152">
        <f t="shared" si="11"/>
        <v>1.6999999999999999E-3</v>
      </c>
      <c r="I55" s="1252">
        <v>0.05</v>
      </c>
      <c r="J55" s="1253">
        <f t="shared" si="12"/>
        <v>3.3999999999999998E-3</v>
      </c>
      <c r="K55" s="1253">
        <f t="shared" si="13"/>
        <v>1.6999999999999999E-3</v>
      </c>
      <c r="L55" s="1253">
        <v>0</v>
      </c>
      <c r="M55" s="1253">
        <f t="shared" si="14"/>
        <v>-1.6999999999999999E-3</v>
      </c>
      <c r="N55" s="1253">
        <f t="shared" si="15"/>
        <v>-3.3999999999999998E-3</v>
      </c>
      <c r="AA55" s="1127"/>
      <c r="AB55" s="1127"/>
      <c r="AC55" s="1127"/>
      <c r="AD55" s="1127"/>
      <c r="AE55" s="1127"/>
      <c r="AF55" s="1127"/>
      <c r="AG55" s="1127"/>
      <c r="AH55" s="1127"/>
      <c r="AI55" s="1127"/>
      <c r="AJ55" s="1127"/>
      <c r="AK55" s="1127"/>
    </row>
    <row r="56" spans="1:37" s="952" customFormat="1" ht="26.4">
      <c r="A56" s="1158" t="s">
        <v>3731</v>
      </c>
      <c r="B56" s="577" t="str">
        <f>估价对象房地状况!C21</f>
        <v>估价对象所在区域公共配套设施齐备情况</v>
      </c>
      <c r="C56" s="1018" t="s">
        <v>2900</v>
      </c>
      <c r="D56" s="1148">
        <f t="shared" si="10"/>
        <v>0</v>
      </c>
      <c r="E56" s="1154"/>
      <c r="F56" s="1150"/>
      <c r="G56" s="1151">
        <f t="shared" si="16"/>
        <v>1.6999999999999999E-3</v>
      </c>
      <c r="H56" s="1152">
        <f t="shared" si="11"/>
        <v>1.6999999999999999E-3</v>
      </c>
      <c r="I56" s="1252">
        <v>0.05</v>
      </c>
      <c r="J56" s="1253">
        <f t="shared" si="12"/>
        <v>3.3999999999999998E-3</v>
      </c>
      <c r="K56" s="1253">
        <f t="shared" si="13"/>
        <v>1.6999999999999999E-3</v>
      </c>
      <c r="L56" s="1253">
        <v>0</v>
      </c>
      <c r="M56" s="1253">
        <f t="shared" si="14"/>
        <v>-1.6999999999999999E-3</v>
      </c>
      <c r="N56" s="1253">
        <f t="shared" si="15"/>
        <v>-3.3999999999999998E-3</v>
      </c>
      <c r="AA56" s="1127"/>
      <c r="AB56" s="1127"/>
      <c r="AC56" s="1127"/>
      <c r="AD56" s="1127"/>
      <c r="AE56" s="1127"/>
      <c r="AF56" s="1127"/>
      <c r="AG56" s="1127"/>
      <c r="AH56" s="1127"/>
      <c r="AI56" s="1127"/>
      <c r="AJ56" s="1127"/>
      <c r="AK56" s="1127"/>
    </row>
    <row r="57" spans="1:37" s="952" customFormat="1" ht="26.4">
      <c r="A57" s="1158" t="s">
        <v>3732</v>
      </c>
      <c r="B57" s="1153" t="str">
        <f>估价对象房地状况!C22</f>
        <v>估价对象所在区域基础设施水平</v>
      </c>
      <c r="C57" s="1018" t="s">
        <v>3741</v>
      </c>
      <c r="D57" s="1148">
        <f t="shared" si="10"/>
        <v>5.4000000000000003E-3</v>
      </c>
      <c r="E57" s="1154"/>
      <c r="F57" s="1150"/>
      <c r="G57" s="1151">
        <f t="shared" si="16"/>
        <v>2.7000000000000001E-3</v>
      </c>
      <c r="H57" s="1152">
        <f t="shared" si="11"/>
        <v>2.7000000000000001E-3</v>
      </c>
      <c r="I57" s="1252">
        <v>0.08</v>
      </c>
      <c r="J57" s="1253">
        <f t="shared" si="12"/>
        <v>5.4000000000000003E-3</v>
      </c>
      <c r="K57" s="1253">
        <f t="shared" si="13"/>
        <v>2.7000000000000001E-3</v>
      </c>
      <c r="L57" s="1253">
        <v>0</v>
      </c>
      <c r="M57" s="1253">
        <f t="shared" si="14"/>
        <v>-2.7000000000000001E-3</v>
      </c>
      <c r="N57" s="1253">
        <f t="shared" si="15"/>
        <v>-5.4000000000000003E-3</v>
      </c>
      <c r="AA57" s="1127"/>
      <c r="AB57" s="1127"/>
      <c r="AC57" s="1127"/>
      <c r="AD57" s="1127"/>
      <c r="AE57" s="1127"/>
      <c r="AF57" s="1127"/>
      <c r="AG57" s="1127"/>
      <c r="AH57" s="1127"/>
      <c r="AI57" s="1127"/>
      <c r="AJ57" s="1127"/>
      <c r="AK57" s="1127"/>
    </row>
    <row r="58" spans="1:37" s="952" customFormat="1" ht="39.6">
      <c r="A58" s="1159" t="s">
        <v>3733</v>
      </c>
      <c r="B58" s="1160" t="str">
        <f>估价对象房地状况!C20</f>
        <v>区域自然环境：；人文环境；综合评价环境状况一般</v>
      </c>
      <c r="C58" s="1018" t="s">
        <v>2900</v>
      </c>
      <c r="D58" s="1148">
        <f t="shared" si="10"/>
        <v>0</v>
      </c>
      <c r="E58" s="1161"/>
      <c r="F58" s="1150"/>
      <c r="G58" s="1151">
        <f t="shared" si="16"/>
        <v>1.6999999999999999E-3</v>
      </c>
      <c r="H58" s="1152">
        <f t="shared" si="11"/>
        <v>1.6999999999999999E-3</v>
      </c>
      <c r="I58" s="1254">
        <v>0.05</v>
      </c>
      <c r="J58" s="1253">
        <f t="shared" si="12"/>
        <v>3.3999999999999998E-3</v>
      </c>
      <c r="K58" s="1253">
        <f t="shared" si="13"/>
        <v>1.6999999999999999E-3</v>
      </c>
      <c r="L58" s="1253">
        <v>0</v>
      </c>
      <c r="M58" s="1253">
        <f t="shared" si="14"/>
        <v>-1.6999999999999999E-3</v>
      </c>
      <c r="N58" s="1253">
        <f t="shared" si="15"/>
        <v>-3.3999999999999998E-3</v>
      </c>
      <c r="AA58" s="1127"/>
      <c r="AB58" s="1127"/>
      <c r="AC58" s="1127"/>
      <c r="AD58" s="1127"/>
      <c r="AE58" s="1127"/>
      <c r="AF58" s="1127"/>
      <c r="AG58" s="1127"/>
      <c r="AH58" s="1127"/>
      <c r="AI58" s="1127"/>
      <c r="AJ58" s="1127"/>
      <c r="AK58" s="1127"/>
    </row>
    <row r="59" spans="1:37" s="952" customFormat="1" ht="14.4">
      <c r="A59" s="1136" t="s">
        <v>3734</v>
      </c>
      <c r="B59" s="1137">
        <f>1+E61</f>
        <v>1</v>
      </c>
      <c r="C59" s="1139"/>
      <c r="D59" s="1139"/>
      <c r="E59" s="1140"/>
      <c r="F59" s="1141"/>
      <c r="G59" s="1135"/>
      <c r="H59" s="1135"/>
      <c r="I59" s="1135"/>
      <c r="J59" s="1134"/>
      <c r="K59" s="1134"/>
      <c r="L59" s="1134"/>
      <c r="M59" s="1134"/>
      <c r="N59" s="1134"/>
      <c r="AA59" s="1127"/>
      <c r="AB59" s="1127"/>
      <c r="AC59" s="1127"/>
      <c r="AD59" s="1127"/>
      <c r="AE59" s="1127"/>
      <c r="AF59" s="1127"/>
      <c r="AG59" s="1127"/>
      <c r="AH59" s="1127"/>
      <c r="AI59" s="1127"/>
      <c r="AJ59" s="1127"/>
      <c r="AK59" s="1127"/>
    </row>
    <row r="60" spans="1:37" s="952" customFormat="1" ht="25.2">
      <c r="A60" s="1142" t="s">
        <v>3715</v>
      </c>
      <c r="B60" s="1143"/>
      <c r="C60" s="1143" t="s">
        <v>3717</v>
      </c>
      <c r="D60" s="1143" t="s">
        <v>3718</v>
      </c>
      <c r="E60" s="1144" t="s">
        <v>3719</v>
      </c>
      <c r="F60" s="1145" t="s">
        <v>3735</v>
      </c>
      <c r="G60" s="1143" t="s">
        <v>2957</v>
      </c>
      <c r="H60" s="1146" t="s">
        <v>3721</v>
      </c>
      <c r="I60" s="1143" t="s">
        <v>3722</v>
      </c>
      <c r="J60" s="1251" t="s">
        <v>2933</v>
      </c>
      <c r="K60" s="1251" t="s">
        <v>2934</v>
      </c>
      <c r="L60" s="1251" t="s">
        <v>2935</v>
      </c>
      <c r="M60" s="1251" t="s">
        <v>2936</v>
      </c>
      <c r="N60" s="1251" t="s">
        <v>2937</v>
      </c>
      <c r="AA60" s="1127"/>
      <c r="AB60" s="1127"/>
      <c r="AC60" s="1127"/>
      <c r="AD60" s="1127"/>
      <c r="AE60" s="1127"/>
      <c r="AF60" s="1127"/>
      <c r="AG60" s="1127"/>
      <c r="AH60" s="1127"/>
      <c r="AI60" s="1127"/>
      <c r="AJ60" s="1127"/>
      <c r="AK60" s="1127"/>
    </row>
    <row r="61" spans="1:37" s="952" customFormat="1" ht="39.6">
      <c r="A61" s="1142" t="s">
        <v>3736</v>
      </c>
      <c r="B61" s="1147" t="str">
        <f>估价对象房地状况!C17</f>
        <v>估价对象位于XX商圈，周边办公楼项目较多，入驻率高，办公集聚程度较好</v>
      </c>
      <c r="C61" s="1018"/>
      <c r="D61" s="1148">
        <f t="shared" ref="D61:D69" si="17">SUMIF($J$60:$N$60,C61,J61:N61)</f>
        <v>0</v>
      </c>
      <c r="E61" s="1149">
        <f>ROUND(SUM(D61:D69),4)</f>
        <v>0</v>
      </c>
      <c r="F61" s="1150" t="str">
        <f>IF(E2="办公",SUMIF(L1:L12,G2,N1:N12),"——")</f>
        <v>——</v>
      </c>
      <c r="G61" s="1151"/>
      <c r="H61" s="1152" t="str">
        <f t="shared" ref="H61:H69" si="18">IFERROR(ROUNDDOWN($F$61*I61/2,4),"——")</f>
        <v>——</v>
      </c>
      <c r="I61" s="1252">
        <v>0.25</v>
      </c>
      <c r="J61" s="1253">
        <f t="shared" ref="J61:J69" si="19">K61+$G61</f>
        <v>0</v>
      </c>
      <c r="K61" s="1253">
        <f t="shared" ref="K61:K69" si="20">$L61+$G61</f>
        <v>0</v>
      </c>
      <c r="L61" s="1253">
        <v>0</v>
      </c>
      <c r="M61" s="1253">
        <f t="shared" ref="M61:M69" si="21">L61-$G61</f>
        <v>0</v>
      </c>
      <c r="N61" s="1253">
        <f t="shared" ref="N61:N69" si="22">M61-$G61</f>
        <v>0</v>
      </c>
      <c r="AA61" s="1127"/>
      <c r="AB61" s="1127"/>
      <c r="AC61" s="1127"/>
      <c r="AD61" s="1127"/>
      <c r="AE61" s="1127"/>
      <c r="AF61" s="1127"/>
      <c r="AG61" s="1127"/>
      <c r="AH61" s="1127"/>
      <c r="AI61" s="1127"/>
      <c r="AJ61" s="1127"/>
      <c r="AK61" s="1127"/>
    </row>
    <row r="62" spans="1:37" s="952" customFormat="1" ht="52.8">
      <c r="A62" s="1142" t="s">
        <v>3724</v>
      </c>
      <c r="B62" s="1153" t="str">
        <f>估价对象房地状况!C18</f>
        <v>估价对象周边道路状况、公共交通通达情况、停车便捷程度，综合评价交通便捷度较好</v>
      </c>
      <c r="C62" s="1018"/>
      <c r="D62" s="1148">
        <f t="shared" si="17"/>
        <v>0</v>
      </c>
      <c r="E62" s="1154"/>
      <c r="F62" s="1150"/>
      <c r="G62" s="1151"/>
      <c r="H62" s="1152" t="str">
        <f t="shared" si="18"/>
        <v>——</v>
      </c>
      <c r="I62" s="1252">
        <v>0.26</v>
      </c>
      <c r="J62" s="1253">
        <f t="shared" si="19"/>
        <v>0</v>
      </c>
      <c r="K62" s="1253">
        <f t="shared" si="20"/>
        <v>0</v>
      </c>
      <c r="L62" s="1253">
        <v>0</v>
      </c>
      <c r="M62" s="1253">
        <f t="shared" si="21"/>
        <v>0</v>
      </c>
      <c r="N62" s="1253">
        <f t="shared" si="22"/>
        <v>0</v>
      </c>
      <c r="AA62" s="1127"/>
      <c r="AB62" s="1127"/>
      <c r="AC62" s="1127"/>
      <c r="AD62" s="1127"/>
      <c r="AE62" s="1127"/>
      <c r="AF62" s="1127"/>
      <c r="AG62" s="1127"/>
      <c r="AH62" s="1127"/>
      <c r="AI62" s="1127"/>
      <c r="AJ62" s="1127"/>
      <c r="AK62" s="1127"/>
    </row>
    <row r="63" spans="1:37" s="952" customFormat="1" ht="48">
      <c r="A63" s="1155" t="s">
        <v>3725</v>
      </c>
      <c r="B63" s="1153">
        <f>估价对象房地状况!C19</f>
        <v>0</v>
      </c>
      <c r="C63" s="1018"/>
      <c r="D63" s="1148">
        <f t="shared" si="17"/>
        <v>0</v>
      </c>
      <c r="E63" s="1154"/>
      <c r="F63" s="1150"/>
      <c r="G63" s="1151"/>
      <c r="H63" s="1152" t="str">
        <f t="shared" si="18"/>
        <v>——</v>
      </c>
      <c r="I63" s="1252">
        <v>0.11</v>
      </c>
      <c r="J63" s="1253">
        <f t="shared" si="19"/>
        <v>0</v>
      </c>
      <c r="K63" s="1253">
        <f t="shared" si="20"/>
        <v>0</v>
      </c>
      <c r="L63" s="1253">
        <v>0</v>
      </c>
      <c r="M63" s="1253">
        <f t="shared" si="21"/>
        <v>0</v>
      </c>
      <c r="N63" s="1253">
        <f t="shared" si="22"/>
        <v>0</v>
      </c>
      <c r="AA63" s="1127"/>
      <c r="AB63" s="1127"/>
      <c r="AC63" s="1127"/>
      <c r="AD63" s="1127"/>
      <c r="AE63" s="1127"/>
      <c r="AF63" s="1127"/>
      <c r="AG63" s="1127"/>
      <c r="AH63" s="1127"/>
      <c r="AI63" s="1127"/>
      <c r="AJ63" s="1127"/>
      <c r="AK63" s="1127"/>
    </row>
    <row r="64" spans="1:37" s="952" customFormat="1" ht="37.200000000000003">
      <c r="A64" s="1142" t="s">
        <v>3726</v>
      </c>
      <c r="B64" s="1156" t="s">
        <v>3727</v>
      </c>
      <c r="C64" s="1018"/>
      <c r="D64" s="1148">
        <f t="shared" si="17"/>
        <v>0</v>
      </c>
      <c r="E64" s="1154"/>
      <c r="F64" s="1150"/>
      <c r="G64" s="1151"/>
      <c r="H64" s="1152" t="str">
        <f t="shared" si="18"/>
        <v>——</v>
      </c>
      <c r="I64" s="1252">
        <v>0.05</v>
      </c>
      <c r="J64" s="1253">
        <f t="shared" si="19"/>
        <v>0</v>
      </c>
      <c r="K64" s="1253">
        <f t="shared" si="20"/>
        <v>0</v>
      </c>
      <c r="L64" s="1253">
        <v>0</v>
      </c>
      <c r="M64" s="1253">
        <f t="shared" si="21"/>
        <v>0</v>
      </c>
      <c r="N64" s="1253">
        <f t="shared" si="22"/>
        <v>0</v>
      </c>
      <c r="AA64" s="1127"/>
      <c r="AB64" s="1127"/>
      <c r="AC64" s="1127"/>
      <c r="AD64" s="1127"/>
      <c r="AE64" s="1127"/>
      <c r="AF64" s="1127"/>
      <c r="AG64" s="1127"/>
      <c r="AH64" s="1127"/>
      <c r="AI64" s="1127"/>
      <c r="AJ64" s="1127"/>
      <c r="AK64" s="1127"/>
    </row>
    <row r="65" spans="1:37" s="952" customFormat="1" ht="24">
      <c r="A65" s="1142" t="s">
        <v>3728</v>
      </c>
      <c r="B65" s="1153">
        <f>估价对象房地状况!C24</f>
        <v>0</v>
      </c>
      <c r="C65" s="1018"/>
      <c r="D65" s="1148">
        <f t="shared" si="17"/>
        <v>0</v>
      </c>
      <c r="E65" s="1154"/>
      <c r="F65" s="1150"/>
      <c r="G65" s="1151"/>
      <c r="H65" s="1152" t="str">
        <f t="shared" si="18"/>
        <v>——</v>
      </c>
      <c r="I65" s="1252">
        <v>0.05</v>
      </c>
      <c r="J65" s="1253">
        <f t="shared" si="19"/>
        <v>0</v>
      </c>
      <c r="K65" s="1253">
        <f t="shared" si="20"/>
        <v>0</v>
      </c>
      <c r="L65" s="1253">
        <v>0</v>
      </c>
      <c r="M65" s="1253">
        <f t="shared" si="21"/>
        <v>0</v>
      </c>
      <c r="N65" s="1253">
        <f t="shared" si="22"/>
        <v>0</v>
      </c>
      <c r="AA65" s="1127"/>
      <c r="AB65" s="1127"/>
      <c r="AC65" s="1127"/>
      <c r="AD65" s="1127"/>
      <c r="AE65" s="1127"/>
      <c r="AF65" s="1127"/>
      <c r="AG65" s="1127"/>
      <c r="AH65" s="1127"/>
      <c r="AI65" s="1127"/>
      <c r="AJ65" s="1127"/>
      <c r="AK65" s="1127"/>
    </row>
    <row r="66" spans="1:37" s="952" customFormat="1" ht="36">
      <c r="A66" s="1142" t="s">
        <v>3729</v>
      </c>
      <c r="B66" s="1157" t="s">
        <v>3730</v>
      </c>
      <c r="C66" s="1018"/>
      <c r="D66" s="1148">
        <f t="shared" si="17"/>
        <v>0</v>
      </c>
      <c r="E66" s="1154"/>
      <c r="F66" s="1150"/>
      <c r="G66" s="1151"/>
      <c r="H66" s="1152" t="str">
        <f t="shared" si="18"/>
        <v>——</v>
      </c>
      <c r="I66" s="1252">
        <v>0.06</v>
      </c>
      <c r="J66" s="1253">
        <f t="shared" si="19"/>
        <v>0</v>
      </c>
      <c r="K66" s="1253">
        <f t="shared" si="20"/>
        <v>0</v>
      </c>
      <c r="L66" s="1253">
        <v>0</v>
      </c>
      <c r="M66" s="1253">
        <f t="shared" si="21"/>
        <v>0</v>
      </c>
      <c r="N66" s="1253">
        <f t="shared" si="22"/>
        <v>0</v>
      </c>
      <c r="AA66" s="1127"/>
      <c r="AB66" s="1127"/>
      <c r="AC66" s="1127"/>
      <c r="AD66" s="1127"/>
      <c r="AE66" s="1127"/>
      <c r="AF66" s="1127"/>
      <c r="AG66" s="1127"/>
      <c r="AH66" s="1127"/>
      <c r="AI66" s="1127"/>
      <c r="AJ66" s="1127"/>
      <c r="AK66" s="1127"/>
    </row>
    <row r="67" spans="1:37" s="952" customFormat="1" ht="26.4">
      <c r="A67" s="1142" t="s">
        <v>3731</v>
      </c>
      <c r="B67" s="577" t="str">
        <f>估价对象房地状况!C21</f>
        <v>估价对象所在区域公共配套设施齐备情况</v>
      </c>
      <c r="C67" s="1018"/>
      <c r="D67" s="1148">
        <f t="shared" si="17"/>
        <v>0</v>
      </c>
      <c r="E67" s="1154"/>
      <c r="F67" s="1150"/>
      <c r="G67" s="1151"/>
      <c r="H67" s="1152" t="str">
        <f t="shared" si="18"/>
        <v>——</v>
      </c>
      <c r="I67" s="1252">
        <v>0.06</v>
      </c>
      <c r="J67" s="1253">
        <f t="shared" si="19"/>
        <v>0</v>
      </c>
      <c r="K67" s="1253">
        <f t="shared" si="20"/>
        <v>0</v>
      </c>
      <c r="L67" s="1253">
        <v>0</v>
      </c>
      <c r="M67" s="1253">
        <f t="shared" si="21"/>
        <v>0</v>
      </c>
      <c r="N67" s="1253">
        <f t="shared" si="22"/>
        <v>0</v>
      </c>
      <c r="AA67" s="1127"/>
      <c r="AB67" s="1127"/>
      <c r="AC67" s="1127"/>
      <c r="AD67" s="1127"/>
      <c r="AE67" s="1127"/>
      <c r="AF67" s="1127"/>
      <c r="AG67" s="1127"/>
      <c r="AH67" s="1127"/>
      <c r="AI67" s="1127"/>
      <c r="AJ67" s="1127"/>
      <c r="AK67" s="1127"/>
    </row>
    <row r="68" spans="1:37" s="952" customFormat="1" ht="26.4">
      <c r="A68" s="1142" t="s">
        <v>3732</v>
      </c>
      <c r="B68" s="577" t="str">
        <f>估价对象房地状况!C22</f>
        <v>估价对象所在区域基础设施水平</v>
      </c>
      <c r="C68" s="1018"/>
      <c r="D68" s="1148">
        <f t="shared" si="17"/>
        <v>0</v>
      </c>
      <c r="E68" s="1154"/>
      <c r="F68" s="1150"/>
      <c r="G68" s="1151"/>
      <c r="H68" s="1152" t="str">
        <f t="shared" si="18"/>
        <v>——</v>
      </c>
      <c r="I68" s="1252">
        <v>0.09</v>
      </c>
      <c r="J68" s="1253">
        <f t="shared" si="19"/>
        <v>0</v>
      </c>
      <c r="K68" s="1253">
        <f t="shared" si="20"/>
        <v>0</v>
      </c>
      <c r="L68" s="1253">
        <v>0</v>
      </c>
      <c r="M68" s="1253">
        <f t="shared" si="21"/>
        <v>0</v>
      </c>
      <c r="N68" s="1253">
        <f t="shared" si="22"/>
        <v>0</v>
      </c>
      <c r="AA68" s="1127"/>
      <c r="AB68" s="1127"/>
      <c r="AC68" s="1127"/>
      <c r="AD68" s="1127"/>
      <c r="AE68" s="1127"/>
      <c r="AF68" s="1127"/>
      <c r="AG68" s="1127"/>
      <c r="AH68" s="1127"/>
      <c r="AI68" s="1127"/>
      <c r="AJ68" s="1127"/>
      <c r="AK68" s="1127"/>
    </row>
    <row r="69" spans="1:37" s="952" customFormat="1" ht="39.6">
      <c r="A69" s="1159" t="s">
        <v>3733</v>
      </c>
      <c r="B69" s="1284" t="str">
        <f>估价对象房地状况!C20</f>
        <v>区域自然环境：；人文环境；综合评价环境状况一般</v>
      </c>
      <c r="C69" s="1018"/>
      <c r="D69" s="1148">
        <f t="shared" si="17"/>
        <v>0</v>
      </c>
      <c r="E69" s="1161"/>
      <c r="F69" s="1150"/>
      <c r="G69" s="1151"/>
      <c r="H69" s="1152" t="str">
        <f t="shared" si="18"/>
        <v>——</v>
      </c>
      <c r="I69" s="1254">
        <v>7.0000000000000007E-2</v>
      </c>
      <c r="J69" s="1253">
        <f t="shared" si="19"/>
        <v>0</v>
      </c>
      <c r="K69" s="1253">
        <f t="shared" si="20"/>
        <v>0</v>
      </c>
      <c r="L69" s="1253">
        <v>0</v>
      </c>
      <c r="M69" s="1253">
        <f t="shared" si="21"/>
        <v>0</v>
      </c>
      <c r="N69" s="1253">
        <f t="shared" si="22"/>
        <v>0</v>
      </c>
      <c r="AA69" s="1127"/>
      <c r="AB69" s="1127"/>
      <c r="AC69" s="1127"/>
      <c r="AD69" s="1127"/>
      <c r="AE69" s="1127"/>
      <c r="AF69" s="1127"/>
      <c r="AG69" s="1127"/>
      <c r="AH69" s="1127"/>
      <c r="AI69" s="1127"/>
      <c r="AJ69" s="1127"/>
      <c r="AK69" s="1127"/>
    </row>
    <row r="70" spans="1:37" s="952" customFormat="1" ht="14.4">
      <c r="A70" s="1136" t="s">
        <v>3737</v>
      </c>
      <c r="B70" s="1137" t="e">
        <f>1+E72</f>
        <v>#VALUE!</v>
      </c>
      <c r="C70" s="1139"/>
      <c r="D70" s="1139"/>
      <c r="E70" s="1140"/>
      <c r="F70" s="1141"/>
      <c r="G70" s="1135"/>
      <c r="H70" s="1135"/>
      <c r="I70" s="1135"/>
      <c r="J70" s="1134"/>
      <c r="K70" s="1134"/>
      <c r="L70" s="1134"/>
      <c r="M70" s="1134"/>
      <c r="N70" s="1134"/>
      <c r="AA70" s="1127"/>
      <c r="AB70" s="1127"/>
      <c r="AC70" s="1127"/>
      <c r="AD70" s="1127"/>
      <c r="AE70" s="1127"/>
      <c r="AF70" s="1127"/>
      <c r="AG70" s="1127"/>
      <c r="AH70" s="1127"/>
      <c r="AI70" s="1127"/>
      <c r="AJ70" s="1127"/>
      <c r="AK70" s="1127"/>
    </row>
    <row r="71" spans="1:37" s="952" customFormat="1" ht="25.2">
      <c r="A71" s="1142" t="s">
        <v>3715</v>
      </c>
      <c r="B71" s="1143"/>
      <c r="C71" s="1143" t="s">
        <v>3717</v>
      </c>
      <c r="D71" s="1143" t="s">
        <v>3718</v>
      </c>
      <c r="E71" s="1144" t="s">
        <v>3719</v>
      </c>
      <c r="F71" s="1145" t="s">
        <v>3735</v>
      </c>
      <c r="G71" s="1143" t="s">
        <v>2957</v>
      </c>
      <c r="H71" s="1146" t="s">
        <v>3721</v>
      </c>
      <c r="I71" s="1143" t="s">
        <v>3722</v>
      </c>
      <c r="J71" s="1251" t="s">
        <v>2933</v>
      </c>
      <c r="K71" s="1251" t="s">
        <v>2934</v>
      </c>
      <c r="L71" s="1251" t="s">
        <v>2935</v>
      </c>
      <c r="M71" s="1251" t="s">
        <v>2936</v>
      </c>
      <c r="N71" s="1251" t="s">
        <v>2937</v>
      </c>
      <c r="AA71" s="1127"/>
      <c r="AB71" s="1127"/>
      <c r="AC71" s="1127"/>
      <c r="AD71" s="1127"/>
      <c r="AE71" s="1127"/>
      <c r="AF71" s="1127"/>
      <c r="AG71" s="1127"/>
      <c r="AH71" s="1127"/>
      <c r="AI71" s="1127"/>
      <c r="AJ71" s="1127"/>
      <c r="AK71" s="1127"/>
    </row>
    <row r="72" spans="1:37" s="952" customFormat="1" ht="52.8">
      <c r="A72" s="1142" t="s">
        <v>3738</v>
      </c>
      <c r="B72" s="1147" t="str">
        <f>估价对象房地状况!C15</f>
        <v>估价对象周边居住用地比例、居住小区规模和社区发展完善程度，综合评价居住社区成熟度一般</v>
      </c>
      <c r="C72" s="1018" t="s">
        <v>2900</v>
      </c>
      <c r="D72" s="1148">
        <f t="shared" ref="D72:D80" si="23">SUMIF($J$71:$N$71,C72,J72:N72)</f>
        <v>0</v>
      </c>
      <c r="E72" s="1149" t="e">
        <f>ROUND(SUM(D72:D80),4)</f>
        <v>#VALUE!</v>
      </c>
      <c r="F72" s="1150" t="str">
        <f>IF(E2="住宅",SUMIF(L1:L12,G2,N1:N12),"——")</f>
        <v>——</v>
      </c>
      <c r="G72" s="1151" t="str">
        <f t="shared" ref="G72:G80" si="24">H72</f>
        <v>——</v>
      </c>
      <c r="H72" s="1152" t="str">
        <f t="shared" ref="H72:H80" si="25">IFERROR(ROUNDDOWN($F$72*I72/2,4),"——")</f>
        <v>——</v>
      </c>
      <c r="I72" s="1252">
        <v>0.2</v>
      </c>
      <c r="J72" s="1253" t="e">
        <f t="shared" ref="J72:J80" si="26">K72+$G72</f>
        <v>#VALUE!</v>
      </c>
      <c r="K72" s="1253" t="e">
        <f t="shared" ref="K72:K80" si="27">$L72+$G72</f>
        <v>#VALUE!</v>
      </c>
      <c r="L72" s="1253">
        <v>0</v>
      </c>
      <c r="M72" s="1253" t="e">
        <f t="shared" ref="M72:M80" si="28">L72-$G72</f>
        <v>#VALUE!</v>
      </c>
      <c r="N72" s="1253" t="e">
        <f t="shared" ref="N72:N80" si="29">M72-$G72</f>
        <v>#VALUE!</v>
      </c>
      <c r="AA72" s="1127"/>
      <c r="AB72" s="1127"/>
      <c r="AC72" s="1127"/>
      <c r="AD72" s="1127"/>
      <c r="AE72" s="1127"/>
      <c r="AF72" s="1127"/>
      <c r="AG72" s="1127"/>
      <c r="AH72" s="1127"/>
      <c r="AI72" s="1127"/>
      <c r="AJ72" s="1127"/>
      <c r="AK72" s="1127"/>
    </row>
    <row r="73" spans="1:37" s="952" customFormat="1" ht="52.8">
      <c r="A73" s="1142" t="s">
        <v>3724</v>
      </c>
      <c r="B73" s="1153" t="str">
        <f>估价对象房地状况!C18</f>
        <v>估价对象周边道路状况、公共交通通达情况、停车便捷程度，综合评价交通便捷度较好</v>
      </c>
      <c r="C73" s="1018" t="s">
        <v>2898</v>
      </c>
      <c r="D73" s="1148" t="e">
        <f t="shared" si="23"/>
        <v>#VALUE!</v>
      </c>
      <c r="E73" s="1285"/>
      <c r="F73" s="1150"/>
      <c r="G73" s="1151" t="str">
        <f t="shared" si="24"/>
        <v>——</v>
      </c>
      <c r="H73" s="1152" t="str">
        <f t="shared" si="25"/>
        <v>——</v>
      </c>
      <c r="I73" s="1252">
        <v>0.26</v>
      </c>
      <c r="J73" s="1253" t="e">
        <f t="shared" si="26"/>
        <v>#VALUE!</v>
      </c>
      <c r="K73" s="1253" t="e">
        <f t="shared" si="27"/>
        <v>#VALUE!</v>
      </c>
      <c r="L73" s="1253">
        <v>0</v>
      </c>
      <c r="M73" s="1253" t="e">
        <f t="shared" si="28"/>
        <v>#VALUE!</v>
      </c>
      <c r="N73" s="1253" t="e">
        <f t="shared" si="29"/>
        <v>#VALUE!</v>
      </c>
      <c r="AA73" s="1127"/>
      <c r="AB73" s="1127"/>
      <c r="AC73" s="1127"/>
      <c r="AD73" s="1127"/>
      <c r="AE73" s="1127"/>
      <c r="AF73" s="1127"/>
      <c r="AG73" s="1127"/>
      <c r="AH73" s="1127"/>
      <c r="AI73" s="1127"/>
      <c r="AJ73" s="1127"/>
      <c r="AK73" s="1127"/>
    </row>
    <row r="74" spans="1:37" s="953" customFormat="1" ht="48">
      <c r="A74" s="1155" t="s">
        <v>3725</v>
      </c>
      <c r="B74" s="1153">
        <f>估价对象房地状况!C19</f>
        <v>0</v>
      </c>
      <c r="C74" s="1018" t="s">
        <v>2898</v>
      </c>
      <c r="D74" s="1148" t="e">
        <f t="shared" si="23"/>
        <v>#VALUE!</v>
      </c>
      <c r="E74" s="1285"/>
      <c r="F74" s="1150"/>
      <c r="G74" s="1151" t="str">
        <f t="shared" si="24"/>
        <v>——</v>
      </c>
      <c r="H74" s="1152" t="str">
        <f t="shared" si="25"/>
        <v>——</v>
      </c>
      <c r="I74" s="1252">
        <v>0.1</v>
      </c>
      <c r="J74" s="1253" t="e">
        <f t="shared" si="26"/>
        <v>#VALUE!</v>
      </c>
      <c r="K74" s="1253" t="e">
        <f t="shared" si="27"/>
        <v>#VALUE!</v>
      </c>
      <c r="L74" s="1253">
        <v>0</v>
      </c>
      <c r="M74" s="1253" t="e">
        <f t="shared" si="28"/>
        <v>#VALUE!</v>
      </c>
      <c r="N74" s="1253" t="e">
        <f t="shared" si="29"/>
        <v>#VALUE!</v>
      </c>
      <c r="O74" s="952"/>
      <c r="P74" s="952"/>
      <c r="Q74" s="952"/>
      <c r="AA74" s="1280"/>
      <c r="AB74" s="1127"/>
      <c r="AC74" s="1127"/>
      <c r="AD74" s="1127"/>
      <c r="AE74" s="1127"/>
      <c r="AF74" s="1127"/>
      <c r="AG74" s="1127"/>
      <c r="AH74" s="1280"/>
      <c r="AI74" s="1280"/>
      <c r="AJ74" s="1280"/>
      <c r="AK74" s="1280"/>
    </row>
    <row r="75" spans="1:37" ht="13.8">
      <c r="A75" s="1142" t="s">
        <v>3739</v>
      </c>
      <c r="B75" s="1153">
        <f>估价对象房地状况!C24</f>
        <v>0</v>
      </c>
      <c r="C75" s="1018" t="s">
        <v>3740</v>
      </c>
      <c r="D75" s="1148" t="e">
        <f t="shared" si="23"/>
        <v>#VALUE!</v>
      </c>
      <c r="E75" s="1285"/>
      <c r="F75" s="1150"/>
      <c r="G75" s="1151" t="str">
        <f t="shared" si="24"/>
        <v>——</v>
      </c>
      <c r="H75" s="1152" t="str">
        <f t="shared" si="25"/>
        <v>——</v>
      </c>
      <c r="I75" s="1252">
        <v>0.05</v>
      </c>
      <c r="J75" s="1253" t="e">
        <f t="shared" si="26"/>
        <v>#VALUE!</v>
      </c>
      <c r="K75" s="1253" t="e">
        <f t="shared" si="27"/>
        <v>#VALUE!</v>
      </c>
      <c r="L75" s="1253">
        <v>0</v>
      </c>
      <c r="M75" s="1253" t="e">
        <f t="shared" si="28"/>
        <v>#VALUE!</v>
      </c>
      <c r="N75" s="1253" t="e">
        <f t="shared" si="29"/>
        <v>#VALUE!</v>
      </c>
      <c r="O75" s="952"/>
      <c r="P75" s="952"/>
      <c r="Q75" s="953"/>
      <c r="Z75" s="956"/>
      <c r="AA75" s="954"/>
      <c r="AG75" s="958"/>
      <c r="AK75" s="954"/>
    </row>
    <row r="76" spans="1:37" ht="26.4">
      <c r="A76" s="1142" t="s">
        <v>3731</v>
      </c>
      <c r="B76" s="577" t="str">
        <f>估价对象房地状况!C21</f>
        <v>估价对象所在区域公共配套设施齐备情况</v>
      </c>
      <c r="C76" s="1018" t="s">
        <v>2900</v>
      </c>
      <c r="D76" s="1148">
        <f t="shared" si="23"/>
        <v>0</v>
      </c>
      <c r="E76" s="1285"/>
      <c r="F76" s="1150"/>
      <c r="G76" s="1151" t="str">
        <f t="shared" si="24"/>
        <v>——</v>
      </c>
      <c r="H76" s="1152" t="str">
        <f t="shared" si="25"/>
        <v>——</v>
      </c>
      <c r="I76" s="1252">
        <v>0.08</v>
      </c>
      <c r="J76" s="1253" t="e">
        <f t="shared" si="26"/>
        <v>#VALUE!</v>
      </c>
      <c r="K76" s="1253" t="e">
        <f t="shared" si="27"/>
        <v>#VALUE!</v>
      </c>
      <c r="L76" s="1253">
        <v>0</v>
      </c>
      <c r="M76" s="1253" t="e">
        <f t="shared" si="28"/>
        <v>#VALUE!</v>
      </c>
      <c r="N76" s="1253" t="e">
        <f t="shared" si="29"/>
        <v>#VALUE!</v>
      </c>
      <c r="O76" s="952"/>
      <c r="P76" s="952"/>
      <c r="Z76" s="956"/>
      <c r="AA76" s="954"/>
      <c r="AG76" s="958"/>
      <c r="AK76" s="954"/>
    </row>
    <row r="77" spans="1:37" ht="26.4">
      <c r="A77" s="1142" t="s">
        <v>3732</v>
      </c>
      <c r="B77" s="577" t="str">
        <f>估价对象房地状况!C22</f>
        <v>估价对象所在区域基础设施水平</v>
      </c>
      <c r="C77" s="1018" t="s">
        <v>3741</v>
      </c>
      <c r="D77" s="1148" t="e">
        <f t="shared" si="23"/>
        <v>#VALUE!</v>
      </c>
      <c r="E77" s="1285"/>
      <c r="F77" s="1150"/>
      <c r="G77" s="1151" t="str">
        <f t="shared" si="24"/>
        <v>——</v>
      </c>
      <c r="H77" s="1152" t="str">
        <f t="shared" si="25"/>
        <v>——</v>
      </c>
      <c r="I77" s="1252">
        <v>0.09</v>
      </c>
      <c r="J77" s="1253" t="e">
        <f t="shared" si="26"/>
        <v>#VALUE!</v>
      </c>
      <c r="K77" s="1253" t="e">
        <f t="shared" si="27"/>
        <v>#VALUE!</v>
      </c>
      <c r="L77" s="1253">
        <v>0</v>
      </c>
      <c r="M77" s="1253" t="e">
        <f t="shared" si="28"/>
        <v>#VALUE!</v>
      </c>
      <c r="N77" s="1253" t="e">
        <f t="shared" si="29"/>
        <v>#VALUE!</v>
      </c>
      <c r="O77" s="952"/>
      <c r="P77" s="952"/>
      <c r="Z77" s="956"/>
      <c r="AA77" s="954"/>
      <c r="AG77" s="958"/>
      <c r="AK77" s="954"/>
    </row>
    <row r="78" spans="1:37" ht="36">
      <c r="A78" s="1142" t="s">
        <v>3729</v>
      </c>
      <c r="B78" s="1157" t="s">
        <v>3730</v>
      </c>
      <c r="C78" s="1018" t="s">
        <v>2898</v>
      </c>
      <c r="D78" s="1148" t="e">
        <f t="shared" si="23"/>
        <v>#VALUE!</v>
      </c>
      <c r="E78" s="1285"/>
      <c r="F78" s="1150"/>
      <c r="G78" s="1151" t="str">
        <f t="shared" si="24"/>
        <v>——</v>
      </c>
      <c r="H78" s="1152" t="str">
        <f t="shared" si="25"/>
        <v>——</v>
      </c>
      <c r="I78" s="1252">
        <v>0.05</v>
      </c>
      <c r="J78" s="1253" t="e">
        <f t="shared" si="26"/>
        <v>#VALUE!</v>
      </c>
      <c r="K78" s="1253" t="e">
        <f t="shared" si="27"/>
        <v>#VALUE!</v>
      </c>
      <c r="L78" s="1253">
        <v>0</v>
      </c>
      <c r="M78" s="1253" t="e">
        <f t="shared" si="28"/>
        <v>#VALUE!</v>
      </c>
      <c r="N78" s="1253" t="e">
        <f t="shared" si="29"/>
        <v>#VALUE!</v>
      </c>
      <c r="O78" s="953"/>
      <c r="P78" s="953"/>
      <c r="Z78" s="956"/>
      <c r="AA78" s="954"/>
      <c r="AG78" s="958"/>
      <c r="AK78" s="954"/>
    </row>
    <row r="79" spans="1:37" ht="39.6">
      <c r="A79" s="1142" t="s">
        <v>3733</v>
      </c>
      <c r="B79" s="1147" t="str">
        <f>估价对象房地状况!C20</f>
        <v>区域自然环境：；人文环境；综合评价环境状况一般</v>
      </c>
      <c r="C79" s="1018" t="s">
        <v>2900</v>
      </c>
      <c r="D79" s="1148">
        <f t="shared" si="23"/>
        <v>0</v>
      </c>
      <c r="E79" s="1285"/>
      <c r="F79" s="1150"/>
      <c r="G79" s="1151" t="str">
        <f t="shared" si="24"/>
        <v>——</v>
      </c>
      <c r="H79" s="1152" t="str">
        <f t="shared" si="25"/>
        <v>——</v>
      </c>
      <c r="I79" s="1252">
        <v>0.12</v>
      </c>
      <c r="J79" s="1253" t="e">
        <f t="shared" si="26"/>
        <v>#VALUE!</v>
      </c>
      <c r="K79" s="1253" t="e">
        <f t="shared" si="27"/>
        <v>#VALUE!</v>
      </c>
      <c r="L79" s="1253">
        <v>0</v>
      </c>
      <c r="M79" s="1253" t="e">
        <f t="shared" si="28"/>
        <v>#VALUE!</v>
      </c>
      <c r="N79" s="1253" t="e">
        <f t="shared" si="29"/>
        <v>#VALUE!</v>
      </c>
      <c r="Z79" s="956"/>
      <c r="AA79" s="954"/>
      <c r="AG79" s="958"/>
      <c r="AK79" s="954"/>
    </row>
    <row r="80" spans="1:37" ht="36">
      <c r="A80" s="1159" t="s">
        <v>3742</v>
      </c>
      <c r="B80" s="1286"/>
      <c r="C80" s="1018" t="s">
        <v>2898</v>
      </c>
      <c r="D80" s="1148" t="e">
        <f t="shared" si="23"/>
        <v>#VALUE!</v>
      </c>
      <c r="E80" s="1287"/>
      <c r="F80" s="1150"/>
      <c r="G80" s="1151" t="str">
        <f t="shared" si="24"/>
        <v>——</v>
      </c>
      <c r="H80" s="1152" t="str">
        <f t="shared" si="25"/>
        <v>——</v>
      </c>
      <c r="I80" s="1254">
        <v>0.05</v>
      </c>
      <c r="J80" s="1253" t="e">
        <f t="shared" si="26"/>
        <v>#VALUE!</v>
      </c>
      <c r="K80" s="1253" t="e">
        <f t="shared" si="27"/>
        <v>#VALUE!</v>
      </c>
      <c r="L80" s="1253">
        <v>0</v>
      </c>
      <c r="M80" s="1253" t="e">
        <f t="shared" si="28"/>
        <v>#VALUE!</v>
      </c>
      <c r="N80" s="1253" t="e">
        <f t="shared" si="29"/>
        <v>#VALUE!</v>
      </c>
      <c r="Z80" s="956"/>
      <c r="AA80" s="954"/>
      <c r="AG80" s="958"/>
      <c r="AK80" s="954"/>
    </row>
    <row r="81" spans="1:37" ht="14.4">
      <c r="A81" s="1136" t="s">
        <v>3743</v>
      </c>
      <c r="B81" s="1137">
        <f>1+E83</f>
        <v>1</v>
      </c>
      <c r="C81" s="1139"/>
      <c r="D81" s="1139"/>
      <c r="E81" s="1140"/>
      <c r="F81" s="1141"/>
      <c r="G81" s="1135"/>
      <c r="H81" s="1135"/>
      <c r="I81" s="1135"/>
      <c r="J81" s="1134"/>
      <c r="K81" s="1134"/>
      <c r="L81" s="1134"/>
      <c r="M81" s="1134"/>
      <c r="N81" s="1134"/>
      <c r="Z81" s="956"/>
      <c r="AA81" s="954"/>
      <c r="AG81" s="958"/>
      <c r="AK81" s="954"/>
    </row>
    <row r="82" spans="1:37" ht="25.2">
      <c r="A82" s="1142" t="s">
        <v>3715</v>
      </c>
      <c r="B82" s="1143"/>
      <c r="C82" s="1143" t="s">
        <v>3717</v>
      </c>
      <c r="D82" s="1143" t="s">
        <v>3718</v>
      </c>
      <c r="E82" s="1144" t="s">
        <v>3719</v>
      </c>
      <c r="F82" s="1145" t="s">
        <v>3735</v>
      </c>
      <c r="G82" s="1143" t="s">
        <v>2957</v>
      </c>
      <c r="H82" s="1146" t="s">
        <v>3721</v>
      </c>
      <c r="I82" s="1143" t="s">
        <v>3722</v>
      </c>
      <c r="J82" s="1251" t="s">
        <v>2933</v>
      </c>
      <c r="K82" s="1251" t="s">
        <v>2934</v>
      </c>
      <c r="L82" s="1251" t="s">
        <v>2935</v>
      </c>
      <c r="M82" s="1251" t="s">
        <v>2936</v>
      </c>
      <c r="N82" s="1251" t="s">
        <v>2937</v>
      </c>
      <c r="Z82" s="956"/>
      <c r="AA82" s="954"/>
      <c r="AG82" s="958"/>
      <c r="AK82" s="954"/>
    </row>
    <row r="83" spans="1:37" ht="39.6">
      <c r="A83" s="1142" t="s">
        <v>3744</v>
      </c>
      <c r="B83" s="1153" t="str">
        <f>估价对象房地状况!G15</f>
        <v>估价对象位于XX开发区，园区建设成熟度XX，产业集聚程度XX</v>
      </c>
      <c r="C83" s="1018"/>
      <c r="D83" s="1148">
        <f t="shared" ref="D83:D90" si="30">SUMIF($J$82:$N$82,C83,J83:N83)</f>
        <v>0</v>
      </c>
      <c r="E83" s="1149">
        <f>ROUND(SUM(D83:D90),4)</f>
        <v>0</v>
      </c>
      <c r="F83" s="1150" t="str">
        <f>IF(E2="工业",SUMIF(L1:L12,G2,N1:N12),"——")</f>
        <v>——</v>
      </c>
      <c r="G83" s="1151"/>
      <c r="H83" s="1152" t="str">
        <f t="shared" ref="H83:H90" si="31">IFERROR(ROUNDDOWN($F$83*I83/2,4),"——")</f>
        <v>——</v>
      </c>
      <c r="I83" s="1252">
        <v>0.26</v>
      </c>
      <c r="J83" s="1253">
        <f t="shared" ref="J83:J90" si="32">K83+$G83</f>
        <v>0</v>
      </c>
      <c r="K83" s="1253">
        <f t="shared" ref="K83:K90" si="33">$L83+$G83</f>
        <v>0</v>
      </c>
      <c r="L83" s="1253">
        <v>0</v>
      </c>
      <c r="M83" s="1253">
        <f t="shared" ref="M83:M90" si="34">L83-$G83</f>
        <v>0</v>
      </c>
      <c r="N83" s="1253">
        <f t="shared" ref="N83:N90" si="35">M83-$G83</f>
        <v>0</v>
      </c>
      <c r="Z83" s="956"/>
      <c r="AA83" s="954"/>
      <c r="AG83" s="958"/>
      <c r="AK83" s="954"/>
    </row>
    <row r="84" spans="1:37" ht="52.8">
      <c r="A84" s="1142" t="s">
        <v>3724</v>
      </c>
      <c r="B84" s="1153" t="str">
        <f>估价对象房地状况!G16</f>
        <v>估价对象周边道路状况、公共交通通达情况、停车便捷程度，综合评价交通便捷度较好</v>
      </c>
      <c r="C84" s="1018"/>
      <c r="D84" s="1148">
        <f t="shared" si="30"/>
        <v>0</v>
      </c>
      <c r="E84" s="1285"/>
      <c r="F84" s="1150"/>
      <c r="G84" s="1151"/>
      <c r="H84" s="1152" t="str">
        <f t="shared" si="31"/>
        <v>——</v>
      </c>
      <c r="I84" s="1252">
        <v>0.3</v>
      </c>
      <c r="J84" s="1253">
        <f t="shared" si="32"/>
        <v>0</v>
      </c>
      <c r="K84" s="1253">
        <f t="shared" si="33"/>
        <v>0</v>
      </c>
      <c r="L84" s="1253">
        <v>0</v>
      </c>
      <c r="M84" s="1253">
        <f t="shared" si="34"/>
        <v>0</v>
      </c>
      <c r="N84" s="1253">
        <f t="shared" si="35"/>
        <v>0</v>
      </c>
      <c r="Z84" s="956"/>
      <c r="AA84" s="954"/>
      <c r="AG84" s="958"/>
      <c r="AK84" s="954"/>
    </row>
    <row r="85" spans="1:37" ht="48">
      <c r="A85" s="1155" t="s">
        <v>3725</v>
      </c>
      <c r="B85" s="1153">
        <f>估价对象房地状况!G17</f>
        <v>0</v>
      </c>
      <c r="C85" s="1018"/>
      <c r="D85" s="1148">
        <f t="shared" si="30"/>
        <v>0</v>
      </c>
      <c r="E85" s="1285"/>
      <c r="F85" s="1150"/>
      <c r="G85" s="1151"/>
      <c r="H85" s="1152" t="str">
        <f t="shared" si="31"/>
        <v>——</v>
      </c>
      <c r="I85" s="1252">
        <v>0.1</v>
      </c>
      <c r="J85" s="1253">
        <f t="shared" si="32"/>
        <v>0</v>
      </c>
      <c r="K85" s="1253">
        <f t="shared" si="33"/>
        <v>0</v>
      </c>
      <c r="L85" s="1253">
        <v>0</v>
      </c>
      <c r="M85" s="1253">
        <f t="shared" si="34"/>
        <v>0</v>
      </c>
      <c r="N85" s="1253">
        <f t="shared" si="35"/>
        <v>0</v>
      </c>
      <c r="Z85" s="956"/>
      <c r="AA85" s="954"/>
      <c r="AG85" s="958"/>
      <c r="AK85" s="954"/>
    </row>
    <row r="86" spans="1:37" ht="13.8">
      <c r="A86" s="1142" t="s">
        <v>3739</v>
      </c>
      <c r="B86" s="1153">
        <f>估价对象房地状况!G22</f>
        <v>0</v>
      </c>
      <c r="C86" s="1018"/>
      <c r="D86" s="1148">
        <f t="shared" si="30"/>
        <v>0</v>
      </c>
      <c r="E86" s="1285"/>
      <c r="F86" s="1150"/>
      <c r="G86" s="1151"/>
      <c r="H86" s="1152" t="str">
        <f t="shared" si="31"/>
        <v>——</v>
      </c>
      <c r="I86" s="1252">
        <v>0.05</v>
      </c>
      <c r="J86" s="1253">
        <f t="shared" si="32"/>
        <v>0</v>
      </c>
      <c r="K86" s="1253">
        <f t="shared" si="33"/>
        <v>0</v>
      </c>
      <c r="L86" s="1253">
        <v>0</v>
      </c>
      <c r="M86" s="1253">
        <f t="shared" si="34"/>
        <v>0</v>
      </c>
      <c r="N86" s="1253">
        <f t="shared" si="35"/>
        <v>0</v>
      </c>
      <c r="Z86" s="956"/>
      <c r="AA86" s="954"/>
      <c r="AG86" s="958"/>
      <c r="AK86" s="954"/>
    </row>
    <row r="87" spans="1:37" ht="26.4">
      <c r="A87" s="1142" t="s">
        <v>3731</v>
      </c>
      <c r="B87" s="577" t="str">
        <f>估价对象房地状况!G19</f>
        <v>估价对象所在区域公共配套设施齐备情况</v>
      </c>
      <c r="C87" s="1018"/>
      <c r="D87" s="1148">
        <f t="shared" si="30"/>
        <v>0</v>
      </c>
      <c r="E87" s="1285"/>
      <c r="F87" s="1150"/>
      <c r="G87" s="1151"/>
      <c r="H87" s="1152" t="str">
        <f t="shared" si="31"/>
        <v>——</v>
      </c>
      <c r="I87" s="1252">
        <v>0.06</v>
      </c>
      <c r="J87" s="1253">
        <f t="shared" si="32"/>
        <v>0</v>
      </c>
      <c r="K87" s="1253">
        <f t="shared" si="33"/>
        <v>0</v>
      </c>
      <c r="L87" s="1253">
        <v>0</v>
      </c>
      <c r="M87" s="1253">
        <f t="shared" si="34"/>
        <v>0</v>
      </c>
      <c r="N87" s="1253">
        <f t="shared" si="35"/>
        <v>0</v>
      </c>
    </row>
    <row r="88" spans="1:37" ht="26.4">
      <c r="A88" s="1142" t="s">
        <v>3732</v>
      </c>
      <c r="B88" s="577" t="str">
        <f>估价对象房地状况!G20</f>
        <v>估价对象所在区域基础设施水平</v>
      </c>
      <c r="C88" s="1018"/>
      <c r="D88" s="1148">
        <f t="shared" si="30"/>
        <v>0</v>
      </c>
      <c r="E88" s="1285"/>
      <c r="F88" s="1150"/>
      <c r="G88" s="1151"/>
      <c r="H88" s="1152" t="str">
        <f t="shared" si="31"/>
        <v>——</v>
      </c>
      <c r="I88" s="1252">
        <v>0.12</v>
      </c>
      <c r="J88" s="1253">
        <f t="shared" si="32"/>
        <v>0</v>
      </c>
      <c r="K88" s="1253">
        <f t="shared" si="33"/>
        <v>0</v>
      </c>
      <c r="L88" s="1253">
        <v>0</v>
      </c>
      <c r="M88" s="1253">
        <f t="shared" si="34"/>
        <v>0</v>
      </c>
      <c r="N88" s="1253">
        <f t="shared" si="35"/>
        <v>0</v>
      </c>
    </row>
    <row r="89" spans="1:37" ht="36">
      <c r="A89" s="1142" t="s">
        <v>3729</v>
      </c>
      <c r="B89" s="1157" t="s">
        <v>3745</v>
      </c>
      <c r="C89" s="1018"/>
      <c r="D89" s="1148">
        <f t="shared" si="30"/>
        <v>0</v>
      </c>
      <c r="E89" s="1285"/>
      <c r="F89" s="1150"/>
      <c r="G89" s="1151"/>
      <c r="H89" s="1152" t="str">
        <f t="shared" si="31"/>
        <v>——</v>
      </c>
      <c r="I89" s="1252">
        <v>0.06</v>
      </c>
      <c r="J89" s="1253">
        <f t="shared" si="32"/>
        <v>0</v>
      </c>
      <c r="K89" s="1253">
        <f t="shared" si="33"/>
        <v>0</v>
      </c>
      <c r="L89" s="1253">
        <v>0</v>
      </c>
      <c r="M89" s="1253">
        <f t="shared" si="34"/>
        <v>0</v>
      </c>
      <c r="N89" s="1253">
        <f t="shared" si="35"/>
        <v>0</v>
      </c>
    </row>
    <row r="90" spans="1:37" ht="39.6">
      <c r="A90" s="1159" t="s">
        <v>3746</v>
      </c>
      <c r="B90" s="1288" t="str">
        <f>估价对象房地状况!G18</f>
        <v>该园区内是否有污染型企业，绿化情况，卫生条件，整体环境状况判断</v>
      </c>
      <c r="C90" s="1018"/>
      <c r="D90" s="1148">
        <f t="shared" si="30"/>
        <v>0</v>
      </c>
      <c r="E90" s="1287"/>
      <c r="F90" s="1150"/>
      <c r="G90" s="1151"/>
      <c r="H90" s="1152" t="str">
        <f t="shared" si="31"/>
        <v>——</v>
      </c>
      <c r="I90" s="1254">
        <v>0.05</v>
      </c>
      <c r="J90" s="1253">
        <f t="shared" si="32"/>
        <v>0</v>
      </c>
      <c r="K90" s="1253">
        <f t="shared" si="33"/>
        <v>0</v>
      </c>
      <c r="L90" s="1253">
        <v>0</v>
      </c>
      <c r="M90" s="1253">
        <f t="shared" si="34"/>
        <v>0</v>
      </c>
      <c r="N90" s="1253">
        <f t="shared" si="35"/>
        <v>0</v>
      </c>
    </row>
    <row r="91" spans="1:37" ht="13.8">
      <c r="A91" s="1289" t="s">
        <v>280</v>
      </c>
      <c r="B91" s="1290">
        <f>1+E93</f>
        <v>1</v>
      </c>
      <c r="C91" s="1291"/>
      <c r="D91" s="1292"/>
      <c r="E91" s="1150"/>
      <c r="F91" s="1150"/>
      <c r="G91" s="1293"/>
      <c r="H91" s="1294"/>
      <c r="I91" s="1328"/>
      <c r="J91" s="1329"/>
      <c r="K91" s="1329"/>
      <c r="L91" s="1329"/>
      <c r="M91" s="1329"/>
      <c r="N91" s="1329"/>
    </row>
    <row r="92" spans="1:37" ht="25.2">
      <c r="A92" s="1295" t="s">
        <v>3715</v>
      </c>
      <c r="B92" s="1296"/>
      <c r="C92" s="1296" t="s">
        <v>3717</v>
      </c>
      <c r="D92" s="1296" t="s">
        <v>3718</v>
      </c>
      <c r="E92" s="1265" t="s">
        <v>3719</v>
      </c>
      <c r="F92" s="1297" t="s">
        <v>3735</v>
      </c>
      <c r="G92" s="1296" t="s">
        <v>2957</v>
      </c>
      <c r="H92" s="1298" t="s">
        <v>3721</v>
      </c>
      <c r="I92" s="1296" t="s">
        <v>3722</v>
      </c>
      <c r="J92" s="1330" t="s">
        <v>2933</v>
      </c>
      <c r="K92" s="1330" t="s">
        <v>2934</v>
      </c>
      <c r="L92" s="1330" t="s">
        <v>2935</v>
      </c>
      <c r="M92" s="1330" t="s">
        <v>2936</v>
      </c>
      <c r="N92" s="1330" t="s">
        <v>2937</v>
      </c>
    </row>
    <row r="93" spans="1:37" ht="24">
      <c r="A93" s="1155" t="s">
        <v>3747</v>
      </c>
      <c r="B93" s="609"/>
      <c r="C93" s="1018"/>
      <c r="D93" s="1296">
        <f>SUMIF($J$92:$N$92,C93,J93:N93)</f>
        <v>0</v>
      </c>
      <c r="E93" s="1299">
        <f>ROUND(SUM(D93:D101),4)</f>
        <v>0</v>
      </c>
      <c r="F93" s="1150" t="str">
        <f>IF(E2="公共服务",SUMIF(L1:L12,G2,N1:N12),"——")</f>
        <v>——</v>
      </c>
      <c r="G93" s="1293"/>
      <c r="H93" s="1300" t="str">
        <f t="shared" ref="H93:H101" si="36">IFERROR(ROUNDDOWN($F$93*I93/2,4),"——")</f>
        <v>——</v>
      </c>
      <c r="I93" s="1252">
        <v>0.25</v>
      </c>
      <c r="J93" s="1075">
        <f t="shared" ref="J93:J101" si="37">K93+$G93</f>
        <v>0</v>
      </c>
      <c r="K93" s="1075">
        <f t="shared" ref="K93:K101" si="38">$L93+$G93</f>
        <v>0</v>
      </c>
      <c r="L93" s="1075">
        <v>0</v>
      </c>
      <c r="M93" s="1075">
        <f t="shared" ref="M93:M101" si="39">L93-$G93</f>
        <v>0</v>
      </c>
      <c r="N93" s="1075">
        <f t="shared" ref="N93:N101" si="40">M93-$G93</f>
        <v>0</v>
      </c>
    </row>
    <row r="94" spans="1:37" ht="52.8">
      <c r="A94" s="1295" t="s">
        <v>3724</v>
      </c>
      <c r="B94" s="1301" t="str">
        <f>估价对象房地状况!C18</f>
        <v>估价对象周边道路状况、公共交通通达情况、停车便捷程度，综合评价交通便捷度较好</v>
      </c>
      <c r="C94" s="1018"/>
      <c r="D94" s="1296">
        <f t="shared" ref="D94:D101" si="41">SUMIF($J$60:$N$60,C94,J94:N94)</f>
        <v>0</v>
      </c>
      <c r="E94" s="1302"/>
      <c r="F94" s="1150"/>
      <c r="G94" s="1293"/>
      <c r="H94" s="1300" t="str">
        <f t="shared" si="36"/>
        <v>——</v>
      </c>
      <c r="I94" s="1252">
        <v>0.26</v>
      </c>
      <c r="J94" s="1075">
        <f t="shared" si="37"/>
        <v>0</v>
      </c>
      <c r="K94" s="1075">
        <f t="shared" si="38"/>
        <v>0</v>
      </c>
      <c r="L94" s="1075">
        <v>0</v>
      </c>
      <c r="M94" s="1075">
        <f t="shared" si="39"/>
        <v>0</v>
      </c>
      <c r="N94" s="1075">
        <f t="shared" si="40"/>
        <v>0</v>
      </c>
    </row>
    <row r="95" spans="1:37" ht="48">
      <c r="A95" s="1155" t="s">
        <v>3725</v>
      </c>
      <c r="B95" s="1301">
        <f>估价对象房地状况!C19</f>
        <v>0</v>
      </c>
      <c r="C95" s="1018"/>
      <c r="D95" s="1296">
        <f t="shared" si="41"/>
        <v>0</v>
      </c>
      <c r="E95" s="1302"/>
      <c r="F95" s="1150"/>
      <c r="G95" s="1293"/>
      <c r="H95" s="1300" t="str">
        <f t="shared" si="36"/>
        <v>——</v>
      </c>
      <c r="I95" s="1252">
        <v>0.11</v>
      </c>
      <c r="J95" s="1075">
        <f t="shared" si="37"/>
        <v>0</v>
      </c>
      <c r="K95" s="1075">
        <f t="shared" si="38"/>
        <v>0</v>
      </c>
      <c r="L95" s="1075">
        <v>0</v>
      </c>
      <c r="M95" s="1075">
        <f t="shared" si="39"/>
        <v>0</v>
      </c>
      <c r="N95" s="1075">
        <f t="shared" si="40"/>
        <v>0</v>
      </c>
    </row>
    <row r="96" spans="1:37" ht="37.200000000000003">
      <c r="A96" s="1295" t="s">
        <v>3726</v>
      </c>
      <c r="B96" s="1303" t="s">
        <v>3727</v>
      </c>
      <c r="C96" s="1018"/>
      <c r="D96" s="1296">
        <f t="shared" si="41"/>
        <v>0</v>
      </c>
      <c r="E96" s="1302"/>
      <c r="F96" s="1150"/>
      <c r="G96" s="1293"/>
      <c r="H96" s="1300" t="str">
        <f t="shared" si="36"/>
        <v>——</v>
      </c>
      <c r="I96" s="1252">
        <v>0.05</v>
      </c>
      <c r="J96" s="1075">
        <f t="shared" si="37"/>
        <v>0</v>
      </c>
      <c r="K96" s="1075">
        <f t="shared" si="38"/>
        <v>0</v>
      </c>
      <c r="L96" s="1075">
        <v>0</v>
      </c>
      <c r="M96" s="1075">
        <f t="shared" si="39"/>
        <v>0</v>
      </c>
      <c r="N96" s="1075">
        <f t="shared" si="40"/>
        <v>0</v>
      </c>
    </row>
    <row r="97" spans="1:14" ht="24">
      <c r="A97" s="1295" t="s">
        <v>3728</v>
      </c>
      <c r="B97" s="1301">
        <f>估价对象房地状况!C24</f>
        <v>0</v>
      </c>
      <c r="C97" s="1018"/>
      <c r="D97" s="1296">
        <f t="shared" si="41"/>
        <v>0</v>
      </c>
      <c r="E97" s="1302"/>
      <c r="F97" s="1150"/>
      <c r="G97" s="1293"/>
      <c r="H97" s="1300" t="str">
        <f t="shared" si="36"/>
        <v>——</v>
      </c>
      <c r="I97" s="1252">
        <v>0.05</v>
      </c>
      <c r="J97" s="1075">
        <f t="shared" si="37"/>
        <v>0</v>
      </c>
      <c r="K97" s="1075">
        <f t="shared" si="38"/>
        <v>0</v>
      </c>
      <c r="L97" s="1075">
        <v>0</v>
      </c>
      <c r="M97" s="1075">
        <f t="shared" si="39"/>
        <v>0</v>
      </c>
      <c r="N97" s="1075">
        <f t="shared" si="40"/>
        <v>0</v>
      </c>
    </row>
    <row r="98" spans="1:14" ht="36">
      <c r="A98" s="1295" t="s">
        <v>3729</v>
      </c>
      <c r="B98" s="1304" t="s">
        <v>3730</v>
      </c>
      <c r="C98" s="1018"/>
      <c r="D98" s="1296">
        <f t="shared" si="41"/>
        <v>0</v>
      </c>
      <c r="E98" s="1302"/>
      <c r="F98" s="1150"/>
      <c r="G98" s="1293"/>
      <c r="H98" s="1300" t="str">
        <f t="shared" si="36"/>
        <v>——</v>
      </c>
      <c r="I98" s="1252">
        <v>0.06</v>
      </c>
      <c r="J98" s="1075">
        <f t="shared" si="37"/>
        <v>0</v>
      </c>
      <c r="K98" s="1075">
        <f t="shared" si="38"/>
        <v>0</v>
      </c>
      <c r="L98" s="1075">
        <v>0</v>
      </c>
      <c r="M98" s="1075">
        <f t="shared" si="39"/>
        <v>0</v>
      </c>
      <c r="N98" s="1075">
        <f t="shared" si="40"/>
        <v>0</v>
      </c>
    </row>
    <row r="99" spans="1:14" ht="26.4">
      <c r="A99" s="1295" t="s">
        <v>3731</v>
      </c>
      <c r="B99" s="1301" t="str">
        <f>估价对象房地状况!C21</f>
        <v>估价对象所在区域公共配套设施齐备情况</v>
      </c>
      <c r="C99" s="1018"/>
      <c r="D99" s="1296">
        <f t="shared" si="41"/>
        <v>0</v>
      </c>
      <c r="E99" s="1302"/>
      <c r="F99" s="1150"/>
      <c r="G99" s="1293"/>
      <c r="H99" s="1300" t="str">
        <f t="shared" si="36"/>
        <v>——</v>
      </c>
      <c r="I99" s="1252">
        <v>0.06</v>
      </c>
      <c r="J99" s="1075">
        <f t="shared" si="37"/>
        <v>0</v>
      </c>
      <c r="K99" s="1075">
        <f t="shared" si="38"/>
        <v>0</v>
      </c>
      <c r="L99" s="1075">
        <v>0</v>
      </c>
      <c r="M99" s="1075">
        <f t="shared" si="39"/>
        <v>0</v>
      </c>
      <c r="N99" s="1075">
        <f t="shared" si="40"/>
        <v>0</v>
      </c>
    </row>
    <row r="100" spans="1:14" ht="26.4">
      <c r="A100" s="1295" t="s">
        <v>3732</v>
      </c>
      <c r="B100" s="1301" t="str">
        <f>估价对象房地状况!C22</f>
        <v>估价对象所在区域基础设施水平</v>
      </c>
      <c r="C100" s="1018"/>
      <c r="D100" s="1296">
        <f t="shared" si="41"/>
        <v>0</v>
      </c>
      <c r="E100" s="1302"/>
      <c r="F100" s="1150"/>
      <c r="G100" s="1293"/>
      <c r="H100" s="1300" t="str">
        <f t="shared" si="36"/>
        <v>——</v>
      </c>
      <c r="I100" s="1252">
        <v>0.09</v>
      </c>
      <c r="J100" s="1075">
        <f t="shared" si="37"/>
        <v>0</v>
      </c>
      <c r="K100" s="1075">
        <f t="shared" si="38"/>
        <v>0</v>
      </c>
      <c r="L100" s="1075">
        <v>0</v>
      </c>
      <c r="M100" s="1075">
        <f t="shared" si="39"/>
        <v>0</v>
      </c>
      <c r="N100" s="1075">
        <f t="shared" si="40"/>
        <v>0</v>
      </c>
    </row>
    <row r="101" spans="1:14" ht="39.6">
      <c r="A101" s="1305" t="s">
        <v>3733</v>
      </c>
      <c r="B101" s="1306" t="str">
        <f>估价对象房地状况!C20</f>
        <v>区域自然环境：；人文环境；综合评价环境状况一般</v>
      </c>
      <c r="C101" s="1018"/>
      <c r="D101" s="1296">
        <f t="shared" si="41"/>
        <v>0</v>
      </c>
      <c r="E101" s="1307"/>
      <c r="F101" s="1150"/>
      <c r="G101" s="1293"/>
      <c r="H101" s="1300" t="str">
        <f t="shared" si="36"/>
        <v>——</v>
      </c>
      <c r="I101" s="1254">
        <v>7.0000000000000007E-2</v>
      </c>
      <c r="J101" s="1075">
        <f t="shared" si="37"/>
        <v>0</v>
      </c>
      <c r="K101" s="1075">
        <f t="shared" si="38"/>
        <v>0</v>
      </c>
      <c r="L101" s="1075">
        <v>0</v>
      </c>
      <c r="M101" s="1075">
        <f t="shared" si="39"/>
        <v>0</v>
      </c>
      <c r="N101" s="1075">
        <f t="shared" si="40"/>
        <v>0</v>
      </c>
    </row>
    <row r="103" spans="1:14">
      <c r="A103" s="3764" t="s">
        <v>3748</v>
      </c>
      <c r="B103" s="3764"/>
      <c r="C103" s="3764"/>
      <c r="D103" s="3764"/>
      <c r="E103" s="3764"/>
      <c r="F103" s="3764"/>
      <c r="G103" s="3764"/>
      <c r="H103" s="3764"/>
      <c r="I103" s="3764"/>
      <c r="J103" s="3764"/>
      <c r="K103" s="1308"/>
      <c r="L103" s="1308"/>
      <c r="M103" s="1308"/>
      <c r="N103" s="1308"/>
    </row>
    <row r="104" spans="1:14">
      <c r="A104" s="3770" t="s">
        <v>3749</v>
      </c>
      <c r="B104" s="3770" t="s">
        <v>3750</v>
      </c>
      <c r="C104" s="1310" t="s">
        <v>3751</v>
      </c>
      <c r="D104" s="1311"/>
      <c r="E104" s="1311"/>
      <c r="F104" s="1311"/>
      <c r="G104" s="1311"/>
      <c r="H104" s="1311"/>
      <c r="I104" s="1311"/>
      <c r="J104" s="1331"/>
      <c r="K104" s="1332"/>
      <c r="L104" s="1332"/>
      <c r="M104" s="1332"/>
      <c r="N104" s="1332"/>
    </row>
    <row r="105" spans="1:14">
      <c r="A105" s="3770"/>
      <c r="B105" s="3770"/>
      <c r="C105" s="1309" t="s">
        <v>3597</v>
      </c>
      <c r="D105" s="1309" t="s">
        <v>3598</v>
      </c>
      <c r="E105" s="1309" t="s">
        <v>3599</v>
      </c>
      <c r="F105" s="1309" t="s">
        <v>3600</v>
      </c>
      <c r="G105" s="1309" t="s">
        <v>3601</v>
      </c>
      <c r="H105" s="1309" t="s">
        <v>3602</v>
      </c>
      <c r="I105" s="1309" t="s">
        <v>3603</v>
      </c>
      <c r="J105" s="1309" t="s">
        <v>3604</v>
      </c>
      <c r="K105" s="1309" t="s">
        <v>3605</v>
      </c>
      <c r="L105" s="1309" t="s">
        <v>3606</v>
      </c>
      <c r="M105" s="1309" t="s">
        <v>3607</v>
      </c>
      <c r="N105" s="1309" t="s">
        <v>3608</v>
      </c>
    </row>
    <row r="106" spans="1:14">
      <c r="A106" s="3771" t="s">
        <v>3752</v>
      </c>
      <c r="B106" s="1309">
        <v>1</v>
      </c>
      <c r="C106" s="1309">
        <v>1.5206</v>
      </c>
      <c r="D106" s="1309">
        <v>1.5206</v>
      </c>
      <c r="E106" s="1309">
        <v>1.5019</v>
      </c>
      <c r="F106" s="1309">
        <v>1.5019</v>
      </c>
      <c r="G106" s="1309">
        <v>1.5019</v>
      </c>
      <c r="H106" s="1309">
        <v>1.5019</v>
      </c>
      <c r="I106" s="1309">
        <v>1.5019</v>
      </c>
      <c r="J106" s="1309">
        <v>1.5418000000000001</v>
      </c>
      <c r="K106" s="1309">
        <v>1.5418000000000001</v>
      </c>
      <c r="L106" s="1309">
        <v>1.5418000000000001</v>
      </c>
      <c r="M106" s="1309">
        <v>1.5418000000000001</v>
      </c>
      <c r="N106" s="1309">
        <v>1.5418000000000001</v>
      </c>
    </row>
    <row r="107" spans="1:14">
      <c r="A107" s="3772"/>
      <c r="B107" s="1309">
        <v>2</v>
      </c>
      <c r="C107" s="1309">
        <v>1.2072000000000001</v>
      </c>
      <c r="D107" s="1309">
        <v>1.2072000000000001</v>
      </c>
      <c r="E107" s="1309">
        <v>1.1838</v>
      </c>
      <c r="F107" s="1309">
        <v>1.1838</v>
      </c>
      <c r="G107" s="1309">
        <v>1.1838</v>
      </c>
      <c r="H107" s="1309">
        <v>1.1838</v>
      </c>
      <c r="I107" s="1309">
        <v>1.1838</v>
      </c>
      <c r="J107" s="1309">
        <v>1.1883999999999999</v>
      </c>
      <c r="K107" s="1309">
        <v>1.1883999999999999</v>
      </c>
      <c r="L107" s="1309">
        <v>1.1883999999999999</v>
      </c>
      <c r="M107" s="1309">
        <v>1.1883999999999999</v>
      </c>
      <c r="N107" s="1309">
        <v>1.1883999999999999</v>
      </c>
    </row>
    <row r="108" spans="1:14">
      <c r="A108" s="3772"/>
      <c r="B108" s="1309">
        <v>3</v>
      </c>
      <c r="C108" s="1309">
        <v>1.0430999999999999</v>
      </c>
      <c r="D108" s="1309">
        <v>1.0430999999999999</v>
      </c>
      <c r="E108" s="1309">
        <v>1.0004999999999999</v>
      </c>
      <c r="F108" s="1309">
        <v>1.0004999999999999</v>
      </c>
      <c r="G108" s="1309">
        <v>1.0004999999999999</v>
      </c>
      <c r="H108" s="1309">
        <v>1.0004999999999999</v>
      </c>
      <c r="I108" s="1309">
        <v>1.0004999999999999</v>
      </c>
      <c r="J108" s="1309">
        <v>0.96940000000000004</v>
      </c>
      <c r="K108" s="1309">
        <v>0.96940000000000004</v>
      </c>
      <c r="L108" s="1309">
        <v>0.96940000000000004</v>
      </c>
      <c r="M108" s="1309">
        <v>0.96940000000000004</v>
      </c>
      <c r="N108" s="1309">
        <v>0.96940000000000004</v>
      </c>
    </row>
    <row r="109" spans="1:14">
      <c r="A109" s="3772"/>
      <c r="B109" s="1309">
        <v>4</v>
      </c>
      <c r="C109" s="1309">
        <v>0.94389999999999996</v>
      </c>
      <c r="D109" s="1309">
        <v>0.94389999999999996</v>
      </c>
      <c r="E109" s="1309">
        <v>0.88239999999999996</v>
      </c>
      <c r="F109" s="1309">
        <v>0.88239999999999996</v>
      </c>
      <c r="G109" s="1309">
        <v>0.88239999999999996</v>
      </c>
      <c r="H109" s="1309">
        <v>0.88239999999999996</v>
      </c>
      <c r="I109" s="1309">
        <v>0.88239999999999996</v>
      </c>
      <c r="J109" s="1309">
        <v>0.82299999999999995</v>
      </c>
      <c r="K109" s="1309">
        <v>0.82299999999999995</v>
      </c>
      <c r="L109" s="1309">
        <v>0.82299999999999995</v>
      </c>
      <c r="M109" s="1309">
        <v>0.82299999999999995</v>
      </c>
      <c r="N109" s="1309">
        <v>0.82299999999999995</v>
      </c>
    </row>
    <row r="110" spans="1:14">
      <c r="A110" s="3772"/>
      <c r="B110" s="1309">
        <v>5</v>
      </c>
      <c r="C110" s="1309">
        <v>0.89959999999999996</v>
      </c>
      <c r="D110" s="1309">
        <v>0.89959999999999996</v>
      </c>
      <c r="E110" s="1309">
        <v>0.84799999999999998</v>
      </c>
      <c r="F110" s="1309">
        <v>0.84799999999999998</v>
      </c>
      <c r="G110" s="1309">
        <v>0.84799999999999998</v>
      </c>
      <c r="H110" s="1309">
        <v>0.84799999999999998</v>
      </c>
      <c r="I110" s="1309">
        <v>0.84799999999999998</v>
      </c>
      <c r="J110" s="1309">
        <v>0.74980000000000002</v>
      </c>
      <c r="K110" s="1309">
        <v>0.74980000000000002</v>
      </c>
      <c r="L110" s="1309">
        <v>0.74980000000000002</v>
      </c>
      <c r="M110" s="1309">
        <v>0.74980000000000002</v>
      </c>
      <c r="N110" s="1309">
        <v>0.74980000000000002</v>
      </c>
    </row>
    <row r="111" spans="1:14">
      <c r="A111" s="3772"/>
      <c r="B111" s="1309" t="s">
        <v>3613</v>
      </c>
      <c r="C111" s="1312">
        <f t="shared" ref="C111:N111" si="42">$I$3</f>
        <v>0</v>
      </c>
      <c r="D111" s="1312">
        <f t="shared" si="42"/>
        <v>0</v>
      </c>
      <c r="E111" s="1312">
        <f t="shared" si="42"/>
        <v>0</v>
      </c>
      <c r="F111" s="1312">
        <f t="shared" si="42"/>
        <v>0</v>
      </c>
      <c r="G111" s="1312">
        <f t="shared" si="42"/>
        <v>0</v>
      </c>
      <c r="H111" s="1312">
        <f t="shared" si="42"/>
        <v>0</v>
      </c>
      <c r="I111" s="1312">
        <f t="shared" si="42"/>
        <v>0</v>
      </c>
      <c r="J111" s="1312">
        <f t="shared" si="42"/>
        <v>0</v>
      </c>
      <c r="K111" s="1312">
        <f t="shared" si="42"/>
        <v>0</v>
      </c>
      <c r="L111" s="1312">
        <f t="shared" si="42"/>
        <v>0</v>
      </c>
      <c r="M111" s="1312">
        <f t="shared" si="42"/>
        <v>0</v>
      </c>
      <c r="N111" s="1312">
        <f t="shared" si="42"/>
        <v>0</v>
      </c>
    </row>
    <row r="112" spans="1:14">
      <c r="A112" s="3773"/>
      <c r="B112" s="1309">
        <v>6</v>
      </c>
      <c r="C112" s="1298">
        <f>(-0.5556*(C111^2)-0.2719*C111+8944)*(10^(-4))</f>
        <v>0.89439999999999997</v>
      </c>
      <c r="D112" s="1298">
        <f>(-0.5556*(D111^2)-0.2719*D111+8944)*(10^(-4))</f>
        <v>0.89439999999999997</v>
      </c>
      <c r="E112" s="1298">
        <f t="shared" ref="E112:I112" si="43">(-0.7912*(E111^2)-11.3794*E111+8482)*(10^(-4))</f>
        <v>0.84819999999999995</v>
      </c>
      <c r="F112" s="1298">
        <f t="shared" si="43"/>
        <v>0.84819999999999995</v>
      </c>
      <c r="G112" s="1298">
        <f t="shared" si="43"/>
        <v>0.84819999999999995</v>
      </c>
      <c r="H112" s="1298">
        <f t="shared" si="43"/>
        <v>0.84819999999999995</v>
      </c>
      <c r="I112" s="1298">
        <f t="shared" si="43"/>
        <v>0.84819999999999995</v>
      </c>
      <c r="J112" s="1298">
        <f t="shared" ref="J112:N112" si="44">(-0.989*(J111^2)-63.78*J111+7771)*(10^(-4))</f>
        <v>0.77710000000000001</v>
      </c>
      <c r="K112" s="1298">
        <f t="shared" si="44"/>
        <v>0.77710000000000001</v>
      </c>
      <c r="L112" s="1298">
        <f t="shared" si="44"/>
        <v>0.77710000000000001</v>
      </c>
      <c r="M112" s="1298">
        <f t="shared" si="44"/>
        <v>0.77710000000000001</v>
      </c>
      <c r="N112" s="1298">
        <f t="shared" si="44"/>
        <v>0.77710000000000001</v>
      </c>
    </row>
    <row r="113" spans="1:14">
      <c r="A113" s="3765" t="s">
        <v>3753</v>
      </c>
      <c r="B113" s="3765"/>
      <c r="C113" s="3765"/>
      <c r="D113" s="3765"/>
      <c r="E113" s="3765"/>
      <c r="F113" s="3765"/>
      <c r="G113" s="3765"/>
      <c r="H113" s="3765"/>
      <c r="I113" s="3765"/>
      <c r="J113" s="3765"/>
      <c r="K113" s="1313"/>
      <c r="L113" s="1313"/>
      <c r="M113" s="1313"/>
      <c r="N113" s="1313"/>
    </row>
    <row r="114" spans="1:14">
      <c r="A114" s="1314"/>
      <c r="B114" s="1314"/>
      <c r="C114" s="1314"/>
      <c r="D114" s="1314"/>
      <c r="E114" s="1314"/>
      <c r="F114" s="1314"/>
      <c r="G114" s="1314"/>
      <c r="H114" s="1314"/>
      <c r="I114" s="1314"/>
      <c r="J114" s="1314"/>
      <c r="K114" s="1237"/>
      <c r="L114" s="1314"/>
      <c r="M114" s="1314"/>
      <c r="N114" s="1314"/>
    </row>
    <row r="115" spans="1:14">
      <c r="A115" s="1314"/>
      <c r="B115" s="1314"/>
      <c r="C115" s="1314"/>
      <c r="D115" s="1314"/>
      <c r="E115" s="1314"/>
      <c r="F115" s="1314"/>
      <c r="G115" s="1314"/>
      <c r="H115" s="1314"/>
      <c r="I115" s="1314"/>
      <c r="J115" s="1314"/>
      <c r="K115" s="1237"/>
      <c r="L115" s="1314"/>
      <c r="M115" s="1314"/>
      <c r="N115" s="1314"/>
    </row>
    <row r="116" spans="1:14" ht="25.2">
      <c r="A116" s="1315" t="s">
        <v>3754</v>
      </c>
      <c r="B116" s="1316">
        <f>G3</f>
        <v>2.8</v>
      </c>
      <c r="C116" s="1317" t="s">
        <v>3755</v>
      </c>
      <c r="D116" s="1318">
        <f>SUMPRODUCT((A118:A122=F116)*(B117:M117=H116)*B118:M122)</f>
        <v>0.90980000000000005</v>
      </c>
      <c r="E116" s="961" t="s">
        <v>3570</v>
      </c>
      <c r="F116" s="1319" t="str">
        <f>E2</f>
        <v>商业</v>
      </c>
      <c r="G116" s="961" t="s">
        <v>3571</v>
      </c>
      <c r="H116" s="1319" t="str">
        <f>G2</f>
        <v>四级</v>
      </c>
      <c r="I116" s="961"/>
      <c r="J116" s="1333"/>
      <c r="K116" s="1333"/>
      <c r="L116" s="1333"/>
      <c r="M116" s="1333"/>
      <c r="N116" s="1314"/>
    </row>
    <row r="117" spans="1:14">
      <c r="A117" s="1320"/>
      <c r="B117" s="1321" t="s">
        <v>3756</v>
      </c>
      <c r="C117" s="1321" t="s">
        <v>3757</v>
      </c>
      <c r="D117" s="1321" t="s">
        <v>3758</v>
      </c>
      <c r="E117" s="1322" t="s">
        <v>3759</v>
      </c>
      <c r="F117" s="1322" t="s">
        <v>3760</v>
      </c>
      <c r="G117" s="1322" t="s">
        <v>3761</v>
      </c>
      <c r="H117" s="1323" t="s">
        <v>3762</v>
      </c>
      <c r="I117" s="1323" t="s">
        <v>3763</v>
      </c>
      <c r="J117" s="1334" t="s">
        <v>3764</v>
      </c>
      <c r="K117" s="1334" t="s">
        <v>3765</v>
      </c>
      <c r="L117" s="1334" t="s">
        <v>3766</v>
      </c>
      <c r="M117" s="1335" t="s">
        <v>3767</v>
      </c>
      <c r="N117" s="1314"/>
    </row>
    <row r="118" spans="1:14">
      <c r="A118" s="1324" t="s">
        <v>3684</v>
      </c>
      <c r="B118" s="1298">
        <f>ROUND(0.9968-0.011*B116,4)</f>
        <v>0.96599999999999997</v>
      </c>
      <c r="C118" s="1298">
        <f t="shared" ref="C118:H118" si="45">B118</f>
        <v>0.96599999999999997</v>
      </c>
      <c r="D118" s="1298">
        <f>ROUND(0.949-0.014*B116,4)</f>
        <v>0.90980000000000005</v>
      </c>
      <c r="E118" s="1298">
        <f t="shared" si="45"/>
        <v>0.90980000000000005</v>
      </c>
      <c r="F118" s="1298">
        <f t="shared" si="45"/>
        <v>0.90980000000000005</v>
      </c>
      <c r="G118" s="1298">
        <f t="shared" si="45"/>
        <v>0.90980000000000005</v>
      </c>
      <c r="H118" s="1298">
        <f t="shared" si="45"/>
        <v>0.90980000000000005</v>
      </c>
      <c r="I118" s="1298">
        <f>ROUND(0.8486-0.018*B116,4)</f>
        <v>0.79820000000000002</v>
      </c>
      <c r="J118" s="1298">
        <f t="shared" ref="J118:M118" si="46">I118</f>
        <v>0.79820000000000002</v>
      </c>
      <c r="K118" s="1298">
        <f t="shared" si="46"/>
        <v>0.79820000000000002</v>
      </c>
      <c r="L118" s="1298">
        <f t="shared" si="46"/>
        <v>0.79820000000000002</v>
      </c>
      <c r="M118" s="1336">
        <f t="shared" si="46"/>
        <v>0.79820000000000002</v>
      </c>
      <c r="N118" s="1314"/>
    </row>
    <row r="119" spans="1:14">
      <c r="A119" s="1324" t="s">
        <v>3685</v>
      </c>
      <c r="B119" s="1298">
        <f>ROUND(0.993-0.0112*B116,4)</f>
        <v>0.96160000000000001</v>
      </c>
      <c r="C119" s="1298">
        <f t="shared" ref="C119:H119" si="47">B119</f>
        <v>0.96160000000000001</v>
      </c>
      <c r="D119" s="1298">
        <f>ROUND(0.9415-0.0142*B116,4)</f>
        <v>0.90169999999999995</v>
      </c>
      <c r="E119" s="1298">
        <f t="shared" si="47"/>
        <v>0.90169999999999995</v>
      </c>
      <c r="F119" s="1298">
        <f t="shared" si="47"/>
        <v>0.90169999999999995</v>
      </c>
      <c r="G119" s="1298">
        <f t="shared" si="47"/>
        <v>0.90169999999999995</v>
      </c>
      <c r="H119" s="1298">
        <f t="shared" si="47"/>
        <v>0.90169999999999995</v>
      </c>
      <c r="I119" s="1298">
        <f>ROUND(0.838-0.0182*B116,4)</f>
        <v>0.78700000000000003</v>
      </c>
      <c r="J119" s="1298">
        <f t="shared" ref="J119:M119" si="48">I119</f>
        <v>0.78700000000000003</v>
      </c>
      <c r="K119" s="1298">
        <f t="shared" si="48"/>
        <v>0.78700000000000003</v>
      </c>
      <c r="L119" s="1298">
        <f t="shared" si="48"/>
        <v>0.78700000000000003</v>
      </c>
      <c r="M119" s="1336">
        <f t="shared" si="48"/>
        <v>0.78700000000000003</v>
      </c>
      <c r="N119" s="1314"/>
    </row>
    <row r="120" spans="1:14">
      <c r="A120" s="1324" t="s">
        <v>3686</v>
      </c>
      <c r="B120" s="1298">
        <f>ROUND(0.9448-0.0115*B116,4)</f>
        <v>0.91259999999999997</v>
      </c>
      <c r="C120" s="1298">
        <f t="shared" ref="C120:H120" si="49">B120</f>
        <v>0.91259999999999997</v>
      </c>
      <c r="D120" s="1298">
        <f>ROUND(0.937-0.0145*B116,4)</f>
        <v>0.89639999999999997</v>
      </c>
      <c r="E120" s="1298">
        <f t="shared" si="49"/>
        <v>0.89639999999999997</v>
      </c>
      <c r="F120" s="1298">
        <f t="shared" si="49"/>
        <v>0.89639999999999997</v>
      </c>
      <c r="G120" s="1298">
        <f t="shared" si="49"/>
        <v>0.89639999999999997</v>
      </c>
      <c r="H120" s="1298">
        <f t="shared" si="49"/>
        <v>0.89639999999999997</v>
      </c>
      <c r="I120" s="1298">
        <f>ROUND(0.7965-0.0185*B116,4)</f>
        <v>0.74470000000000003</v>
      </c>
      <c r="J120" s="1298">
        <f t="shared" ref="J120:M120" si="50">I120</f>
        <v>0.74470000000000003</v>
      </c>
      <c r="K120" s="1298">
        <f t="shared" si="50"/>
        <v>0.74470000000000003</v>
      </c>
      <c r="L120" s="1298">
        <f t="shared" si="50"/>
        <v>0.74470000000000003</v>
      </c>
      <c r="M120" s="1336">
        <f t="shared" si="50"/>
        <v>0.74470000000000003</v>
      </c>
      <c r="N120" s="1314"/>
    </row>
    <row r="121" spans="1:14">
      <c r="A121" s="1325" t="s">
        <v>3687</v>
      </c>
      <c r="B121" s="1326">
        <f>ROUND(0.7836-0.012*B116,4)</f>
        <v>0.75</v>
      </c>
      <c r="C121" s="1326">
        <f t="shared" ref="C121:H121" si="51">B121</f>
        <v>0.75</v>
      </c>
      <c r="D121" s="1326">
        <f>ROUND(0.753-0.015*B116,4)</f>
        <v>0.71099999999999997</v>
      </c>
      <c r="E121" s="1326">
        <f t="shared" si="51"/>
        <v>0.71099999999999997</v>
      </c>
      <c r="F121" s="1326">
        <f t="shared" si="51"/>
        <v>0.71099999999999997</v>
      </c>
      <c r="G121" s="1326">
        <f>ROUND(0.6612-0.018*B116,4)</f>
        <v>0.61080000000000001</v>
      </c>
      <c r="H121" s="1326">
        <f t="shared" si="51"/>
        <v>0.61080000000000001</v>
      </c>
      <c r="I121" s="1326">
        <f>ROUND(0.5905-0.019*B116,4)</f>
        <v>0.5373</v>
      </c>
      <c r="J121" s="1326">
        <f t="shared" ref="J121:M121" si="52">I121</f>
        <v>0.5373</v>
      </c>
      <c r="K121" s="1326">
        <f t="shared" si="52"/>
        <v>0.5373</v>
      </c>
      <c r="L121" s="1326">
        <f t="shared" si="52"/>
        <v>0.5373</v>
      </c>
      <c r="M121" s="1337">
        <f t="shared" si="52"/>
        <v>0.5373</v>
      </c>
      <c r="N121" s="1314"/>
    </row>
    <row r="122" spans="1:14">
      <c r="A122" s="1327" t="s">
        <v>280</v>
      </c>
      <c r="B122" s="1298">
        <f>ROUND(0.9404-0.0106*B116,4)</f>
        <v>0.91069999999999995</v>
      </c>
      <c r="C122" s="1298">
        <f t="shared" ref="C122:H122" si="53">B122</f>
        <v>0.91069999999999995</v>
      </c>
      <c r="D122" s="1298">
        <f>ROUND(0.8955-0.0135*B116,4)</f>
        <v>0.85770000000000002</v>
      </c>
      <c r="E122" s="1298">
        <f t="shared" si="53"/>
        <v>0.85770000000000002</v>
      </c>
      <c r="F122" s="1298">
        <f t="shared" si="53"/>
        <v>0.85770000000000002</v>
      </c>
      <c r="G122" s="1298">
        <f t="shared" si="53"/>
        <v>0.85770000000000002</v>
      </c>
      <c r="H122" s="1298">
        <f t="shared" si="53"/>
        <v>0.85770000000000002</v>
      </c>
      <c r="I122" s="1298">
        <f>ROUND(0.7632-0.0166*B116,4)</f>
        <v>0.7167</v>
      </c>
      <c r="J122" s="1298">
        <f t="shared" ref="J122:M122" si="54">I122</f>
        <v>0.7167</v>
      </c>
      <c r="K122" s="1298">
        <f t="shared" si="54"/>
        <v>0.7167</v>
      </c>
      <c r="L122" s="1298">
        <f t="shared" si="54"/>
        <v>0.7167</v>
      </c>
      <c r="M122" s="1336">
        <f t="shared" si="54"/>
        <v>0.7167</v>
      </c>
      <c r="N122" s="131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93:H101">
    <cfRule type="cellIs" dxfId="7" priority="1" operator="notEqual">
      <formula>"——"</formula>
    </cfRule>
  </conditionalFormatting>
  <conditionalFormatting sqref="H50:H58 H61:H69 H72:H80 H83:H91">
    <cfRule type="cellIs" dxfId="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70" zoomScaleNormal="70" workbookViewId="0">
      <selection activeCell="F40" sqref="F40"/>
    </sheetView>
  </sheetViews>
  <sheetFormatPr defaultColWidth="9" defaultRowHeight="13.2"/>
  <cols>
    <col min="1" max="1" width="9" style="369" customWidth="1"/>
    <col min="2" max="2" width="20.6640625" style="537" customWidth="1"/>
    <col min="3" max="3" width="11.88671875" style="537" customWidth="1"/>
    <col min="4" max="4" width="40.44140625" style="369" customWidth="1"/>
    <col min="5" max="5" width="15.77734375" style="369" customWidth="1"/>
    <col min="6" max="6" width="10.6640625" style="369" customWidth="1"/>
    <col min="7" max="7" width="4.88671875" style="369" customWidth="1"/>
    <col min="8" max="8" width="8.44140625" style="369" customWidth="1"/>
    <col min="9" max="9" width="21.21875" style="369" customWidth="1"/>
    <col min="10" max="10" width="12.21875" style="369" customWidth="1"/>
    <col min="11" max="11" width="40.109375" style="668" customWidth="1"/>
    <col min="12" max="12" width="16.33203125" style="369" customWidth="1"/>
    <col min="13" max="13" width="13" style="369" customWidth="1"/>
    <col min="14" max="14" width="13.77734375" style="667" customWidth="1"/>
    <col min="15" max="15" width="5.109375" style="667" customWidth="1"/>
    <col min="16" max="16" width="25.77734375" style="667" customWidth="1"/>
    <col min="17" max="17" width="13.77734375" style="667" customWidth="1"/>
    <col min="18" max="18" width="20.44140625" style="667" customWidth="1"/>
    <col min="19" max="19" width="13.21875" style="667" customWidth="1"/>
    <col min="20" max="37" width="9" style="667"/>
    <col min="38" max="16384" width="9" style="369"/>
  </cols>
  <sheetData>
    <row r="1" spans="1:37" s="665" customFormat="1" ht="21.6">
      <c r="A1" s="669" t="s">
        <v>3074</v>
      </c>
      <c r="B1" s="670"/>
      <c r="C1" s="671" t="s">
        <v>606</v>
      </c>
      <c r="D1" s="672" t="s">
        <v>124</v>
      </c>
      <c r="E1" s="673" t="s">
        <v>3075</v>
      </c>
      <c r="F1" s="674">
        <f ca="1">J53</f>
        <v>36.369999999999997</v>
      </c>
      <c r="G1" s="675">
        <f>MATCH(C1,'数据-取费表'!A6:A16,0)+5</f>
        <v>8</v>
      </c>
      <c r="H1" s="676"/>
      <c r="I1" s="840"/>
      <c r="J1" s="840"/>
      <c r="K1" s="841"/>
      <c r="L1" s="840"/>
      <c r="M1" s="840"/>
      <c r="N1" s="842"/>
      <c r="O1" s="842"/>
      <c r="P1" s="842"/>
      <c r="Q1" s="842"/>
      <c r="R1" s="842"/>
      <c r="S1" s="842"/>
      <c r="T1" s="842"/>
      <c r="U1" s="842"/>
      <c r="V1" s="842"/>
      <c r="W1" s="842"/>
      <c r="X1" s="842"/>
      <c r="Y1" s="842"/>
      <c r="Z1" s="842"/>
      <c r="AA1" s="842"/>
      <c r="AB1" s="842"/>
      <c r="AC1" s="842"/>
      <c r="AD1" s="842"/>
      <c r="AE1" s="842"/>
      <c r="AF1" s="842"/>
      <c r="AG1" s="842"/>
      <c r="AH1" s="842"/>
      <c r="AI1" s="842"/>
      <c r="AJ1" s="842"/>
      <c r="AK1" s="842"/>
    </row>
    <row r="2" spans="1:37" ht="18" customHeight="1">
      <c r="A2" s="677" t="s">
        <v>3076</v>
      </c>
      <c r="B2" s="678">
        <f ca="1">ROUND(D2/10000,4)</f>
        <v>1045.4854</v>
      </c>
      <c r="C2" s="679" t="s">
        <v>3077</v>
      </c>
      <c r="D2" s="680">
        <f ca="1">C40+J29+L46</f>
        <v>10454854</v>
      </c>
      <c r="E2" s="681" t="s">
        <v>3798</v>
      </c>
      <c r="F2" s="682"/>
      <c r="G2" s="683"/>
      <c r="H2" s="684"/>
      <c r="I2" s="684"/>
      <c r="J2" s="684"/>
      <c r="K2" s="843"/>
      <c r="L2" s="684"/>
      <c r="M2" s="684"/>
    </row>
    <row r="3" spans="1:37" ht="18" customHeight="1">
      <c r="A3" s="685" t="s">
        <v>3078</v>
      </c>
      <c r="B3" s="686">
        <f ca="1">IF(ISERROR(D2/F43),0,ROUND(D2/F43,0))</f>
        <v>10369</v>
      </c>
      <c r="C3" s="679" t="s">
        <v>3079</v>
      </c>
      <c r="D3" s="679"/>
      <c r="E3" s="681"/>
      <c r="F3" s="682"/>
      <c r="G3" s="683"/>
      <c r="H3" s="687" t="s">
        <v>3080</v>
      </c>
      <c r="I3" s="844"/>
      <c r="J3" s="844"/>
      <c r="K3" s="845"/>
      <c r="L3" s="844"/>
      <c r="M3" s="844"/>
    </row>
    <row r="4" spans="1:37" ht="18" customHeight="1">
      <c r="A4" s="688" t="s">
        <v>3081</v>
      </c>
      <c r="B4" s="689" t="s">
        <v>3082</v>
      </c>
      <c r="C4" s="689" t="s">
        <v>3083</v>
      </c>
      <c r="D4" s="689" t="s">
        <v>3084</v>
      </c>
      <c r="E4" s="690" t="s">
        <v>3085</v>
      </c>
      <c r="F4" s="691"/>
      <c r="G4" s="667"/>
      <c r="H4" s="688" t="s">
        <v>3081</v>
      </c>
      <c r="I4" s="689" t="s">
        <v>3082</v>
      </c>
      <c r="J4" s="689" t="s">
        <v>3083</v>
      </c>
      <c r="K4" s="689" t="s">
        <v>3084</v>
      </c>
      <c r="L4" s="690" t="s">
        <v>3085</v>
      </c>
      <c r="M4" s="691"/>
    </row>
    <row r="5" spans="1:37" ht="18" customHeight="1">
      <c r="A5" s="692">
        <v>1</v>
      </c>
      <c r="B5" s="693" t="s">
        <v>3086</v>
      </c>
      <c r="C5" s="694">
        <f ca="1">C6+C10+C12</f>
        <v>663255</v>
      </c>
      <c r="D5" s="695" t="s">
        <v>3087</v>
      </c>
      <c r="E5" s="696"/>
      <c r="F5" s="697"/>
      <c r="G5" s="667"/>
      <c r="H5" s="692">
        <v>1</v>
      </c>
      <c r="I5" s="693" t="s">
        <v>3086</v>
      </c>
      <c r="J5" s="694">
        <f ca="1">J6+J10+J12</f>
        <v>0</v>
      </c>
      <c r="K5" s="695" t="s">
        <v>3087</v>
      </c>
      <c r="L5" s="696"/>
      <c r="M5" s="697"/>
    </row>
    <row r="6" spans="1:37" ht="18" customHeight="1">
      <c r="A6" s="698" t="s">
        <v>2770</v>
      </c>
      <c r="B6" s="3701" t="s">
        <v>3088</v>
      </c>
      <c r="C6" s="699">
        <f ca="1">ROUND(F6*F8*F7*(1-F9),0)</f>
        <v>662427</v>
      </c>
      <c r="D6" s="700" t="s">
        <v>3799</v>
      </c>
      <c r="E6" s="701" t="s">
        <v>3090</v>
      </c>
      <c r="F6" s="702">
        <f ca="1">INDIRECT("'数据-取费表'!u"&amp;$G$1)</f>
        <v>2</v>
      </c>
      <c r="G6" s="667"/>
      <c r="H6" s="698" t="s">
        <v>2770</v>
      </c>
      <c r="I6" s="3701" t="s">
        <v>3088</v>
      </c>
      <c r="J6" s="773">
        <f ca="1">ROUND(M6*M8*M7*(1-M9),0)</f>
        <v>0</v>
      </c>
      <c r="K6" s="846" t="s">
        <v>3800</v>
      </c>
      <c r="L6" s="701" t="s">
        <v>3090</v>
      </c>
      <c r="M6" s="702">
        <f ca="1">INDIRECT("'数据-取费表'!z"&amp;$G$1)</f>
        <v>0</v>
      </c>
    </row>
    <row r="7" spans="1:37" ht="18" customHeight="1">
      <c r="A7" s="703"/>
      <c r="B7" s="3702"/>
      <c r="C7" s="704"/>
      <c r="D7" s="705"/>
      <c r="E7" s="706" t="s">
        <v>3092</v>
      </c>
      <c r="F7" s="702">
        <f ca="1">IF(INDIRECT("'数据-取费表'!ah"&amp;$G$1)="",INDIRECT("'数据-取费表'!k"&amp;$G$1),INDIRECT("'数据-取费表'!ah"&amp;$G$1))</f>
        <v>1008.26</v>
      </c>
      <c r="G7" s="667"/>
      <c r="H7" s="707"/>
      <c r="I7" s="3702"/>
      <c r="J7" s="708"/>
      <c r="K7" s="705"/>
      <c r="L7" s="701" t="s">
        <v>3092</v>
      </c>
      <c r="M7" s="702">
        <f ca="1">F7</f>
        <v>1008.26</v>
      </c>
    </row>
    <row r="8" spans="1:37" ht="18" customHeight="1">
      <c r="A8" s="707"/>
      <c r="B8" s="3702"/>
      <c r="C8" s="708"/>
      <c r="D8" s="705"/>
      <c r="E8" s="701" t="s">
        <v>3093</v>
      </c>
      <c r="F8" s="702">
        <f ca="1">INDIRECT("'数据-取费表'!ai"&amp;$G$1)</f>
        <v>365</v>
      </c>
      <c r="G8" s="667"/>
      <c r="H8" s="707"/>
      <c r="I8" s="3702"/>
      <c r="J8" s="708"/>
      <c r="K8" s="705"/>
      <c r="L8" s="701" t="s">
        <v>3093</v>
      </c>
      <c r="M8" s="702">
        <f ca="1">INDIRECT("'数据-取费表'!ai"&amp;$G$1)</f>
        <v>365</v>
      </c>
    </row>
    <row r="9" spans="1:37" ht="18" customHeight="1">
      <c r="A9" s="707"/>
      <c r="B9" s="3703"/>
      <c r="C9" s="708"/>
      <c r="D9" s="705"/>
      <c r="E9" s="701" t="s">
        <v>3094</v>
      </c>
      <c r="F9" s="709">
        <f ca="1">INDIRECT("'数据-取费表'!w"&amp;$G$1)</f>
        <v>0.1</v>
      </c>
      <c r="G9" s="667"/>
      <c r="H9" s="707"/>
      <c r="I9" s="3703"/>
      <c r="J9" s="708"/>
      <c r="K9" s="705"/>
      <c r="L9" s="712" t="s">
        <v>3094</v>
      </c>
      <c r="M9" s="717">
        <f ca="1">INDIRECT("'数据-取费表'!ab"&amp;$G$1)</f>
        <v>0</v>
      </c>
    </row>
    <row r="10" spans="1:37" ht="18" customHeight="1">
      <c r="A10" s="698" t="s">
        <v>2774</v>
      </c>
      <c r="B10" s="710" t="s">
        <v>3095</v>
      </c>
      <c r="C10" s="598">
        <f ca="1">ROUND(IF(F10="押一",C6/12*F11,IF(F10="押二",C6/12*2*F11,IF(F10="押三",C6/12*3*F11,C11*F11))),0)</f>
        <v>828</v>
      </c>
      <c r="D10" s="711" t="s">
        <v>3096</v>
      </c>
      <c r="E10" s="712" t="s">
        <v>3097</v>
      </c>
      <c r="F10" s="713" t="s">
        <v>3801</v>
      </c>
      <c r="G10" s="667"/>
      <c r="H10" s="698" t="s">
        <v>2774</v>
      </c>
      <c r="I10" s="710" t="s">
        <v>3095</v>
      </c>
      <c r="J10" s="773">
        <f ca="1">ROUND(IF(M10="押一",J6/12*M11,IF(M10="押二",J6/12*2*M11,IF(M10="押三",J6/12*3*M11,J11*M11))),0)</f>
        <v>0</v>
      </c>
      <c r="K10" s="847" t="s">
        <v>3802</v>
      </c>
      <c r="L10" s="712" t="s">
        <v>3097</v>
      </c>
      <c r="M10" s="713"/>
    </row>
    <row r="11" spans="1:37" ht="18" customHeight="1">
      <c r="A11" s="714"/>
      <c r="B11" s="715" t="s">
        <v>3803</v>
      </c>
      <c r="C11" s="716"/>
      <c r="D11" s="705"/>
      <c r="E11" s="712" t="s">
        <v>3100</v>
      </c>
      <c r="F11" s="717">
        <f ca="1">'数据-取费表'!B39</f>
        <v>1.4999999999999999E-2</v>
      </c>
      <c r="G11" s="667"/>
      <c r="H11" s="718"/>
      <c r="I11" s="715" t="s">
        <v>3804</v>
      </c>
      <c r="J11" s="716"/>
      <c r="K11" s="848"/>
      <c r="L11" s="712" t="s">
        <v>3100</v>
      </c>
      <c r="M11" s="849">
        <f ca="1">'数据-取费表'!B39</f>
        <v>1.4999999999999999E-2</v>
      </c>
    </row>
    <row r="12" spans="1:37" ht="18" customHeight="1">
      <c r="A12" s="719" t="s">
        <v>2819</v>
      </c>
      <c r="B12" s="720" t="s">
        <v>3101</v>
      </c>
      <c r="C12" s="721"/>
      <c r="D12" s="722"/>
      <c r="E12" s="723"/>
      <c r="F12" s="724"/>
      <c r="G12" s="667"/>
      <c r="H12" s="719" t="s">
        <v>2819</v>
      </c>
      <c r="I12" s="720" t="s">
        <v>3101</v>
      </c>
      <c r="J12" s="721"/>
      <c r="K12" s="850"/>
      <c r="L12" s="723"/>
      <c r="M12" s="851"/>
    </row>
    <row r="13" spans="1:37" ht="18" customHeight="1">
      <c r="A13" s="725">
        <v>2</v>
      </c>
      <c r="B13" s="726" t="s">
        <v>3102</v>
      </c>
      <c r="C13" s="727">
        <f ca="1">ROUND(C29*F13,0)</f>
        <v>6976500</v>
      </c>
      <c r="D13" s="728" t="s">
        <v>3103</v>
      </c>
      <c r="E13" s="728" t="s">
        <v>3104</v>
      </c>
      <c r="F13" s="729">
        <f ca="1">INDIRECT("'数据-取费表'!y"&amp;$G$1)</f>
        <v>1</v>
      </c>
      <c r="G13" s="667"/>
      <c r="H13" s="725">
        <v>2</v>
      </c>
      <c r="I13" s="726" t="s">
        <v>3102</v>
      </c>
      <c r="J13" s="852">
        <f ca="1">ROUND(J14*J15,0)</f>
        <v>0</v>
      </c>
      <c r="K13" s="751" t="s">
        <v>3103</v>
      </c>
      <c r="L13" s="853"/>
      <c r="M13" s="854"/>
    </row>
    <row r="14" spans="1:37" ht="18" customHeight="1">
      <c r="A14" s="730" t="s">
        <v>2793</v>
      </c>
      <c r="B14" s="701" t="s">
        <v>3105</v>
      </c>
      <c r="C14" s="731">
        <f ca="1">ROUND(INDIRECT("'数据-取费表'!l"&amp;$G$1)*F43+'数据-取费表'!L14*INDIRECT("'数据-取费表'!S"&amp;$G$1),0)</f>
        <v>5041300</v>
      </c>
      <c r="D14" s="732" t="s">
        <v>3106</v>
      </c>
      <c r="E14" s="733"/>
      <c r="F14" s="734"/>
      <c r="G14" s="667"/>
      <c r="H14" s="730" t="s">
        <v>2770</v>
      </c>
      <c r="I14" s="701" t="s">
        <v>3107</v>
      </c>
      <c r="J14" s="599">
        <f ca="1">C29</f>
        <v>6976500</v>
      </c>
      <c r="K14" s="855"/>
      <c r="L14" s="856"/>
      <c r="M14" s="857"/>
    </row>
    <row r="15" spans="1:37" s="666" customFormat="1" ht="18" customHeight="1">
      <c r="A15" s="730" t="s">
        <v>2797</v>
      </c>
      <c r="B15" s="701" t="s">
        <v>3108</v>
      </c>
      <c r="C15" s="599">
        <f ca="1">ROUND(C14*F15,0)</f>
        <v>252065</v>
      </c>
      <c r="D15" s="735" t="s">
        <v>3109</v>
      </c>
      <c r="E15" s="735" t="s">
        <v>3110</v>
      </c>
      <c r="F15" s="736">
        <f>'数据-取费表'!B33</f>
        <v>0.05</v>
      </c>
      <c r="G15" s="737"/>
      <c r="H15" s="738" t="s">
        <v>2774</v>
      </c>
      <c r="I15" s="723" t="s">
        <v>3104</v>
      </c>
      <c r="J15" s="851">
        <f ca="1">INDIRECT("'数据-取费表'!ad"&amp;$G$1)</f>
        <v>0</v>
      </c>
      <c r="K15" s="858"/>
      <c r="L15" s="859"/>
      <c r="M15" s="860"/>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row>
    <row r="16" spans="1:37" ht="18" customHeight="1">
      <c r="A16" s="730" t="s">
        <v>2800</v>
      </c>
      <c r="B16" s="701" t="s">
        <v>3111</v>
      </c>
      <c r="C16" s="599">
        <f ca="1">ROUND(INDIRECT("'数据-取费表'!l"&amp;$G$1)*F43*F16,0)</f>
        <v>0</v>
      </c>
      <c r="D16" s="701" t="s">
        <v>3109</v>
      </c>
      <c r="E16" s="701" t="s">
        <v>3110</v>
      </c>
      <c r="F16" s="739">
        <f ca="1">IF(INDIRECT("'数据-取费表'!c"&amp;$G$1)="住宅",'数据-取费表'!B34,0)</f>
        <v>0</v>
      </c>
      <c r="G16" s="667"/>
      <c r="H16" s="725" t="s">
        <v>3112</v>
      </c>
      <c r="I16" s="726" t="s">
        <v>3113</v>
      </c>
      <c r="J16" s="727">
        <f ca="1">ROUND(J17+J22+J23+J24,0)</f>
        <v>20930</v>
      </c>
      <c r="K16" s="751" t="s">
        <v>3114</v>
      </c>
      <c r="L16" s="752"/>
      <c r="M16" s="697"/>
    </row>
    <row r="17" spans="1:37" s="666" customFormat="1" ht="18" customHeight="1">
      <c r="A17" s="730" t="s">
        <v>3115</v>
      </c>
      <c r="B17" s="701" t="s">
        <v>3116</v>
      </c>
      <c r="C17" s="599">
        <f ca="1">ROUND(F17*(F43+INDIRECT("'数据-取费表'!S"&amp;$G$1)),0)</f>
        <v>201652</v>
      </c>
      <c r="D17" s="701" t="s">
        <v>3117</v>
      </c>
      <c r="E17" s="701" t="s">
        <v>3118</v>
      </c>
      <c r="F17" s="740">
        <f>'数据-取费表'!B35</f>
        <v>200</v>
      </c>
      <c r="G17" s="737"/>
      <c r="H17" s="730" t="s">
        <v>2770</v>
      </c>
      <c r="I17" s="701" t="s">
        <v>3119</v>
      </c>
      <c r="J17" s="754">
        <f ca="1">ROUND(IF(AND(项目基本情况!B11="自然人",项目基本情况!B10="北京市"),J6*M17/(1+'数据-取费表'!C42),J18+J19+J20),0)</f>
        <v>0</v>
      </c>
      <c r="K17" s="732" t="s">
        <v>3120</v>
      </c>
      <c r="L17" s="755" t="s">
        <v>3121</v>
      </c>
      <c r="M17" s="756" t="str">
        <f>IF(项目基本情况!B11="企业","",IF('数据-取费表'!B10="住宅",IF(M6*M7*M8/12/(1+'数据-取费表'!F30)&gt;100000,4%,2.5%),IF(M6*M7*M8/12/(1+'数据-取费表'!F30)&gt;100000,12%,7%)))</f>
        <v/>
      </c>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row>
    <row r="18" spans="1:37" s="666" customFormat="1" ht="18" customHeight="1">
      <c r="A18" s="730" t="s">
        <v>3122</v>
      </c>
      <c r="B18" s="701" t="s">
        <v>3123</v>
      </c>
      <c r="C18" s="599">
        <f ca="1">ROUND(C14*F18,0)</f>
        <v>75620</v>
      </c>
      <c r="D18" s="701" t="s">
        <v>3109</v>
      </c>
      <c r="E18" s="701" t="s">
        <v>3110</v>
      </c>
      <c r="F18" s="739">
        <f>'数据-取费表'!B36</f>
        <v>1.4999999999999999E-2</v>
      </c>
      <c r="G18" s="737"/>
      <c r="H18" s="730" t="s">
        <v>2793</v>
      </c>
      <c r="I18" s="701" t="s">
        <v>3124</v>
      </c>
      <c r="J18" s="599">
        <f ca="1">ROUND(J6*M18/(1+'数据-取费表'!C42),0)</f>
        <v>0</v>
      </c>
      <c r="K18" s="755" t="s">
        <v>3125</v>
      </c>
      <c r="L18" s="701" t="s">
        <v>3110</v>
      </c>
      <c r="M18" s="739">
        <f>'数据-取费表'!B41</f>
        <v>5.6000000000000001E-2</v>
      </c>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row>
    <row r="19" spans="1:37" ht="18" customHeight="1">
      <c r="A19" s="730" t="s">
        <v>2770</v>
      </c>
      <c r="B19" s="701" t="s">
        <v>3126</v>
      </c>
      <c r="C19" s="599">
        <f ca="1">SUM(C14:C18)</f>
        <v>5570637</v>
      </c>
      <c r="D19" s="741" t="s">
        <v>3127</v>
      </c>
      <c r="E19" s="601"/>
      <c r="F19" s="740"/>
      <c r="G19" s="667"/>
      <c r="H19" s="730" t="s">
        <v>2797</v>
      </c>
      <c r="I19" s="701" t="s">
        <v>3128</v>
      </c>
      <c r="J19" s="599">
        <f ca="1">IF(K19="按租金收入计税",ROUND(J6*M19/(1+'数据-取费表'!C42),0),ROUND(C29*M19*0.7,0))</f>
        <v>0</v>
      </c>
      <c r="K19" s="758" t="s">
        <v>3129</v>
      </c>
      <c r="L19" s="701" t="s">
        <v>3110</v>
      </c>
      <c r="M19" s="739">
        <f>IF(K19="按租金收入计税",'数据-取费表'!B51,'数据-取费表'!B50)</f>
        <v>0.12</v>
      </c>
    </row>
    <row r="20" spans="1:37" s="666" customFormat="1" ht="18" customHeight="1">
      <c r="A20" s="730" t="s">
        <v>2774</v>
      </c>
      <c r="B20" s="701" t="s">
        <v>3130</v>
      </c>
      <c r="C20" s="599">
        <f ca="1">ROUND(C19*F20,0)</f>
        <v>111413</v>
      </c>
      <c r="D20" s="742" t="s">
        <v>3131</v>
      </c>
      <c r="E20" s="701" t="s">
        <v>3110</v>
      </c>
      <c r="F20" s="739">
        <f>'数据-取费表'!B37</f>
        <v>0.02</v>
      </c>
      <c r="G20" s="737"/>
      <c r="H20" s="730" t="s">
        <v>2800</v>
      </c>
      <c r="I20" s="700" t="s">
        <v>3132</v>
      </c>
      <c r="J20" s="760">
        <f ca="1">ROUND(M20*M21,0)</f>
        <v>0</v>
      </c>
      <c r="K20" s="761" t="s">
        <v>3133</v>
      </c>
      <c r="L20" s="701" t="s">
        <v>3134</v>
      </c>
      <c r="M20" s="745">
        <f>'数据-取费表'!B52</f>
        <v>0</v>
      </c>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row>
    <row r="21" spans="1:37" s="666" customFormat="1" ht="18" customHeight="1">
      <c r="A21" s="730" t="s">
        <v>2819</v>
      </c>
      <c r="B21" s="701" t="s">
        <v>3135</v>
      </c>
      <c r="C21" s="599" t="s">
        <v>124</v>
      </c>
      <c r="D21" s="742" t="s">
        <v>3136</v>
      </c>
      <c r="E21" s="701" t="s">
        <v>3137</v>
      </c>
      <c r="F21" s="739">
        <f>'数据-取费表'!B38</f>
        <v>0.02</v>
      </c>
      <c r="G21" s="737"/>
      <c r="H21" s="743"/>
      <c r="I21" s="861"/>
      <c r="J21" s="764"/>
      <c r="K21" s="765"/>
      <c r="L21" s="701" t="s">
        <v>3138</v>
      </c>
      <c r="M21" s="702">
        <f ca="1">INDIRECT("'数据-取费表'!r"&amp;$G$1)</f>
        <v>0</v>
      </c>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row>
    <row r="22" spans="1:37" ht="18" customHeight="1">
      <c r="A22" s="730" t="s">
        <v>2822</v>
      </c>
      <c r="B22" s="701" t="s">
        <v>3139</v>
      </c>
      <c r="C22" s="599"/>
      <c r="D22" s="741" t="str">
        <f>IF(F23&lt;=1,"单利计息。","复利计息。")&amp;"建造成本、管理费用、销售费用产生的利息。"</f>
        <v>复利计息。建造成本、管理费用、销售费用产生的利息。</v>
      </c>
      <c r="E22" s="601"/>
      <c r="F22" s="740"/>
      <c r="G22" s="667"/>
      <c r="H22" s="730" t="s">
        <v>2774</v>
      </c>
      <c r="I22" s="701" t="s">
        <v>3140</v>
      </c>
      <c r="J22" s="599">
        <f ca="1">ROUND(J14*M22,0)</f>
        <v>20930</v>
      </c>
      <c r="K22" s="755" t="s">
        <v>3141</v>
      </c>
      <c r="L22" s="701" t="s">
        <v>3110</v>
      </c>
      <c r="M22" s="767">
        <f ca="1">INDIRECT("'数据-取费表'!Ak"&amp;$G$1)</f>
        <v>3.0000000000000001E-3</v>
      </c>
    </row>
    <row r="23" spans="1:37" s="666" customFormat="1" ht="18" customHeight="1">
      <c r="A23" s="730" t="s">
        <v>2793</v>
      </c>
      <c r="B23" s="701" t="s">
        <v>3142</v>
      </c>
      <c r="C23" s="599">
        <f ca="1">IF('数据-取费表'!B22&lt;=1,ROUND(C19*F24*F23/2,0)+ROUND(C20*F24*F23/2,0),ROUND(C19*(POWER((1+F24),F23/2)-1),0)+ROUND(C20*(POWER((1+F24),F23/2)-1),0))</f>
        <v>196031</v>
      </c>
      <c r="D23" s="744" t="str">
        <f>IF(F23&lt;=1,"(建造成本+管理费用)×利率×(建设周期÷2)","(建造成本+管理费用)×((1+利率)^(建设周期÷2)-1)")</f>
        <v>(建造成本+管理费用)×((1+利率)^(建设周期÷2)-1)</v>
      </c>
      <c r="E23" s="701" t="s">
        <v>3143</v>
      </c>
      <c r="F23" s="745">
        <f>'数据-取费表'!B20</f>
        <v>2</v>
      </c>
      <c r="G23" s="737"/>
      <c r="H23" s="730" t="s">
        <v>2819</v>
      </c>
      <c r="I23" s="701" t="s">
        <v>3144</v>
      </c>
      <c r="J23" s="599">
        <f ca="1">ROUND(J13*M23,0)</f>
        <v>0</v>
      </c>
      <c r="K23" s="755" t="s">
        <v>3145</v>
      </c>
      <c r="L23" s="701" t="s">
        <v>3110</v>
      </c>
      <c r="M23" s="768">
        <f ca="1">INDIRECT("'数据-取费表'!Al"&amp;$G$1)</f>
        <v>1E-3</v>
      </c>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row>
    <row r="24" spans="1:37" s="666" customFormat="1" ht="18" customHeight="1">
      <c r="A24" s="730" t="s">
        <v>2797</v>
      </c>
      <c r="B24" s="701" t="s">
        <v>3146</v>
      </c>
      <c r="C24" s="599">
        <f ca="1">ROUND(IF('数据-取费表'!B22&lt;=1,F21*F24*F23/2,F21*(POWER((1+F24),F23/2)-1)),4)</f>
        <v>6.9999999999999999E-4</v>
      </c>
      <c r="D24" s="744" t="str">
        <f>IF(F23&lt;=1,"销售费用×利率×(建设周期÷2)","销售费用×((1+利率)^(建设周期÷2)-1)")</f>
        <v>销售费用×((1+利率)^(建设周期÷2)-1)</v>
      </c>
      <c r="E24" s="701" t="s">
        <v>3147</v>
      </c>
      <c r="F24" s="746">
        <f ca="1">'数据-取费表'!B40</f>
        <v>3.4500000000000003E-2</v>
      </c>
      <c r="G24" s="737"/>
      <c r="H24" s="738" t="s">
        <v>2822</v>
      </c>
      <c r="I24" s="723" t="s">
        <v>3130</v>
      </c>
      <c r="J24" s="747">
        <f ca="1">ROUND(J5*M24,0)</f>
        <v>0</v>
      </c>
      <c r="K24" s="748" t="s">
        <v>3148</v>
      </c>
      <c r="L24" s="723" t="s">
        <v>3110</v>
      </c>
      <c r="M24" s="724">
        <f ca="1">INDIRECT("'数据-取费表'!Am"&amp;$G$1)</f>
        <v>0.01</v>
      </c>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row>
    <row r="25" spans="1:37" ht="18" customHeight="1">
      <c r="A25" s="730" t="s">
        <v>2826</v>
      </c>
      <c r="B25" s="701" t="s">
        <v>3149</v>
      </c>
      <c r="C25" s="599"/>
      <c r="D25" s="741" t="s">
        <v>3150</v>
      </c>
      <c r="E25" s="601"/>
      <c r="F25" s="740"/>
      <c r="G25" s="667"/>
      <c r="H25" s="725" t="s">
        <v>3151</v>
      </c>
      <c r="I25" s="769" t="s">
        <v>3152</v>
      </c>
      <c r="J25" s="727">
        <f ca="1">J5-J16</f>
        <v>-20930</v>
      </c>
      <c r="K25" s="770" t="s">
        <v>3153</v>
      </c>
      <c r="L25" s="771"/>
      <c r="M25" s="772"/>
    </row>
    <row r="26" spans="1:37" ht="18" customHeight="1">
      <c r="A26" s="730" t="s">
        <v>2793</v>
      </c>
      <c r="B26" s="701" t="s">
        <v>3154</v>
      </c>
      <c r="C26" s="599">
        <f ca="1">ROUND((C19+C20)*F26,0)</f>
        <v>568205</v>
      </c>
      <c r="D26" s="742" t="s">
        <v>3155</v>
      </c>
      <c r="E26" s="712" t="s">
        <v>3156</v>
      </c>
      <c r="F26" s="709">
        <f ca="1">INDIRECT("'数据-取费表'!q"&amp;$G$1)</f>
        <v>0.1</v>
      </c>
      <c r="G26" s="667"/>
      <c r="H26" s="692" t="s">
        <v>3157</v>
      </c>
      <c r="I26" s="693" t="s">
        <v>3158</v>
      </c>
      <c r="J26" s="773">
        <f ca="1">IF(J5&lt;&gt;0,ROUND(J25*(1-((1+M28)/(1+M26))^M27)/(M26-M28),0),0)</f>
        <v>0</v>
      </c>
      <c r="K26" s="761" t="s">
        <v>3159</v>
      </c>
      <c r="L26" s="701" t="s">
        <v>3160</v>
      </c>
      <c r="M26" s="709">
        <f ca="1">INDIRECT("'数据-取费表'!I"&amp;$G$1)</f>
        <v>5.5E-2</v>
      </c>
    </row>
    <row r="27" spans="1:37" ht="18" customHeight="1">
      <c r="A27" s="730" t="s">
        <v>2797</v>
      </c>
      <c r="B27" s="701" t="s">
        <v>3161</v>
      </c>
      <c r="C27" s="599">
        <f ca="1">ROUND(F21*F26,4)</f>
        <v>2E-3</v>
      </c>
      <c r="D27" s="742" t="s">
        <v>3162</v>
      </c>
      <c r="E27" s="735"/>
      <c r="F27" s="736"/>
      <c r="G27" s="667"/>
      <c r="H27" s="707"/>
      <c r="I27" s="775"/>
      <c r="J27" s="708"/>
      <c r="K27" s="776" t="s">
        <v>3163</v>
      </c>
      <c r="L27" s="701" t="s">
        <v>3164</v>
      </c>
      <c r="M27" s="777">
        <f ca="1">INDIRECT("'数据-取费表'!ag"&amp;$G$1)</f>
        <v>0</v>
      </c>
    </row>
    <row r="28" spans="1:37" s="666" customFormat="1" ht="18" customHeight="1">
      <c r="A28" s="730" t="s">
        <v>2827</v>
      </c>
      <c r="B28" s="701" t="s">
        <v>3165</v>
      </c>
      <c r="C28" s="599">
        <f>ROUND(F28/(1+'数据-取费表'!C42),4)</f>
        <v>5.33E-2</v>
      </c>
      <c r="D28" s="742" t="s">
        <v>3166</v>
      </c>
      <c r="E28" s="701" t="s">
        <v>3110</v>
      </c>
      <c r="F28" s="739">
        <f>'数据-取费表'!B41</f>
        <v>5.6000000000000001E-2</v>
      </c>
      <c r="G28" s="737"/>
      <c r="H28" s="714"/>
      <c r="I28" s="779"/>
      <c r="J28" s="727"/>
      <c r="K28" s="765"/>
      <c r="L28" s="701" t="s">
        <v>3167</v>
      </c>
      <c r="M28" s="709">
        <f ca="1">INDIRECT("'数据-取费表'!aa"&amp;$G$1)</f>
        <v>0</v>
      </c>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row>
    <row r="29" spans="1:37" s="666" customFormat="1" ht="18" customHeight="1">
      <c r="A29" s="738" t="s">
        <v>3168</v>
      </c>
      <c r="B29" s="723" t="s">
        <v>3169</v>
      </c>
      <c r="C29" s="747">
        <f ca="1">ROUND((C19+C20+C23+C26)/(1-F21-C24-C27-C28),0)</f>
        <v>6976500</v>
      </c>
      <c r="D29" s="748"/>
      <c r="E29" s="723"/>
      <c r="F29" s="749"/>
      <c r="G29" s="737"/>
      <c r="H29" s="750" t="s">
        <v>3170</v>
      </c>
      <c r="I29" s="780" t="s">
        <v>3171</v>
      </c>
      <c r="J29" s="781">
        <f ca="1">ROUND(J26/(1+F40)^F41,0)</f>
        <v>0</v>
      </c>
      <c r="K29" s="782" t="s">
        <v>3172</v>
      </c>
      <c r="L29" s="783"/>
      <c r="M29" s="784">
        <f ca="1">INDIRECT("'数据-取费表'!k"&amp;$G$1)</f>
        <v>1008.26</v>
      </c>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row>
    <row r="30" spans="1:37" ht="18" customHeight="1">
      <c r="A30" s="725" t="s">
        <v>3112</v>
      </c>
      <c r="B30" s="726" t="s">
        <v>3113</v>
      </c>
      <c r="C30" s="727">
        <f ca="1">ROUND(C31+C36+C37+C38,0)</f>
        <v>145575</v>
      </c>
      <c r="D30" s="751" t="s">
        <v>3114</v>
      </c>
      <c r="E30" s="752"/>
      <c r="F30" s="697"/>
      <c r="G30" s="667"/>
      <c r="H30" s="753"/>
      <c r="I30" s="862"/>
      <c r="J30" s="863"/>
      <c r="K30" s="864"/>
      <c r="L30" s="865"/>
      <c r="M30" s="866"/>
    </row>
    <row r="31" spans="1:37" ht="18" customHeight="1">
      <c r="A31" s="730" t="s">
        <v>2770</v>
      </c>
      <c r="B31" s="701" t="s">
        <v>3119</v>
      </c>
      <c r="C31" s="754">
        <f ca="1">ROUND(IF(AND(项目基本情况!B11="自然人",项目基本情况!B10="北京市"),C6*F31/(1+'数据-取费表'!C42),C32+C33+C34),0)</f>
        <v>111035</v>
      </c>
      <c r="D31" s="732" t="s">
        <v>3120</v>
      </c>
      <c r="E31" s="755" t="s">
        <v>3121</v>
      </c>
      <c r="F31" s="756" t="str">
        <f>IF(项目基本情况!B11="企业","——",IF(M47="住宅",IF(F6*F7*F8/12/(1+'数据-取费表'!F30)&gt;100000,4%,2.5%),IF(F6*F7*F8/12/(1+'数据-取费表'!F30)&gt;100000,12%,7%)))</f>
        <v>——</v>
      </c>
      <c r="G31" s="667"/>
      <c r="H31" s="757" t="s">
        <v>3173</v>
      </c>
      <c r="I31" s="862"/>
      <c r="J31" s="863"/>
      <c r="K31" s="864"/>
      <c r="L31" s="865"/>
      <c r="M31" s="866"/>
    </row>
    <row r="32" spans="1:37" ht="18" customHeight="1">
      <c r="A32" s="730" t="s">
        <v>2793</v>
      </c>
      <c r="B32" s="701" t="s">
        <v>3124</v>
      </c>
      <c r="C32" s="599">
        <f ca="1">IF(项目基本情况!B11="自然人","——",ROUND(C6*F32/(1+'数据-取费表'!C42),0))</f>
        <v>35329</v>
      </c>
      <c r="D32" s="755" t="s">
        <v>3125</v>
      </c>
      <c r="E32" s="701" t="s">
        <v>3110</v>
      </c>
      <c r="F32" s="746">
        <f>'数据-取费表'!B41</f>
        <v>5.6000000000000001E-2</v>
      </c>
      <c r="G32" s="667"/>
      <c r="H32" s="753"/>
      <c r="I32" s="862"/>
      <c r="J32" s="863"/>
      <c r="K32" s="864"/>
      <c r="L32" s="865"/>
      <c r="M32" s="866"/>
    </row>
    <row r="33" spans="1:18" ht="18" customHeight="1">
      <c r="A33" s="730" t="s">
        <v>2797</v>
      </c>
      <c r="B33" s="701" t="s">
        <v>3128</v>
      </c>
      <c r="C33" s="599">
        <f ca="1">IF(项目基本情况!B11="自然人","——",IF(D33="按租金收入计税",ROUND(C6*F33/(1+'数据-取费表'!C42),0),IF(D33="按房产原值计税",ROUND(C29*F33*0.7,0),INDIRECT("'数据-取费表'!Aj"&amp;$G$1))))</f>
        <v>75706</v>
      </c>
      <c r="D33" s="758" t="s">
        <v>3129</v>
      </c>
      <c r="E33" s="701" t="s">
        <v>3110</v>
      </c>
      <c r="F33" s="739">
        <f>IF(D33="按票据","——",IF(D33="按租金收入计税",'数据-取费表'!B51,'数据-取费表'!B50))</f>
        <v>0.12</v>
      </c>
      <c r="G33" s="667"/>
      <c r="H33" s="759"/>
      <c r="I33" s="862"/>
      <c r="J33" s="863"/>
      <c r="K33" s="867"/>
      <c r="L33" s="759"/>
      <c r="M33" s="759"/>
    </row>
    <row r="34" spans="1:18" ht="18" customHeight="1">
      <c r="A34" s="698" t="s">
        <v>2800</v>
      </c>
      <c r="B34" s="700" t="s">
        <v>3132</v>
      </c>
      <c r="C34" s="760">
        <f ca="1">IF(项目基本情况!B11="自然人","——",ROUND(F34*F35,0))</f>
        <v>0</v>
      </c>
      <c r="D34" s="761" t="s">
        <v>3133</v>
      </c>
      <c r="E34" s="701" t="s">
        <v>3134</v>
      </c>
      <c r="F34" s="745">
        <f>'数据-取费表'!B52</f>
        <v>0</v>
      </c>
      <c r="G34" s="667"/>
      <c r="H34" s="753"/>
      <c r="I34" s="862"/>
      <c r="J34" s="863"/>
      <c r="K34" s="868"/>
      <c r="L34" s="869"/>
      <c r="M34" s="869"/>
    </row>
    <row r="35" spans="1:18" ht="18" customHeight="1">
      <c r="A35" s="762"/>
      <c r="B35" s="763"/>
      <c r="C35" s="764"/>
      <c r="D35" s="765"/>
      <c r="E35" s="701" t="s">
        <v>3138</v>
      </c>
      <c r="F35" s="702">
        <f ca="1">INDIRECT("'数据-取费表'!r"&amp;$G$1)</f>
        <v>0</v>
      </c>
      <c r="G35" s="667"/>
      <c r="H35" s="753"/>
      <c r="I35" s="862"/>
      <c r="J35" s="863"/>
      <c r="K35" s="867"/>
      <c r="L35" s="759"/>
      <c r="M35" s="759"/>
    </row>
    <row r="36" spans="1:18" ht="18" customHeight="1">
      <c r="A36" s="766" t="s">
        <v>2774</v>
      </c>
      <c r="B36" s="701" t="s">
        <v>3140</v>
      </c>
      <c r="C36" s="599">
        <f ca="1">ROUND(C29*F36,0)</f>
        <v>20930</v>
      </c>
      <c r="D36" s="755" t="s">
        <v>3174</v>
      </c>
      <c r="E36" s="701" t="s">
        <v>3110</v>
      </c>
      <c r="F36" s="767">
        <f ca="1">INDIRECT("'数据-取费表'!Ak"&amp;$G$1)</f>
        <v>3.0000000000000001E-3</v>
      </c>
      <c r="G36" s="667"/>
      <c r="H36" s="759"/>
      <c r="I36" s="862"/>
      <c r="J36" s="863"/>
      <c r="K36" s="870"/>
      <c r="L36" s="759"/>
      <c r="M36" s="759"/>
    </row>
    <row r="37" spans="1:18" ht="18" customHeight="1">
      <c r="A37" s="730" t="s">
        <v>2819</v>
      </c>
      <c r="B37" s="701" t="s">
        <v>3144</v>
      </c>
      <c r="C37" s="599">
        <f ca="1">ROUND(C13*F37,0)</f>
        <v>6977</v>
      </c>
      <c r="D37" s="755" t="s">
        <v>3145</v>
      </c>
      <c r="E37" s="701" t="s">
        <v>3110</v>
      </c>
      <c r="F37" s="768">
        <f ca="1">INDIRECT("'数据-取费表'!Al"&amp;$G$1)</f>
        <v>1E-3</v>
      </c>
      <c r="G37" s="667"/>
      <c r="H37" s="759"/>
      <c r="I37" s="862"/>
      <c r="J37" s="863"/>
      <c r="K37" s="870"/>
      <c r="L37" s="759"/>
      <c r="M37" s="759"/>
    </row>
    <row r="38" spans="1:18" ht="18" customHeight="1">
      <c r="A38" s="738" t="s">
        <v>2822</v>
      </c>
      <c r="B38" s="723" t="s">
        <v>3130</v>
      </c>
      <c r="C38" s="747">
        <f ca="1">ROUND(C5*F38,0)</f>
        <v>6633</v>
      </c>
      <c r="D38" s="748" t="s">
        <v>3148</v>
      </c>
      <c r="E38" s="723" t="s">
        <v>3110</v>
      </c>
      <c r="F38" s="724">
        <f ca="1">INDIRECT("'数据-取费表'!Am"&amp;$G$1)</f>
        <v>0.01</v>
      </c>
      <c r="G38" s="667"/>
      <c r="H38" s="759"/>
      <c r="I38" s="862"/>
      <c r="J38" s="863"/>
      <c r="K38" s="871"/>
      <c r="L38" s="759"/>
      <c r="M38" s="759"/>
    </row>
    <row r="39" spans="1:18" ht="24.6" customHeight="1">
      <c r="A39" s="725" t="s">
        <v>3151</v>
      </c>
      <c r="B39" s="769" t="s">
        <v>3152</v>
      </c>
      <c r="C39" s="727">
        <f ca="1">C5-C30</f>
        <v>517680</v>
      </c>
      <c r="D39" s="770" t="s">
        <v>3153</v>
      </c>
      <c r="E39" s="771"/>
      <c r="F39" s="772"/>
      <c r="G39" s="667"/>
      <c r="H39" s="759"/>
      <c r="I39" s="862"/>
      <c r="J39" s="863"/>
      <c r="K39" s="871"/>
      <c r="L39" s="759"/>
      <c r="M39" s="759"/>
    </row>
    <row r="40" spans="1:18" ht="18" customHeight="1">
      <c r="A40" s="692" t="s">
        <v>3157</v>
      </c>
      <c r="B40" s="693" t="s">
        <v>3175</v>
      </c>
      <c r="C40" s="773">
        <f ca="1">ROUND(C39*(1-((1+F42)/(1+F40))^F41)/(F40-F42),0)</f>
        <v>10454854</v>
      </c>
      <c r="D40" s="761" t="s">
        <v>3159</v>
      </c>
      <c r="E40" s="701" t="s">
        <v>3160</v>
      </c>
      <c r="F40" s="709">
        <f ca="1">INDIRECT("'数据-取费表'!I"&amp;$G$1)</f>
        <v>5.5E-2</v>
      </c>
      <c r="G40" s="667"/>
      <c r="H40" s="774"/>
      <c r="I40" s="862"/>
      <c r="J40" s="863"/>
      <c r="K40" s="871"/>
      <c r="L40" s="774"/>
      <c r="M40" s="774"/>
    </row>
    <row r="41" spans="1:18" ht="18" customHeight="1">
      <c r="A41" s="707"/>
      <c r="B41" s="775"/>
      <c r="C41" s="708"/>
      <c r="D41" s="776" t="s">
        <v>3163</v>
      </c>
      <c r="E41" s="701" t="s">
        <v>3164</v>
      </c>
      <c r="F41" s="777">
        <f ca="1">IF(INDIRECT("'数据-取费表'!af"&amp;$G$1)=0,INDIRECT("'数据-取费表'!ae"&amp;$G$1),INDIRECT("'数据-取费表'!af"&amp;$G$1))</f>
        <v>36.369999999999997</v>
      </c>
      <c r="G41" s="667"/>
      <c r="H41" s="778"/>
      <c r="I41" s="862"/>
      <c r="J41" s="863"/>
      <c r="K41" s="870"/>
      <c r="L41" s="778"/>
      <c r="M41" s="778"/>
    </row>
    <row r="42" spans="1:18" ht="18" customHeight="1">
      <c r="A42" s="714"/>
      <c r="B42" s="779"/>
      <c r="C42" s="727"/>
      <c r="D42" s="765"/>
      <c r="E42" s="701" t="s">
        <v>3167</v>
      </c>
      <c r="F42" s="709">
        <f ca="1">INDIRECT("'数据-取费表'!v"&amp;$G$1)</f>
        <v>0.02</v>
      </c>
      <c r="G42" s="667"/>
      <c r="H42" s="778"/>
      <c r="I42" s="862"/>
      <c r="J42" s="863"/>
      <c r="K42" s="870"/>
      <c r="L42" s="778"/>
      <c r="M42" s="778"/>
    </row>
    <row r="43" spans="1:18" ht="18" customHeight="1">
      <c r="A43" s="750" t="s">
        <v>3170</v>
      </c>
      <c r="B43" s="780" t="s">
        <v>3176</v>
      </c>
      <c r="C43" s="781">
        <f ca="1">ROUND(C40/F43,0)</f>
        <v>10369</v>
      </c>
      <c r="D43" s="782" t="s">
        <v>3177</v>
      </c>
      <c r="E43" s="783" t="s">
        <v>3178</v>
      </c>
      <c r="F43" s="784">
        <f ca="1">INDIRECT("'数据-取费表'!k"&amp;$G$1)</f>
        <v>1008.26</v>
      </c>
      <c r="G43" s="667"/>
      <c r="H43" s="778"/>
      <c r="I43" s="778"/>
      <c r="J43" s="778"/>
      <c r="K43" s="870"/>
      <c r="L43" s="778"/>
      <c r="M43" s="778"/>
    </row>
    <row r="44" spans="1:18" s="667" customFormat="1" ht="18" customHeight="1">
      <c r="A44" s="785"/>
      <c r="B44" s="785"/>
      <c r="C44" s="786"/>
      <c r="D44" s="785"/>
      <c r="E44" s="785"/>
      <c r="F44" s="785"/>
      <c r="K44" s="872"/>
    </row>
    <row r="45" spans="1:18" s="667" customFormat="1" ht="18" customHeight="1">
      <c r="A45" s="787" t="s">
        <v>3805</v>
      </c>
      <c r="B45" s="785"/>
      <c r="C45" s="788">
        <f ca="1">ROUND((C68-C40)/10000,4)</f>
        <v>-1088.9866999999999</v>
      </c>
      <c r="D45" s="789" t="s">
        <v>3806</v>
      </c>
      <c r="E45" s="785"/>
      <c r="F45" s="785"/>
      <c r="O45" s="873" t="s">
        <v>3179</v>
      </c>
      <c r="P45" s="774"/>
      <c r="Q45" s="774"/>
      <c r="R45" s="774"/>
    </row>
    <row r="46" spans="1:18" s="667" customFormat="1">
      <c r="A46" s="790" t="s">
        <v>3180</v>
      </c>
      <c r="C46" s="791">
        <f ca="1">ROUND(C45,0)</f>
        <v>-1089</v>
      </c>
      <c r="D46" s="792" t="str">
        <f>C2</f>
        <v>万元</v>
      </c>
      <c r="I46" s="874" t="s">
        <v>3181</v>
      </c>
      <c r="J46" s="875"/>
      <c r="K46" s="876"/>
      <c r="L46" s="877" t="str">
        <f ca="1">IF(M47="住宅",0,IF(L48&gt;J51,L60,J60))</f>
        <v>0</v>
      </c>
      <c r="O46" s="878" t="s">
        <v>3182</v>
      </c>
      <c r="P46" s="879" t="s">
        <v>3183</v>
      </c>
      <c r="Q46" s="924" t="s">
        <v>3184</v>
      </c>
      <c r="R46" s="924" t="s">
        <v>3185</v>
      </c>
    </row>
    <row r="47" spans="1:18" s="667" customFormat="1">
      <c r="A47" s="793" t="s">
        <v>3081</v>
      </c>
      <c r="B47" s="794" t="s">
        <v>3082</v>
      </c>
      <c r="C47" s="794" t="s">
        <v>3083</v>
      </c>
      <c r="D47" s="794" t="s">
        <v>3084</v>
      </c>
      <c r="E47" s="795" t="s">
        <v>3085</v>
      </c>
      <c r="F47" s="592"/>
      <c r="G47" s="796"/>
      <c r="I47" s="880" t="s">
        <v>3186</v>
      </c>
      <c r="J47" s="881" t="s">
        <v>3187</v>
      </c>
      <c r="K47" s="882" t="s">
        <v>3188</v>
      </c>
      <c r="L47" s="883">
        <f ca="1">INDIRECT("'数据-取费表'!d"&amp;$G$1)</f>
        <v>40</v>
      </c>
      <c r="M47" s="884" t="str">
        <f>IF(ISNUMBER(FIND("住宅",C1)),"住宅","非住宅")</f>
        <v>非住宅</v>
      </c>
      <c r="O47" s="885" t="s">
        <v>2991</v>
      </c>
      <c r="P47" s="886" t="s">
        <v>3189</v>
      </c>
      <c r="Q47" s="925">
        <f ca="1">C40+J29</f>
        <v>10454854</v>
      </c>
      <c r="R47" s="925" t="s">
        <v>3190</v>
      </c>
    </row>
    <row r="48" spans="1:18" s="667" customFormat="1" ht="39.6">
      <c r="A48" s="797" t="s">
        <v>3191</v>
      </c>
      <c r="B48" s="693" t="s">
        <v>3086</v>
      </c>
      <c r="C48" s="600">
        <f ca="1">C49+C53+C55</f>
        <v>0</v>
      </c>
      <c r="D48" s="798"/>
      <c r="E48" s="799"/>
      <c r="F48" s="800"/>
      <c r="G48" s="796"/>
      <c r="H48" s="801"/>
      <c r="I48" s="887" t="s">
        <v>3192</v>
      </c>
      <c r="J48" s="888" t="s">
        <v>3193</v>
      </c>
      <c r="K48" s="889" t="s">
        <v>3194</v>
      </c>
      <c r="L48" s="890">
        <f ca="1">INDIRECT("'数据-取费表'!f"&amp;$G$1)</f>
        <v>36.369999999999997</v>
      </c>
      <c r="O48" s="885" t="s">
        <v>2995</v>
      </c>
      <c r="P48" s="886" t="s">
        <v>3195</v>
      </c>
      <c r="Q48" s="925" t="str">
        <f ca="1">J60</f>
        <v>0</v>
      </c>
      <c r="R48" s="925" t="s">
        <v>3196</v>
      </c>
    </row>
    <row r="49" spans="1:18" s="667" customFormat="1">
      <c r="A49" s="802" t="s">
        <v>3197</v>
      </c>
      <c r="B49" s="803" t="s">
        <v>3198</v>
      </c>
      <c r="C49" s="804">
        <f ca="1">ROUND(F49*F51*F50*(1-F52),0)</f>
        <v>0</v>
      </c>
      <c r="D49" s="805" t="s">
        <v>3807</v>
      </c>
      <c r="E49" s="806" t="s">
        <v>3199</v>
      </c>
      <c r="F49" s="807"/>
      <c r="G49" s="808"/>
      <c r="H49" s="801"/>
      <c r="I49" s="887" t="s">
        <v>3200</v>
      </c>
      <c r="J49" s="891">
        <v>2024</v>
      </c>
      <c r="K49" s="889" t="s">
        <v>3201</v>
      </c>
      <c r="L49" s="892"/>
      <c r="O49" s="893" t="s">
        <v>3202</v>
      </c>
      <c r="P49" s="886" t="s">
        <v>3203</v>
      </c>
      <c r="Q49" s="925">
        <f ca="1">C29</f>
        <v>6976500</v>
      </c>
      <c r="R49" s="925" t="s">
        <v>3190</v>
      </c>
    </row>
    <row r="50" spans="1:18" s="667" customFormat="1">
      <c r="A50" s="809"/>
      <c r="B50" s="810"/>
      <c r="C50" s="811"/>
      <c r="D50" s="812"/>
      <c r="E50" s="813" t="s">
        <v>3092</v>
      </c>
      <c r="F50" s="814">
        <f ca="1">F7</f>
        <v>1008.26</v>
      </c>
      <c r="H50" s="801"/>
      <c r="I50" s="887" t="s">
        <v>3204</v>
      </c>
      <c r="J50" s="894">
        <f>SUMPRODUCT((I63:I65=J47)*(J62:L62=J48)*(J63:L65))</f>
        <v>60</v>
      </c>
      <c r="K50" s="889" t="s">
        <v>3205</v>
      </c>
      <c r="L50" s="892"/>
      <c r="M50" s="895"/>
      <c r="O50" s="893" t="s">
        <v>3206</v>
      </c>
      <c r="P50" s="886" t="s">
        <v>3207</v>
      </c>
      <c r="Q50" s="926" t="e">
        <f ca="1">J58</f>
        <v>#VALUE!</v>
      </c>
      <c r="R50" s="925"/>
    </row>
    <row r="51" spans="1:18" s="667" customFormat="1">
      <c r="A51" s="815"/>
      <c r="B51" s="810"/>
      <c r="C51" s="811"/>
      <c r="D51" s="812"/>
      <c r="E51" s="816" t="s">
        <v>3093</v>
      </c>
      <c r="F51" s="702">
        <f ca="1">F8</f>
        <v>365</v>
      </c>
      <c r="I51" s="896" t="s">
        <v>3208</v>
      </c>
      <c r="J51" s="897">
        <f>IF(J49="",J50,J49+J50-YEAR('数据-取费表'!B2))</f>
        <v>60</v>
      </c>
      <c r="K51" s="898" t="s">
        <v>3209</v>
      </c>
      <c r="L51" s="899">
        <f ca="1">ROUND(-PV(INDIRECT("'数据-取费表'!h"&amp;$G$1),J51,(C39-C13*C76),0),0)</f>
        <v>605210</v>
      </c>
      <c r="M51" s="900"/>
      <c r="O51" s="893" t="s">
        <v>3210</v>
      </c>
      <c r="P51" s="886" t="s">
        <v>3211</v>
      </c>
      <c r="Q51" s="926">
        <f>J52</f>
        <v>7.4999999999999997E-2</v>
      </c>
      <c r="R51" s="925"/>
    </row>
    <row r="52" spans="1:18" s="667" customFormat="1">
      <c r="A52" s="815"/>
      <c r="B52" s="810"/>
      <c r="C52" s="811"/>
      <c r="D52" s="812"/>
      <c r="E52" s="816" t="s">
        <v>3094</v>
      </c>
      <c r="F52" s="817"/>
      <c r="I52" s="901" t="s">
        <v>3212</v>
      </c>
      <c r="J52" s="902">
        <v>7.4999999999999997E-2</v>
      </c>
      <c r="K52" s="901" t="s">
        <v>3213</v>
      </c>
      <c r="L52" s="902"/>
      <c r="O52" s="893" t="s">
        <v>3214</v>
      </c>
      <c r="P52" s="886" t="s">
        <v>3215</v>
      </c>
      <c r="Q52" s="925">
        <f ca="1">J53</f>
        <v>36.369999999999997</v>
      </c>
      <c r="R52" s="925" t="s">
        <v>3216</v>
      </c>
    </row>
    <row r="53" spans="1:18" s="667" customFormat="1" ht="30.75" customHeight="1">
      <c r="A53" s="818" t="s">
        <v>3217</v>
      </c>
      <c r="B53" s="742" t="s">
        <v>3095</v>
      </c>
      <c r="C53" s="598">
        <f ca="1">ROUND(IF(F53="押一",C49/12*F11,IF(F53="押二",C49/12*2*F11,IF(F53="押三",C49/12*3*F11,C54*F11))),0)</f>
        <v>0</v>
      </c>
      <c r="D53" s="711" t="s">
        <v>3808</v>
      </c>
      <c r="E53" s="712" t="s">
        <v>3097</v>
      </c>
      <c r="F53" s="713"/>
      <c r="I53" s="903" t="s">
        <v>3218</v>
      </c>
      <c r="J53" s="904">
        <f ca="1">IF(M47="住宅",IF(D1="——",MAX(J51,L48),MAX(J51,L48-'数据-取费表'!B24)),IF(D1="——",MIN(J51,L48),MIN(J51,L48-'数据-取费表'!B24)))</f>
        <v>36.369999999999997</v>
      </c>
      <c r="K53" s="3699" t="s">
        <v>3219</v>
      </c>
      <c r="L53" s="3700"/>
      <c r="O53" s="885" t="s">
        <v>3220</v>
      </c>
      <c r="P53" s="886" t="s">
        <v>3221</v>
      </c>
      <c r="Q53" s="925">
        <f ca="1">Q47+Q48</f>
        <v>10454854</v>
      </c>
      <c r="R53" s="925" t="s">
        <v>3222</v>
      </c>
    </row>
    <row r="54" spans="1:18" s="667" customFormat="1">
      <c r="A54" s="802"/>
      <c r="B54" s="819" t="s">
        <v>3804</v>
      </c>
      <c r="C54" s="716"/>
      <c r="D54" s="711"/>
      <c r="E54" s="820"/>
      <c r="F54" s="821"/>
      <c r="I54" s="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906"/>
      <c r="K54" s="906"/>
      <c r="L54" s="906"/>
      <c r="M54" s="808"/>
      <c r="O54" s="873" t="s">
        <v>3223</v>
      </c>
      <c r="P54" s="907"/>
      <c r="Q54" s="907"/>
      <c r="R54" s="907"/>
    </row>
    <row r="55" spans="1:18" s="667" customFormat="1">
      <c r="A55" s="719" t="s">
        <v>2819</v>
      </c>
      <c r="B55" s="720" t="s">
        <v>3101</v>
      </c>
      <c r="C55" s="721"/>
      <c r="D55" s="711"/>
      <c r="E55" s="820"/>
      <c r="F55" s="821"/>
      <c r="I55" s="908" t="s">
        <v>3224</v>
      </c>
      <c r="J55" s="909" t="e">
        <f ca="1">ROUND(IF(J47="钢混",J57/J50,1-(1-2%)*(J50-J57)/J50),3)</f>
        <v>#VALUE!</v>
      </c>
      <c r="K55" s="910" t="s">
        <v>3225</v>
      </c>
      <c r="L55" s="911"/>
      <c r="O55" s="878" t="s">
        <v>3182</v>
      </c>
      <c r="P55" s="879" t="s">
        <v>3183</v>
      </c>
      <c r="Q55" s="924" t="s">
        <v>3184</v>
      </c>
      <c r="R55" s="924" t="s">
        <v>3185</v>
      </c>
    </row>
    <row r="56" spans="1:18" s="667" customFormat="1" ht="36" customHeight="1">
      <c r="A56" s="822">
        <v>2</v>
      </c>
      <c r="B56" s="823" t="s">
        <v>3102</v>
      </c>
      <c r="C56" s="413">
        <f ca="1">C13</f>
        <v>6976500</v>
      </c>
      <c r="D56" s="824"/>
      <c r="E56" s="825"/>
      <c r="F56" s="821"/>
      <c r="I56" s="912" t="s">
        <v>3226</v>
      </c>
      <c r="J56" s="913" t="s">
        <v>561</v>
      </c>
      <c r="K56" s="887" t="s">
        <v>3228</v>
      </c>
      <c r="L56" s="890" t="str">
        <f ca="1">IF(L48&lt;J51,"——",L48-J51)</f>
        <v>——</v>
      </c>
      <c r="O56" s="885" t="s">
        <v>2991</v>
      </c>
      <c r="P56" s="886" t="s">
        <v>3189</v>
      </c>
      <c r="Q56" s="925">
        <f ca="1">C40+J29</f>
        <v>10454854</v>
      </c>
      <c r="R56" s="925" t="s">
        <v>3190</v>
      </c>
    </row>
    <row r="57" spans="1:18" s="667" customFormat="1" ht="24">
      <c r="A57" s="826"/>
      <c r="B57" s="827" t="s">
        <v>3169</v>
      </c>
      <c r="C57" s="423">
        <f ca="1">C29</f>
        <v>6976500</v>
      </c>
      <c r="D57" s="828"/>
      <c r="E57" s="829"/>
      <c r="F57" s="830"/>
      <c r="I57" s="914" t="s">
        <v>3229</v>
      </c>
      <c r="J57" s="915" t="str">
        <f ca="1">IF(OR(M47="住宅",J51&lt;L48,J56="是"),"——",J51-L48)</f>
        <v>——</v>
      </c>
      <c r="K57" s="887" t="s">
        <v>3809</v>
      </c>
      <c r="L57" s="890" t="str">
        <f ca="1">IF(L48&lt;J51,"——",IF(L55="比较法",L49,IF(L55="基准地价",L50,L51)))</f>
        <v>——</v>
      </c>
      <c r="O57" s="885" t="s">
        <v>2995</v>
      </c>
      <c r="P57" s="886" t="s">
        <v>3231</v>
      </c>
      <c r="Q57" s="925">
        <f ca="1">L60</f>
        <v>0</v>
      </c>
      <c r="R57" s="925" t="s">
        <v>3232</v>
      </c>
    </row>
    <row r="58" spans="1:18" s="667" customFormat="1" ht="24">
      <c r="A58" s="831" t="s">
        <v>3112</v>
      </c>
      <c r="B58" s="823" t="s">
        <v>3113</v>
      </c>
      <c r="C58" s="598">
        <f ca="1">ROUND(C59+C64+C65+C66,0)</f>
        <v>27907</v>
      </c>
      <c r="D58" s="832" t="s">
        <v>3114</v>
      </c>
      <c r="E58" s="833"/>
      <c r="F58" s="800"/>
      <c r="I58" s="914" t="s">
        <v>3233</v>
      </c>
      <c r="J58" s="916" t="e">
        <f ca="1">IF(J55&lt;0.4,0.4,J55)</f>
        <v>#VALUE!</v>
      </c>
      <c r="K58" s="898" t="s">
        <v>3810</v>
      </c>
      <c r="L58" s="890" t="e">
        <f ca="1">ROUND(POWER(1+L52,L47-L48)*(POWER(1+L52,L48)-1)/(POWER(1+L52,L47)-1),4)</f>
        <v>#DIV/0!</v>
      </c>
      <c r="O58" s="893" t="s">
        <v>3202</v>
      </c>
      <c r="P58" s="886" t="s">
        <v>3235</v>
      </c>
      <c r="Q58" s="925">
        <f>IF(L55="比较法",L49,IF(L55="基准地价",L50,0))</f>
        <v>0</v>
      </c>
      <c r="R58" s="925" t="s">
        <v>3190</v>
      </c>
    </row>
    <row r="59" spans="1:18" s="667" customFormat="1" ht="24">
      <c r="A59" s="730" t="s">
        <v>2770</v>
      </c>
      <c r="B59" s="827" t="s">
        <v>3119</v>
      </c>
      <c r="C59" s="754">
        <f ca="1">ROUND(IF(AND(项目基本情况!B11="自然人",项目基本情况!B10="北京市"),C49*F59/(1+'数据-取费表'!C42),C60+C61+C62),0)</f>
        <v>0</v>
      </c>
      <c r="D59" s="834" t="s">
        <v>3120</v>
      </c>
      <c r="E59" s="835" t="s">
        <v>3121</v>
      </c>
      <c r="F59" s="756" t="str">
        <f>IF(项目基本情况!B11="企业","——",IF('数据-取费表'!B10="住宅",IF(F49*F50*F51/12/(1+'数据-取费表'!F30)&gt;100000,4%,2.5%),IF(F49*F50*F51/12/(1+'数据-取费表'!F30)&gt;100000,12%,7%)))</f>
        <v>——</v>
      </c>
      <c r="I59" s="914" t="s">
        <v>3236</v>
      </c>
      <c r="J59" s="915" t="str">
        <f ca="1">IF(OR(M47="住宅",J51&lt;L48,J56="是"),"——",ROUND(C29*J58,0))</f>
        <v>——</v>
      </c>
      <c r="K59" s="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90" t="e">
        <f ca="1">ROUND(IF(D1="在建（套用方法）",M59,IF(D1="土地（套用方法）",N59,POWER(1+L52,L47-J51)*(POWER(1+L52,J51)-1)/(POWER(1+L52,L47)-1))),4)</f>
        <v>#DIV/0!</v>
      </c>
      <c r="M59" s="907" t="e">
        <f ca="1">ROUND(POWER(1+L52,L47-(J51+'数据-取费表'!B24))*(POWER(1+L52,(J51+'数据-取费表'!B24))-1)/(POWER(1+L52,L47)-1),4)</f>
        <v>#DIV/0!</v>
      </c>
      <c r="N59" s="907" t="e">
        <f ca="1">ROUND(POWER(1+L52,L47-(J51+'数据-取费表'!B20))*(POWER(1+L52,(J51+'数据-取费表'!B20))-1)/(POWER(1+L52,L47)-1),4)</f>
        <v>#DIV/0!</v>
      </c>
      <c r="O59" s="893" t="s">
        <v>3206</v>
      </c>
      <c r="P59" s="886" t="s">
        <v>3237</v>
      </c>
      <c r="Q59" s="926">
        <f>L52</f>
        <v>0</v>
      </c>
      <c r="R59" s="925"/>
    </row>
    <row r="60" spans="1:18" s="667" customFormat="1" ht="15.6">
      <c r="A60" s="730" t="s">
        <v>2793</v>
      </c>
      <c r="B60" s="827" t="s">
        <v>3124</v>
      </c>
      <c r="C60" s="599">
        <f ca="1">IF(项目基本情况!B11="自然人","——",ROUND(C48*F60/(1+'数据-取费表'!C42),0))</f>
        <v>0</v>
      </c>
      <c r="D60" s="835" t="s">
        <v>3125</v>
      </c>
      <c r="E60" s="827" t="s">
        <v>3110</v>
      </c>
      <c r="F60" s="746">
        <f t="shared" ref="F60:F66" si="0">F32</f>
        <v>5.6000000000000001E-2</v>
      </c>
      <c r="I60" s="917" t="s">
        <v>3238</v>
      </c>
      <c r="J60" s="918" t="str">
        <f ca="1">IF(OR(M47="住宅",J51&lt;L48,J56="是"),"0",ROUND(J59/(1+J52)^J53,0))</f>
        <v>0</v>
      </c>
      <c r="K60" s="919" t="s">
        <v>3239</v>
      </c>
      <c r="L60" s="918">
        <f ca="1">IF(OR(M47="住宅",L48&lt;J51),0,ROUND(L57*(L58/L59-1),0))</f>
        <v>0</v>
      </c>
      <c r="O60" s="893" t="s">
        <v>3210</v>
      </c>
      <c r="P60" s="886" t="s">
        <v>3240</v>
      </c>
      <c r="Q60" s="925" t="e">
        <f ca="1">L58</f>
        <v>#DIV/0!</v>
      </c>
      <c r="R60" s="925" t="s">
        <v>3241</v>
      </c>
    </row>
    <row r="61" spans="1:18" s="667" customFormat="1">
      <c r="A61" s="730" t="s">
        <v>2797</v>
      </c>
      <c r="B61" s="827" t="s">
        <v>3128</v>
      </c>
      <c r="C61" s="599">
        <f ca="1">IF(项目基本情况!B11="自然人","——",IF(D61="按租金收入计税",ROUND(C49*F61/(1+'数据-取费表'!C42),0),IF(D61="按房产原值计税",ROUND(C57*F61*0.7,0),INDIRECT("'数据-取费表'!Aj"&amp;$G$1))))</f>
        <v>0</v>
      </c>
      <c r="D61" s="758" t="s">
        <v>3129</v>
      </c>
      <c r="E61" s="827" t="s">
        <v>3110</v>
      </c>
      <c r="F61" s="739">
        <f t="shared" si="0"/>
        <v>0.12</v>
      </c>
      <c r="I61" s="774"/>
      <c r="J61" s="774"/>
      <c r="K61" s="774"/>
      <c r="L61" s="774"/>
      <c r="O61" s="893" t="s">
        <v>3214</v>
      </c>
      <c r="P61" s="886" t="str">
        <f>K59</f>
        <v>建筑物剩余耐用年限下的土地年期修正系数Kn</v>
      </c>
      <c r="Q61" s="925" t="e">
        <f ca="1">L59</f>
        <v>#DIV/0!</v>
      </c>
      <c r="R61" s="925" t="s">
        <v>3242</v>
      </c>
    </row>
    <row r="62" spans="1:18" s="667" customFormat="1">
      <c r="A62" s="730" t="s">
        <v>2800</v>
      </c>
      <c r="B62" s="836" t="s">
        <v>3132</v>
      </c>
      <c r="C62" s="760">
        <f ca="1">IF(项目基本情况!B11="自然人","——",ROUND(F62*F63,0))</f>
        <v>0</v>
      </c>
      <c r="D62" s="837" t="s">
        <v>3133</v>
      </c>
      <c r="E62" s="827" t="s">
        <v>3134</v>
      </c>
      <c r="F62" s="745">
        <f t="shared" si="0"/>
        <v>0</v>
      </c>
      <c r="I62" s="920" t="s">
        <v>3243</v>
      </c>
      <c r="J62" s="921" t="s">
        <v>3244</v>
      </c>
      <c r="K62" s="921" t="s">
        <v>3245</v>
      </c>
      <c r="L62" s="921" t="s">
        <v>3246</v>
      </c>
      <c r="M62" s="922" t="s">
        <v>3247</v>
      </c>
      <c r="O62" s="885" t="s">
        <v>3220</v>
      </c>
      <c r="P62" s="886" t="s">
        <v>3221</v>
      </c>
      <c r="Q62" s="925">
        <f ca="1">Q56+Q57</f>
        <v>10454854</v>
      </c>
      <c r="R62" s="925" t="s">
        <v>3222</v>
      </c>
    </row>
    <row r="63" spans="1:18" s="667" customFormat="1">
      <c r="A63" s="743"/>
      <c r="B63" s="838"/>
      <c r="C63" s="764"/>
      <c r="D63" s="839"/>
      <c r="E63" s="827" t="s">
        <v>3138</v>
      </c>
      <c r="F63" s="702">
        <f t="shared" ca="1" si="0"/>
        <v>0</v>
      </c>
      <c r="I63" s="920" t="s">
        <v>3248</v>
      </c>
      <c r="J63" s="921">
        <v>70</v>
      </c>
      <c r="K63" s="921">
        <v>50</v>
      </c>
      <c r="L63" s="921">
        <v>80</v>
      </c>
      <c r="M63" s="923">
        <v>0.02</v>
      </c>
      <c r="O63" s="873" t="s">
        <v>3249</v>
      </c>
      <c r="P63" s="907"/>
      <c r="Q63" s="907"/>
      <c r="R63" s="907"/>
    </row>
    <row r="64" spans="1:18" s="667" customFormat="1">
      <c r="A64" s="730" t="s">
        <v>2774</v>
      </c>
      <c r="B64" s="827" t="s">
        <v>3140</v>
      </c>
      <c r="C64" s="599">
        <f ca="1">ROUND(C57*F64,0)</f>
        <v>20930</v>
      </c>
      <c r="D64" s="835" t="s">
        <v>3174</v>
      </c>
      <c r="E64" s="827" t="s">
        <v>3110</v>
      </c>
      <c r="F64" s="767">
        <f t="shared" ca="1" si="0"/>
        <v>3.0000000000000001E-3</v>
      </c>
      <c r="I64" s="920" t="s">
        <v>3250</v>
      </c>
      <c r="J64" s="921">
        <v>50</v>
      </c>
      <c r="K64" s="921">
        <v>35</v>
      </c>
      <c r="L64" s="921">
        <v>60</v>
      </c>
      <c r="M64" s="922">
        <v>0</v>
      </c>
      <c r="O64" s="878" t="s">
        <v>3182</v>
      </c>
      <c r="P64" s="879" t="s">
        <v>3183</v>
      </c>
      <c r="Q64" s="924" t="s">
        <v>3184</v>
      </c>
      <c r="R64" s="924" t="s">
        <v>3185</v>
      </c>
    </row>
    <row r="65" spans="1:18" s="667" customFormat="1">
      <c r="A65" s="730" t="s">
        <v>2819</v>
      </c>
      <c r="B65" s="827" t="s">
        <v>3144</v>
      </c>
      <c r="C65" s="599">
        <f ca="1">ROUND(C56*F65,0)</f>
        <v>6977</v>
      </c>
      <c r="D65" s="835" t="s">
        <v>3145</v>
      </c>
      <c r="E65" s="827" t="s">
        <v>3110</v>
      </c>
      <c r="F65" s="768">
        <f t="shared" ca="1" si="0"/>
        <v>1E-3</v>
      </c>
      <c r="I65" s="920" t="s">
        <v>3251</v>
      </c>
      <c r="J65" s="921">
        <v>40</v>
      </c>
      <c r="K65" s="921">
        <v>30</v>
      </c>
      <c r="L65" s="921">
        <v>50</v>
      </c>
      <c r="M65" s="923">
        <v>0.02</v>
      </c>
      <c r="O65" s="885" t="s">
        <v>2991</v>
      </c>
      <c r="P65" s="886" t="s">
        <v>3189</v>
      </c>
      <c r="Q65" s="925">
        <f ca="1">C40+J29</f>
        <v>10454854</v>
      </c>
      <c r="R65" s="925" t="s">
        <v>3190</v>
      </c>
    </row>
    <row r="66" spans="1:18" s="667" customFormat="1" ht="15.6">
      <c r="A66" s="730" t="s">
        <v>2822</v>
      </c>
      <c r="B66" s="827" t="s">
        <v>3130</v>
      </c>
      <c r="C66" s="599">
        <f ca="1">ROUND(C48*F66,0)</f>
        <v>0</v>
      </c>
      <c r="D66" s="835" t="s">
        <v>3148</v>
      </c>
      <c r="E66" s="827" t="s">
        <v>3110</v>
      </c>
      <c r="F66" s="709">
        <f t="shared" ca="1" si="0"/>
        <v>0.01</v>
      </c>
      <c r="O66" s="885" t="s">
        <v>2995</v>
      </c>
      <c r="P66" s="886" t="s">
        <v>3231</v>
      </c>
      <c r="Q66" s="925">
        <f ca="1">L60</f>
        <v>0</v>
      </c>
      <c r="R66" s="925" t="s">
        <v>3232</v>
      </c>
    </row>
    <row r="67" spans="1:18" s="667" customFormat="1" ht="24">
      <c r="A67" s="822" t="s">
        <v>3151</v>
      </c>
      <c r="B67" s="927" t="s">
        <v>3152</v>
      </c>
      <c r="C67" s="598">
        <f ca="1">C48-C58</f>
        <v>-27907</v>
      </c>
      <c r="D67" s="834" t="s">
        <v>3153</v>
      </c>
      <c r="E67" s="928"/>
      <c r="F67" s="929"/>
      <c r="O67" s="893" t="s">
        <v>3202</v>
      </c>
      <c r="P67" s="886" t="s">
        <v>3235</v>
      </c>
      <c r="Q67" s="950">
        <f ca="1">L51</f>
        <v>605210</v>
      </c>
      <c r="R67" s="925" t="s">
        <v>3252</v>
      </c>
    </row>
    <row r="68" spans="1:18" s="667" customFormat="1" ht="15.6">
      <c r="A68" s="930" t="s">
        <v>3157</v>
      </c>
      <c r="B68" s="931" t="s">
        <v>3175</v>
      </c>
      <c r="C68" s="773">
        <f ca="1">ROUND(C67*(1-((1+F70)/(1+F68))^F69)/(F68-F70),0)</f>
        <v>-435013</v>
      </c>
      <c r="D68" s="837" t="s">
        <v>3159</v>
      </c>
      <c r="E68" s="827" t="s">
        <v>3160</v>
      </c>
      <c r="F68" s="709">
        <f ca="1">F40</f>
        <v>5.5E-2</v>
      </c>
      <c r="O68" s="893" t="s">
        <v>3206</v>
      </c>
      <c r="P68" s="949" t="s">
        <v>3253</v>
      </c>
      <c r="Q68" s="925">
        <f ca="1">ROUND(Q69-Q70*Q71,0)</f>
        <v>29325</v>
      </c>
      <c r="R68" s="925" t="s">
        <v>3254</v>
      </c>
    </row>
    <row r="69" spans="1:18" s="667" customFormat="1">
      <c r="A69" s="932"/>
      <c r="B69" s="933"/>
      <c r="C69" s="708"/>
      <c r="D69" s="934" t="s">
        <v>3163</v>
      </c>
      <c r="E69" s="827" t="s">
        <v>3164</v>
      </c>
      <c r="F69" s="777">
        <f ca="1">F41</f>
        <v>36.369999999999997</v>
      </c>
      <c r="O69" s="893" t="s">
        <v>3255</v>
      </c>
      <c r="P69" s="949" t="s">
        <v>3256</v>
      </c>
      <c r="Q69" s="925">
        <f ca="1">C39</f>
        <v>517680</v>
      </c>
      <c r="R69" s="925" t="s">
        <v>3190</v>
      </c>
    </row>
    <row r="70" spans="1:18" s="667" customFormat="1">
      <c r="A70" s="935"/>
      <c r="B70" s="936"/>
      <c r="C70" s="727"/>
      <c r="D70" s="839"/>
      <c r="E70" s="827" t="s">
        <v>3167</v>
      </c>
      <c r="F70" s="817"/>
      <c r="O70" s="893" t="s">
        <v>3257</v>
      </c>
      <c r="P70" s="949" t="s">
        <v>3258</v>
      </c>
      <c r="Q70" s="925">
        <f ca="1">C13</f>
        <v>6976500</v>
      </c>
      <c r="R70" s="925" t="s">
        <v>3190</v>
      </c>
    </row>
    <row r="71" spans="1:18" s="667" customFormat="1">
      <c r="A71" s="937" t="s">
        <v>3170</v>
      </c>
      <c r="B71" s="938" t="s">
        <v>3176</v>
      </c>
      <c r="C71" s="781">
        <f ca="1">ROUND(C68/F71,0)</f>
        <v>-431</v>
      </c>
      <c r="D71" s="939" t="s">
        <v>3177</v>
      </c>
      <c r="E71" s="940" t="s">
        <v>3178</v>
      </c>
      <c r="F71" s="784">
        <f ca="1">F43</f>
        <v>1008.26</v>
      </c>
      <c r="O71" s="893" t="s">
        <v>3259</v>
      </c>
      <c r="P71" s="949" t="s">
        <v>3260</v>
      </c>
      <c r="Q71" s="926">
        <f ca="1">C76</f>
        <v>7.0000000000000007E-2</v>
      </c>
      <c r="R71" s="925"/>
    </row>
    <row r="72" spans="1:18" s="667" customFormat="1">
      <c r="B72" s="633"/>
      <c r="C72" s="633"/>
      <c r="O72" s="893" t="s">
        <v>3210</v>
      </c>
      <c r="P72" s="886" t="s">
        <v>3237</v>
      </c>
      <c r="Q72" s="926">
        <f>L52</f>
        <v>0</v>
      </c>
      <c r="R72" s="925"/>
    </row>
    <row r="73" spans="1:18" ht="15.6">
      <c r="A73" s="667"/>
      <c r="B73" s="633"/>
      <c r="C73" s="633"/>
      <c r="D73" s="667"/>
      <c r="E73" s="667"/>
      <c r="F73" s="667"/>
      <c r="O73" s="893" t="s">
        <v>3214</v>
      </c>
      <c r="P73" s="886" t="s">
        <v>3240</v>
      </c>
      <c r="Q73" s="925" t="e">
        <f ca="1">L58</f>
        <v>#DIV/0!</v>
      </c>
      <c r="R73" s="925" t="s">
        <v>3241</v>
      </c>
    </row>
    <row r="74" spans="1:18">
      <c r="A74" s="667"/>
      <c r="B74" s="455" t="s">
        <v>3261</v>
      </c>
      <c r="C74" s="941"/>
      <c r="D74" s="667"/>
      <c r="E74" s="667"/>
      <c r="F74" s="667"/>
      <c r="O74" s="893" t="s">
        <v>3262</v>
      </c>
      <c r="P74" s="886" t="str">
        <f>K59</f>
        <v>建筑物剩余耐用年限下的土地年期修正系数Kn</v>
      </c>
      <c r="Q74" s="925" t="e">
        <f ca="1">L59</f>
        <v>#DIV/0!</v>
      </c>
      <c r="R74" s="925" t="s">
        <v>3242</v>
      </c>
    </row>
    <row r="75" spans="1:18">
      <c r="A75" s="667"/>
      <c r="B75" s="942" t="s">
        <v>3263</v>
      </c>
      <c r="C75" s="943">
        <f ca="1">ROUND(C13*C76,0)</f>
        <v>488355</v>
      </c>
      <c r="D75" s="667"/>
      <c r="E75" s="667"/>
      <c r="F75" s="667"/>
      <c r="K75" s="872"/>
      <c r="L75" s="667"/>
      <c r="O75" s="885" t="s">
        <v>3220</v>
      </c>
      <c r="P75" s="886" t="s">
        <v>3221</v>
      </c>
      <c r="Q75" s="925">
        <f ca="1">Q65+Q66</f>
        <v>10454854</v>
      </c>
      <c r="R75" s="925" t="s">
        <v>3222</v>
      </c>
    </row>
    <row r="76" spans="1:18">
      <c r="B76" s="944" t="s">
        <v>3264</v>
      </c>
      <c r="C76" s="945">
        <f ca="1">INDIRECT("'数据-取费表'!j"&amp;$G$1)</f>
        <v>7.0000000000000007E-2</v>
      </c>
      <c r="I76" s="667"/>
      <c r="J76" s="667"/>
      <c r="K76" s="872"/>
      <c r="L76" s="667"/>
    </row>
    <row r="77" spans="1:18">
      <c r="B77" s="946" t="s">
        <v>3265</v>
      </c>
      <c r="C77" s="947"/>
      <c r="I77" s="667"/>
      <c r="J77" s="667"/>
      <c r="K77" s="872"/>
      <c r="L77" s="667"/>
    </row>
    <row r="78" spans="1:18">
      <c r="B78" s="453" t="s">
        <v>3266</v>
      </c>
      <c r="C78" s="948"/>
    </row>
    <row r="79" spans="1:18">
      <c r="B79" s="942" t="s">
        <v>3267</v>
      </c>
      <c r="C79" s="456">
        <f ca="1">1-C80</f>
        <v>5.7000000000000051E-2</v>
      </c>
    </row>
    <row r="80" spans="1:18">
      <c r="B80" s="942" t="s">
        <v>3268</v>
      </c>
      <c r="C80" s="456">
        <f ca="1">ROUND(C75/C39,3)</f>
        <v>0.94299999999999995</v>
      </c>
    </row>
    <row r="81" spans="2:3">
      <c r="B81" s="453" t="s">
        <v>3269</v>
      </c>
      <c r="C81" s="423"/>
    </row>
    <row r="82" spans="2:3">
      <c r="B82" s="455" t="s">
        <v>3072</v>
      </c>
      <c r="C82" s="457">
        <f ca="1">1-C83</f>
        <v>0.33299999999999996</v>
      </c>
    </row>
    <row r="83" spans="2:3">
      <c r="B83" s="455" t="s">
        <v>3073</v>
      </c>
      <c r="C83" s="456">
        <f ca="1">ROUND(C13/C40,3)</f>
        <v>0.66700000000000004</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5" priority="3">
      <formula>$F$10="自定义"</formula>
    </cfRule>
  </conditionalFormatting>
  <conditionalFormatting sqref="J11">
    <cfRule type="expression" dxfId="4" priority="2">
      <formula>$M$10="自定义"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K55 K60">
    <cfRule type="expression" dxfId="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3.2"/>
  <cols>
    <col min="1" max="1" width="11.44140625" style="542" customWidth="1"/>
    <col min="2" max="2" width="9.21875" style="543" customWidth="1"/>
    <col min="3" max="3" width="5" style="543" customWidth="1"/>
    <col min="4" max="4" width="9" style="543"/>
    <col min="5" max="5" width="5" style="543" customWidth="1"/>
    <col min="6" max="6" width="9" style="543"/>
    <col min="7" max="7" width="5" style="543" customWidth="1"/>
    <col min="8" max="8" width="9" style="543"/>
    <col min="9" max="9" width="5" style="543" customWidth="1"/>
    <col min="10" max="10" width="9" style="543"/>
    <col min="11" max="11" width="5" style="543" customWidth="1"/>
    <col min="12" max="12" width="9" style="543"/>
    <col min="13" max="13" width="5" style="543" customWidth="1"/>
    <col min="14" max="14" width="9" style="543"/>
    <col min="15" max="15" width="5" style="543" customWidth="1"/>
    <col min="16" max="16" width="9" style="543"/>
    <col min="17" max="17" width="5" style="543" customWidth="1"/>
    <col min="18" max="18" width="9" style="544"/>
    <col min="19" max="19" width="9" style="542"/>
    <col min="20" max="45" width="9" style="545"/>
    <col min="46" max="16384" width="9" style="542"/>
  </cols>
  <sheetData>
    <row r="1" spans="1:45" ht="14.25" customHeight="1">
      <c r="A1" s="546"/>
      <c r="B1" s="547" t="s">
        <v>2955</v>
      </c>
      <c r="C1" s="3690" t="s">
        <v>2956</v>
      </c>
      <c r="D1" s="3691"/>
      <c r="E1" s="3691"/>
      <c r="F1" s="3691"/>
      <c r="G1" s="3691"/>
      <c r="H1" s="3691"/>
      <c r="I1" s="3691"/>
      <c r="J1" s="3691"/>
      <c r="K1" s="3691"/>
      <c r="L1" s="3691"/>
      <c r="M1" s="3691"/>
      <c r="N1" s="3691"/>
      <c r="O1" s="3691"/>
      <c r="P1" s="3691"/>
      <c r="Q1" s="3691"/>
      <c r="R1" s="3691"/>
      <c r="S1" s="3692"/>
      <c r="T1" s="547" t="s">
        <v>2957</v>
      </c>
    </row>
    <row r="2" spans="1:45" s="537" customFormat="1">
      <c r="A2" s="548"/>
      <c r="B2" s="549" t="s">
        <v>458</v>
      </c>
      <c r="C2" s="550" t="str">
        <f t="shared" ref="C2:R2" si="0">C3&amp;"(含)"&amp;"-"&amp;D3</f>
        <v>(含)-</v>
      </c>
      <c r="D2" s="551" t="str">
        <f t="shared" si="0"/>
        <v>(含)-</v>
      </c>
      <c r="E2" s="551" t="str">
        <f t="shared" si="0"/>
        <v>(含)-</v>
      </c>
      <c r="F2" s="551" t="str">
        <f t="shared" si="0"/>
        <v>(含)-</v>
      </c>
      <c r="G2" s="551" t="str">
        <f t="shared" si="0"/>
        <v>(含)-</v>
      </c>
      <c r="H2" s="551" t="str">
        <f t="shared" si="0"/>
        <v>(含)-</v>
      </c>
      <c r="I2" s="551" t="str">
        <f t="shared" si="0"/>
        <v>(含)-</v>
      </c>
      <c r="J2" s="551" t="str">
        <f t="shared" si="0"/>
        <v>(含)-</v>
      </c>
      <c r="K2" s="551" t="str">
        <f t="shared" si="0"/>
        <v>(含)-</v>
      </c>
      <c r="L2" s="551" t="str">
        <f t="shared" si="0"/>
        <v>(含)-</v>
      </c>
      <c r="M2" s="551" t="str">
        <f t="shared" si="0"/>
        <v>(含)-</v>
      </c>
      <c r="N2" s="551" t="str">
        <f t="shared" si="0"/>
        <v>(含)-</v>
      </c>
      <c r="O2" s="551" t="str">
        <f t="shared" si="0"/>
        <v>(含)-</v>
      </c>
      <c r="P2" s="551" t="str">
        <f t="shared" si="0"/>
        <v>(含)-</v>
      </c>
      <c r="Q2" s="551" t="str">
        <f t="shared" si="0"/>
        <v>(含)-</v>
      </c>
      <c r="R2" s="551" t="str">
        <f t="shared" si="0"/>
        <v>(含)-</v>
      </c>
      <c r="S2" s="631" t="str">
        <f>S3&amp;"(含)"&amp;"-"</f>
        <v>(含)-</v>
      </c>
      <c r="T2" s="632"/>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row>
    <row r="3" spans="1:45" s="538" customFormat="1">
      <c r="A3" s="552"/>
      <c r="B3" s="553"/>
      <c r="C3" s="554"/>
      <c r="D3" s="555"/>
      <c r="E3" s="555"/>
      <c r="F3" s="556"/>
      <c r="G3" s="556"/>
      <c r="H3" s="556"/>
      <c r="I3" s="556"/>
      <c r="J3" s="556"/>
      <c r="K3" s="556"/>
      <c r="L3" s="609"/>
      <c r="M3" s="610"/>
      <c r="N3" s="610"/>
      <c r="O3" s="556"/>
      <c r="P3" s="556"/>
      <c r="Q3" s="556"/>
      <c r="R3" s="556"/>
      <c r="S3" s="634"/>
      <c r="T3" s="635"/>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row>
    <row r="4" spans="1:45" s="538" customFormat="1">
      <c r="A4" s="557"/>
      <c r="B4" s="558"/>
      <c r="C4" s="559"/>
      <c r="D4" s="560"/>
      <c r="E4" s="560"/>
      <c r="F4" s="561"/>
      <c r="G4" s="561"/>
      <c r="H4" s="561"/>
      <c r="I4" s="561"/>
      <c r="J4" s="561"/>
      <c r="K4" s="561"/>
      <c r="L4" s="561"/>
      <c r="M4" s="611"/>
      <c r="N4" s="611"/>
      <c r="O4" s="561"/>
      <c r="P4" s="561"/>
      <c r="Q4" s="561"/>
      <c r="R4" s="561"/>
      <c r="S4" s="637"/>
      <c r="T4" s="638"/>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row>
    <row r="5" spans="1:45" s="539" customFormat="1">
      <c r="A5" s="562"/>
      <c r="B5" s="563" t="s">
        <v>3811</v>
      </c>
      <c r="C5" s="564"/>
      <c r="D5" s="565"/>
      <c r="E5" s="565"/>
      <c r="F5" s="566"/>
      <c r="G5" s="566"/>
      <c r="H5" s="566"/>
      <c r="I5" s="566"/>
      <c r="J5" s="566"/>
      <c r="K5" s="566"/>
      <c r="L5" s="612"/>
      <c r="M5" s="613"/>
      <c r="N5" s="613"/>
      <c r="O5" s="566"/>
      <c r="P5" s="566"/>
      <c r="Q5" s="566"/>
      <c r="R5" s="566"/>
      <c r="S5" s="639"/>
      <c r="T5" s="640"/>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row>
    <row r="6" spans="1:45" s="539" customFormat="1">
      <c r="A6" s="562"/>
      <c r="B6" s="567"/>
      <c r="C6" s="568">
        <v>100</v>
      </c>
      <c r="D6" s="569">
        <f t="shared" ref="D6:S6" si="1">C6-$T5</f>
        <v>100</v>
      </c>
      <c r="E6" s="569">
        <f t="shared" si="1"/>
        <v>100</v>
      </c>
      <c r="F6" s="570">
        <f t="shared" si="1"/>
        <v>100</v>
      </c>
      <c r="G6" s="570">
        <f t="shared" si="1"/>
        <v>100</v>
      </c>
      <c r="H6" s="570">
        <f t="shared" si="1"/>
        <v>100</v>
      </c>
      <c r="I6" s="570">
        <f t="shared" si="1"/>
        <v>100</v>
      </c>
      <c r="J6" s="570">
        <f t="shared" si="1"/>
        <v>100</v>
      </c>
      <c r="K6" s="570">
        <f t="shared" si="1"/>
        <v>100</v>
      </c>
      <c r="L6" s="570">
        <f t="shared" si="1"/>
        <v>100</v>
      </c>
      <c r="M6" s="570">
        <f t="shared" si="1"/>
        <v>100</v>
      </c>
      <c r="N6" s="570">
        <f t="shared" si="1"/>
        <v>100</v>
      </c>
      <c r="O6" s="570">
        <f t="shared" si="1"/>
        <v>100</v>
      </c>
      <c r="P6" s="570">
        <f t="shared" si="1"/>
        <v>100</v>
      </c>
      <c r="Q6" s="570">
        <f t="shared" si="1"/>
        <v>100</v>
      </c>
      <c r="R6" s="570">
        <f t="shared" si="1"/>
        <v>100</v>
      </c>
      <c r="S6" s="570">
        <f t="shared" si="1"/>
        <v>100</v>
      </c>
      <c r="T6" s="642"/>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row>
    <row r="7" spans="1:45" s="539" customFormat="1">
      <c r="A7" s="562"/>
      <c r="B7" s="571" t="s">
        <v>2962</v>
      </c>
      <c r="C7" s="572"/>
      <c r="D7" s="573"/>
      <c r="E7" s="573"/>
      <c r="F7" s="574"/>
      <c r="G7" s="574"/>
      <c r="H7" s="574"/>
      <c r="I7" s="574"/>
      <c r="J7" s="574"/>
      <c r="K7" s="574"/>
      <c r="L7" s="574"/>
      <c r="M7" s="614"/>
      <c r="N7" s="615"/>
      <c r="O7" s="616"/>
      <c r="P7" s="617"/>
      <c r="Q7" s="643"/>
      <c r="R7" s="644"/>
      <c r="S7" s="645"/>
      <c r="T7" s="646"/>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row>
    <row r="8" spans="1:45" s="539" customFormat="1">
      <c r="A8" s="562"/>
      <c r="B8" s="567"/>
      <c r="C8" s="568">
        <v>100</v>
      </c>
      <c r="D8" s="569">
        <f t="shared" ref="D8:S8" si="2">C8-$T7</f>
        <v>100</v>
      </c>
      <c r="E8" s="569">
        <f t="shared" si="2"/>
        <v>100</v>
      </c>
      <c r="F8" s="570">
        <f t="shared" si="2"/>
        <v>100</v>
      </c>
      <c r="G8" s="570">
        <f t="shared" si="2"/>
        <v>100</v>
      </c>
      <c r="H8" s="570">
        <f t="shared" si="2"/>
        <v>100</v>
      </c>
      <c r="I8" s="570">
        <f t="shared" si="2"/>
        <v>100</v>
      </c>
      <c r="J8" s="570">
        <f t="shared" si="2"/>
        <v>100</v>
      </c>
      <c r="K8" s="570">
        <f t="shared" si="2"/>
        <v>100</v>
      </c>
      <c r="L8" s="570">
        <f t="shared" si="2"/>
        <v>100</v>
      </c>
      <c r="M8" s="570">
        <f t="shared" si="2"/>
        <v>100</v>
      </c>
      <c r="N8" s="570">
        <f t="shared" si="2"/>
        <v>100</v>
      </c>
      <c r="O8" s="570">
        <f t="shared" si="2"/>
        <v>100</v>
      </c>
      <c r="P8" s="570">
        <f t="shared" si="2"/>
        <v>100</v>
      </c>
      <c r="Q8" s="570">
        <f t="shared" si="2"/>
        <v>100</v>
      </c>
      <c r="R8" s="570">
        <f t="shared" si="2"/>
        <v>100</v>
      </c>
      <c r="S8" s="570">
        <f t="shared" si="2"/>
        <v>100</v>
      </c>
      <c r="T8" s="642"/>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row>
    <row r="9" spans="1:45" s="539" customFormat="1">
      <c r="A9" s="562"/>
      <c r="B9" s="571" t="s">
        <v>2963</v>
      </c>
      <c r="C9" s="572"/>
      <c r="D9" s="573"/>
      <c r="E9" s="573"/>
      <c r="F9" s="574"/>
      <c r="G9" s="574"/>
      <c r="H9" s="574"/>
      <c r="I9" s="574"/>
      <c r="J9" s="574"/>
      <c r="K9" s="574"/>
      <c r="L9" s="618"/>
      <c r="M9" s="614"/>
      <c r="N9" s="615"/>
      <c r="O9" s="616"/>
      <c r="P9" s="617"/>
      <c r="Q9" s="643"/>
      <c r="R9" s="644"/>
      <c r="S9" s="645"/>
      <c r="T9" s="646"/>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row>
    <row r="10" spans="1:45" s="539" customFormat="1">
      <c r="A10" s="562"/>
      <c r="B10" s="558"/>
      <c r="C10" s="575">
        <v>100</v>
      </c>
      <c r="D10" s="576">
        <f t="shared" ref="D10:S10" si="3">C10-$T9</f>
        <v>100</v>
      </c>
      <c r="E10" s="576">
        <f t="shared" si="3"/>
        <v>100</v>
      </c>
      <c r="F10" s="577">
        <f t="shared" si="3"/>
        <v>100</v>
      </c>
      <c r="G10" s="577">
        <f t="shared" si="3"/>
        <v>100</v>
      </c>
      <c r="H10" s="577">
        <f t="shared" si="3"/>
        <v>100</v>
      </c>
      <c r="I10" s="577">
        <f t="shared" si="3"/>
        <v>100</v>
      </c>
      <c r="J10" s="577">
        <f t="shared" si="3"/>
        <v>100</v>
      </c>
      <c r="K10" s="577">
        <f t="shared" si="3"/>
        <v>100</v>
      </c>
      <c r="L10" s="577">
        <f t="shared" si="3"/>
        <v>100</v>
      </c>
      <c r="M10" s="577">
        <f t="shared" si="3"/>
        <v>100</v>
      </c>
      <c r="N10" s="577">
        <f t="shared" si="3"/>
        <v>100</v>
      </c>
      <c r="O10" s="577">
        <f t="shared" si="3"/>
        <v>100</v>
      </c>
      <c r="P10" s="577">
        <f t="shared" si="3"/>
        <v>100</v>
      </c>
      <c r="Q10" s="577">
        <f t="shared" si="3"/>
        <v>100</v>
      </c>
      <c r="R10" s="577">
        <f t="shared" si="3"/>
        <v>100</v>
      </c>
      <c r="S10" s="577">
        <f t="shared" si="3"/>
        <v>100</v>
      </c>
      <c r="T10" s="638"/>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row>
    <row r="11" spans="1:45" s="539" customFormat="1">
      <c r="A11" s="562"/>
      <c r="B11" s="563" t="s">
        <v>2964</v>
      </c>
      <c r="C11" s="564"/>
      <c r="D11" s="565"/>
      <c r="E11" s="565"/>
      <c r="F11" s="565"/>
      <c r="G11" s="565"/>
      <c r="H11" s="565"/>
      <c r="I11" s="565"/>
      <c r="J11" s="565"/>
      <c r="K11" s="565"/>
      <c r="L11" s="565"/>
      <c r="M11" s="619"/>
      <c r="N11" s="620"/>
      <c r="O11" s="621"/>
      <c r="P11" s="622"/>
      <c r="Q11" s="647"/>
      <c r="R11" s="648"/>
      <c r="S11" s="649"/>
      <c r="T11" s="640"/>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row>
    <row r="12" spans="1:45" s="539" customFormat="1">
      <c r="A12" s="562"/>
      <c r="B12" s="567"/>
      <c r="C12" s="568">
        <v>100</v>
      </c>
      <c r="D12" s="569">
        <f t="shared" ref="D12:S12" si="4">C12-$T11</f>
        <v>100</v>
      </c>
      <c r="E12" s="569">
        <f t="shared" si="4"/>
        <v>100</v>
      </c>
      <c r="F12" s="569">
        <f t="shared" si="4"/>
        <v>100</v>
      </c>
      <c r="G12" s="569">
        <f t="shared" si="4"/>
        <v>100</v>
      </c>
      <c r="H12" s="569">
        <f t="shared" si="4"/>
        <v>100</v>
      </c>
      <c r="I12" s="569">
        <f t="shared" si="4"/>
        <v>100</v>
      </c>
      <c r="J12" s="569">
        <f t="shared" si="4"/>
        <v>100</v>
      </c>
      <c r="K12" s="569">
        <f t="shared" si="4"/>
        <v>100</v>
      </c>
      <c r="L12" s="569">
        <f t="shared" si="4"/>
        <v>100</v>
      </c>
      <c r="M12" s="569">
        <f t="shared" si="4"/>
        <v>100</v>
      </c>
      <c r="N12" s="569">
        <f t="shared" si="4"/>
        <v>100</v>
      </c>
      <c r="O12" s="569">
        <f t="shared" si="4"/>
        <v>100</v>
      </c>
      <c r="P12" s="569">
        <f t="shared" si="4"/>
        <v>100</v>
      </c>
      <c r="Q12" s="569">
        <f t="shared" si="4"/>
        <v>100</v>
      </c>
      <c r="R12" s="569">
        <f t="shared" si="4"/>
        <v>100</v>
      </c>
      <c r="S12" s="569">
        <f t="shared" si="4"/>
        <v>100</v>
      </c>
      <c r="T12" s="642"/>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row>
    <row r="13" spans="1:45" s="539" customFormat="1">
      <c r="A13" s="562"/>
      <c r="B13" s="563" t="s">
        <v>2965</v>
      </c>
      <c r="C13" s="564"/>
      <c r="D13" s="565"/>
      <c r="E13" s="565"/>
      <c r="F13" s="565"/>
      <c r="G13" s="565"/>
      <c r="H13" s="565"/>
      <c r="I13" s="565"/>
      <c r="J13" s="565"/>
      <c r="K13" s="565"/>
      <c r="L13" s="565"/>
      <c r="M13" s="619"/>
      <c r="N13" s="620"/>
      <c r="O13" s="621"/>
      <c r="P13" s="622"/>
      <c r="Q13" s="647"/>
      <c r="R13" s="648"/>
      <c r="S13" s="649"/>
      <c r="T13" s="650"/>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row>
    <row r="14" spans="1:45" s="539" customFormat="1">
      <c r="A14" s="562"/>
      <c r="B14" s="567"/>
      <c r="C14" s="578"/>
      <c r="D14" s="579"/>
      <c r="E14" s="579"/>
      <c r="F14" s="579"/>
      <c r="G14" s="579"/>
      <c r="H14" s="579"/>
      <c r="I14" s="579"/>
      <c r="J14" s="579"/>
      <c r="K14" s="579"/>
      <c r="L14" s="579"/>
      <c r="M14" s="623"/>
      <c r="N14" s="623"/>
      <c r="O14" s="579"/>
      <c r="P14" s="579"/>
      <c r="Q14" s="579"/>
      <c r="R14" s="579"/>
      <c r="S14" s="651"/>
      <c r="T14" s="642"/>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row>
    <row r="15" spans="1:45" s="539" customFormat="1">
      <c r="A15" s="562"/>
      <c r="B15" s="563" t="s">
        <v>2966</v>
      </c>
      <c r="C15" s="564"/>
      <c r="D15" s="565"/>
      <c r="E15" s="565"/>
      <c r="F15" s="565"/>
      <c r="G15" s="565"/>
      <c r="H15" s="565"/>
      <c r="I15" s="565"/>
      <c r="J15" s="565"/>
      <c r="K15" s="565"/>
      <c r="L15" s="565"/>
      <c r="M15" s="619"/>
      <c r="N15" s="620"/>
      <c r="O15" s="621"/>
      <c r="P15" s="622"/>
      <c r="Q15" s="647"/>
      <c r="R15" s="648"/>
      <c r="S15" s="649"/>
      <c r="T15" s="650"/>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row>
    <row r="16" spans="1:45" s="539" customFormat="1">
      <c r="A16" s="562"/>
      <c r="B16" s="558"/>
      <c r="C16" s="559"/>
      <c r="D16" s="560"/>
      <c r="E16" s="560"/>
      <c r="F16" s="560"/>
      <c r="G16" s="560"/>
      <c r="H16" s="560"/>
      <c r="I16" s="560"/>
      <c r="J16" s="560"/>
      <c r="K16" s="560"/>
      <c r="L16" s="560"/>
      <c r="M16" s="624"/>
      <c r="N16" s="624"/>
      <c r="O16" s="560"/>
      <c r="P16" s="560"/>
      <c r="Q16" s="560"/>
      <c r="R16" s="560"/>
      <c r="S16" s="652"/>
      <c r="T16" s="638"/>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row>
    <row r="17" spans="1:45" s="537" customFormat="1">
      <c r="A17" s="580" t="s">
        <v>2967</v>
      </c>
      <c r="B17" s="581" t="s">
        <v>2968</v>
      </c>
      <c r="C17" s="582"/>
      <c r="D17" s="583"/>
      <c r="E17" s="583"/>
      <c r="F17" s="583"/>
      <c r="G17" s="583"/>
      <c r="H17" s="583"/>
      <c r="I17" s="583"/>
      <c r="J17" s="583"/>
      <c r="K17" s="583"/>
      <c r="L17" s="625"/>
      <c r="M17" s="626"/>
      <c r="N17" s="627"/>
      <c r="O17" s="628"/>
      <c r="P17" s="629"/>
      <c r="Q17" s="653"/>
      <c r="R17" s="654"/>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633"/>
      <c r="AS17" s="633"/>
    </row>
    <row r="18" spans="1:45" s="537" customFormat="1">
      <c r="A18" s="584"/>
      <c r="B18" s="585"/>
      <c r="C18" s="586"/>
      <c r="D18" s="587"/>
      <c r="E18" s="587"/>
      <c r="F18" s="587"/>
      <c r="G18" s="587"/>
      <c r="H18" s="587"/>
      <c r="I18" s="587"/>
      <c r="J18" s="587"/>
      <c r="K18" s="587"/>
      <c r="L18" s="587"/>
      <c r="M18" s="630"/>
      <c r="N18" s="630"/>
      <c r="O18" s="587"/>
      <c r="P18" s="587"/>
      <c r="Q18" s="587"/>
      <c r="R18" s="587"/>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33"/>
      <c r="AS18" s="633"/>
    </row>
    <row r="19" spans="1:45">
      <c r="A19" s="588"/>
      <c r="B19" s="589"/>
      <c r="C19" s="589"/>
      <c r="D19" s="590" t="s">
        <v>2969</v>
      </c>
      <c r="E19" s="591"/>
      <c r="F19" s="591"/>
      <c r="G19" s="591"/>
      <c r="H19" s="592"/>
      <c r="I19" s="589"/>
      <c r="J19" s="589"/>
      <c r="K19" s="589"/>
      <c r="L19" s="589"/>
      <c r="M19" s="589"/>
      <c r="N19" s="589"/>
      <c r="O19" s="589"/>
      <c r="P19" s="589"/>
      <c r="Q19" s="589"/>
      <c r="R19" s="657"/>
      <c r="S19" s="588"/>
    </row>
    <row r="20" spans="1:45" ht="15.6">
      <c r="A20" s="593" t="s">
        <v>2970</v>
      </c>
      <c r="B20" s="594" t="e">
        <f ca="1">IF(D20="——",S22,S22-F20)</f>
        <v>#REF!</v>
      </c>
      <c r="C20" s="589"/>
      <c r="D20" s="595"/>
      <c r="E20" s="596"/>
      <c r="F20" s="547" t="e">
        <f ca="1">SUMIF(INDIRECT("'"&amp;H20&amp;"'"&amp;"!A:A"),"承租人权益价值",INDIRECT("'"&amp;H20&amp;"'"&amp;"!c:c"))</f>
        <v>#REF!</v>
      </c>
      <c r="G20" s="547" t="s">
        <v>2676</v>
      </c>
      <c r="H20" s="597"/>
      <c r="I20" s="589"/>
      <c r="J20" s="589"/>
      <c r="K20" s="589"/>
      <c r="L20" s="589"/>
      <c r="M20" s="589"/>
      <c r="N20" s="589"/>
      <c r="O20" s="589"/>
      <c r="P20" s="589"/>
      <c r="Q20" s="589"/>
      <c r="R20" s="657"/>
      <c r="S20" s="588"/>
    </row>
    <row r="21" spans="1:45" ht="15.6">
      <c r="A21" s="593" t="s">
        <v>2971</v>
      </c>
      <c r="B21" s="594" t="e">
        <f ca="1">ROUND(B20*10000/B22,0)</f>
        <v>#REF!</v>
      </c>
      <c r="C21" s="589"/>
      <c r="D21" s="589"/>
      <c r="E21" s="589"/>
      <c r="F21" s="589"/>
      <c r="G21" s="589"/>
      <c r="H21" s="589"/>
      <c r="I21" s="589"/>
      <c r="J21" s="589"/>
      <c r="K21" s="589"/>
      <c r="L21" s="589"/>
      <c r="M21" s="589"/>
      <c r="N21" s="589"/>
      <c r="O21" s="589"/>
      <c r="P21" s="589"/>
      <c r="Q21" s="589"/>
      <c r="R21" s="657"/>
      <c r="S21" s="588"/>
    </row>
    <row r="22" spans="1:45">
      <c r="A22" s="598" t="s">
        <v>2972</v>
      </c>
      <c r="B22" s="599">
        <f>SUM(B24:B10000)</f>
        <v>0</v>
      </c>
      <c r="C22" s="3693" t="s">
        <v>124</v>
      </c>
      <c r="D22" s="3694"/>
      <c r="E22" s="3694"/>
      <c r="F22" s="3694"/>
      <c r="G22" s="3694"/>
      <c r="H22" s="3694"/>
      <c r="I22" s="3694"/>
      <c r="J22" s="3694"/>
      <c r="K22" s="3694"/>
      <c r="L22" s="3694"/>
      <c r="M22" s="3694"/>
      <c r="N22" s="3694"/>
      <c r="O22" s="3694"/>
      <c r="P22" s="3694"/>
      <c r="Q22" s="3695"/>
      <c r="R22" s="659" t="e">
        <f>ROUND(S22*10000/B22,0)</f>
        <v>#DIV/0!</v>
      </c>
      <c r="S22" s="599">
        <f>SUM(S24:S10000)</f>
        <v>0</v>
      </c>
    </row>
    <row r="23" spans="1:45" s="540" customFormat="1" ht="24">
      <c r="A23" s="602" t="s">
        <v>2973</v>
      </c>
      <c r="B23" s="602" t="s">
        <v>458</v>
      </c>
      <c r="C23" s="602" t="s">
        <v>2957</v>
      </c>
      <c r="D23" s="602" t="str">
        <f>B5</f>
        <v>修正项2</v>
      </c>
      <c r="E23" s="602" t="s">
        <v>2957</v>
      </c>
      <c r="F23" s="602" t="str">
        <f>B7</f>
        <v>修正项3</v>
      </c>
      <c r="G23" s="602" t="s">
        <v>2957</v>
      </c>
      <c r="H23" s="602" t="str">
        <f>B9</f>
        <v>修正项4</v>
      </c>
      <c r="I23" s="602" t="s">
        <v>2957</v>
      </c>
      <c r="J23" s="602" t="str">
        <f>B11</f>
        <v>修正项5</v>
      </c>
      <c r="K23" s="602" t="s">
        <v>2957</v>
      </c>
      <c r="L23" s="602" t="str">
        <f>B13</f>
        <v>修正项6</v>
      </c>
      <c r="M23" s="602" t="s">
        <v>2957</v>
      </c>
      <c r="N23" s="602" t="str">
        <f>B15</f>
        <v>修正项7</v>
      </c>
      <c r="O23" s="602" t="s">
        <v>2957</v>
      </c>
      <c r="P23" s="602" t="str">
        <f>B17</f>
        <v>楼层</v>
      </c>
      <c r="Q23" s="602" t="s">
        <v>2957</v>
      </c>
      <c r="R23" s="660" t="s">
        <v>2974</v>
      </c>
      <c r="S23" s="602" t="s">
        <v>2975</v>
      </c>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row>
    <row r="24" spans="1:45" s="541" customFormat="1">
      <c r="A24" s="603" t="s">
        <v>2976</v>
      </c>
      <c r="B24" s="603"/>
      <c r="C24" s="604">
        <v>1</v>
      </c>
      <c r="D24" s="605"/>
      <c r="E24" s="604">
        <v>1</v>
      </c>
      <c r="F24" s="605"/>
      <c r="G24" s="604">
        <v>1</v>
      </c>
      <c r="H24" s="605"/>
      <c r="I24" s="604">
        <v>1</v>
      </c>
      <c r="J24" s="605"/>
      <c r="K24" s="604">
        <v>1</v>
      </c>
      <c r="L24" s="605"/>
      <c r="M24" s="604">
        <v>1</v>
      </c>
      <c r="N24" s="605"/>
      <c r="O24" s="604">
        <v>1</v>
      </c>
      <c r="P24" s="605"/>
      <c r="Q24" s="604">
        <v>1</v>
      </c>
      <c r="R24" s="662"/>
      <c r="S24" s="663">
        <f t="shared" ref="S24:S87" si="5">ROUND(R24*B24/10000,0)</f>
        <v>0</v>
      </c>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row>
    <row r="25" spans="1:45">
      <c r="A25" s="606"/>
      <c r="B25" s="607"/>
      <c r="C25" s="599">
        <f t="shared" ref="C25:C88" si="6">IF(B25="",1,(LOOKUP(B25,$3:$3,$4:$4)-LOOKUP($B$24,$3:$3,$4:$4)+100)/100)</f>
        <v>1</v>
      </c>
      <c r="D25" s="608"/>
      <c r="E25" s="599">
        <f t="shared" ref="E25:E88" si="7">(SUMIF($5:$5,D25,$6:$6)-SUMIF($5:$5,$D$24,$6:$6)+100)/100</f>
        <v>1</v>
      </c>
      <c r="F25" s="608"/>
      <c r="G25" s="599">
        <f t="shared" ref="G25:G88" si="8">(SUMIF($7:$7,F25,$8:$8)-SUMIF($7:$7,$F$24,$8:$8)+100)/100</f>
        <v>1</v>
      </c>
      <c r="H25" s="608"/>
      <c r="I25" s="599">
        <f t="shared" ref="I25:I88" si="9">(SUMIF($9:$9,H25,$10:$10)-SUMIF($9:$9,$H$24,$10:$10)+100)/100</f>
        <v>1</v>
      </c>
      <c r="J25" s="608"/>
      <c r="K25" s="599">
        <f t="shared" ref="K25:K88" si="10">(SUMIF($11:$11,J25,$12:$12)-SUMIF($11:$11,$J$24,$12:$12)+100)/100</f>
        <v>1</v>
      </c>
      <c r="L25" s="608"/>
      <c r="M25" s="599">
        <f t="shared" ref="M25:M88" si="11">(SUMIF($13:$13,L25,$14:$14)-SUMIF($13:$13,$L$24,$14:$14)+100)/100</f>
        <v>1</v>
      </c>
      <c r="N25" s="608"/>
      <c r="O25" s="599">
        <f t="shared" ref="O25:O88" si="12">(SUMIF($15:$15,N25,$16:$16)-SUMIF($15:$15,$N$24,$16:$16)+100)/100</f>
        <v>1</v>
      </c>
      <c r="P25" s="608"/>
      <c r="Q25" s="599">
        <f t="shared" ref="Q25:Q88" si="13">(SUMIF($17:$17,P25,$18:$18)-SUMIF($17:$17,$P$24,$18:$18)+100)/100</f>
        <v>1</v>
      </c>
      <c r="R25" s="659">
        <f t="shared" ref="R25:R88" si="14">IF(B25="",0,ROUND($R$24*C25*E25*G25*I25*K25*M25*O25*Q25,0))</f>
        <v>0</v>
      </c>
      <c r="S25" s="598">
        <f t="shared" si="5"/>
        <v>0</v>
      </c>
    </row>
    <row r="26" spans="1:45">
      <c r="A26" s="606"/>
      <c r="B26" s="607"/>
      <c r="C26" s="599">
        <f t="shared" si="6"/>
        <v>1</v>
      </c>
      <c r="D26" s="608"/>
      <c r="E26" s="599">
        <f t="shared" si="7"/>
        <v>1</v>
      </c>
      <c r="F26" s="608"/>
      <c r="G26" s="599">
        <f t="shared" si="8"/>
        <v>1</v>
      </c>
      <c r="H26" s="608"/>
      <c r="I26" s="599">
        <f t="shared" si="9"/>
        <v>1</v>
      </c>
      <c r="J26" s="608"/>
      <c r="K26" s="599">
        <f t="shared" si="10"/>
        <v>1</v>
      </c>
      <c r="L26" s="608"/>
      <c r="M26" s="599">
        <f t="shared" si="11"/>
        <v>1</v>
      </c>
      <c r="N26" s="608"/>
      <c r="O26" s="599">
        <f t="shared" si="12"/>
        <v>1</v>
      </c>
      <c r="P26" s="608"/>
      <c r="Q26" s="599">
        <f t="shared" si="13"/>
        <v>1</v>
      </c>
      <c r="R26" s="659">
        <f t="shared" si="14"/>
        <v>0</v>
      </c>
      <c r="S26" s="598">
        <f t="shared" si="5"/>
        <v>0</v>
      </c>
    </row>
    <row r="27" spans="1:45">
      <c r="A27" s="606"/>
      <c r="B27" s="607"/>
      <c r="C27" s="599">
        <f t="shared" si="6"/>
        <v>1</v>
      </c>
      <c r="D27" s="608"/>
      <c r="E27" s="599">
        <f t="shared" si="7"/>
        <v>1</v>
      </c>
      <c r="F27" s="608"/>
      <c r="G27" s="599">
        <f t="shared" si="8"/>
        <v>1</v>
      </c>
      <c r="H27" s="608"/>
      <c r="I27" s="599">
        <f t="shared" si="9"/>
        <v>1</v>
      </c>
      <c r="J27" s="608"/>
      <c r="K27" s="599">
        <f t="shared" si="10"/>
        <v>1</v>
      </c>
      <c r="L27" s="608"/>
      <c r="M27" s="599">
        <f t="shared" si="11"/>
        <v>1</v>
      </c>
      <c r="N27" s="608"/>
      <c r="O27" s="599">
        <f t="shared" si="12"/>
        <v>1</v>
      </c>
      <c r="P27" s="608"/>
      <c r="Q27" s="599">
        <f t="shared" si="13"/>
        <v>1</v>
      </c>
      <c r="R27" s="659">
        <f t="shared" si="14"/>
        <v>0</v>
      </c>
      <c r="S27" s="598">
        <f t="shared" si="5"/>
        <v>0</v>
      </c>
    </row>
    <row r="28" spans="1:45">
      <c r="A28" s="606"/>
      <c r="B28" s="607"/>
      <c r="C28" s="599">
        <f t="shared" si="6"/>
        <v>1</v>
      </c>
      <c r="D28" s="608"/>
      <c r="E28" s="599">
        <f t="shared" si="7"/>
        <v>1</v>
      </c>
      <c r="F28" s="608"/>
      <c r="G28" s="599">
        <f t="shared" si="8"/>
        <v>1</v>
      </c>
      <c r="H28" s="608"/>
      <c r="I28" s="599">
        <f t="shared" si="9"/>
        <v>1</v>
      </c>
      <c r="J28" s="608"/>
      <c r="K28" s="599">
        <f t="shared" si="10"/>
        <v>1</v>
      </c>
      <c r="L28" s="608"/>
      <c r="M28" s="599">
        <f t="shared" si="11"/>
        <v>1</v>
      </c>
      <c r="N28" s="608"/>
      <c r="O28" s="599">
        <f t="shared" si="12"/>
        <v>1</v>
      </c>
      <c r="P28" s="608"/>
      <c r="Q28" s="599">
        <f t="shared" si="13"/>
        <v>1</v>
      </c>
      <c r="R28" s="659">
        <f t="shared" si="14"/>
        <v>0</v>
      </c>
      <c r="S28" s="598">
        <f t="shared" si="5"/>
        <v>0</v>
      </c>
    </row>
    <row r="29" spans="1:45">
      <c r="A29" s="606"/>
      <c r="B29" s="607"/>
      <c r="C29" s="599">
        <f t="shared" si="6"/>
        <v>1</v>
      </c>
      <c r="D29" s="608"/>
      <c r="E29" s="599">
        <f t="shared" si="7"/>
        <v>1</v>
      </c>
      <c r="F29" s="608"/>
      <c r="G29" s="599">
        <f t="shared" si="8"/>
        <v>1</v>
      </c>
      <c r="H29" s="608"/>
      <c r="I29" s="599">
        <f t="shared" si="9"/>
        <v>1</v>
      </c>
      <c r="J29" s="608"/>
      <c r="K29" s="599">
        <f t="shared" si="10"/>
        <v>1</v>
      </c>
      <c r="L29" s="608"/>
      <c r="M29" s="599">
        <f t="shared" si="11"/>
        <v>1</v>
      </c>
      <c r="N29" s="608"/>
      <c r="O29" s="599">
        <f t="shared" si="12"/>
        <v>1</v>
      </c>
      <c r="P29" s="608"/>
      <c r="Q29" s="599">
        <f t="shared" si="13"/>
        <v>1</v>
      </c>
      <c r="R29" s="659">
        <f t="shared" si="14"/>
        <v>0</v>
      </c>
      <c r="S29" s="598">
        <f t="shared" si="5"/>
        <v>0</v>
      </c>
    </row>
    <row r="30" spans="1:45">
      <c r="A30" s="606"/>
      <c r="B30" s="607"/>
      <c r="C30" s="599">
        <f t="shared" si="6"/>
        <v>1</v>
      </c>
      <c r="D30" s="608"/>
      <c r="E30" s="599">
        <f t="shared" si="7"/>
        <v>1</v>
      </c>
      <c r="F30" s="608"/>
      <c r="G30" s="599">
        <f t="shared" si="8"/>
        <v>1</v>
      </c>
      <c r="H30" s="608"/>
      <c r="I30" s="599">
        <f t="shared" si="9"/>
        <v>1</v>
      </c>
      <c r="J30" s="608"/>
      <c r="K30" s="599">
        <f t="shared" si="10"/>
        <v>1</v>
      </c>
      <c r="L30" s="608"/>
      <c r="M30" s="599">
        <f t="shared" si="11"/>
        <v>1</v>
      </c>
      <c r="N30" s="608"/>
      <c r="O30" s="599">
        <f t="shared" si="12"/>
        <v>1</v>
      </c>
      <c r="P30" s="608"/>
      <c r="Q30" s="599">
        <f t="shared" si="13"/>
        <v>1</v>
      </c>
      <c r="R30" s="659">
        <f t="shared" si="14"/>
        <v>0</v>
      </c>
      <c r="S30" s="598">
        <f t="shared" si="5"/>
        <v>0</v>
      </c>
    </row>
    <row r="31" spans="1:45">
      <c r="A31" s="606"/>
      <c r="B31" s="607"/>
      <c r="C31" s="599">
        <f t="shared" si="6"/>
        <v>1</v>
      </c>
      <c r="D31" s="608"/>
      <c r="E31" s="599">
        <f t="shared" si="7"/>
        <v>1</v>
      </c>
      <c r="F31" s="608"/>
      <c r="G31" s="599">
        <f t="shared" si="8"/>
        <v>1</v>
      </c>
      <c r="H31" s="608"/>
      <c r="I31" s="599">
        <f t="shared" si="9"/>
        <v>1</v>
      </c>
      <c r="J31" s="608"/>
      <c r="K31" s="599">
        <f t="shared" si="10"/>
        <v>1</v>
      </c>
      <c r="L31" s="608"/>
      <c r="M31" s="599">
        <f t="shared" si="11"/>
        <v>1</v>
      </c>
      <c r="N31" s="608"/>
      <c r="O31" s="599">
        <f t="shared" si="12"/>
        <v>1</v>
      </c>
      <c r="P31" s="608"/>
      <c r="Q31" s="599">
        <f t="shared" si="13"/>
        <v>1</v>
      </c>
      <c r="R31" s="659">
        <f t="shared" si="14"/>
        <v>0</v>
      </c>
      <c r="S31" s="598">
        <f t="shared" si="5"/>
        <v>0</v>
      </c>
    </row>
    <row r="32" spans="1:45">
      <c r="A32" s="606"/>
      <c r="B32" s="607"/>
      <c r="C32" s="599">
        <f t="shared" si="6"/>
        <v>1</v>
      </c>
      <c r="D32" s="608"/>
      <c r="E32" s="599">
        <f t="shared" si="7"/>
        <v>1</v>
      </c>
      <c r="F32" s="608"/>
      <c r="G32" s="599">
        <f t="shared" si="8"/>
        <v>1</v>
      </c>
      <c r="H32" s="608"/>
      <c r="I32" s="599">
        <f t="shared" si="9"/>
        <v>1</v>
      </c>
      <c r="J32" s="608"/>
      <c r="K32" s="599">
        <f t="shared" si="10"/>
        <v>1</v>
      </c>
      <c r="L32" s="608"/>
      <c r="M32" s="599">
        <f t="shared" si="11"/>
        <v>1</v>
      </c>
      <c r="N32" s="608"/>
      <c r="O32" s="599">
        <f t="shared" si="12"/>
        <v>1</v>
      </c>
      <c r="P32" s="608"/>
      <c r="Q32" s="599">
        <f t="shared" si="13"/>
        <v>1</v>
      </c>
      <c r="R32" s="659">
        <f t="shared" si="14"/>
        <v>0</v>
      </c>
      <c r="S32" s="598">
        <f t="shared" si="5"/>
        <v>0</v>
      </c>
    </row>
    <row r="33" spans="1:19">
      <c r="A33" s="606"/>
      <c r="B33" s="607"/>
      <c r="C33" s="599">
        <f t="shared" si="6"/>
        <v>1</v>
      </c>
      <c r="D33" s="608"/>
      <c r="E33" s="599">
        <f t="shared" si="7"/>
        <v>1</v>
      </c>
      <c r="F33" s="608"/>
      <c r="G33" s="599">
        <f t="shared" si="8"/>
        <v>1</v>
      </c>
      <c r="H33" s="608"/>
      <c r="I33" s="599">
        <f t="shared" si="9"/>
        <v>1</v>
      </c>
      <c r="J33" s="608"/>
      <c r="K33" s="599">
        <f t="shared" si="10"/>
        <v>1</v>
      </c>
      <c r="L33" s="608"/>
      <c r="M33" s="599">
        <f t="shared" si="11"/>
        <v>1</v>
      </c>
      <c r="N33" s="608"/>
      <c r="O33" s="599">
        <f t="shared" si="12"/>
        <v>1</v>
      </c>
      <c r="P33" s="608"/>
      <c r="Q33" s="599">
        <f t="shared" si="13"/>
        <v>1</v>
      </c>
      <c r="R33" s="659">
        <f t="shared" si="14"/>
        <v>0</v>
      </c>
      <c r="S33" s="598">
        <f t="shared" si="5"/>
        <v>0</v>
      </c>
    </row>
    <row r="34" spans="1:19">
      <c r="A34" s="606"/>
      <c r="B34" s="607"/>
      <c r="C34" s="599">
        <f t="shared" si="6"/>
        <v>1</v>
      </c>
      <c r="D34" s="608"/>
      <c r="E34" s="599">
        <f t="shared" si="7"/>
        <v>1</v>
      </c>
      <c r="F34" s="608"/>
      <c r="G34" s="599">
        <f t="shared" si="8"/>
        <v>1</v>
      </c>
      <c r="H34" s="608"/>
      <c r="I34" s="599">
        <f t="shared" si="9"/>
        <v>1</v>
      </c>
      <c r="J34" s="608"/>
      <c r="K34" s="599">
        <f t="shared" si="10"/>
        <v>1</v>
      </c>
      <c r="L34" s="608"/>
      <c r="M34" s="599">
        <f t="shared" si="11"/>
        <v>1</v>
      </c>
      <c r="N34" s="608"/>
      <c r="O34" s="599">
        <f t="shared" si="12"/>
        <v>1</v>
      </c>
      <c r="P34" s="608"/>
      <c r="Q34" s="599">
        <f t="shared" si="13"/>
        <v>1</v>
      </c>
      <c r="R34" s="659">
        <f t="shared" si="14"/>
        <v>0</v>
      </c>
      <c r="S34" s="598">
        <f t="shared" si="5"/>
        <v>0</v>
      </c>
    </row>
    <row r="35" spans="1:19">
      <c r="A35" s="606"/>
      <c r="B35" s="607"/>
      <c r="C35" s="599">
        <f t="shared" si="6"/>
        <v>1</v>
      </c>
      <c r="D35" s="608"/>
      <c r="E35" s="599">
        <f t="shared" si="7"/>
        <v>1</v>
      </c>
      <c r="F35" s="608"/>
      <c r="G35" s="599">
        <f t="shared" si="8"/>
        <v>1</v>
      </c>
      <c r="H35" s="608"/>
      <c r="I35" s="599">
        <f t="shared" si="9"/>
        <v>1</v>
      </c>
      <c r="J35" s="608"/>
      <c r="K35" s="599">
        <f t="shared" si="10"/>
        <v>1</v>
      </c>
      <c r="L35" s="608"/>
      <c r="M35" s="599">
        <f t="shared" si="11"/>
        <v>1</v>
      </c>
      <c r="N35" s="608"/>
      <c r="O35" s="599">
        <f t="shared" si="12"/>
        <v>1</v>
      </c>
      <c r="P35" s="608"/>
      <c r="Q35" s="599">
        <f t="shared" si="13"/>
        <v>1</v>
      </c>
      <c r="R35" s="659">
        <f t="shared" si="14"/>
        <v>0</v>
      </c>
      <c r="S35" s="598">
        <f t="shared" si="5"/>
        <v>0</v>
      </c>
    </row>
    <row r="36" spans="1:19">
      <c r="A36" s="606"/>
      <c r="B36" s="607"/>
      <c r="C36" s="599">
        <f t="shared" si="6"/>
        <v>1</v>
      </c>
      <c r="D36" s="608"/>
      <c r="E36" s="599">
        <f t="shared" si="7"/>
        <v>1</v>
      </c>
      <c r="F36" s="608"/>
      <c r="G36" s="599">
        <f t="shared" si="8"/>
        <v>1</v>
      </c>
      <c r="H36" s="608"/>
      <c r="I36" s="599">
        <f t="shared" si="9"/>
        <v>1</v>
      </c>
      <c r="J36" s="608"/>
      <c r="K36" s="599">
        <f t="shared" si="10"/>
        <v>1</v>
      </c>
      <c r="L36" s="608"/>
      <c r="M36" s="599">
        <f t="shared" si="11"/>
        <v>1</v>
      </c>
      <c r="N36" s="608"/>
      <c r="O36" s="599">
        <f t="shared" si="12"/>
        <v>1</v>
      </c>
      <c r="P36" s="608"/>
      <c r="Q36" s="599">
        <f t="shared" si="13"/>
        <v>1</v>
      </c>
      <c r="R36" s="659">
        <f t="shared" si="14"/>
        <v>0</v>
      </c>
      <c r="S36" s="598">
        <f t="shared" si="5"/>
        <v>0</v>
      </c>
    </row>
    <row r="37" spans="1:19">
      <c r="A37" s="606"/>
      <c r="B37" s="607"/>
      <c r="C37" s="599">
        <f t="shared" si="6"/>
        <v>1</v>
      </c>
      <c r="D37" s="608"/>
      <c r="E37" s="599">
        <f t="shared" si="7"/>
        <v>1</v>
      </c>
      <c r="F37" s="608"/>
      <c r="G37" s="599">
        <f t="shared" si="8"/>
        <v>1</v>
      </c>
      <c r="H37" s="608"/>
      <c r="I37" s="599">
        <f t="shared" si="9"/>
        <v>1</v>
      </c>
      <c r="J37" s="608"/>
      <c r="K37" s="599">
        <f t="shared" si="10"/>
        <v>1</v>
      </c>
      <c r="L37" s="608"/>
      <c r="M37" s="599">
        <f t="shared" si="11"/>
        <v>1</v>
      </c>
      <c r="N37" s="608"/>
      <c r="O37" s="599">
        <f t="shared" si="12"/>
        <v>1</v>
      </c>
      <c r="P37" s="608"/>
      <c r="Q37" s="599">
        <f t="shared" si="13"/>
        <v>1</v>
      </c>
      <c r="R37" s="659">
        <f t="shared" si="14"/>
        <v>0</v>
      </c>
      <c r="S37" s="598">
        <f t="shared" si="5"/>
        <v>0</v>
      </c>
    </row>
    <row r="38" spans="1:19">
      <c r="A38" s="606"/>
      <c r="B38" s="607"/>
      <c r="C38" s="599">
        <f t="shared" si="6"/>
        <v>1</v>
      </c>
      <c r="D38" s="608"/>
      <c r="E38" s="599">
        <f t="shared" si="7"/>
        <v>1</v>
      </c>
      <c r="F38" s="608"/>
      <c r="G38" s="599">
        <f t="shared" si="8"/>
        <v>1</v>
      </c>
      <c r="H38" s="608"/>
      <c r="I38" s="599">
        <f t="shared" si="9"/>
        <v>1</v>
      </c>
      <c r="J38" s="608"/>
      <c r="K38" s="599">
        <f t="shared" si="10"/>
        <v>1</v>
      </c>
      <c r="L38" s="608"/>
      <c r="M38" s="599">
        <f t="shared" si="11"/>
        <v>1</v>
      </c>
      <c r="N38" s="608"/>
      <c r="O38" s="599">
        <f t="shared" si="12"/>
        <v>1</v>
      </c>
      <c r="P38" s="608"/>
      <c r="Q38" s="599">
        <f t="shared" si="13"/>
        <v>1</v>
      </c>
      <c r="R38" s="659">
        <f t="shared" si="14"/>
        <v>0</v>
      </c>
      <c r="S38" s="598">
        <f t="shared" si="5"/>
        <v>0</v>
      </c>
    </row>
    <row r="39" spans="1:19">
      <c r="A39" s="606"/>
      <c r="B39" s="607"/>
      <c r="C39" s="599">
        <f t="shared" si="6"/>
        <v>1</v>
      </c>
      <c r="D39" s="608"/>
      <c r="E39" s="599">
        <f t="shared" si="7"/>
        <v>1</v>
      </c>
      <c r="F39" s="608"/>
      <c r="G39" s="599">
        <f t="shared" si="8"/>
        <v>1</v>
      </c>
      <c r="H39" s="608"/>
      <c r="I39" s="599">
        <f t="shared" si="9"/>
        <v>1</v>
      </c>
      <c r="J39" s="608"/>
      <c r="K39" s="599">
        <f t="shared" si="10"/>
        <v>1</v>
      </c>
      <c r="L39" s="608"/>
      <c r="M39" s="599">
        <f t="shared" si="11"/>
        <v>1</v>
      </c>
      <c r="N39" s="608"/>
      <c r="O39" s="599">
        <f t="shared" si="12"/>
        <v>1</v>
      </c>
      <c r="P39" s="608"/>
      <c r="Q39" s="599">
        <f t="shared" si="13"/>
        <v>1</v>
      </c>
      <c r="R39" s="659">
        <f t="shared" si="14"/>
        <v>0</v>
      </c>
      <c r="S39" s="598">
        <f t="shared" si="5"/>
        <v>0</v>
      </c>
    </row>
    <row r="40" spans="1:19">
      <c r="A40" s="606"/>
      <c r="B40" s="607"/>
      <c r="C40" s="599">
        <f t="shared" si="6"/>
        <v>1</v>
      </c>
      <c r="D40" s="608"/>
      <c r="E40" s="599">
        <f t="shared" si="7"/>
        <v>1</v>
      </c>
      <c r="F40" s="608"/>
      <c r="G40" s="599">
        <f t="shared" si="8"/>
        <v>1</v>
      </c>
      <c r="H40" s="608"/>
      <c r="I40" s="599">
        <f t="shared" si="9"/>
        <v>1</v>
      </c>
      <c r="J40" s="608"/>
      <c r="K40" s="599">
        <f t="shared" si="10"/>
        <v>1</v>
      </c>
      <c r="L40" s="608"/>
      <c r="M40" s="599">
        <f t="shared" si="11"/>
        <v>1</v>
      </c>
      <c r="N40" s="608"/>
      <c r="O40" s="599">
        <f t="shared" si="12"/>
        <v>1</v>
      </c>
      <c r="P40" s="608"/>
      <c r="Q40" s="599">
        <f t="shared" si="13"/>
        <v>1</v>
      </c>
      <c r="R40" s="659">
        <f t="shared" si="14"/>
        <v>0</v>
      </c>
      <c r="S40" s="598">
        <f t="shared" si="5"/>
        <v>0</v>
      </c>
    </row>
    <row r="41" spans="1:19">
      <c r="A41" s="606"/>
      <c r="B41" s="607"/>
      <c r="C41" s="599">
        <f t="shared" si="6"/>
        <v>1</v>
      </c>
      <c r="D41" s="608"/>
      <c r="E41" s="599">
        <f t="shared" si="7"/>
        <v>1</v>
      </c>
      <c r="F41" s="608"/>
      <c r="G41" s="599">
        <f t="shared" si="8"/>
        <v>1</v>
      </c>
      <c r="H41" s="608"/>
      <c r="I41" s="599">
        <f t="shared" si="9"/>
        <v>1</v>
      </c>
      <c r="J41" s="608"/>
      <c r="K41" s="599">
        <f t="shared" si="10"/>
        <v>1</v>
      </c>
      <c r="L41" s="608"/>
      <c r="M41" s="599">
        <f t="shared" si="11"/>
        <v>1</v>
      </c>
      <c r="N41" s="608"/>
      <c r="O41" s="599">
        <f t="shared" si="12"/>
        <v>1</v>
      </c>
      <c r="P41" s="608"/>
      <c r="Q41" s="599">
        <f t="shared" si="13"/>
        <v>1</v>
      </c>
      <c r="R41" s="659">
        <f t="shared" si="14"/>
        <v>0</v>
      </c>
      <c r="S41" s="598">
        <f t="shared" si="5"/>
        <v>0</v>
      </c>
    </row>
    <row r="42" spans="1:19">
      <c r="A42" s="606"/>
      <c r="B42" s="607"/>
      <c r="C42" s="599">
        <f t="shared" si="6"/>
        <v>1</v>
      </c>
      <c r="D42" s="608"/>
      <c r="E42" s="599">
        <f t="shared" si="7"/>
        <v>1</v>
      </c>
      <c r="F42" s="608"/>
      <c r="G42" s="599">
        <f t="shared" si="8"/>
        <v>1</v>
      </c>
      <c r="H42" s="608"/>
      <c r="I42" s="599">
        <f t="shared" si="9"/>
        <v>1</v>
      </c>
      <c r="J42" s="608"/>
      <c r="K42" s="599">
        <f t="shared" si="10"/>
        <v>1</v>
      </c>
      <c r="L42" s="608"/>
      <c r="M42" s="599">
        <f t="shared" si="11"/>
        <v>1</v>
      </c>
      <c r="N42" s="608"/>
      <c r="O42" s="599">
        <f t="shared" si="12"/>
        <v>1</v>
      </c>
      <c r="P42" s="608"/>
      <c r="Q42" s="599">
        <f t="shared" si="13"/>
        <v>1</v>
      </c>
      <c r="R42" s="659">
        <f t="shared" si="14"/>
        <v>0</v>
      </c>
      <c r="S42" s="598">
        <f t="shared" si="5"/>
        <v>0</v>
      </c>
    </row>
    <row r="43" spans="1:19">
      <c r="A43" s="606"/>
      <c r="B43" s="607"/>
      <c r="C43" s="599">
        <f t="shared" si="6"/>
        <v>1</v>
      </c>
      <c r="D43" s="608"/>
      <c r="E43" s="599">
        <f t="shared" si="7"/>
        <v>1</v>
      </c>
      <c r="F43" s="608"/>
      <c r="G43" s="599">
        <f t="shared" si="8"/>
        <v>1</v>
      </c>
      <c r="H43" s="608"/>
      <c r="I43" s="599">
        <f t="shared" si="9"/>
        <v>1</v>
      </c>
      <c r="J43" s="608"/>
      <c r="K43" s="599">
        <f t="shared" si="10"/>
        <v>1</v>
      </c>
      <c r="L43" s="608"/>
      <c r="M43" s="599">
        <f t="shared" si="11"/>
        <v>1</v>
      </c>
      <c r="N43" s="608"/>
      <c r="O43" s="599">
        <f t="shared" si="12"/>
        <v>1</v>
      </c>
      <c r="P43" s="608"/>
      <c r="Q43" s="599">
        <f t="shared" si="13"/>
        <v>1</v>
      </c>
      <c r="R43" s="659">
        <f t="shared" si="14"/>
        <v>0</v>
      </c>
      <c r="S43" s="598">
        <f t="shared" si="5"/>
        <v>0</v>
      </c>
    </row>
    <row r="44" spans="1:19">
      <c r="A44" s="606"/>
      <c r="B44" s="607"/>
      <c r="C44" s="599">
        <f t="shared" si="6"/>
        <v>1</v>
      </c>
      <c r="D44" s="608"/>
      <c r="E44" s="599">
        <f t="shared" si="7"/>
        <v>1</v>
      </c>
      <c r="F44" s="608"/>
      <c r="G44" s="599">
        <f t="shared" si="8"/>
        <v>1</v>
      </c>
      <c r="H44" s="608"/>
      <c r="I44" s="599">
        <f t="shared" si="9"/>
        <v>1</v>
      </c>
      <c r="J44" s="608"/>
      <c r="K44" s="599">
        <f t="shared" si="10"/>
        <v>1</v>
      </c>
      <c r="L44" s="608"/>
      <c r="M44" s="599">
        <f t="shared" si="11"/>
        <v>1</v>
      </c>
      <c r="N44" s="608"/>
      <c r="O44" s="599">
        <f t="shared" si="12"/>
        <v>1</v>
      </c>
      <c r="P44" s="608"/>
      <c r="Q44" s="599">
        <f t="shared" si="13"/>
        <v>1</v>
      </c>
      <c r="R44" s="659">
        <f t="shared" si="14"/>
        <v>0</v>
      </c>
      <c r="S44" s="598">
        <f t="shared" si="5"/>
        <v>0</v>
      </c>
    </row>
    <row r="45" spans="1:19">
      <c r="A45" s="606"/>
      <c r="B45" s="607"/>
      <c r="C45" s="599">
        <f t="shared" si="6"/>
        <v>1</v>
      </c>
      <c r="D45" s="608"/>
      <c r="E45" s="599">
        <f t="shared" si="7"/>
        <v>1</v>
      </c>
      <c r="F45" s="608"/>
      <c r="G45" s="599">
        <f t="shared" si="8"/>
        <v>1</v>
      </c>
      <c r="H45" s="608"/>
      <c r="I45" s="599">
        <f t="shared" si="9"/>
        <v>1</v>
      </c>
      <c r="J45" s="608"/>
      <c r="K45" s="599">
        <f t="shared" si="10"/>
        <v>1</v>
      </c>
      <c r="L45" s="608"/>
      <c r="M45" s="599">
        <f t="shared" si="11"/>
        <v>1</v>
      </c>
      <c r="N45" s="608"/>
      <c r="O45" s="599">
        <f t="shared" si="12"/>
        <v>1</v>
      </c>
      <c r="P45" s="608"/>
      <c r="Q45" s="599">
        <f t="shared" si="13"/>
        <v>1</v>
      </c>
      <c r="R45" s="659">
        <f t="shared" si="14"/>
        <v>0</v>
      </c>
      <c r="S45" s="598">
        <f t="shared" si="5"/>
        <v>0</v>
      </c>
    </row>
    <row r="46" spans="1:19">
      <c r="A46" s="606"/>
      <c r="B46" s="607"/>
      <c r="C46" s="599">
        <f t="shared" si="6"/>
        <v>1</v>
      </c>
      <c r="D46" s="608"/>
      <c r="E46" s="599">
        <f t="shared" si="7"/>
        <v>1</v>
      </c>
      <c r="F46" s="608"/>
      <c r="G46" s="599">
        <f t="shared" si="8"/>
        <v>1</v>
      </c>
      <c r="H46" s="608"/>
      <c r="I46" s="599">
        <f t="shared" si="9"/>
        <v>1</v>
      </c>
      <c r="J46" s="608"/>
      <c r="K46" s="599">
        <f t="shared" si="10"/>
        <v>1</v>
      </c>
      <c r="L46" s="608"/>
      <c r="M46" s="599">
        <f t="shared" si="11"/>
        <v>1</v>
      </c>
      <c r="N46" s="608"/>
      <c r="O46" s="599">
        <f t="shared" si="12"/>
        <v>1</v>
      </c>
      <c r="P46" s="608"/>
      <c r="Q46" s="599">
        <f t="shared" si="13"/>
        <v>1</v>
      </c>
      <c r="R46" s="659">
        <f t="shared" si="14"/>
        <v>0</v>
      </c>
      <c r="S46" s="598">
        <f t="shared" si="5"/>
        <v>0</v>
      </c>
    </row>
    <row r="47" spans="1:19">
      <c r="A47" s="606"/>
      <c r="B47" s="607"/>
      <c r="C47" s="599">
        <f t="shared" si="6"/>
        <v>1</v>
      </c>
      <c r="D47" s="608"/>
      <c r="E47" s="599">
        <f t="shared" si="7"/>
        <v>1</v>
      </c>
      <c r="F47" s="608"/>
      <c r="G47" s="599">
        <f t="shared" si="8"/>
        <v>1</v>
      </c>
      <c r="H47" s="608"/>
      <c r="I47" s="599">
        <f t="shared" si="9"/>
        <v>1</v>
      </c>
      <c r="J47" s="608"/>
      <c r="K47" s="599">
        <f t="shared" si="10"/>
        <v>1</v>
      </c>
      <c r="L47" s="608"/>
      <c r="M47" s="599">
        <f t="shared" si="11"/>
        <v>1</v>
      </c>
      <c r="N47" s="608"/>
      <c r="O47" s="599">
        <f t="shared" si="12"/>
        <v>1</v>
      </c>
      <c r="P47" s="608"/>
      <c r="Q47" s="599">
        <f t="shared" si="13"/>
        <v>1</v>
      </c>
      <c r="R47" s="659">
        <f t="shared" si="14"/>
        <v>0</v>
      </c>
      <c r="S47" s="598">
        <f t="shared" si="5"/>
        <v>0</v>
      </c>
    </row>
    <row r="48" spans="1:19">
      <c r="A48" s="606"/>
      <c r="B48" s="607"/>
      <c r="C48" s="599">
        <f t="shared" si="6"/>
        <v>1</v>
      </c>
      <c r="D48" s="608"/>
      <c r="E48" s="599">
        <f t="shared" si="7"/>
        <v>1</v>
      </c>
      <c r="F48" s="608"/>
      <c r="G48" s="599">
        <f t="shared" si="8"/>
        <v>1</v>
      </c>
      <c r="H48" s="608"/>
      <c r="I48" s="599">
        <f t="shared" si="9"/>
        <v>1</v>
      </c>
      <c r="J48" s="608"/>
      <c r="K48" s="599">
        <f t="shared" si="10"/>
        <v>1</v>
      </c>
      <c r="L48" s="608"/>
      <c r="M48" s="599">
        <f t="shared" si="11"/>
        <v>1</v>
      </c>
      <c r="N48" s="608"/>
      <c r="O48" s="599">
        <f t="shared" si="12"/>
        <v>1</v>
      </c>
      <c r="P48" s="608"/>
      <c r="Q48" s="599">
        <f t="shared" si="13"/>
        <v>1</v>
      </c>
      <c r="R48" s="659">
        <f t="shared" si="14"/>
        <v>0</v>
      </c>
      <c r="S48" s="598">
        <f t="shared" si="5"/>
        <v>0</v>
      </c>
    </row>
    <row r="49" spans="1:19">
      <c r="A49" s="606"/>
      <c r="B49" s="607"/>
      <c r="C49" s="599">
        <f t="shared" si="6"/>
        <v>1</v>
      </c>
      <c r="D49" s="608"/>
      <c r="E49" s="599">
        <f t="shared" si="7"/>
        <v>1</v>
      </c>
      <c r="F49" s="608"/>
      <c r="G49" s="599">
        <f t="shared" si="8"/>
        <v>1</v>
      </c>
      <c r="H49" s="608"/>
      <c r="I49" s="599">
        <f t="shared" si="9"/>
        <v>1</v>
      </c>
      <c r="J49" s="608"/>
      <c r="K49" s="599">
        <f t="shared" si="10"/>
        <v>1</v>
      </c>
      <c r="L49" s="608"/>
      <c r="M49" s="599">
        <f t="shared" si="11"/>
        <v>1</v>
      </c>
      <c r="N49" s="608"/>
      <c r="O49" s="599">
        <f t="shared" si="12"/>
        <v>1</v>
      </c>
      <c r="P49" s="608"/>
      <c r="Q49" s="599">
        <f t="shared" si="13"/>
        <v>1</v>
      </c>
      <c r="R49" s="659">
        <f t="shared" si="14"/>
        <v>0</v>
      </c>
      <c r="S49" s="598">
        <f t="shared" si="5"/>
        <v>0</v>
      </c>
    </row>
    <row r="50" spans="1:19">
      <c r="A50" s="606"/>
      <c r="B50" s="607"/>
      <c r="C50" s="599">
        <f t="shared" si="6"/>
        <v>1</v>
      </c>
      <c r="D50" s="608"/>
      <c r="E50" s="599">
        <f t="shared" si="7"/>
        <v>1</v>
      </c>
      <c r="F50" s="608"/>
      <c r="G50" s="599">
        <f t="shared" si="8"/>
        <v>1</v>
      </c>
      <c r="H50" s="608"/>
      <c r="I50" s="599">
        <f t="shared" si="9"/>
        <v>1</v>
      </c>
      <c r="J50" s="608"/>
      <c r="K50" s="599">
        <f t="shared" si="10"/>
        <v>1</v>
      </c>
      <c r="L50" s="608"/>
      <c r="M50" s="599">
        <f t="shared" si="11"/>
        <v>1</v>
      </c>
      <c r="N50" s="608"/>
      <c r="O50" s="599">
        <f t="shared" si="12"/>
        <v>1</v>
      </c>
      <c r="P50" s="608"/>
      <c r="Q50" s="599">
        <f t="shared" si="13"/>
        <v>1</v>
      </c>
      <c r="R50" s="659">
        <f t="shared" si="14"/>
        <v>0</v>
      </c>
      <c r="S50" s="598">
        <f t="shared" si="5"/>
        <v>0</v>
      </c>
    </row>
    <row r="51" spans="1:19">
      <c r="A51" s="606"/>
      <c r="B51" s="607"/>
      <c r="C51" s="599">
        <f t="shared" si="6"/>
        <v>1</v>
      </c>
      <c r="D51" s="608"/>
      <c r="E51" s="599">
        <f t="shared" si="7"/>
        <v>1</v>
      </c>
      <c r="F51" s="608"/>
      <c r="G51" s="599">
        <f t="shared" si="8"/>
        <v>1</v>
      </c>
      <c r="H51" s="608"/>
      <c r="I51" s="599">
        <f t="shared" si="9"/>
        <v>1</v>
      </c>
      <c r="J51" s="608"/>
      <c r="K51" s="599">
        <f t="shared" si="10"/>
        <v>1</v>
      </c>
      <c r="L51" s="608"/>
      <c r="M51" s="599">
        <f t="shared" si="11"/>
        <v>1</v>
      </c>
      <c r="N51" s="608"/>
      <c r="O51" s="599">
        <f t="shared" si="12"/>
        <v>1</v>
      </c>
      <c r="P51" s="608"/>
      <c r="Q51" s="599">
        <f t="shared" si="13"/>
        <v>1</v>
      </c>
      <c r="R51" s="659">
        <f t="shared" si="14"/>
        <v>0</v>
      </c>
      <c r="S51" s="598">
        <f t="shared" si="5"/>
        <v>0</v>
      </c>
    </row>
    <row r="52" spans="1:19">
      <c r="A52" s="606"/>
      <c r="B52" s="607"/>
      <c r="C52" s="599">
        <f t="shared" si="6"/>
        <v>1</v>
      </c>
      <c r="D52" s="608"/>
      <c r="E52" s="599">
        <f t="shared" si="7"/>
        <v>1</v>
      </c>
      <c r="F52" s="608"/>
      <c r="G52" s="599">
        <f t="shared" si="8"/>
        <v>1</v>
      </c>
      <c r="H52" s="608"/>
      <c r="I52" s="599">
        <f t="shared" si="9"/>
        <v>1</v>
      </c>
      <c r="J52" s="608"/>
      <c r="K52" s="599">
        <f t="shared" si="10"/>
        <v>1</v>
      </c>
      <c r="L52" s="608"/>
      <c r="M52" s="599">
        <f t="shared" si="11"/>
        <v>1</v>
      </c>
      <c r="N52" s="608"/>
      <c r="O52" s="599">
        <f t="shared" si="12"/>
        <v>1</v>
      </c>
      <c r="P52" s="608"/>
      <c r="Q52" s="599">
        <f t="shared" si="13"/>
        <v>1</v>
      </c>
      <c r="R52" s="659">
        <f t="shared" si="14"/>
        <v>0</v>
      </c>
      <c r="S52" s="598">
        <f t="shared" si="5"/>
        <v>0</v>
      </c>
    </row>
    <row r="53" spans="1:19">
      <c r="A53" s="606"/>
      <c r="B53" s="607"/>
      <c r="C53" s="599">
        <f t="shared" si="6"/>
        <v>1</v>
      </c>
      <c r="D53" s="608"/>
      <c r="E53" s="599">
        <f t="shared" si="7"/>
        <v>1</v>
      </c>
      <c r="F53" s="608"/>
      <c r="G53" s="599">
        <f t="shared" si="8"/>
        <v>1</v>
      </c>
      <c r="H53" s="608"/>
      <c r="I53" s="599">
        <f t="shared" si="9"/>
        <v>1</v>
      </c>
      <c r="J53" s="608"/>
      <c r="K53" s="599">
        <f t="shared" si="10"/>
        <v>1</v>
      </c>
      <c r="L53" s="608"/>
      <c r="M53" s="599">
        <f t="shared" si="11"/>
        <v>1</v>
      </c>
      <c r="N53" s="608"/>
      <c r="O53" s="599">
        <f t="shared" si="12"/>
        <v>1</v>
      </c>
      <c r="P53" s="608"/>
      <c r="Q53" s="599">
        <f t="shared" si="13"/>
        <v>1</v>
      </c>
      <c r="R53" s="659">
        <f t="shared" si="14"/>
        <v>0</v>
      </c>
      <c r="S53" s="598">
        <f t="shared" si="5"/>
        <v>0</v>
      </c>
    </row>
    <row r="54" spans="1:19">
      <c r="A54" s="606"/>
      <c r="B54" s="607"/>
      <c r="C54" s="599">
        <f t="shared" si="6"/>
        <v>1</v>
      </c>
      <c r="D54" s="608"/>
      <c r="E54" s="599">
        <f t="shared" si="7"/>
        <v>1</v>
      </c>
      <c r="F54" s="608"/>
      <c r="G54" s="599">
        <f t="shared" si="8"/>
        <v>1</v>
      </c>
      <c r="H54" s="608"/>
      <c r="I54" s="599">
        <f t="shared" si="9"/>
        <v>1</v>
      </c>
      <c r="J54" s="608"/>
      <c r="K54" s="599">
        <f t="shared" si="10"/>
        <v>1</v>
      </c>
      <c r="L54" s="608"/>
      <c r="M54" s="599">
        <f t="shared" si="11"/>
        <v>1</v>
      </c>
      <c r="N54" s="608"/>
      <c r="O54" s="599">
        <f t="shared" si="12"/>
        <v>1</v>
      </c>
      <c r="P54" s="608"/>
      <c r="Q54" s="599">
        <f t="shared" si="13"/>
        <v>1</v>
      </c>
      <c r="R54" s="659">
        <f t="shared" si="14"/>
        <v>0</v>
      </c>
      <c r="S54" s="598">
        <f t="shared" si="5"/>
        <v>0</v>
      </c>
    </row>
    <row r="55" spans="1:19">
      <c r="A55" s="606"/>
      <c r="B55" s="607"/>
      <c r="C55" s="599">
        <f t="shared" si="6"/>
        <v>1</v>
      </c>
      <c r="D55" s="608"/>
      <c r="E55" s="599">
        <f t="shared" si="7"/>
        <v>1</v>
      </c>
      <c r="F55" s="608"/>
      <c r="G55" s="599">
        <f t="shared" si="8"/>
        <v>1</v>
      </c>
      <c r="H55" s="608"/>
      <c r="I55" s="599">
        <f t="shared" si="9"/>
        <v>1</v>
      </c>
      <c r="J55" s="608"/>
      <c r="K55" s="599">
        <f t="shared" si="10"/>
        <v>1</v>
      </c>
      <c r="L55" s="608"/>
      <c r="M55" s="599">
        <f t="shared" si="11"/>
        <v>1</v>
      </c>
      <c r="N55" s="608"/>
      <c r="O55" s="599">
        <f t="shared" si="12"/>
        <v>1</v>
      </c>
      <c r="P55" s="608"/>
      <c r="Q55" s="599">
        <f t="shared" si="13"/>
        <v>1</v>
      </c>
      <c r="R55" s="659">
        <f t="shared" si="14"/>
        <v>0</v>
      </c>
      <c r="S55" s="598">
        <f t="shared" si="5"/>
        <v>0</v>
      </c>
    </row>
    <row r="56" spans="1:19">
      <c r="A56" s="606"/>
      <c r="B56" s="607"/>
      <c r="C56" s="599">
        <f t="shared" si="6"/>
        <v>1</v>
      </c>
      <c r="D56" s="608"/>
      <c r="E56" s="599">
        <f t="shared" si="7"/>
        <v>1</v>
      </c>
      <c r="F56" s="608"/>
      <c r="G56" s="599">
        <f t="shared" si="8"/>
        <v>1</v>
      </c>
      <c r="H56" s="608"/>
      <c r="I56" s="599">
        <f t="shared" si="9"/>
        <v>1</v>
      </c>
      <c r="J56" s="608"/>
      <c r="K56" s="599">
        <f t="shared" si="10"/>
        <v>1</v>
      </c>
      <c r="L56" s="608"/>
      <c r="M56" s="599">
        <f t="shared" si="11"/>
        <v>1</v>
      </c>
      <c r="N56" s="608"/>
      <c r="O56" s="599">
        <f t="shared" si="12"/>
        <v>1</v>
      </c>
      <c r="P56" s="608"/>
      <c r="Q56" s="599">
        <f t="shared" si="13"/>
        <v>1</v>
      </c>
      <c r="R56" s="659">
        <f t="shared" si="14"/>
        <v>0</v>
      </c>
      <c r="S56" s="598">
        <f t="shared" si="5"/>
        <v>0</v>
      </c>
    </row>
    <row r="57" spans="1:19">
      <c r="A57" s="606"/>
      <c r="B57" s="607"/>
      <c r="C57" s="599">
        <f t="shared" si="6"/>
        <v>1</v>
      </c>
      <c r="D57" s="608"/>
      <c r="E57" s="599">
        <f t="shared" si="7"/>
        <v>1</v>
      </c>
      <c r="F57" s="608"/>
      <c r="G57" s="599">
        <f t="shared" si="8"/>
        <v>1</v>
      </c>
      <c r="H57" s="608"/>
      <c r="I57" s="599">
        <f t="shared" si="9"/>
        <v>1</v>
      </c>
      <c r="J57" s="608"/>
      <c r="K57" s="599">
        <f t="shared" si="10"/>
        <v>1</v>
      </c>
      <c r="L57" s="608"/>
      <c r="M57" s="599">
        <f t="shared" si="11"/>
        <v>1</v>
      </c>
      <c r="N57" s="608"/>
      <c r="O57" s="599">
        <f t="shared" si="12"/>
        <v>1</v>
      </c>
      <c r="P57" s="608"/>
      <c r="Q57" s="599">
        <f t="shared" si="13"/>
        <v>1</v>
      </c>
      <c r="R57" s="659">
        <f t="shared" si="14"/>
        <v>0</v>
      </c>
      <c r="S57" s="598">
        <f t="shared" si="5"/>
        <v>0</v>
      </c>
    </row>
    <row r="58" spans="1:19">
      <c r="A58" s="606"/>
      <c r="B58" s="607"/>
      <c r="C58" s="599">
        <f t="shared" si="6"/>
        <v>1</v>
      </c>
      <c r="D58" s="608"/>
      <c r="E58" s="599">
        <f t="shared" si="7"/>
        <v>1</v>
      </c>
      <c r="F58" s="608"/>
      <c r="G58" s="599">
        <f t="shared" si="8"/>
        <v>1</v>
      </c>
      <c r="H58" s="608"/>
      <c r="I58" s="599">
        <f t="shared" si="9"/>
        <v>1</v>
      </c>
      <c r="J58" s="608"/>
      <c r="K58" s="599">
        <f t="shared" si="10"/>
        <v>1</v>
      </c>
      <c r="L58" s="608"/>
      <c r="M58" s="599">
        <f t="shared" si="11"/>
        <v>1</v>
      </c>
      <c r="N58" s="608"/>
      <c r="O58" s="599">
        <f t="shared" si="12"/>
        <v>1</v>
      </c>
      <c r="P58" s="608"/>
      <c r="Q58" s="599">
        <f t="shared" si="13"/>
        <v>1</v>
      </c>
      <c r="R58" s="659">
        <f t="shared" si="14"/>
        <v>0</v>
      </c>
      <c r="S58" s="598">
        <f t="shared" si="5"/>
        <v>0</v>
      </c>
    </row>
    <row r="59" spans="1:19">
      <c r="A59" s="606"/>
      <c r="B59" s="607"/>
      <c r="C59" s="599">
        <f t="shared" si="6"/>
        <v>1</v>
      </c>
      <c r="D59" s="608"/>
      <c r="E59" s="599">
        <f t="shared" si="7"/>
        <v>1</v>
      </c>
      <c r="F59" s="608"/>
      <c r="G59" s="599">
        <f t="shared" si="8"/>
        <v>1</v>
      </c>
      <c r="H59" s="608"/>
      <c r="I59" s="599">
        <f t="shared" si="9"/>
        <v>1</v>
      </c>
      <c r="J59" s="608"/>
      <c r="K59" s="599">
        <f t="shared" si="10"/>
        <v>1</v>
      </c>
      <c r="L59" s="608"/>
      <c r="M59" s="599">
        <f t="shared" si="11"/>
        <v>1</v>
      </c>
      <c r="N59" s="608"/>
      <c r="O59" s="599">
        <f t="shared" si="12"/>
        <v>1</v>
      </c>
      <c r="P59" s="608"/>
      <c r="Q59" s="599">
        <f t="shared" si="13"/>
        <v>1</v>
      </c>
      <c r="R59" s="659">
        <f t="shared" si="14"/>
        <v>0</v>
      </c>
      <c r="S59" s="598">
        <f t="shared" si="5"/>
        <v>0</v>
      </c>
    </row>
    <row r="60" spans="1:19">
      <c r="A60" s="606"/>
      <c r="B60" s="607"/>
      <c r="C60" s="599">
        <f t="shared" si="6"/>
        <v>1</v>
      </c>
      <c r="D60" s="608"/>
      <c r="E60" s="599">
        <f t="shared" si="7"/>
        <v>1</v>
      </c>
      <c r="F60" s="608"/>
      <c r="G60" s="599">
        <f t="shared" si="8"/>
        <v>1</v>
      </c>
      <c r="H60" s="608"/>
      <c r="I60" s="599">
        <f t="shared" si="9"/>
        <v>1</v>
      </c>
      <c r="J60" s="608"/>
      <c r="K60" s="599">
        <f t="shared" si="10"/>
        <v>1</v>
      </c>
      <c r="L60" s="608"/>
      <c r="M60" s="599">
        <f t="shared" si="11"/>
        <v>1</v>
      </c>
      <c r="N60" s="608"/>
      <c r="O60" s="599">
        <f t="shared" si="12"/>
        <v>1</v>
      </c>
      <c r="P60" s="608"/>
      <c r="Q60" s="599">
        <f t="shared" si="13"/>
        <v>1</v>
      </c>
      <c r="R60" s="659">
        <f t="shared" si="14"/>
        <v>0</v>
      </c>
      <c r="S60" s="598">
        <f t="shared" si="5"/>
        <v>0</v>
      </c>
    </row>
    <row r="61" spans="1:19">
      <c r="A61" s="606"/>
      <c r="B61" s="607"/>
      <c r="C61" s="599">
        <f t="shared" si="6"/>
        <v>1</v>
      </c>
      <c r="D61" s="608"/>
      <c r="E61" s="599">
        <f t="shared" si="7"/>
        <v>1</v>
      </c>
      <c r="F61" s="608"/>
      <c r="G61" s="599">
        <f t="shared" si="8"/>
        <v>1</v>
      </c>
      <c r="H61" s="608"/>
      <c r="I61" s="599">
        <f t="shared" si="9"/>
        <v>1</v>
      </c>
      <c r="J61" s="608"/>
      <c r="K61" s="599">
        <f t="shared" si="10"/>
        <v>1</v>
      </c>
      <c r="L61" s="608"/>
      <c r="M61" s="599">
        <f t="shared" si="11"/>
        <v>1</v>
      </c>
      <c r="N61" s="608"/>
      <c r="O61" s="599">
        <f t="shared" si="12"/>
        <v>1</v>
      </c>
      <c r="P61" s="608"/>
      <c r="Q61" s="599">
        <f t="shared" si="13"/>
        <v>1</v>
      </c>
      <c r="R61" s="659">
        <f t="shared" si="14"/>
        <v>0</v>
      </c>
      <c r="S61" s="598">
        <f t="shared" si="5"/>
        <v>0</v>
      </c>
    </row>
    <row r="62" spans="1:19">
      <c r="A62" s="606"/>
      <c r="B62" s="607"/>
      <c r="C62" s="599">
        <f t="shared" si="6"/>
        <v>1</v>
      </c>
      <c r="D62" s="608"/>
      <c r="E62" s="599">
        <f t="shared" si="7"/>
        <v>1</v>
      </c>
      <c r="F62" s="608"/>
      <c r="G62" s="599">
        <f t="shared" si="8"/>
        <v>1</v>
      </c>
      <c r="H62" s="608"/>
      <c r="I62" s="599">
        <f t="shared" si="9"/>
        <v>1</v>
      </c>
      <c r="J62" s="608"/>
      <c r="K62" s="599">
        <f t="shared" si="10"/>
        <v>1</v>
      </c>
      <c r="L62" s="608"/>
      <c r="M62" s="599">
        <f t="shared" si="11"/>
        <v>1</v>
      </c>
      <c r="N62" s="608"/>
      <c r="O62" s="599">
        <f t="shared" si="12"/>
        <v>1</v>
      </c>
      <c r="P62" s="608"/>
      <c r="Q62" s="599">
        <f t="shared" si="13"/>
        <v>1</v>
      </c>
      <c r="R62" s="659">
        <f t="shared" si="14"/>
        <v>0</v>
      </c>
      <c r="S62" s="598">
        <f t="shared" si="5"/>
        <v>0</v>
      </c>
    </row>
    <row r="63" spans="1:19">
      <c r="A63" s="606"/>
      <c r="B63" s="607"/>
      <c r="C63" s="599">
        <f t="shared" si="6"/>
        <v>1</v>
      </c>
      <c r="D63" s="608"/>
      <c r="E63" s="599">
        <f t="shared" si="7"/>
        <v>1</v>
      </c>
      <c r="F63" s="608"/>
      <c r="G63" s="599">
        <f t="shared" si="8"/>
        <v>1</v>
      </c>
      <c r="H63" s="608"/>
      <c r="I63" s="599">
        <f t="shared" si="9"/>
        <v>1</v>
      </c>
      <c r="J63" s="608"/>
      <c r="K63" s="599">
        <f t="shared" si="10"/>
        <v>1</v>
      </c>
      <c r="L63" s="608"/>
      <c r="M63" s="599">
        <f t="shared" si="11"/>
        <v>1</v>
      </c>
      <c r="N63" s="608"/>
      <c r="O63" s="599">
        <f t="shared" si="12"/>
        <v>1</v>
      </c>
      <c r="P63" s="608"/>
      <c r="Q63" s="599">
        <f t="shared" si="13"/>
        <v>1</v>
      </c>
      <c r="R63" s="659">
        <f t="shared" si="14"/>
        <v>0</v>
      </c>
      <c r="S63" s="598">
        <f t="shared" si="5"/>
        <v>0</v>
      </c>
    </row>
    <row r="64" spans="1:19">
      <c r="A64" s="606"/>
      <c r="B64" s="607"/>
      <c r="C64" s="599">
        <f t="shared" si="6"/>
        <v>1</v>
      </c>
      <c r="D64" s="608"/>
      <c r="E64" s="599">
        <f t="shared" si="7"/>
        <v>1</v>
      </c>
      <c r="F64" s="608"/>
      <c r="G64" s="599">
        <f t="shared" si="8"/>
        <v>1</v>
      </c>
      <c r="H64" s="608"/>
      <c r="I64" s="599">
        <f t="shared" si="9"/>
        <v>1</v>
      </c>
      <c r="J64" s="608"/>
      <c r="K64" s="599">
        <f t="shared" si="10"/>
        <v>1</v>
      </c>
      <c r="L64" s="608"/>
      <c r="M64" s="599">
        <f t="shared" si="11"/>
        <v>1</v>
      </c>
      <c r="N64" s="608"/>
      <c r="O64" s="599">
        <f t="shared" si="12"/>
        <v>1</v>
      </c>
      <c r="P64" s="608"/>
      <c r="Q64" s="599">
        <f t="shared" si="13"/>
        <v>1</v>
      </c>
      <c r="R64" s="659">
        <f t="shared" si="14"/>
        <v>0</v>
      </c>
      <c r="S64" s="598">
        <f t="shared" si="5"/>
        <v>0</v>
      </c>
    </row>
    <row r="65" spans="1:19">
      <c r="A65" s="606"/>
      <c r="B65" s="607"/>
      <c r="C65" s="599">
        <f t="shared" si="6"/>
        <v>1</v>
      </c>
      <c r="D65" s="608"/>
      <c r="E65" s="599">
        <f t="shared" si="7"/>
        <v>1</v>
      </c>
      <c r="F65" s="608"/>
      <c r="G65" s="599">
        <f t="shared" si="8"/>
        <v>1</v>
      </c>
      <c r="H65" s="608"/>
      <c r="I65" s="599">
        <f t="shared" si="9"/>
        <v>1</v>
      </c>
      <c r="J65" s="608"/>
      <c r="K65" s="599">
        <f t="shared" si="10"/>
        <v>1</v>
      </c>
      <c r="L65" s="608"/>
      <c r="M65" s="599">
        <f t="shared" si="11"/>
        <v>1</v>
      </c>
      <c r="N65" s="608"/>
      <c r="O65" s="599">
        <f t="shared" si="12"/>
        <v>1</v>
      </c>
      <c r="P65" s="608"/>
      <c r="Q65" s="599">
        <f t="shared" si="13"/>
        <v>1</v>
      </c>
      <c r="R65" s="659">
        <f t="shared" si="14"/>
        <v>0</v>
      </c>
      <c r="S65" s="598">
        <f t="shared" si="5"/>
        <v>0</v>
      </c>
    </row>
    <row r="66" spans="1:19">
      <c r="A66" s="606"/>
      <c r="B66" s="607"/>
      <c r="C66" s="599">
        <f t="shared" si="6"/>
        <v>1</v>
      </c>
      <c r="D66" s="608"/>
      <c r="E66" s="599">
        <f t="shared" si="7"/>
        <v>1</v>
      </c>
      <c r="F66" s="608"/>
      <c r="G66" s="599">
        <f t="shared" si="8"/>
        <v>1</v>
      </c>
      <c r="H66" s="608"/>
      <c r="I66" s="599">
        <f t="shared" si="9"/>
        <v>1</v>
      </c>
      <c r="J66" s="608"/>
      <c r="K66" s="599">
        <f t="shared" si="10"/>
        <v>1</v>
      </c>
      <c r="L66" s="608"/>
      <c r="M66" s="599">
        <f t="shared" si="11"/>
        <v>1</v>
      </c>
      <c r="N66" s="608"/>
      <c r="O66" s="599">
        <f t="shared" si="12"/>
        <v>1</v>
      </c>
      <c r="P66" s="608"/>
      <c r="Q66" s="599">
        <f t="shared" si="13"/>
        <v>1</v>
      </c>
      <c r="R66" s="659">
        <f t="shared" si="14"/>
        <v>0</v>
      </c>
      <c r="S66" s="598">
        <f t="shared" si="5"/>
        <v>0</v>
      </c>
    </row>
    <row r="67" spans="1:19">
      <c r="A67" s="606"/>
      <c r="B67" s="607"/>
      <c r="C67" s="599">
        <f t="shared" si="6"/>
        <v>1</v>
      </c>
      <c r="D67" s="608"/>
      <c r="E67" s="599">
        <f t="shared" si="7"/>
        <v>1</v>
      </c>
      <c r="F67" s="608"/>
      <c r="G67" s="599">
        <f t="shared" si="8"/>
        <v>1</v>
      </c>
      <c r="H67" s="608"/>
      <c r="I67" s="599">
        <f t="shared" si="9"/>
        <v>1</v>
      </c>
      <c r="J67" s="608"/>
      <c r="K67" s="599">
        <f t="shared" si="10"/>
        <v>1</v>
      </c>
      <c r="L67" s="608"/>
      <c r="M67" s="599">
        <f t="shared" si="11"/>
        <v>1</v>
      </c>
      <c r="N67" s="608"/>
      <c r="O67" s="599">
        <f t="shared" si="12"/>
        <v>1</v>
      </c>
      <c r="P67" s="608"/>
      <c r="Q67" s="599">
        <f t="shared" si="13"/>
        <v>1</v>
      </c>
      <c r="R67" s="659">
        <f t="shared" si="14"/>
        <v>0</v>
      </c>
      <c r="S67" s="598">
        <f t="shared" si="5"/>
        <v>0</v>
      </c>
    </row>
    <row r="68" spans="1:19">
      <c r="A68" s="606"/>
      <c r="B68" s="607"/>
      <c r="C68" s="599">
        <f t="shared" si="6"/>
        <v>1</v>
      </c>
      <c r="D68" s="608"/>
      <c r="E68" s="599">
        <f t="shared" si="7"/>
        <v>1</v>
      </c>
      <c r="F68" s="608"/>
      <c r="G68" s="599">
        <f t="shared" si="8"/>
        <v>1</v>
      </c>
      <c r="H68" s="608"/>
      <c r="I68" s="599">
        <f t="shared" si="9"/>
        <v>1</v>
      </c>
      <c r="J68" s="608"/>
      <c r="K68" s="599">
        <f t="shared" si="10"/>
        <v>1</v>
      </c>
      <c r="L68" s="608"/>
      <c r="M68" s="599">
        <f t="shared" si="11"/>
        <v>1</v>
      </c>
      <c r="N68" s="608"/>
      <c r="O68" s="599">
        <f t="shared" si="12"/>
        <v>1</v>
      </c>
      <c r="P68" s="608"/>
      <c r="Q68" s="599">
        <f t="shared" si="13"/>
        <v>1</v>
      </c>
      <c r="R68" s="659">
        <f t="shared" si="14"/>
        <v>0</v>
      </c>
      <c r="S68" s="598">
        <f t="shared" si="5"/>
        <v>0</v>
      </c>
    </row>
    <row r="69" spans="1:19">
      <c r="A69" s="606"/>
      <c r="B69" s="607"/>
      <c r="C69" s="599">
        <f t="shared" si="6"/>
        <v>1</v>
      </c>
      <c r="D69" s="608"/>
      <c r="E69" s="599">
        <f t="shared" si="7"/>
        <v>1</v>
      </c>
      <c r="F69" s="608"/>
      <c r="G69" s="599">
        <f t="shared" si="8"/>
        <v>1</v>
      </c>
      <c r="H69" s="608"/>
      <c r="I69" s="599">
        <f t="shared" si="9"/>
        <v>1</v>
      </c>
      <c r="J69" s="608"/>
      <c r="K69" s="599">
        <f t="shared" si="10"/>
        <v>1</v>
      </c>
      <c r="L69" s="608"/>
      <c r="M69" s="599">
        <f t="shared" si="11"/>
        <v>1</v>
      </c>
      <c r="N69" s="608"/>
      <c r="O69" s="599">
        <f t="shared" si="12"/>
        <v>1</v>
      </c>
      <c r="P69" s="608"/>
      <c r="Q69" s="599">
        <f t="shared" si="13"/>
        <v>1</v>
      </c>
      <c r="R69" s="659">
        <f t="shared" si="14"/>
        <v>0</v>
      </c>
      <c r="S69" s="598">
        <f t="shared" si="5"/>
        <v>0</v>
      </c>
    </row>
    <row r="70" spans="1:19">
      <c r="A70" s="606"/>
      <c r="B70" s="607"/>
      <c r="C70" s="599">
        <f t="shared" si="6"/>
        <v>1</v>
      </c>
      <c r="D70" s="608"/>
      <c r="E70" s="599">
        <f t="shared" si="7"/>
        <v>1</v>
      </c>
      <c r="F70" s="608"/>
      <c r="G70" s="599">
        <f t="shared" si="8"/>
        <v>1</v>
      </c>
      <c r="H70" s="608"/>
      <c r="I70" s="599">
        <f t="shared" si="9"/>
        <v>1</v>
      </c>
      <c r="J70" s="608"/>
      <c r="K70" s="599">
        <f t="shared" si="10"/>
        <v>1</v>
      </c>
      <c r="L70" s="608"/>
      <c r="M70" s="599">
        <f t="shared" si="11"/>
        <v>1</v>
      </c>
      <c r="N70" s="608"/>
      <c r="O70" s="599">
        <f t="shared" si="12"/>
        <v>1</v>
      </c>
      <c r="P70" s="608"/>
      <c r="Q70" s="599">
        <f t="shared" si="13"/>
        <v>1</v>
      </c>
      <c r="R70" s="659">
        <f t="shared" si="14"/>
        <v>0</v>
      </c>
      <c r="S70" s="598">
        <f t="shared" si="5"/>
        <v>0</v>
      </c>
    </row>
    <row r="71" spans="1:19">
      <c r="A71" s="606"/>
      <c r="B71" s="607"/>
      <c r="C71" s="599">
        <f t="shared" si="6"/>
        <v>1</v>
      </c>
      <c r="D71" s="608"/>
      <c r="E71" s="599">
        <f t="shared" si="7"/>
        <v>1</v>
      </c>
      <c r="F71" s="608"/>
      <c r="G71" s="599">
        <f t="shared" si="8"/>
        <v>1</v>
      </c>
      <c r="H71" s="608"/>
      <c r="I71" s="599">
        <f t="shared" si="9"/>
        <v>1</v>
      </c>
      <c r="J71" s="608"/>
      <c r="K71" s="599">
        <f t="shared" si="10"/>
        <v>1</v>
      </c>
      <c r="L71" s="608"/>
      <c r="M71" s="599">
        <f t="shared" si="11"/>
        <v>1</v>
      </c>
      <c r="N71" s="608"/>
      <c r="O71" s="599">
        <f t="shared" si="12"/>
        <v>1</v>
      </c>
      <c r="P71" s="608"/>
      <c r="Q71" s="599">
        <f t="shared" si="13"/>
        <v>1</v>
      </c>
      <c r="R71" s="659">
        <f t="shared" si="14"/>
        <v>0</v>
      </c>
      <c r="S71" s="598">
        <f t="shared" si="5"/>
        <v>0</v>
      </c>
    </row>
    <row r="72" spans="1:19">
      <c r="A72" s="606"/>
      <c r="B72" s="607"/>
      <c r="C72" s="599">
        <f t="shared" si="6"/>
        <v>1</v>
      </c>
      <c r="D72" s="608"/>
      <c r="E72" s="599">
        <f t="shared" si="7"/>
        <v>1</v>
      </c>
      <c r="F72" s="608"/>
      <c r="G72" s="599">
        <f t="shared" si="8"/>
        <v>1</v>
      </c>
      <c r="H72" s="608"/>
      <c r="I72" s="599">
        <f t="shared" si="9"/>
        <v>1</v>
      </c>
      <c r="J72" s="608"/>
      <c r="K72" s="599">
        <f t="shared" si="10"/>
        <v>1</v>
      </c>
      <c r="L72" s="608"/>
      <c r="M72" s="599">
        <f t="shared" si="11"/>
        <v>1</v>
      </c>
      <c r="N72" s="608"/>
      <c r="O72" s="599">
        <f t="shared" si="12"/>
        <v>1</v>
      </c>
      <c r="P72" s="608"/>
      <c r="Q72" s="599">
        <f t="shared" si="13"/>
        <v>1</v>
      </c>
      <c r="R72" s="659">
        <f t="shared" si="14"/>
        <v>0</v>
      </c>
      <c r="S72" s="598">
        <f t="shared" si="5"/>
        <v>0</v>
      </c>
    </row>
    <row r="73" spans="1:19">
      <c r="A73" s="606"/>
      <c r="B73" s="607"/>
      <c r="C73" s="599">
        <f t="shared" si="6"/>
        <v>1</v>
      </c>
      <c r="D73" s="608"/>
      <c r="E73" s="599">
        <f t="shared" si="7"/>
        <v>1</v>
      </c>
      <c r="F73" s="608"/>
      <c r="G73" s="599">
        <f t="shared" si="8"/>
        <v>1</v>
      </c>
      <c r="H73" s="608"/>
      <c r="I73" s="599">
        <f t="shared" si="9"/>
        <v>1</v>
      </c>
      <c r="J73" s="608"/>
      <c r="K73" s="599">
        <f t="shared" si="10"/>
        <v>1</v>
      </c>
      <c r="L73" s="608"/>
      <c r="M73" s="599">
        <f t="shared" si="11"/>
        <v>1</v>
      </c>
      <c r="N73" s="608"/>
      <c r="O73" s="599">
        <f t="shared" si="12"/>
        <v>1</v>
      </c>
      <c r="P73" s="608"/>
      <c r="Q73" s="599">
        <f t="shared" si="13"/>
        <v>1</v>
      </c>
      <c r="R73" s="659">
        <f t="shared" si="14"/>
        <v>0</v>
      </c>
      <c r="S73" s="598">
        <f t="shared" si="5"/>
        <v>0</v>
      </c>
    </row>
    <row r="74" spans="1:19">
      <c r="A74" s="606"/>
      <c r="B74" s="607"/>
      <c r="C74" s="599">
        <f t="shared" si="6"/>
        <v>1</v>
      </c>
      <c r="D74" s="608"/>
      <c r="E74" s="599">
        <f t="shared" si="7"/>
        <v>1</v>
      </c>
      <c r="F74" s="608"/>
      <c r="G74" s="599">
        <f t="shared" si="8"/>
        <v>1</v>
      </c>
      <c r="H74" s="608"/>
      <c r="I74" s="599">
        <f t="shared" si="9"/>
        <v>1</v>
      </c>
      <c r="J74" s="608"/>
      <c r="K74" s="599">
        <f t="shared" si="10"/>
        <v>1</v>
      </c>
      <c r="L74" s="608"/>
      <c r="M74" s="599">
        <f t="shared" si="11"/>
        <v>1</v>
      </c>
      <c r="N74" s="608"/>
      <c r="O74" s="599">
        <f t="shared" si="12"/>
        <v>1</v>
      </c>
      <c r="P74" s="608"/>
      <c r="Q74" s="599">
        <f t="shared" si="13"/>
        <v>1</v>
      </c>
      <c r="R74" s="659">
        <f t="shared" si="14"/>
        <v>0</v>
      </c>
      <c r="S74" s="598">
        <f t="shared" si="5"/>
        <v>0</v>
      </c>
    </row>
    <row r="75" spans="1:19">
      <c r="A75" s="606"/>
      <c r="B75" s="607"/>
      <c r="C75" s="599">
        <f t="shared" si="6"/>
        <v>1</v>
      </c>
      <c r="D75" s="608"/>
      <c r="E75" s="599">
        <f t="shared" si="7"/>
        <v>1</v>
      </c>
      <c r="F75" s="608"/>
      <c r="G75" s="599">
        <f t="shared" si="8"/>
        <v>1</v>
      </c>
      <c r="H75" s="608"/>
      <c r="I75" s="599">
        <f t="shared" si="9"/>
        <v>1</v>
      </c>
      <c r="J75" s="608"/>
      <c r="K75" s="599">
        <f t="shared" si="10"/>
        <v>1</v>
      </c>
      <c r="L75" s="608"/>
      <c r="M75" s="599">
        <f t="shared" si="11"/>
        <v>1</v>
      </c>
      <c r="N75" s="608"/>
      <c r="O75" s="599">
        <f t="shared" si="12"/>
        <v>1</v>
      </c>
      <c r="P75" s="608"/>
      <c r="Q75" s="599">
        <f t="shared" si="13"/>
        <v>1</v>
      </c>
      <c r="R75" s="659">
        <f t="shared" si="14"/>
        <v>0</v>
      </c>
      <c r="S75" s="598">
        <f t="shared" si="5"/>
        <v>0</v>
      </c>
    </row>
    <row r="76" spans="1:19">
      <c r="A76" s="606"/>
      <c r="B76" s="607"/>
      <c r="C76" s="599">
        <f t="shared" si="6"/>
        <v>1</v>
      </c>
      <c r="D76" s="608"/>
      <c r="E76" s="599">
        <f t="shared" si="7"/>
        <v>1</v>
      </c>
      <c r="F76" s="608"/>
      <c r="G76" s="599">
        <f t="shared" si="8"/>
        <v>1</v>
      </c>
      <c r="H76" s="608"/>
      <c r="I76" s="599">
        <f t="shared" si="9"/>
        <v>1</v>
      </c>
      <c r="J76" s="608"/>
      <c r="K76" s="599">
        <f t="shared" si="10"/>
        <v>1</v>
      </c>
      <c r="L76" s="608"/>
      <c r="M76" s="599">
        <f t="shared" si="11"/>
        <v>1</v>
      </c>
      <c r="N76" s="608"/>
      <c r="O76" s="599">
        <f t="shared" si="12"/>
        <v>1</v>
      </c>
      <c r="P76" s="608"/>
      <c r="Q76" s="599">
        <f t="shared" si="13"/>
        <v>1</v>
      </c>
      <c r="R76" s="659">
        <f t="shared" si="14"/>
        <v>0</v>
      </c>
      <c r="S76" s="598">
        <f t="shared" si="5"/>
        <v>0</v>
      </c>
    </row>
    <row r="77" spans="1:19">
      <c r="A77" s="606"/>
      <c r="B77" s="607"/>
      <c r="C77" s="599">
        <f t="shared" si="6"/>
        <v>1</v>
      </c>
      <c r="D77" s="608"/>
      <c r="E77" s="599">
        <f t="shared" si="7"/>
        <v>1</v>
      </c>
      <c r="F77" s="608"/>
      <c r="G77" s="599">
        <f t="shared" si="8"/>
        <v>1</v>
      </c>
      <c r="H77" s="608"/>
      <c r="I77" s="599">
        <f t="shared" si="9"/>
        <v>1</v>
      </c>
      <c r="J77" s="608"/>
      <c r="K77" s="599">
        <f t="shared" si="10"/>
        <v>1</v>
      </c>
      <c r="L77" s="608"/>
      <c r="M77" s="599">
        <f t="shared" si="11"/>
        <v>1</v>
      </c>
      <c r="N77" s="608"/>
      <c r="O77" s="599">
        <f t="shared" si="12"/>
        <v>1</v>
      </c>
      <c r="P77" s="608"/>
      <c r="Q77" s="599">
        <f t="shared" si="13"/>
        <v>1</v>
      </c>
      <c r="R77" s="659">
        <f t="shared" si="14"/>
        <v>0</v>
      </c>
      <c r="S77" s="598">
        <f t="shared" si="5"/>
        <v>0</v>
      </c>
    </row>
    <row r="78" spans="1:19">
      <c r="A78" s="606"/>
      <c r="B78" s="607"/>
      <c r="C78" s="599">
        <f t="shared" si="6"/>
        <v>1</v>
      </c>
      <c r="D78" s="608"/>
      <c r="E78" s="599">
        <f t="shared" si="7"/>
        <v>1</v>
      </c>
      <c r="F78" s="608"/>
      <c r="G78" s="599">
        <f t="shared" si="8"/>
        <v>1</v>
      </c>
      <c r="H78" s="608"/>
      <c r="I78" s="599">
        <f t="shared" si="9"/>
        <v>1</v>
      </c>
      <c r="J78" s="608"/>
      <c r="K78" s="599">
        <f t="shared" si="10"/>
        <v>1</v>
      </c>
      <c r="L78" s="608"/>
      <c r="M78" s="599">
        <f t="shared" si="11"/>
        <v>1</v>
      </c>
      <c r="N78" s="608"/>
      <c r="O78" s="599">
        <f t="shared" si="12"/>
        <v>1</v>
      </c>
      <c r="P78" s="608"/>
      <c r="Q78" s="599">
        <f t="shared" si="13"/>
        <v>1</v>
      </c>
      <c r="R78" s="659">
        <f t="shared" si="14"/>
        <v>0</v>
      </c>
      <c r="S78" s="598">
        <f t="shared" si="5"/>
        <v>0</v>
      </c>
    </row>
    <row r="79" spans="1:19">
      <c r="A79" s="606"/>
      <c r="B79" s="607"/>
      <c r="C79" s="599">
        <f t="shared" si="6"/>
        <v>1</v>
      </c>
      <c r="D79" s="608"/>
      <c r="E79" s="599">
        <f t="shared" si="7"/>
        <v>1</v>
      </c>
      <c r="F79" s="608"/>
      <c r="G79" s="599">
        <f t="shared" si="8"/>
        <v>1</v>
      </c>
      <c r="H79" s="608"/>
      <c r="I79" s="599">
        <f t="shared" si="9"/>
        <v>1</v>
      </c>
      <c r="J79" s="608"/>
      <c r="K79" s="599">
        <f t="shared" si="10"/>
        <v>1</v>
      </c>
      <c r="L79" s="608"/>
      <c r="M79" s="599">
        <f t="shared" si="11"/>
        <v>1</v>
      </c>
      <c r="N79" s="608"/>
      <c r="O79" s="599">
        <f t="shared" si="12"/>
        <v>1</v>
      </c>
      <c r="P79" s="608"/>
      <c r="Q79" s="599">
        <f t="shared" si="13"/>
        <v>1</v>
      </c>
      <c r="R79" s="659">
        <f t="shared" si="14"/>
        <v>0</v>
      </c>
      <c r="S79" s="598">
        <f t="shared" si="5"/>
        <v>0</v>
      </c>
    </row>
    <row r="80" spans="1:19">
      <c r="A80" s="606"/>
      <c r="B80" s="607"/>
      <c r="C80" s="599">
        <f t="shared" si="6"/>
        <v>1</v>
      </c>
      <c r="D80" s="608"/>
      <c r="E80" s="599">
        <f t="shared" si="7"/>
        <v>1</v>
      </c>
      <c r="F80" s="608"/>
      <c r="G80" s="599">
        <f t="shared" si="8"/>
        <v>1</v>
      </c>
      <c r="H80" s="608"/>
      <c r="I80" s="599">
        <f t="shared" si="9"/>
        <v>1</v>
      </c>
      <c r="J80" s="608"/>
      <c r="K80" s="599">
        <f t="shared" si="10"/>
        <v>1</v>
      </c>
      <c r="L80" s="608"/>
      <c r="M80" s="599">
        <f t="shared" si="11"/>
        <v>1</v>
      </c>
      <c r="N80" s="608"/>
      <c r="O80" s="599">
        <f t="shared" si="12"/>
        <v>1</v>
      </c>
      <c r="P80" s="608"/>
      <c r="Q80" s="599">
        <f t="shared" si="13"/>
        <v>1</v>
      </c>
      <c r="R80" s="659">
        <f t="shared" si="14"/>
        <v>0</v>
      </c>
      <c r="S80" s="598">
        <f t="shared" si="5"/>
        <v>0</v>
      </c>
    </row>
    <row r="81" spans="1:19">
      <c r="A81" s="606"/>
      <c r="B81" s="607"/>
      <c r="C81" s="599">
        <f t="shared" si="6"/>
        <v>1</v>
      </c>
      <c r="D81" s="608"/>
      <c r="E81" s="599">
        <f t="shared" si="7"/>
        <v>1</v>
      </c>
      <c r="F81" s="608"/>
      <c r="G81" s="599">
        <f t="shared" si="8"/>
        <v>1</v>
      </c>
      <c r="H81" s="608"/>
      <c r="I81" s="599">
        <f t="shared" si="9"/>
        <v>1</v>
      </c>
      <c r="J81" s="608"/>
      <c r="K81" s="599">
        <f t="shared" si="10"/>
        <v>1</v>
      </c>
      <c r="L81" s="608"/>
      <c r="M81" s="599">
        <f t="shared" si="11"/>
        <v>1</v>
      </c>
      <c r="N81" s="608"/>
      <c r="O81" s="599">
        <f t="shared" si="12"/>
        <v>1</v>
      </c>
      <c r="P81" s="608"/>
      <c r="Q81" s="599">
        <f t="shared" si="13"/>
        <v>1</v>
      </c>
      <c r="R81" s="659">
        <f t="shared" si="14"/>
        <v>0</v>
      </c>
      <c r="S81" s="598">
        <f t="shared" si="5"/>
        <v>0</v>
      </c>
    </row>
    <row r="82" spans="1:19">
      <c r="A82" s="606"/>
      <c r="B82" s="607"/>
      <c r="C82" s="599">
        <f t="shared" si="6"/>
        <v>1</v>
      </c>
      <c r="D82" s="608"/>
      <c r="E82" s="599">
        <f t="shared" si="7"/>
        <v>1</v>
      </c>
      <c r="F82" s="608"/>
      <c r="G82" s="599">
        <f t="shared" si="8"/>
        <v>1</v>
      </c>
      <c r="H82" s="608"/>
      <c r="I82" s="599">
        <f t="shared" si="9"/>
        <v>1</v>
      </c>
      <c r="J82" s="608"/>
      <c r="K82" s="599">
        <f t="shared" si="10"/>
        <v>1</v>
      </c>
      <c r="L82" s="608"/>
      <c r="M82" s="599">
        <f t="shared" si="11"/>
        <v>1</v>
      </c>
      <c r="N82" s="608"/>
      <c r="O82" s="599">
        <f t="shared" si="12"/>
        <v>1</v>
      </c>
      <c r="P82" s="608"/>
      <c r="Q82" s="599">
        <f t="shared" si="13"/>
        <v>1</v>
      </c>
      <c r="R82" s="659">
        <f t="shared" si="14"/>
        <v>0</v>
      </c>
      <c r="S82" s="598">
        <f t="shared" si="5"/>
        <v>0</v>
      </c>
    </row>
    <row r="83" spans="1:19">
      <c r="A83" s="606"/>
      <c r="B83" s="607"/>
      <c r="C83" s="599">
        <f t="shared" si="6"/>
        <v>1</v>
      </c>
      <c r="D83" s="608"/>
      <c r="E83" s="599">
        <f t="shared" si="7"/>
        <v>1</v>
      </c>
      <c r="F83" s="608"/>
      <c r="G83" s="599">
        <f t="shared" si="8"/>
        <v>1</v>
      </c>
      <c r="H83" s="608"/>
      <c r="I83" s="599">
        <f t="shared" si="9"/>
        <v>1</v>
      </c>
      <c r="J83" s="608"/>
      <c r="K83" s="599">
        <f t="shared" si="10"/>
        <v>1</v>
      </c>
      <c r="L83" s="608"/>
      <c r="M83" s="599">
        <f t="shared" si="11"/>
        <v>1</v>
      </c>
      <c r="N83" s="608"/>
      <c r="O83" s="599">
        <f t="shared" si="12"/>
        <v>1</v>
      </c>
      <c r="P83" s="608"/>
      <c r="Q83" s="599">
        <f t="shared" si="13"/>
        <v>1</v>
      </c>
      <c r="R83" s="659">
        <f t="shared" si="14"/>
        <v>0</v>
      </c>
      <c r="S83" s="598">
        <f t="shared" si="5"/>
        <v>0</v>
      </c>
    </row>
    <row r="84" spans="1:19">
      <c r="A84" s="606"/>
      <c r="B84" s="607"/>
      <c r="C84" s="599">
        <f t="shared" si="6"/>
        <v>1</v>
      </c>
      <c r="D84" s="608"/>
      <c r="E84" s="599">
        <f t="shared" si="7"/>
        <v>1</v>
      </c>
      <c r="F84" s="608"/>
      <c r="G84" s="599">
        <f t="shared" si="8"/>
        <v>1</v>
      </c>
      <c r="H84" s="608"/>
      <c r="I84" s="599">
        <f t="shared" si="9"/>
        <v>1</v>
      </c>
      <c r="J84" s="608"/>
      <c r="K84" s="599">
        <f t="shared" si="10"/>
        <v>1</v>
      </c>
      <c r="L84" s="608"/>
      <c r="M84" s="599">
        <f t="shared" si="11"/>
        <v>1</v>
      </c>
      <c r="N84" s="608"/>
      <c r="O84" s="599">
        <f t="shared" si="12"/>
        <v>1</v>
      </c>
      <c r="P84" s="608"/>
      <c r="Q84" s="599">
        <f t="shared" si="13"/>
        <v>1</v>
      </c>
      <c r="R84" s="659">
        <f t="shared" si="14"/>
        <v>0</v>
      </c>
      <c r="S84" s="598">
        <f t="shared" si="5"/>
        <v>0</v>
      </c>
    </row>
    <row r="85" spans="1:19">
      <c r="A85" s="606"/>
      <c r="B85" s="607"/>
      <c r="C85" s="599">
        <f t="shared" si="6"/>
        <v>1</v>
      </c>
      <c r="D85" s="608"/>
      <c r="E85" s="599">
        <f t="shared" si="7"/>
        <v>1</v>
      </c>
      <c r="F85" s="608"/>
      <c r="G85" s="599">
        <f t="shared" si="8"/>
        <v>1</v>
      </c>
      <c r="H85" s="608"/>
      <c r="I85" s="599">
        <f t="shared" si="9"/>
        <v>1</v>
      </c>
      <c r="J85" s="608"/>
      <c r="K85" s="599">
        <f t="shared" si="10"/>
        <v>1</v>
      </c>
      <c r="L85" s="608"/>
      <c r="M85" s="599">
        <f t="shared" si="11"/>
        <v>1</v>
      </c>
      <c r="N85" s="608"/>
      <c r="O85" s="599">
        <f t="shared" si="12"/>
        <v>1</v>
      </c>
      <c r="P85" s="608"/>
      <c r="Q85" s="599">
        <f t="shared" si="13"/>
        <v>1</v>
      </c>
      <c r="R85" s="659">
        <f t="shared" si="14"/>
        <v>0</v>
      </c>
      <c r="S85" s="598">
        <f t="shared" si="5"/>
        <v>0</v>
      </c>
    </row>
    <row r="86" spans="1:19">
      <c r="A86" s="606"/>
      <c r="B86" s="607"/>
      <c r="C86" s="599">
        <f t="shared" si="6"/>
        <v>1</v>
      </c>
      <c r="D86" s="608"/>
      <c r="E86" s="599">
        <f t="shared" si="7"/>
        <v>1</v>
      </c>
      <c r="F86" s="608"/>
      <c r="G86" s="599">
        <f t="shared" si="8"/>
        <v>1</v>
      </c>
      <c r="H86" s="608"/>
      <c r="I86" s="599">
        <f t="shared" si="9"/>
        <v>1</v>
      </c>
      <c r="J86" s="608"/>
      <c r="K86" s="599">
        <f t="shared" si="10"/>
        <v>1</v>
      </c>
      <c r="L86" s="608"/>
      <c r="M86" s="599">
        <f t="shared" si="11"/>
        <v>1</v>
      </c>
      <c r="N86" s="608"/>
      <c r="O86" s="599">
        <f t="shared" si="12"/>
        <v>1</v>
      </c>
      <c r="P86" s="608"/>
      <c r="Q86" s="599">
        <f t="shared" si="13"/>
        <v>1</v>
      </c>
      <c r="R86" s="659">
        <f t="shared" si="14"/>
        <v>0</v>
      </c>
      <c r="S86" s="598">
        <f t="shared" si="5"/>
        <v>0</v>
      </c>
    </row>
    <row r="87" spans="1:19">
      <c r="A87" s="606"/>
      <c r="B87" s="607"/>
      <c r="C87" s="599">
        <f t="shared" si="6"/>
        <v>1</v>
      </c>
      <c r="D87" s="608"/>
      <c r="E87" s="599">
        <f t="shared" si="7"/>
        <v>1</v>
      </c>
      <c r="F87" s="608"/>
      <c r="G87" s="599">
        <f t="shared" si="8"/>
        <v>1</v>
      </c>
      <c r="H87" s="608"/>
      <c r="I87" s="599">
        <f t="shared" si="9"/>
        <v>1</v>
      </c>
      <c r="J87" s="608"/>
      <c r="K87" s="599">
        <f t="shared" si="10"/>
        <v>1</v>
      </c>
      <c r="L87" s="608"/>
      <c r="M87" s="599">
        <f t="shared" si="11"/>
        <v>1</v>
      </c>
      <c r="N87" s="608"/>
      <c r="O87" s="599">
        <f t="shared" si="12"/>
        <v>1</v>
      </c>
      <c r="P87" s="608"/>
      <c r="Q87" s="599">
        <f t="shared" si="13"/>
        <v>1</v>
      </c>
      <c r="R87" s="659">
        <f t="shared" si="14"/>
        <v>0</v>
      </c>
      <c r="S87" s="598">
        <f t="shared" si="5"/>
        <v>0</v>
      </c>
    </row>
    <row r="88" spans="1:19">
      <c r="A88" s="606"/>
      <c r="B88" s="607"/>
      <c r="C88" s="599">
        <f t="shared" si="6"/>
        <v>1</v>
      </c>
      <c r="D88" s="608"/>
      <c r="E88" s="599">
        <f t="shared" si="7"/>
        <v>1</v>
      </c>
      <c r="F88" s="608"/>
      <c r="G88" s="599">
        <f t="shared" si="8"/>
        <v>1</v>
      </c>
      <c r="H88" s="608"/>
      <c r="I88" s="599">
        <f t="shared" si="9"/>
        <v>1</v>
      </c>
      <c r="J88" s="608"/>
      <c r="K88" s="599">
        <f t="shared" si="10"/>
        <v>1</v>
      </c>
      <c r="L88" s="608"/>
      <c r="M88" s="599">
        <f t="shared" si="11"/>
        <v>1</v>
      </c>
      <c r="N88" s="608"/>
      <c r="O88" s="599">
        <f t="shared" si="12"/>
        <v>1</v>
      </c>
      <c r="P88" s="608"/>
      <c r="Q88" s="599">
        <f t="shared" si="13"/>
        <v>1</v>
      </c>
      <c r="R88" s="659">
        <f t="shared" si="14"/>
        <v>0</v>
      </c>
      <c r="S88" s="598">
        <f t="shared" ref="S88:S151" si="15">ROUND(R88*B88/10000,0)</f>
        <v>0</v>
      </c>
    </row>
    <row r="89" spans="1:19">
      <c r="A89" s="606"/>
      <c r="B89" s="607"/>
      <c r="C89" s="599">
        <f t="shared" ref="C89:C152" si="16">IF(B89="",1,(LOOKUP(B89,$3:$3,$4:$4)-LOOKUP($B$24,$3:$3,$4:$4)+100)/100)</f>
        <v>1</v>
      </c>
      <c r="D89" s="608"/>
      <c r="E89" s="599">
        <f t="shared" ref="E89:E152" si="17">(SUMIF($5:$5,D89,$6:$6)-SUMIF($5:$5,$D$24,$6:$6)+100)/100</f>
        <v>1</v>
      </c>
      <c r="F89" s="608"/>
      <c r="G89" s="599">
        <f t="shared" ref="G89:G152" si="18">(SUMIF($7:$7,F89,$8:$8)-SUMIF($7:$7,$F$24,$8:$8)+100)/100</f>
        <v>1</v>
      </c>
      <c r="H89" s="608"/>
      <c r="I89" s="599">
        <f t="shared" ref="I89:I152" si="19">(SUMIF($9:$9,H89,$10:$10)-SUMIF($9:$9,$H$24,$10:$10)+100)/100</f>
        <v>1</v>
      </c>
      <c r="J89" s="608"/>
      <c r="K89" s="599">
        <f t="shared" ref="K89:K152" si="20">(SUMIF($11:$11,J89,$12:$12)-SUMIF($11:$11,$J$24,$12:$12)+100)/100</f>
        <v>1</v>
      </c>
      <c r="L89" s="608"/>
      <c r="M89" s="599">
        <f t="shared" ref="M89:M152" si="21">(SUMIF($13:$13,L89,$14:$14)-SUMIF($13:$13,$L$24,$14:$14)+100)/100</f>
        <v>1</v>
      </c>
      <c r="N89" s="608"/>
      <c r="O89" s="599">
        <f t="shared" ref="O89:O152" si="22">(SUMIF($15:$15,N89,$16:$16)-SUMIF($15:$15,$N$24,$16:$16)+100)/100</f>
        <v>1</v>
      </c>
      <c r="P89" s="608"/>
      <c r="Q89" s="599">
        <f t="shared" ref="Q89:Q152" si="23">(SUMIF($17:$17,P89,$18:$18)-SUMIF($17:$17,$P$24,$18:$18)+100)/100</f>
        <v>1</v>
      </c>
      <c r="R89" s="659">
        <f t="shared" ref="R89:R152" si="24">IF(B89="",0,ROUND($R$24*C89*E89*G89*I89*K89*M89*O89*Q89,0))</f>
        <v>0</v>
      </c>
      <c r="S89" s="598">
        <f t="shared" si="15"/>
        <v>0</v>
      </c>
    </row>
    <row r="90" spans="1:19">
      <c r="A90" s="606"/>
      <c r="B90" s="607"/>
      <c r="C90" s="599">
        <f t="shared" si="16"/>
        <v>1</v>
      </c>
      <c r="D90" s="608"/>
      <c r="E90" s="599">
        <f t="shared" si="17"/>
        <v>1</v>
      </c>
      <c r="F90" s="608"/>
      <c r="G90" s="599">
        <f t="shared" si="18"/>
        <v>1</v>
      </c>
      <c r="H90" s="608"/>
      <c r="I90" s="599">
        <f t="shared" si="19"/>
        <v>1</v>
      </c>
      <c r="J90" s="608"/>
      <c r="K90" s="599">
        <f t="shared" si="20"/>
        <v>1</v>
      </c>
      <c r="L90" s="608"/>
      <c r="M90" s="599">
        <f t="shared" si="21"/>
        <v>1</v>
      </c>
      <c r="N90" s="608"/>
      <c r="O90" s="599">
        <f t="shared" si="22"/>
        <v>1</v>
      </c>
      <c r="P90" s="608"/>
      <c r="Q90" s="599">
        <f t="shared" si="23"/>
        <v>1</v>
      </c>
      <c r="R90" s="659">
        <f t="shared" si="24"/>
        <v>0</v>
      </c>
      <c r="S90" s="598">
        <f t="shared" si="15"/>
        <v>0</v>
      </c>
    </row>
    <row r="91" spans="1:19">
      <c r="A91" s="606"/>
      <c r="B91" s="607"/>
      <c r="C91" s="599">
        <f t="shared" si="16"/>
        <v>1</v>
      </c>
      <c r="D91" s="608"/>
      <c r="E91" s="599">
        <f t="shared" si="17"/>
        <v>1</v>
      </c>
      <c r="F91" s="608"/>
      <c r="G91" s="599">
        <f t="shared" si="18"/>
        <v>1</v>
      </c>
      <c r="H91" s="608"/>
      <c r="I91" s="599">
        <f t="shared" si="19"/>
        <v>1</v>
      </c>
      <c r="J91" s="608"/>
      <c r="K91" s="599">
        <f t="shared" si="20"/>
        <v>1</v>
      </c>
      <c r="L91" s="608"/>
      <c r="M91" s="599">
        <f t="shared" si="21"/>
        <v>1</v>
      </c>
      <c r="N91" s="608"/>
      <c r="O91" s="599">
        <f t="shared" si="22"/>
        <v>1</v>
      </c>
      <c r="P91" s="608"/>
      <c r="Q91" s="599">
        <f t="shared" si="23"/>
        <v>1</v>
      </c>
      <c r="R91" s="659">
        <f t="shared" si="24"/>
        <v>0</v>
      </c>
      <c r="S91" s="598">
        <f t="shared" si="15"/>
        <v>0</v>
      </c>
    </row>
    <row r="92" spans="1:19">
      <c r="A92" s="606"/>
      <c r="B92" s="607"/>
      <c r="C92" s="599">
        <f t="shared" si="16"/>
        <v>1</v>
      </c>
      <c r="D92" s="608"/>
      <c r="E92" s="599">
        <f t="shared" si="17"/>
        <v>1</v>
      </c>
      <c r="F92" s="608"/>
      <c r="G92" s="599">
        <f t="shared" si="18"/>
        <v>1</v>
      </c>
      <c r="H92" s="608"/>
      <c r="I92" s="599">
        <f t="shared" si="19"/>
        <v>1</v>
      </c>
      <c r="J92" s="608"/>
      <c r="K92" s="599">
        <f t="shared" si="20"/>
        <v>1</v>
      </c>
      <c r="L92" s="608"/>
      <c r="M92" s="599">
        <f t="shared" si="21"/>
        <v>1</v>
      </c>
      <c r="N92" s="608"/>
      <c r="O92" s="599">
        <f t="shared" si="22"/>
        <v>1</v>
      </c>
      <c r="P92" s="608"/>
      <c r="Q92" s="599">
        <f t="shared" si="23"/>
        <v>1</v>
      </c>
      <c r="R92" s="659">
        <f t="shared" si="24"/>
        <v>0</v>
      </c>
      <c r="S92" s="598">
        <f t="shared" si="15"/>
        <v>0</v>
      </c>
    </row>
    <row r="93" spans="1:19">
      <c r="A93" s="606"/>
      <c r="B93" s="607"/>
      <c r="C93" s="599">
        <f t="shared" si="16"/>
        <v>1</v>
      </c>
      <c r="D93" s="608"/>
      <c r="E93" s="599">
        <f t="shared" si="17"/>
        <v>1</v>
      </c>
      <c r="F93" s="608"/>
      <c r="G93" s="599">
        <f t="shared" si="18"/>
        <v>1</v>
      </c>
      <c r="H93" s="608"/>
      <c r="I93" s="599">
        <f t="shared" si="19"/>
        <v>1</v>
      </c>
      <c r="J93" s="608"/>
      <c r="K93" s="599">
        <f t="shared" si="20"/>
        <v>1</v>
      </c>
      <c r="L93" s="608"/>
      <c r="M93" s="599">
        <f t="shared" si="21"/>
        <v>1</v>
      </c>
      <c r="N93" s="608"/>
      <c r="O93" s="599">
        <f t="shared" si="22"/>
        <v>1</v>
      </c>
      <c r="P93" s="608"/>
      <c r="Q93" s="599">
        <f t="shared" si="23"/>
        <v>1</v>
      </c>
      <c r="R93" s="659">
        <f t="shared" si="24"/>
        <v>0</v>
      </c>
      <c r="S93" s="598">
        <f t="shared" si="15"/>
        <v>0</v>
      </c>
    </row>
    <row r="94" spans="1:19">
      <c r="A94" s="606"/>
      <c r="B94" s="607"/>
      <c r="C94" s="599">
        <f t="shared" si="16"/>
        <v>1</v>
      </c>
      <c r="D94" s="608"/>
      <c r="E94" s="599">
        <f t="shared" si="17"/>
        <v>1</v>
      </c>
      <c r="F94" s="608"/>
      <c r="G94" s="599">
        <f t="shared" si="18"/>
        <v>1</v>
      </c>
      <c r="H94" s="608"/>
      <c r="I94" s="599">
        <f t="shared" si="19"/>
        <v>1</v>
      </c>
      <c r="J94" s="608"/>
      <c r="K94" s="599">
        <f t="shared" si="20"/>
        <v>1</v>
      </c>
      <c r="L94" s="608"/>
      <c r="M94" s="599">
        <f t="shared" si="21"/>
        <v>1</v>
      </c>
      <c r="N94" s="608"/>
      <c r="O94" s="599">
        <f t="shared" si="22"/>
        <v>1</v>
      </c>
      <c r="P94" s="608"/>
      <c r="Q94" s="599">
        <f t="shared" si="23"/>
        <v>1</v>
      </c>
      <c r="R94" s="659">
        <f t="shared" si="24"/>
        <v>0</v>
      </c>
      <c r="S94" s="598">
        <f t="shared" si="15"/>
        <v>0</v>
      </c>
    </row>
    <row r="95" spans="1:19">
      <c r="A95" s="606"/>
      <c r="B95" s="607"/>
      <c r="C95" s="599">
        <f t="shared" si="16"/>
        <v>1</v>
      </c>
      <c r="D95" s="608"/>
      <c r="E95" s="599">
        <f t="shared" si="17"/>
        <v>1</v>
      </c>
      <c r="F95" s="608"/>
      <c r="G95" s="599">
        <f t="shared" si="18"/>
        <v>1</v>
      </c>
      <c r="H95" s="608"/>
      <c r="I95" s="599">
        <f t="shared" si="19"/>
        <v>1</v>
      </c>
      <c r="J95" s="608"/>
      <c r="K95" s="599">
        <f t="shared" si="20"/>
        <v>1</v>
      </c>
      <c r="L95" s="608"/>
      <c r="M95" s="599">
        <f t="shared" si="21"/>
        <v>1</v>
      </c>
      <c r="N95" s="608"/>
      <c r="O95" s="599">
        <f t="shared" si="22"/>
        <v>1</v>
      </c>
      <c r="P95" s="608"/>
      <c r="Q95" s="599">
        <f t="shared" si="23"/>
        <v>1</v>
      </c>
      <c r="R95" s="659">
        <f t="shared" si="24"/>
        <v>0</v>
      </c>
      <c r="S95" s="598">
        <f t="shared" si="15"/>
        <v>0</v>
      </c>
    </row>
    <row r="96" spans="1:19">
      <c r="A96" s="606"/>
      <c r="B96" s="607"/>
      <c r="C96" s="599">
        <f t="shared" si="16"/>
        <v>1</v>
      </c>
      <c r="D96" s="608"/>
      <c r="E96" s="599">
        <f t="shared" si="17"/>
        <v>1</v>
      </c>
      <c r="F96" s="608"/>
      <c r="G96" s="599">
        <f t="shared" si="18"/>
        <v>1</v>
      </c>
      <c r="H96" s="608"/>
      <c r="I96" s="599">
        <f t="shared" si="19"/>
        <v>1</v>
      </c>
      <c r="J96" s="608"/>
      <c r="K96" s="599">
        <f t="shared" si="20"/>
        <v>1</v>
      </c>
      <c r="L96" s="608"/>
      <c r="M96" s="599">
        <f t="shared" si="21"/>
        <v>1</v>
      </c>
      <c r="N96" s="608"/>
      <c r="O96" s="599">
        <f t="shared" si="22"/>
        <v>1</v>
      </c>
      <c r="P96" s="608"/>
      <c r="Q96" s="599">
        <f t="shared" si="23"/>
        <v>1</v>
      </c>
      <c r="R96" s="659">
        <f t="shared" si="24"/>
        <v>0</v>
      </c>
      <c r="S96" s="598">
        <f t="shared" si="15"/>
        <v>0</v>
      </c>
    </row>
    <row r="97" spans="1:19">
      <c r="A97" s="606"/>
      <c r="B97" s="607"/>
      <c r="C97" s="599">
        <f t="shared" si="16"/>
        <v>1</v>
      </c>
      <c r="D97" s="608"/>
      <c r="E97" s="599">
        <f t="shared" si="17"/>
        <v>1</v>
      </c>
      <c r="F97" s="608"/>
      <c r="G97" s="599">
        <f t="shared" si="18"/>
        <v>1</v>
      </c>
      <c r="H97" s="608"/>
      <c r="I97" s="599">
        <f t="shared" si="19"/>
        <v>1</v>
      </c>
      <c r="J97" s="608"/>
      <c r="K97" s="599">
        <f t="shared" si="20"/>
        <v>1</v>
      </c>
      <c r="L97" s="608"/>
      <c r="M97" s="599">
        <f t="shared" si="21"/>
        <v>1</v>
      </c>
      <c r="N97" s="608"/>
      <c r="O97" s="599">
        <f t="shared" si="22"/>
        <v>1</v>
      </c>
      <c r="P97" s="608"/>
      <c r="Q97" s="599">
        <f t="shared" si="23"/>
        <v>1</v>
      </c>
      <c r="R97" s="659">
        <f t="shared" si="24"/>
        <v>0</v>
      </c>
      <c r="S97" s="598">
        <f t="shared" si="15"/>
        <v>0</v>
      </c>
    </row>
    <row r="98" spans="1:19">
      <c r="A98" s="606"/>
      <c r="B98" s="607"/>
      <c r="C98" s="599">
        <f t="shared" si="16"/>
        <v>1</v>
      </c>
      <c r="D98" s="608"/>
      <c r="E98" s="599">
        <f t="shared" si="17"/>
        <v>1</v>
      </c>
      <c r="F98" s="608"/>
      <c r="G98" s="599">
        <f t="shared" si="18"/>
        <v>1</v>
      </c>
      <c r="H98" s="608"/>
      <c r="I98" s="599">
        <f t="shared" si="19"/>
        <v>1</v>
      </c>
      <c r="J98" s="608"/>
      <c r="K98" s="599">
        <f t="shared" si="20"/>
        <v>1</v>
      </c>
      <c r="L98" s="608"/>
      <c r="M98" s="599">
        <f t="shared" si="21"/>
        <v>1</v>
      </c>
      <c r="N98" s="608"/>
      <c r="O98" s="599">
        <f t="shared" si="22"/>
        <v>1</v>
      </c>
      <c r="P98" s="608"/>
      <c r="Q98" s="599">
        <f t="shared" si="23"/>
        <v>1</v>
      </c>
      <c r="R98" s="659">
        <f t="shared" si="24"/>
        <v>0</v>
      </c>
      <c r="S98" s="598">
        <f t="shared" si="15"/>
        <v>0</v>
      </c>
    </row>
    <row r="99" spans="1:19">
      <c r="A99" s="606"/>
      <c r="B99" s="607"/>
      <c r="C99" s="599">
        <f t="shared" si="16"/>
        <v>1</v>
      </c>
      <c r="D99" s="608"/>
      <c r="E99" s="599">
        <f t="shared" si="17"/>
        <v>1</v>
      </c>
      <c r="F99" s="608"/>
      <c r="G99" s="599">
        <f t="shared" si="18"/>
        <v>1</v>
      </c>
      <c r="H99" s="608"/>
      <c r="I99" s="599">
        <f t="shared" si="19"/>
        <v>1</v>
      </c>
      <c r="J99" s="608"/>
      <c r="K99" s="599">
        <f t="shared" si="20"/>
        <v>1</v>
      </c>
      <c r="L99" s="608"/>
      <c r="M99" s="599">
        <f t="shared" si="21"/>
        <v>1</v>
      </c>
      <c r="N99" s="608"/>
      <c r="O99" s="599">
        <f t="shared" si="22"/>
        <v>1</v>
      </c>
      <c r="P99" s="608"/>
      <c r="Q99" s="599">
        <f t="shared" si="23"/>
        <v>1</v>
      </c>
      <c r="R99" s="659">
        <f t="shared" si="24"/>
        <v>0</v>
      </c>
      <c r="S99" s="598">
        <f t="shared" si="15"/>
        <v>0</v>
      </c>
    </row>
    <row r="100" spans="1:19">
      <c r="A100" s="606"/>
      <c r="B100" s="607"/>
      <c r="C100" s="599">
        <f t="shared" si="16"/>
        <v>1</v>
      </c>
      <c r="D100" s="608"/>
      <c r="E100" s="599">
        <f t="shared" si="17"/>
        <v>1</v>
      </c>
      <c r="F100" s="608"/>
      <c r="G100" s="599">
        <f t="shared" si="18"/>
        <v>1</v>
      </c>
      <c r="H100" s="608"/>
      <c r="I100" s="599">
        <f t="shared" si="19"/>
        <v>1</v>
      </c>
      <c r="J100" s="608"/>
      <c r="K100" s="599">
        <f t="shared" si="20"/>
        <v>1</v>
      </c>
      <c r="L100" s="608"/>
      <c r="M100" s="599">
        <f t="shared" si="21"/>
        <v>1</v>
      </c>
      <c r="N100" s="608"/>
      <c r="O100" s="599">
        <f t="shared" si="22"/>
        <v>1</v>
      </c>
      <c r="P100" s="608"/>
      <c r="Q100" s="599">
        <f t="shared" si="23"/>
        <v>1</v>
      </c>
      <c r="R100" s="659">
        <f t="shared" si="24"/>
        <v>0</v>
      </c>
      <c r="S100" s="598">
        <f t="shared" si="15"/>
        <v>0</v>
      </c>
    </row>
    <row r="101" spans="1:19">
      <c r="A101" s="606"/>
      <c r="B101" s="607"/>
      <c r="C101" s="599">
        <f t="shared" si="16"/>
        <v>1</v>
      </c>
      <c r="D101" s="608"/>
      <c r="E101" s="599">
        <f t="shared" si="17"/>
        <v>1</v>
      </c>
      <c r="F101" s="608"/>
      <c r="G101" s="599">
        <f t="shared" si="18"/>
        <v>1</v>
      </c>
      <c r="H101" s="608"/>
      <c r="I101" s="599">
        <f t="shared" si="19"/>
        <v>1</v>
      </c>
      <c r="J101" s="608"/>
      <c r="K101" s="599">
        <f t="shared" si="20"/>
        <v>1</v>
      </c>
      <c r="L101" s="608"/>
      <c r="M101" s="599">
        <f t="shared" si="21"/>
        <v>1</v>
      </c>
      <c r="N101" s="608"/>
      <c r="O101" s="599">
        <f t="shared" si="22"/>
        <v>1</v>
      </c>
      <c r="P101" s="608"/>
      <c r="Q101" s="599">
        <f t="shared" si="23"/>
        <v>1</v>
      </c>
      <c r="R101" s="659">
        <f t="shared" si="24"/>
        <v>0</v>
      </c>
      <c r="S101" s="598">
        <f t="shared" si="15"/>
        <v>0</v>
      </c>
    </row>
    <row r="102" spans="1:19">
      <c r="A102" s="606"/>
      <c r="B102" s="607"/>
      <c r="C102" s="599">
        <f t="shared" si="16"/>
        <v>1</v>
      </c>
      <c r="D102" s="608"/>
      <c r="E102" s="599">
        <f t="shared" si="17"/>
        <v>1</v>
      </c>
      <c r="F102" s="608"/>
      <c r="G102" s="599">
        <f t="shared" si="18"/>
        <v>1</v>
      </c>
      <c r="H102" s="608"/>
      <c r="I102" s="599">
        <f t="shared" si="19"/>
        <v>1</v>
      </c>
      <c r="J102" s="608"/>
      <c r="K102" s="599">
        <f t="shared" si="20"/>
        <v>1</v>
      </c>
      <c r="L102" s="608"/>
      <c r="M102" s="599">
        <f t="shared" si="21"/>
        <v>1</v>
      </c>
      <c r="N102" s="608"/>
      <c r="O102" s="599">
        <f t="shared" si="22"/>
        <v>1</v>
      </c>
      <c r="P102" s="608"/>
      <c r="Q102" s="599">
        <f t="shared" si="23"/>
        <v>1</v>
      </c>
      <c r="R102" s="659">
        <f t="shared" si="24"/>
        <v>0</v>
      </c>
      <c r="S102" s="598">
        <f t="shared" si="15"/>
        <v>0</v>
      </c>
    </row>
    <row r="103" spans="1:19">
      <c r="A103" s="606"/>
      <c r="B103" s="607"/>
      <c r="C103" s="599">
        <f t="shared" si="16"/>
        <v>1</v>
      </c>
      <c r="D103" s="608"/>
      <c r="E103" s="599">
        <f t="shared" si="17"/>
        <v>1</v>
      </c>
      <c r="F103" s="608"/>
      <c r="G103" s="599">
        <f t="shared" si="18"/>
        <v>1</v>
      </c>
      <c r="H103" s="608"/>
      <c r="I103" s="599">
        <f t="shared" si="19"/>
        <v>1</v>
      </c>
      <c r="J103" s="608"/>
      <c r="K103" s="599">
        <f t="shared" si="20"/>
        <v>1</v>
      </c>
      <c r="L103" s="608"/>
      <c r="M103" s="599">
        <f t="shared" si="21"/>
        <v>1</v>
      </c>
      <c r="N103" s="608"/>
      <c r="O103" s="599">
        <f t="shared" si="22"/>
        <v>1</v>
      </c>
      <c r="P103" s="608"/>
      <c r="Q103" s="599">
        <f t="shared" si="23"/>
        <v>1</v>
      </c>
      <c r="R103" s="659">
        <f t="shared" si="24"/>
        <v>0</v>
      </c>
      <c r="S103" s="598">
        <f t="shared" si="15"/>
        <v>0</v>
      </c>
    </row>
    <row r="104" spans="1:19">
      <c r="A104" s="606"/>
      <c r="B104" s="607"/>
      <c r="C104" s="599">
        <f t="shared" si="16"/>
        <v>1</v>
      </c>
      <c r="D104" s="608"/>
      <c r="E104" s="599">
        <f t="shared" si="17"/>
        <v>1</v>
      </c>
      <c r="F104" s="608"/>
      <c r="G104" s="599">
        <f t="shared" si="18"/>
        <v>1</v>
      </c>
      <c r="H104" s="608"/>
      <c r="I104" s="599">
        <f t="shared" si="19"/>
        <v>1</v>
      </c>
      <c r="J104" s="608"/>
      <c r="K104" s="599">
        <f t="shared" si="20"/>
        <v>1</v>
      </c>
      <c r="L104" s="608"/>
      <c r="M104" s="599">
        <f t="shared" si="21"/>
        <v>1</v>
      </c>
      <c r="N104" s="608"/>
      <c r="O104" s="599">
        <f t="shared" si="22"/>
        <v>1</v>
      </c>
      <c r="P104" s="608"/>
      <c r="Q104" s="599">
        <f t="shared" si="23"/>
        <v>1</v>
      </c>
      <c r="R104" s="659">
        <f t="shared" si="24"/>
        <v>0</v>
      </c>
      <c r="S104" s="598">
        <f t="shared" si="15"/>
        <v>0</v>
      </c>
    </row>
    <row r="105" spans="1:19">
      <c r="A105" s="606"/>
      <c r="B105" s="607"/>
      <c r="C105" s="599">
        <f t="shared" si="16"/>
        <v>1</v>
      </c>
      <c r="D105" s="608"/>
      <c r="E105" s="599">
        <f t="shared" si="17"/>
        <v>1</v>
      </c>
      <c r="F105" s="608"/>
      <c r="G105" s="599">
        <f t="shared" si="18"/>
        <v>1</v>
      </c>
      <c r="H105" s="608"/>
      <c r="I105" s="599">
        <f t="shared" si="19"/>
        <v>1</v>
      </c>
      <c r="J105" s="608"/>
      <c r="K105" s="599">
        <f t="shared" si="20"/>
        <v>1</v>
      </c>
      <c r="L105" s="608"/>
      <c r="M105" s="599">
        <f t="shared" si="21"/>
        <v>1</v>
      </c>
      <c r="N105" s="608"/>
      <c r="O105" s="599">
        <f t="shared" si="22"/>
        <v>1</v>
      </c>
      <c r="P105" s="608"/>
      <c r="Q105" s="599">
        <f t="shared" si="23"/>
        <v>1</v>
      </c>
      <c r="R105" s="659">
        <f t="shared" si="24"/>
        <v>0</v>
      </c>
      <c r="S105" s="598">
        <f t="shared" si="15"/>
        <v>0</v>
      </c>
    </row>
    <row r="106" spans="1:19">
      <c r="A106" s="606"/>
      <c r="B106" s="607"/>
      <c r="C106" s="599">
        <f t="shared" si="16"/>
        <v>1</v>
      </c>
      <c r="D106" s="608"/>
      <c r="E106" s="599">
        <f t="shared" si="17"/>
        <v>1</v>
      </c>
      <c r="F106" s="608"/>
      <c r="G106" s="599">
        <f t="shared" si="18"/>
        <v>1</v>
      </c>
      <c r="H106" s="608"/>
      <c r="I106" s="599">
        <f t="shared" si="19"/>
        <v>1</v>
      </c>
      <c r="J106" s="608"/>
      <c r="K106" s="599">
        <f t="shared" si="20"/>
        <v>1</v>
      </c>
      <c r="L106" s="608"/>
      <c r="M106" s="599">
        <f t="shared" si="21"/>
        <v>1</v>
      </c>
      <c r="N106" s="608"/>
      <c r="O106" s="599">
        <f t="shared" si="22"/>
        <v>1</v>
      </c>
      <c r="P106" s="608"/>
      <c r="Q106" s="599">
        <f t="shared" si="23"/>
        <v>1</v>
      </c>
      <c r="R106" s="659">
        <f t="shared" si="24"/>
        <v>0</v>
      </c>
      <c r="S106" s="598">
        <f t="shared" si="15"/>
        <v>0</v>
      </c>
    </row>
    <row r="107" spans="1:19">
      <c r="A107" s="606"/>
      <c r="B107" s="607"/>
      <c r="C107" s="599">
        <f t="shared" si="16"/>
        <v>1</v>
      </c>
      <c r="D107" s="608"/>
      <c r="E107" s="599">
        <f t="shared" si="17"/>
        <v>1</v>
      </c>
      <c r="F107" s="608"/>
      <c r="G107" s="599">
        <f t="shared" si="18"/>
        <v>1</v>
      </c>
      <c r="H107" s="608"/>
      <c r="I107" s="599">
        <f t="shared" si="19"/>
        <v>1</v>
      </c>
      <c r="J107" s="608"/>
      <c r="K107" s="599">
        <f t="shared" si="20"/>
        <v>1</v>
      </c>
      <c r="L107" s="608"/>
      <c r="M107" s="599">
        <f t="shared" si="21"/>
        <v>1</v>
      </c>
      <c r="N107" s="608"/>
      <c r="O107" s="599">
        <f t="shared" si="22"/>
        <v>1</v>
      </c>
      <c r="P107" s="608"/>
      <c r="Q107" s="599">
        <f t="shared" si="23"/>
        <v>1</v>
      </c>
      <c r="R107" s="659">
        <f t="shared" si="24"/>
        <v>0</v>
      </c>
      <c r="S107" s="598">
        <f t="shared" si="15"/>
        <v>0</v>
      </c>
    </row>
    <row r="108" spans="1:19">
      <c r="A108" s="606"/>
      <c r="B108" s="607"/>
      <c r="C108" s="599">
        <f t="shared" si="16"/>
        <v>1</v>
      </c>
      <c r="D108" s="608"/>
      <c r="E108" s="599">
        <f t="shared" si="17"/>
        <v>1</v>
      </c>
      <c r="F108" s="608"/>
      <c r="G108" s="599">
        <f t="shared" si="18"/>
        <v>1</v>
      </c>
      <c r="H108" s="608"/>
      <c r="I108" s="599">
        <f t="shared" si="19"/>
        <v>1</v>
      </c>
      <c r="J108" s="608"/>
      <c r="K108" s="599">
        <f t="shared" si="20"/>
        <v>1</v>
      </c>
      <c r="L108" s="608"/>
      <c r="M108" s="599">
        <f t="shared" si="21"/>
        <v>1</v>
      </c>
      <c r="N108" s="608"/>
      <c r="O108" s="599">
        <f t="shared" si="22"/>
        <v>1</v>
      </c>
      <c r="P108" s="608"/>
      <c r="Q108" s="599">
        <f t="shared" si="23"/>
        <v>1</v>
      </c>
      <c r="R108" s="659">
        <f t="shared" si="24"/>
        <v>0</v>
      </c>
      <c r="S108" s="598">
        <f t="shared" si="15"/>
        <v>0</v>
      </c>
    </row>
    <row r="109" spans="1:19">
      <c r="A109" s="606"/>
      <c r="B109" s="607"/>
      <c r="C109" s="599">
        <f t="shared" si="16"/>
        <v>1</v>
      </c>
      <c r="D109" s="608"/>
      <c r="E109" s="599">
        <f t="shared" si="17"/>
        <v>1</v>
      </c>
      <c r="F109" s="608"/>
      <c r="G109" s="599">
        <f t="shared" si="18"/>
        <v>1</v>
      </c>
      <c r="H109" s="608"/>
      <c r="I109" s="599">
        <f t="shared" si="19"/>
        <v>1</v>
      </c>
      <c r="J109" s="608"/>
      <c r="K109" s="599">
        <f t="shared" si="20"/>
        <v>1</v>
      </c>
      <c r="L109" s="608"/>
      <c r="M109" s="599">
        <f t="shared" si="21"/>
        <v>1</v>
      </c>
      <c r="N109" s="608"/>
      <c r="O109" s="599">
        <f t="shared" si="22"/>
        <v>1</v>
      </c>
      <c r="P109" s="608"/>
      <c r="Q109" s="599">
        <f t="shared" si="23"/>
        <v>1</v>
      </c>
      <c r="R109" s="659">
        <f t="shared" si="24"/>
        <v>0</v>
      </c>
      <c r="S109" s="598">
        <f t="shared" si="15"/>
        <v>0</v>
      </c>
    </row>
    <row r="110" spans="1:19">
      <c r="A110" s="606"/>
      <c r="B110" s="607"/>
      <c r="C110" s="599">
        <f t="shared" si="16"/>
        <v>1</v>
      </c>
      <c r="D110" s="608"/>
      <c r="E110" s="599">
        <f t="shared" si="17"/>
        <v>1</v>
      </c>
      <c r="F110" s="608"/>
      <c r="G110" s="599">
        <f t="shared" si="18"/>
        <v>1</v>
      </c>
      <c r="H110" s="608"/>
      <c r="I110" s="599">
        <f t="shared" si="19"/>
        <v>1</v>
      </c>
      <c r="J110" s="608"/>
      <c r="K110" s="599">
        <f t="shared" si="20"/>
        <v>1</v>
      </c>
      <c r="L110" s="608"/>
      <c r="M110" s="599">
        <f t="shared" si="21"/>
        <v>1</v>
      </c>
      <c r="N110" s="608"/>
      <c r="O110" s="599">
        <f t="shared" si="22"/>
        <v>1</v>
      </c>
      <c r="P110" s="608"/>
      <c r="Q110" s="599">
        <f t="shared" si="23"/>
        <v>1</v>
      </c>
      <c r="R110" s="659">
        <f t="shared" si="24"/>
        <v>0</v>
      </c>
      <c r="S110" s="598">
        <f t="shared" si="15"/>
        <v>0</v>
      </c>
    </row>
    <row r="111" spans="1:19">
      <c r="A111" s="606"/>
      <c r="B111" s="607"/>
      <c r="C111" s="599">
        <f t="shared" si="16"/>
        <v>1</v>
      </c>
      <c r="D111" s="608"/>
      <c r="E111" s="599">
        <f t="shared" si="17"/>
        <v>1</v>
      </c>
      <c r="F111" s="608"/>
      <c r="G111" s="599">
        <f t="shared" si="18"/>
        <v>1</v>
      </c>
      <c r="H111" s="608"/>
      <c r="I111" s="599">
        <f t="shared" si="19"/>
        <v>1</v>
      </c>
      <c r="J111" s="608"/>
      <c r="K111" s="599">
        <f t="shared" si="20"/>
        <v>1</v>
      </c>
      <c r="L111" s="608"/>
      <c r="M111" s="599">
        <f t="shared" si="21"/>
        <v>1</v>
      </c>
      <c r="N111" s="608"/>
      <c r="O111" s="599">
        <f t="shared" si="22"/>
        <v>1</v>
      </c>
      <c r="P111" s="608"/>
      <c r="Q111" s="599">
        <f t="shared" si="23"/>
        <v>1</v>
      </c>
      <c r="R111" s="659">
        <f t="shared" si="24"/>
        <v>0</v>
      </c>
      <c r="S111" s="598">
        <f t="shared" si="15"/>
        <v>0</v>
      </c>
    </row>
    <row r="112" spans="1:19">
      <c r="A112" s="606"/>
      <c r="B112" s="607"/>
      <c r="C112" s="599">
        <f t="shared" si="16"/>
        <v>1</v>
      </c>
      <c r="D112" s="608"/>
      <c r="E112" s="599">
        <f t="shared" si="17"/>
        <v>1</v>
      </c>
      <c r="F112" s="608"/>
      <c r="G112" s="599">
        <f t="shared" si="18"/>
        <v>1</v>
      </c>
      <c r="H112" s="608"/>
      <c r="I112" s="599">
        <f t="shared" si="19"/>
        <v>1</v>
      </c>
      <c r="J112" s="608"/>
      <c r="K112" s="599">
        <f t="shared" si="20"/>
        <v>1</v>
      </c>
      <c r="L112" s="608"/>
      <c r="M112" s="599">
        <f t="shared" si="21"/>
        <v>1</v>
      </c>
      <c r="N112" s="608"/>
      <c r="O112" s="599">
        <f t="shared" si="22"/>
        <v>1</v>
      </c>
      <c r="P112" s="608"/>
      <c r="Q112" s="599">
        <f t="shared" si="23"/>
        <v>1</v>
      </c>
      <c r="R112" s="659">
        <f t="shared" si="24"/>
        <v>0</v>
      </c>
      <c r="S112" s="598">
        <f t="shared" si="15"/>
        <v>0</v>
      </c>
    </row>
    <row r="113" spans="1:19">
      <c r="A113" s="606"/>
      <c r="B113" s="607"/>
      <c r="C113" s="599">
        <f t="shared" si="16"/>
        <v>1</v>
      </c>
      <c r="D113" s="608"/>
      <c r="E113" s="599">
        <f t="shared" si="17"/>
        <v>1</v>
      </c>
      <c r="F113" s="608"/>
      <c r="G113" s="599">
        <f t="shared" si="18"/>
        <v>1</v>
      </c>
      <c r="H113" s="608"/>
      <c r="I113" s="599">
        <f t="shared" si="19"/>
        <v>1</v>
      </c>
      <c r="J113" s="608"/>
      <c r="K113" s="599">
        <f t="shared" si="20"/>
        <v>1</v>
      </c>
      <c r="L113" s="608"/>
      <c r="M113" s="599">
        <f t="shared" si="21"/>
        <v>1</v>
      </c>
      <c r="N113" s="608"/>
      <c r="O113" s="599">
        <f t="shared" si="22"/>
        <v>1</v>
      </c>
      <c r="P113" s="608"/>
      <c r="Q113" s="599">
        <f t="shared" si="23"/>
        <v>1</v>
      </c>
      <c r="R113" s="659">
        <f t="shared" si="24"/>
        <v>0</v>
      </c>
      <c r="S113" s="598">
        <f t="shared" si="15"/>
        <v>0</v>
      </c>
    </row>
    <row r="114" spans="1:19">
      <c r="A114" s="606"/>
      <c r="B114" s="607"/>
      <c r="C114" s="599">
        <f t="shared" si="16"/>
        <v>1</v>
      </c>
      <c r="D114" s="608"/>
      <c r="E114" s="599">
        <f t="shared" si="17"/>
        <v>1</v>
      </c>
      <c r="F114" s="608"/>
      <c r="G114" s="599">
        <f t="shared" si="18"/>
        <v>1</v>
      </c>
      <c r="H114" s="608"/>
      <c r="I114" s="599">
        <f t="shared" si="19"/>
        <v>1</v>
      </c>
      <c r="J114" s="608"/>
      <c r="K114" s="599">
        <f t="shared" si="20"/>
        <v>1</v>
      </c>
      <c r="L114" s="608"/>
      <c r="M114" s="599">
        <f t="shared" si="21"/>
        <v>1</v>
      </c>
      <c r="N114" s="608"/>
      <c r="O114" s="599">
        <f t="shared" si="22"/>
        <v>1</v>
      </c>
      <c r="P114" s="608"/>
      <c r="Q114" s="599">
        <f t="shared" si="23"/>
        <v>1</v>
      </c>
      <c r="R114" s="659">
        <f t="shared" si="24"/>
        <v>0</v>
      </c>
      <c r="S114" s="598">
        <f t="shared" si="15"/>
        <v>0</v>
      </c>
    </row>
    <row r="115" spans="1:19">
      <c r="A115" s="606"/>
      <c r="B115" s="607"/>
      <c r="C115" s="599">
        <f t="shared" si="16"/>
        <v>1</v>
      </c>
      <c r="D115" s="608"/>
      <c r="E115" s="599">
        <f t="shared" si="17"/>
        <v>1</v>
      </c>
      <c r="F115" s="608"/>
      <c r="G115" s="599">
        <f t="shared" si="18"/>
        <v>1</v>
      </c>
      <c r="H115" s="608"/>
      <c r="I115" s="599">
        <f t="shared" si="19"/>
        <v>1</v>
      </c>
      <c r="J115" s="608"/>
      <c r="K115" s="599">
        <f t="shared" si="20"/>
        <v>1</v>
      </c>
      <c r="L115" s="608"/>
      <c r="M115" s="599">
        <f t="shared" si="21"/>
        <v>1</v>
      </c>
      <c r="N115" s="608"/>
      <c r="O115" s="599">
        <f t="shared" si="22"/>
        <v>1</v>
      </c>
      <c r="P115" s="608"/>
      <c r="Q115" s="599">
        <f t="shared" si="23"/>
        <v>1</v>
      </c>
      <c r="R115" s="659">
        <f t="shared" si="24"/>
        <v>0</v>
      </c>
      <c r="S115" s="598">
        <f t="shared" si="15"/>
        <v>0</v>
      </c>
    </row>
    <row r="116" spans="1:19">
      <c r="A116" s="606"/>
      <c r="B116" s="607"/>
      <c r="C116" s="599">
        <f t="shared" si="16"/>
        <v>1</v>
      </c>
      <c r="D116" s="608"/>
      <c r="E116" s="599">
        <f t="shared" si="17"/>
        <v>1</v>
      </c>
      <c r="F116" s="608"/>
      <c r="G116" s="599">
        <f t="shared" si="18"/>
        <v>1</v>
      </c>
      <c r="H116" s="608"/>
      <c r="I116" s="599">
        <f t="shared" si="19"/>
        <v>1</v>
      </c>
      <c r="J116" s="608"/>
      <c r="K116" s="599">
        <f t="shared" si="20"/>
        <v>1</v>
      </c>
      <c r="L116" s="608"/>
      <c r="M116" s="599">
        <f t="shared" si="21"/>
        <v>1</v>
      </c>
      <c r="N116" s="608"/>
      <c r="O116" s="599">
        <f t="shared" si="22"/>
        <v>1</v>
      </c>
      <c r="P116" s="608"/>
      <c r="Q116" s="599">
        <f t="shared" si="23"/>
        <v>1</v>
      </c>
      <c r="R116" s="659">
        <f t="shared" si="24"/>
        <v>0</v>
      </c>
      <c r="S116" s="598">
        <f t="shared" si="15"/>
        <v>0</v>
      </c>
    </row>
    <row r="117" spans="1:19">
      <c r="A117" s="606"/>
      <c r="B117" s="607"/>
      <c r="C117" s="599">
        <f t="shared" si="16"/>
        <v>1</v>
      </c>
      <c r="D117" s="608"/>
      <c r="E117" s="599">
        <f t="shared" si="17"/>
        <v>1</v>
      </c>
      <c r="F117" s="608"/>
      <c r="G117" s="599">
        <f t="shared" si="18"/>
        <v>1</v>
      </c>
      <c r="H117" s="608"/>
      <c r="I117" s="599">
        <f t="shared" si="19"/>
        <v>1</v>
      </c>
      <c r="J117" s="608"/>
      <c r="K117" s="599">
        <f t="shared" si="20"/>
        <v>1</v>
      </c>
      <c r="L117" s="608"/>
      <c r="M117" s="599">
        <f t="shared" si="21"/>
        <v>1</v>
      </c>
      <c r="N117" s="608"/>
      <c r="O117" s="599">
        <f t="shared" si="22"/>
        <v>1</v>
      </c>
      <c r="P117" s="608"/>
      <c r="Q117" s="599">
        <f t="shared" si="23"/>
        <v>1</v>
      </c>
      <c r="R117" s="659">
        <f t="shared" si="24"/>
        <v>0</v>
      </c>
      <c r="S117" s="598">
        <f t="shared" si="15"/>
        <v>0</v>
      </c>
    </row>
    <row r="118" spans="1:19">
      <c r="A118" s="606"/>
      <c r="B118" s="607"/>
      <c r="C118" s="599">
        <f t="shared" si="16"/>
        <v>1</v>
      </c>
      <c r="D118" s="608"/>
      <c r="E118" s="599">
        <f t="shared" si="17"/>
        <v>1</v>
      </c>
      <c r="F118" s="608"/>
      <c r="G118" s="599">
        <f t="shared" si="18"/>
        <v>1</v>
      </c>
      <c r="H118" s="608"/>
      <c r="I118" s="599">
        <f t="shared" si="19"/>
        <v>1</v>
      </c>
      <c r="J118" s="608"/>
      <c r="K118" s="599">
        <f t="shared" si="20"/>
        <v>1</v>
      </c>
      <c r="L118" s="608"/>
      <c r="M118" s="599">
        <f t="shared" si="21"/>
        <v>1</v>
      </c>
      <c r="N118" s="608"/>
      <c r="O118" s="599">
        <f t="shared" si="22"/>
        <v>1</v>
      </c>
      <c r="P118" s="608"/>
      <c r="Q118" s="599">
        <f t="shared" si="23"/>
        <v>1</v>
      </c>
      <c r="R118" s="659">
        <f t="shared" si="24"/>
        <v>0</v>
      </c>
      <c r="S118" s="598">
        <f t="shared" si="15"/>
        <v>0</v>
      </c>
    </row>
    <row r="119" spans="1:19">
      <c r="A119" s="606"/>
      <c r="B119" s="607"/>
      <c r="C119" s="599">
        <f t="shared" si="16"/>
        <v>1</v>
      </c>
      <c r="D119" s="608"/>
      <c r="E119" s="599">
        <f t="shared" si="17"/>
        <v>1</v>
      </c>
      <c r="F119" s="608"/>
      <c r="G119" s="599">
        <f t="shared" si="18"/>
        <v>1</v>
      </c>
      <c r="H119" s="608"/>
      <c r="I119" s="599">
        <f t="shared" si="19"/>
        <v>1</v>
      </c>
      <c r="J119" s="608"/>
      <c r="K119" s="599">
        <f t="shared" si="20"/>
        <v>1</v>
      </c>
      <c r="L119" s="608"/>
      <c r="M119" s="599">
        <f t="shared" si="21"/>
        <v>1</v>
      </c>
      <c r="N119" s="608"/>
      <c r="O119" s="599">
        <f t="shared" si="22"/>
        <v>1</v>
      </c>
      <c r="P119" s="608"/>
      <c r="Q119" s="599">
        <f t="shared" si="23"/>
        <v>1</v>
      </c>
      <c r="R119" s="659">
        <f t="shared" si="24"/>
        <v>0</v>
      </c>
      <c r="S119" s="598">
        <f t="shared" si="15"/>
        <v>0</v>
      </c>
    </row>
    <row r="120" spans="1:19">
      <c r="A120" s="606"/>
      <c r="B120" s="607"/>
      <c r="C120" s="599">
        <f t="shared" si="16"/>
        <v>1</v>
      </c>
      <c r="D120" s="608"/>
      <c r="E120" s="599">
        <f t="shared" si="17"/>
        <v>1</v>
      </c>
      <c r="F120" s="608"/>
      <c r="G120" s="599">
        <f t="shared" si="18"/>
        <v>1</v>
      </c>
      <c r="H120" s="608"/>
      <c r="I120" s="599">
        <f t="shared" si="19"/>
        <v>1</v>
      </c>
      <c r="J120" s="608"/>
      <c r="K120" s="599">
        <f t="shared" si="20"/>
        <v>1</v>
      </c>
      <c r="L120" s="608"/>
      <c r="M120" s="599">
        <f t="shared" si="21"/>
        <v>1</v>
      </c>
      <c r="N120" s="608"/>
      <c r="O120" s="599">
        <f t="shared" si="22"/>
        <v>1</v>
      </c>
      <c r="P120" s="608"/>
      <c r="Q120" s="599">
        <f t="shared" si="23"/>
        <v>1</v>
      </c>
      <c r="R120" s="659">
        <f t="shared" si="24"/>
        <v>0</v>
      </c>
      <c r="S120" s="598">
        <f t="shared" si="15"/>
        <v>0</v>
      </c>
    </row>
    <row r="121" spans="1:19">
      <c r="A121" s="606"/>
      <c r="B121" s="607"/>
      <c r="C121" s="599">
        <f t="shared" si="16"/>
        <v>1</v>
      </c>
      <c r="D121" s="608"/>
      <c r="E121" s="599">
        <f t="shared" si="17"/>
        <v>1</v>
      </c>
      <c r="F121" s="608"/>
      <c r="G121" s="599">
        <f t="shared" si="18"/>
        <v>1</v>
      </c>
      <c r="H121" s="608"/>
      <c r="I121" s="599">
        <f t="shared" si="19"/>
        <v>1</v>
      </c>
      <c r="J121" s="608"/>
      <c r="K121" s="599">
        <f t="shared" si="20"/>
        <v>1</v>
      </c>
      <c r="L121" s="608"/>
      <c r="M121" s="599">
        <f t="shared" si="21"/>
        <v>1</v>
      </c>
      <c r="N121" s="608"/>
      <c r="O121" s="599">
        <f t="shared" si="22"/>
        <v>1</v>
      </c>
      <c r="P121" s="608"/>
      <c r="Q121" s="599">
        <f t="shared" si="23"/>
        <v>1</v>
      </c>
      <c r="R121" s="659">
        <f t="shared" si="24"/>
        <v>0</v>
      </c>
      <c r="S121" s="598">
        <f t="shared" si="15"/>
        <v>0</v>
      </c>
    </row>
    <row r="122" spans="1:19">
      <c r="A122" s="606"/>
      <c r="B122" s="607"/>
      <c r="C122" s="599">
        <f t="shared" si="16"/>
        <v>1</v>
      </c>
      <c r="D122" s="608"/>
      <c r="E122" s="599">
        <f t="shared" si="17"/>
        <v>1</v>
      </c>
      <c r="F122" s="608"/>
      <c r="G122" s="599">
        <f t="shared" si="18"/>
        <v>1</v>
      </c>
      <c r="H122" s="608"/>
      <c r="I122" s="599">
        <f t="shared" si="19"/>
        <v>1</v>
      </c>
      <c r="J122" s="608"/>
      <c r="K122" s="599">
        <f t="shared" si="20"/>
        <v>1</v>
      </c>
      <c r="L122" s="608"/>
      <c r="M122" s="599">
        <f t="shared" si="21"/>
        <v>1</v>
      </c>
      <c r="N122" s="608"/>
      <c r="O122" s="599">
        <f t="shared" si="22"/>
        <v>1</v>
      </c>
      <c r="P122" s="608"/>
      <c r="Q122" s="599">
        <f t="shared" si="23"/>
        <v>1</v>
      </c>
      <c r="R122" s="659">
        <f t="shared" si="24"/>
        <v>0</v>
      </c>
      <c r="S122" s="598">
        <f t="shared" si="15"/>
        <v>0</v>
      </c>
    </row>
    <row r="123" spans="1:19">
      <c r="A123" s="606"/>
      <c r="B123" s="607"/>
      <c r="C123" s="599">
        <f t="shared" si="16"/>
        <v>1</v>
      </c>
      <c r="D123" s="608"/>
      <c r="E123" s="599">
        <f t="shared" si="17"/>
        <v>1</v>
      </c>
      <c r="F123" s="608"/>
      <c r="G123" s="599">
        <f t="shared" si="18"/>
        <v>1</v>
      </c>
      <c r="H123" s="608"/>
      <c r="I123" s="599">
        <f t="shared" si="19"/>
        <v>1</v>
      </c>
      <c r="J123" s="608"/>
      <c r="K123" s="599">
        <f t="shared" si="20"/>
        <v>1</v>
      </c>
      <c r="L123" s="608"/>
      <c r="M123" s="599">
        <f t="shared" si="21"/>
        <v>1</v>
      </c>
      <c r="N123" s="608"/>
      <c r="O123" s="599">
        <f t="shared" si="22"/>
        <v>1</v>
      </c>
      <c r="P123" s="608"/>
      <c r="Q123" s="599">
        <f t="shared" si="23"/>
        <v>1</v>
      </c>
      <c r="R123" s="659">
        <f t="shared" si="24"/>
        <v>0</v>
      </c>
      <c r="S123" s="598">
        <f t="shared" si="15"/>
        <v>0</v>
      </c>
    </row>
    <row r="124" spans="1:19">
      <c r="A124" s="606"/>
      <c r="B124" s="607"/>
      <c r="C124" s="599">
        <f t="shared" si="16"/>
        <v>1</v>
      </c>
      <c r="D124" s="608"/>
      <c r="E124" s="599">
        <f t="shared" si="17"/>
        <v>1</v>
      </c>
      <c r="F124" s="608"/>
      <c r="G124" s="599">
        <f t="shared" si="18"/>
        <v>1</v>
      </c>
      <c r="H124" s="608"/>
      <c r="I124" s="599">
        <f t="shared" si="19"/>
        <v>1</v>
      </c>
      <c r="J124" s="608"/>
      <c r="K124" s="599">
        <f t="shared" si="20"/>
        <v>1</v>
      </c>
      <c r="L124" s="608"/>
      <c r="M124" s="599">
        <f t="shared" si="21"/>
        <v>1</v>
      </c>
      <c r="N124" s="608"/>
      <c r="O124" s="599">
        <f t="shared" si="22"/>
        <v>1</v>
      </c>
      <c r="P124" s="608"/>
      <c r="Q124" s="599">
        <f t="shared" si="23"/>
        <v>1</v>
      </c>
      <c r="R124" s="659">
        <f t="shared" si="24"/>
        <v>0</v>
      </c>
      <c r="S124" s="598">
        <f t="shared" si="15"/>
        <v>0</v>
      </c>
    </row>
    <row r="125" spans="1:19">
      <c r="A125" s="606"/>
      <c r="B125" s="607"/>
      <c r="C125" s="599">
        <f t="shared" si="16"/>
        <v>1</v>
      </c>
      <c r="D125" s="608"/>
      <c r="E125" s="599">
        <f t="shared" si="17"/>
        <v>1</v>
      </c>
      <c r="F125" s="608"/>
      <c r="G125" s="599">
        <f t="shared" si="18"/>
        <v>1</v>
      </c>
      <c r="H125" s="608"/>
      <c r="I125" s="599">
        <f t="shared" si="19"/>
        <v>1</v>
      </c>
      <c r="J125" s="608"/>
      <c r="K125" s="599">
        <f t="shared" si="20"/>
        <v>1</v>
      </c>
      <c r="L125" s="608"/>
      <c r="M125" s="599">
        <f t="shared" si="21"/>
        <v>1</v>
      </c>
      <c r="N125" s="608"/>
      <c r="O125" s="599">
        <f t="shared" si="22"/>
        <v>1</v>
      </c>
      <c r="P125" s="608"/>
      <c r="Q125" s="599">
        <f t="shared" si="23"/>
        <v>1</v>
      </c>
      <c r="R125" s="659">
        <f t="shared" si="24"/>
        <v>0</v>
      </c>
      <c r="S125" s="598">
        <f t="shared" si="15"/>
        <v>0</v>
      </c>
    </row>
    <row r="126" spans="1:19">
      <c r="A126" s="606"/>
      <c r="B126" s="607"/>
      <c r="C126" s="599">
        <f t="shared" si="16"/>
        <v>1</v>
      </c>
      <c r="D126" s="608"/>
      <c r="E126" s="599">
        <f t="shared" si="17"/>
        <v>1</v>
      </c>
      <c r="F126" s="608"/>
      <c r="G126" s="599">
        <f t="shared" si="18"/>
        <v>1</v>
      </c>
      <c r="H126" s="608"/>
      <c r="I126" s="599">
        <f t="shared" si="19"/>
        <v>1</v>
      </c>
      <c r="J126" s="608"/>
      <c r="K126" s="599">
        <f t="shared" si="20"/>
        <v>1</v>
      </c>
      <c r="L126" s="608"/>
      <c r="M126" s="599">
        <f t="shared" si="21"/>
        <v>1</v>
      </c>
      <c r="N126" s="608"/>
      <c r="O126" s="599">
        <f t="shared" si="22"/>
        <v>1</v>
      </c>
      <c r="P126" s="608"/>
      <c r="Q126" s="599">
        <f t="shared" si="23"/>
        <v>1</v>
      </c>
      <c r="R126" s="659">
        <f t="shared" si="24"/>
        <v>0</v>
      </c>
      <c r="S126" s="598">
        <f t="shared" si="15"/>
        <v>0</v>
      </c>
    </row>
    <row r="127" spans="1:19">
      <c r="A127" s="606"/>
      <c r="B127" s="607"/>
      <c r="C127" s="599">
        <f t="shared" si="16"/>
        <v>1</v>
      </c>
      <c r="D127" s="608"/>
      <c r="E127" s="599">
        <f t="shared" si="17"/>
        <v>1</v>
      </c>
      <c r="F127" s="608"/>
      <c r="G127" s="599">
        <f t="shared" si="18"/>
        <v>1</v>
      </c>
      <c r="H127" s="608"/>
      <c r="I127" s="599">
        <f t="shared" si="19"/>
        <v>1</v>
      </c>
      <c r="J127" s="608"/>
      <c r="K127" s="599">
        <f t="shared" si="20"/>
        <v>1</v>
      </c>
      <c r="L127" s="608"/>
      <c r="M127" s="599">
        <f t="shared" si="21"/>
        <v>1</v>
      </c>
      <c r="N127" s="608"/>
      <c r="O127" s="599">
        <f t="shared" si="22"/>
        <v>1</v>
      </c>
      <c r="P127" s="608"/>
      <c r="Q127" s="599">
        <f t="shared" si="23"/>
        <v>1</v>
      </c>
      <c r="R127" s="659">
        <f t="shared" si="24"/>
        <v>0</v>
      </c>
      <c r="S127" s="598">
        <f t="shared" si="15"/>
        <v>0</v>
      </c>
    </row>
    <row r="128" spans="1:19">
      <c r="A128" s="606"/>
      <c r="B128" s="607"/>
      <c r="C128" s="599">
        <f t="shared" si="16"/>
        <v>1</v>
      </c>
      <c r="D128" s="608"/>
      <c r="E128" s="599">
        <f t="shared" si="17"/>
        <v>1</v>
      </c>
      <c r="F128" s="608"/>
      <c r="G128" s="599">
        <f t="shared" si="18"/>
        <v>1</v>
      </c>
      <c r="H128" s="608"/>
      <c r="I128" s="599">
        <f t="shared" si="19"/>
        <v>1</v>
      </c>
      <c r="J128" s="608"/>
      <c r="K128" s="599">
        <f t="shared" si="20"/>
        <v>1</v>
      </c>
      <c r="L128" s="608"/>
      <c r="M128" s="599">
        <f t="shared" si="21"/>
        <v>1</v>
      </c>
      <c r="N128" s="608"/>
      <c r="O128" s="599">
        <f t="shared" si="22"/>
        <v>1</v>
      </c>
      <c r="P128" s="608"/>
      <c r="Q128" s="599">
        <f t="shared" si="23"/>
        <v>1</v>
      </c>
      <c r="R128" s="659">
        <f t="shared" si="24"/>
        <v>0</v>
      </c>
      <c r="S128" s="598">
        <f t="shared" si="15"/>
        <v>0</v>
      </c>
    </row>
    <row r="129" spans="1:19">
      <c r="A129" s="606"/>
      <c r="B129" s="607"/>
      <c r="C129" s="599">
        <f t="shared" si="16"/>
        <v>1</v>
      </c>
      <c r="D129" s="608"/>
      <c r="E129" s="599">
        <f t="shared" si="17"/>
        <v>1</v>
      </c>
      <c r="F129" s="608"/>
      <c r="G129" s="599">
        <f t="shared" si="18"/>
        <v>1</v>
      </c>
      <c r="H129" s="608"/>
      <c r="I129" s="599">
        <f t="shared" si="19"/>
        <v>1</v>
      </c>
      <c r="J129" s="608"/>
      <c r="K129" s="599">
        <f t="shared" si="20"/>
        <v>1</v>
      </c>
      <c r="L129" s="608"/>
      <c r="M129" s="599">
        <f t="shared" si="21"/>
        <v>1</v>
      </c>
      <c r="N129" s="608"/>
      <c r="O129" s="599">
        <f t="shared" si="22"/>
        <v>1</v>
      </c>
      <c r="P129" s="608"/>
      <c r="Q129" s="599">
        <f t="shared" si="23"/>
        <v>1</v>
      </c>
      <c r="R129" s="659">
        <f t="shared" si="24"/>
        <v>0</v>
      </c>
      <c r="S129" s="598">
        <f t="shared" si="15"/>
        <v>0</v>
      </c>
    </row>
    <row r="130" spans="1:19">
      <c r="A130" s="606"/>
      <c r="B130" s="607"/>
      <c r="C130" s="599">
        <f t="shared" si="16"/>
        <v>1</v>
      </c>
      <c r="D130" s="608"/>
      <c r="E130" s="599">
        <f t="shared" si="17"/>
        <v>1</v>
      </c>
      <c r="F130" s="608"/>
      <c r="G130" s="599">
        <f t="shared" si="18"/>
        <v>1</v>
      </c>
      <c r="H130" s="608"/>
      <c r="I130" s="599">
        <f t="shared" si="19"/>
        <v>1</v>
      </c>
      <c r="J130" s="608"/>
      <c r="K130" s="599">
        <f t="shared" si="20"/>
        <v>1</v>
      </c>
      <c r="L130" s="608"/>
      <c r="M130" s="599">
        <f t="shared" si="21"/>
        <v>1</v>
      </c>
      <c r="N130" s="608"/>
      <c r="O130" s="599">
        <f t="shared" si="22"/>
        <v>1</v>
      </c>
      <c r="P130" s="608"/>
      <c r="Q130" s="599">
        <f t="shared" si="23"/>
        <v>1</v>
      </c>
      <c r="R130" s="659">
        <f t="shared" si="24"/>
        <v>0</v>
      </c>
      <c r="S130" s="598">
        <f t="shared" si="15"/>
        <v>0</v>
      </c>
    </row>
    <row r="131" spans="1:19">
      <c r="A131" s="606"/>
      <c r="B131" s="607"/>
      <c r="C131" s="599">
        <f t="shared" si="16"/>
        <v>1</v>
      </c>
      <c r="D131" s="608"/>
      <c r="E131" s="599">
        <f t="shared" si="17"/>
        <v>1</v>
      </c>
      <c r="F131" s="608"/>
      <c r="G131" s="599">
        <f t="shared" si="18"/>
        <v>1</v>
      </c>
      <c r="H131" s="608"/>
      <c r="I131" s="599">
        <f t="shared" si="19"/>
        <v>1</v>
      </c>
      <c r="J131" s="608"/>
      <c r="K131" s="599">
        <f t="shared" si="20"/>
        <v>1</v>
      </c>
      <c r="L131" s="608"/>
      <c r="M131" s="599">
        <f t="shared" si="21"/>
        <v>1</v>
      </c>
      <c r="N131" s="608"/>
      <c r="O131" s="599">
        <f t="shared" si="22"/>
        <v>1</v>
      </c>
      <c r="P131" s="608"/>
      <c r="Q131" s="599">
        <f t="shared" si="23"/>
        <v>1</v>
      </c>
      <c r="R131" s="659">
        <f t="shared" si="24"/>
        <v>0</v>
      </c>
      <c r="S131" s="598">
        <f t="shared" si="15"/>
        <v>0</v>
      </c>
    </row>
    <row r="132" spans="1:19">
      <c r="A132" s="606"/>
      <c r="B132" s="607"/>
      <c r="C132" s="599">
        <f t="shared" si="16"/>
        <v>1</v>
      </c>
      <c r="D132" s="608"/>
      <c r="E132" s="599">
        <f t="shared" si="17"/>
        <v>1</v>
      </c>
      <c r="F132" s="608"/>
      <c r="G132" s="599">
        <f t="shared" si="18"/>
        <v>1</v>
      </c>
      <c r="H132" s="608"/>
      <c r="I132" s="599">
        <f t="shared" si="19"/>
        <v>1</v>
      </c>
      <c r="J132" s="608"/>
      <c r="K132" s="599">
        <f t="shared" si="20"/>
        <v>1</v>
      </c>
      <c r="L132" s="608"/>
      <c r="M132" s="599">
        <f t="shared" si="21"/>
        <v>1</v>
      </c>
      <c r="N132" s="608"/>
      <c r="O132" s="599">
        <f t="shared" si="22"/>
        <v>1</v>
      </c>
      <c r="P132" s="608"/>
      <c r="Q132" s="599">
        <f t="shared" si="23"/>
        <v>1</v>
      </c>
      <c r="R132" s="659">
        <f t="shared" si="24"/>
        <v>0</v>
      </c>
      <c r="S132" s="598">
        <f t="shared" si="15"/>
        <v>0</v>
      </c>
    </row>
    <row r="133" spans="1:19">
      <c r="A133" s="606"/>
      <c r="B133" s="607"/>
      <c r="C133" s="599">
        <f t="shared" si="16"/>
        <v>1</v>
      </c>
      <c r="D133" s="608"/>
      <c r="E133" s="599">
        <f t="shared" si="17"/>
        <v>1</v>
      </c>
      <c r="F133" s="608"/>
      <c r="G133" s="599">
        <f t="shared" si="18"/>
        <v>1</v>
      </c>
      <c r="H133" s="608"/>
      <c r="I133" s="599">
        <f t="shared" si="19"/>
        <v>1</v>
      </c>
      <c r="J133" s="608"/>
      <c r="K133" s="599">
        <f t="shared" si="20"/>
        <v>1</v>
      </c>
      <c r="L133" s="608"/>
      <c r="M133" s="599">
        <f t="shared" si="21"/>
        <v>1</v>
      </c>
      <c r="N133" s="608"/>
      <c r="O133" s="599">
        <f t="shared" si="22"/>
        <v>1</v>
      </c>
      <c r="P133" s="608"/>
      <c r="Q133" s="599">
        <f t="shared" si="23"/>
        <v>1</v>
      </c>
      <c r="R133" s="659">
        <f t="shared" si="24"/>
        <v>0</v>
      </c>
      <c r="S133" s="598">
        <f t="shared" si="15"/>
        <v>0</v>
      </c>
    </row>
    <row r="134" spans="1:19">
      <c r="A134" s="606"/>
      <c r="B134" s="607"/>
      <c r="C134" s="599">
        <f t="shared" si="16"/>
        <v>1</v>
      </c>
      <c r="D134" s="608"/>
      <c r="E134" s="599">
        <f t="shared" si="17"/>
        <v>1</v>
      </c>
      <c r="F134" s="608"/>
      <c r="G134" s="599">
        <f t="shared" si="18"/>
        <v>1</v>
      </c>
      <c r="H134" s="608"/>
      <c r="I134" s="599">
        <f t="shared" si="19"/>
        <v>1</v>
      </c>
      <c r="J134" s="608"/>
      <c r="K134" s="599">
        <f t="shared" si="20"/>
        <v>1</v>
      </c>
      <c r="L134" s="608"/>
      <c r="M134" s="599">
        <f t="shared" si="21"/>
        <v>1</v>
      </c>
      <c r="N134" s="608"/>
      <c r="O134" s="599">
        <f t="shared" si="22"/>
        <v>1</v>
      </c>
      <c r="P134" s="608"/>
      <c r="Q134" s="599">
        <f t="shared" si="23"/>
        <v>1</v>
      </c>
      <c r="R134" s="659">
        <f t="shared" si="24"/>
        <v>0</v>
      </c>
      <c r="S134" s="598">
        <f t="shared" si="15"/>
        <v>0</v>
      </c>
    </row>
    <row r="135" spans="1:19">
      <c r="A135" s="606"/>
      <c r="B135" s="607"/>
      <c r="C135" s="599">
        <f t="shared" si="16"/>
        <v>1</v>
      </c>
      <c r="D135" s="608"/>
      <c r="E135" s="599">
        <f t="shared" si="17"/>
        <v>1</v>
      </c>
      <c r="F135" s="608"/>
      <c r="G135" s="599">
        <f t="shared" si="18"/>
        <v>1</v>
      </c>
      <c r="H135" s="608"/>
      <c r="I135" s="599">
        <f t="shared" si="19"/>
        <v>1</v>
      </c>
      <c r="J135" s="608"/>
      <c r="K135" s="599">
        <f t="shared" si="20"/>
        <v>1</v>
      </c>
      <c r="L135" s="608"/>
      <c r="M135" s="599">
        <f t="shared" si="21"/>
        <v>1</v>
      </c>
      <c r="N135" s="608"/>
      <c r="O135" s="599">
        <f t="shared" si="22"/>
        <v>1</v>
      </c>
      <c r="P135" s="608"/>
      <c r="Q135" s="599">
        <f t="shared" si="23"/>
        <v>1</v>
      </c>
      <c r="R135" s="659">
        <f t="shared" si="24"/>
        <v>0</v>
      </c>
      <c r="S135" s="598">
        <f t="shared" si="15"/>
        <v>0</v>
      </c>
    </row>
    <row r="136" spans="1:19">
      <c r="A136" s="606"/>
      <c r="B136" s="607"/>
      <c r="C136" s="599">
        <f t="shared" si="16"/>
        <v>1</v>
      </c>
      <c r="D136" s="608"/>
      <c r="E136" s="599">
        <f t="shared" si="17"/>
        <v>1</v>
      </c>
      <c r="F136" s="608"/>
      <c r="G136" s="599">
        <f t="shared" si="18"/>
        <v>1</v>
      </c>
      <c r="H136" s="608"/>
      <c r="I136" s="599">
        <f t="shared" si="19"/>
        <v>1</v>
      </c>
      <c r="J136" s="608"/>
      <c r="K136" s="599">
        <f t="shared" si="20"/>
        <v>1</v>
      </c>
      <c r="L136" s="608"/>
      <c r="M136" s="599">
        <f t="shared" si="21"/>
        <v>1</v>
      </c>
      <c r="N136" s="608"/>
      <c r="O136" s="599">
        <f t="shared" si="22"/>
        <v>1</v>
      </c>
      <c r="P136" s="608"/>
      <c r="Q136" s="599">
        <f t="shared" si="23"/>
        <v>1</v>
      </c>
      <c r="R136" s="659">
        <f t="shared" si="24"/>
        <v>0</v>
      </c>
      <c r="S136" s="598">
        <f t="shared" si="15"/>
        <v>0</v>
      </c>
    </row>
    <row r="137" spans="1:19">
      <c r="A137" s="606"/>
      <c r="B137" s="607"/>
      <c r="C137" s="599">
        <f t="shared" si="16"/>
        <v>1</v>
      </c>
      <c r="D137" s="608"/>
      <c r="E137" s="599">
        <f t="shared" si="17"/>
        <v>1</v>
      </c>
      <c r="F137" s="608"/>
      <c r="G137" s="599">
        <f t="shared" si="18"/>
        <v>1</v>
      </c>
      <c r="H137" s="608"/>
      <c r="I137" s="599">
        <f t="shared" si="19"/>
        <v>1</v>
      </c>
      <c r="J137" s="608"/>
      <c r="K137" s="599">
        <f t="shared" si="20"/>
        <v>1</v>
      </c>
      <c r="L137" s="608"/>
      <c r="M137" s="599">
        <f t="shared" si="21"/>
        <v>1</v>
      </c>
      <c r="N137" s="608"/>
      <c r="O137" s="599">
        <f t="shared" si="22"/>
        <v>1</v>
      </c>
      <c r="P137" s="608"/>
      <c r="Q137" s="599">
        <f t="shared" si="23"/>
        <v>1</v>
      </c>
      <c r="R137" s="659">
        <f t="shared" si="24"/>
        <v>0</v>
      </c>
      <c r="S137" s="598">
        <f t="shared" si="15"/>
        <v>0</v>
      </c>
    </row>
    <row r="138" spans="1:19">
      <c r="A138" s="606"/>
      <c r="B138" s="607"/>
      <c r="C138" s="599">
        <f t="shared" si="16"/>
        <v>1</v>
      </c>
      <c r="D138" s="608"/>
      <c r="E138" s="599">
        <f t="shared" si="17"/>
        <v>1</v>
      </c>
      <c r="F138" s="608"/>
      <c r="G138" s="599">
        <f t="shared" si="18"/>
        <v>1</v>
      </c>
      <c r="H138" s="608"/>
      <c r="I138" s="599">
        <f t="shared" si="19"/>
        <v>1</v>
      </c>
      <c r="J138" s="608"/>
      <c r="K138" s="599">
        <f t="shared" si="20"/>
        <v>1</v>
      </c>
      <c r="L138" s="608"/>
      <c r="M138" s="599">
        <f t="shared" si="21"/>
        <v>1</v>
      </c>
      <c r="N138" s="608"/>
      <c r="O138" s="599">
        <f t="shared" si="22"/>
        <v>1</v>
      </c>
      <c r="P138" s="608"/>
      <c r="Q138" s="599">
        <f t="shared" si="23"/>
        <v>1</v>
      </c>
      <c r="R138" s="659">
        <f t="shared" si="24"/>
        <v>0</v>
      </c>
      <c r="S138" s="598">
        <f t="shared" si="15"/>
        <v>0</v>
      </c>
    </row>
    <row r="139" spans="1:19">
      <c r="A139" s="606"/>
      <c r="B139" s="607"/>
      <c r="C139" s="599">
        <f t="shared" si="16"/>
        <v>1</v>
      </c>
      <c r="D139" s="608"/>
      <c r="E139" s="599">
        <f t="shared" si="17"/>
        <v>1</v>
      </c>
      <c r="F139" s="608"/>
      <c r="G139" s="599">
        <f t="shared" si="18"/>
        <v>1</v>
      </c>
      <c r="H139" s="608"/>
      <c r="I139" s="599">
        <f t="shared" si="19"/>
        <v>1</v>
      </c>
      <c r="J139" s="608"/>
      <c r="K139" s="599">
        <f t="shared" si="20"/>
        <v>1</v>
      </c>
      <c r="L139" s="608"/>
      <c r="M139" s="599">
        <f t="shared" si="21"/>
        <v>1</v>
      </c>
      <c r="N139" s="608"/>
      <c r="O139" s="599">
        <f t="shared" si="22"/>
        <v>1</v>
      </c>
      <c r="P139" s="608"/>
      <c r="Q139" s="599">
        <f t="shared" si="23"/>
        <v>1</v>
      </c>
      <c r="R139" s="659">
        <f t="shared" si="24"/>
        <v>0</v>
      </c>
      <c r="S139" s="598">
        <f t="shared" si="15"/>
        <v>0</v>
      </c>
    </row>
    <row r="140" spans="1:19">
      <c r="A140" s="606"/>
      <c r="B140" s="607"/>
      <c r="C140" s="599">
        <f t="shared" si="16"/>
        <v>1</v>
      </c>
      <c r="D140" s="608"/>
      <c r="E140" s="599">
        <f t="shared" si="17"/>
        <v>1</v>
      </c>
      <c r="F140" s="608"/>
      <c r="G140" s="599">
        <f t="shared" si="18"/>
        <v>1</v>
      </c>
      <c r="H140" s="608"/>
      <c r="I140" s="599">
        <f t="shared" si="19"/>
        <v>1</v>
      </c>
      <c r="J140" s="608"/>
      <c r="K140" s="599">
        <f t="shared" si="20"/>
        <v>1</v>
      </c>
      <c r="L140" s="608"/>
      <c r="M140" s="599">
        <f t="shared" si="21"/>
        <v>1</v>
      </c>
      <c r="N140" s="608"/>
      <c r="O140" s="599">
        <f t="shared" si="22"/>
        <v>1</v>
      </c>
      <c r="P140" s="608"/>
      <c r="Q140" s="599">
        <f t="shared" si="23"/>
        <v>1</v>
      </c>
      <c r="R140" s="659">
        <f t="shared" si="24"/>
        <v>0</v>
      </c>
      <c r="S140" s="598">
        <f t="shared" si="15"/>
        <v>0</v>
      </c>
    </row>
    <row r="141" spans="1:19">
      <c r="A141" s="606"/>
      <c r="B141" s="607"/>
      <c r="C141" s="599">
        <f t="shared" si="16"/>
        <v>1</v>
      </c>
      <c r="D141" s="608"/>
      <c r="E141" s="599">
        <f t="shared" si="17"/>
        <v>1</v>
      </c>
      <c r="F141" s="608"/>
      <c r="G141" s="599">
        <f t="shared" si="18"/>
        <v>1</v>
      </c>
      <c r="H141" s="608"/>
      <c r="I141" s="599">
        <f t="shared" si="19"/>
        <v>1</v>
      </c>
      <c r="J141" s="608"/>
      <c r="K141" s="599">
        <f t="shared" si="20"/>
        <v>1</v>
      </c>
      <c r="L141" s="608"/>
      <c r="M141" s="599">
        <f t="shared" si="21"/>
        <v>1</v>
      </c>
      <c r="N141" s="608"/>
      <c r="O141" s="599">
        <f t="shared" si="22"/>
        <v>1</v>
      </c>
      <c r="P141" s="608"/>
      <c r="Q141" s="599">
        <f t="shared" si="23"/>
        <v>1</v>
      </c>
      <c r="R141" s="659">
        <f t="shared" si="24"/>
        <v>0</v>
      </c>
      <c r="S141" s="598">
        <f t="shared" si="15"/>
        <v>0</v>
      </c>
    </row>
    <row r="142" spans="1:19">
      <c r="A142" s="606"/>
      <c r="B142" s="607"/>
      <c r="C142" s="599">
        <f t="shared" si="16"/>
        <v>1</v>
      </c>
      <c r="D142" s="608"/>
      <c r="E142" s="599">
        <f t="shared" si="17"/>
        <v>1</v>
      </c>
      <c r="F142" s="608"/>
      <c r="G142" s="599">
        <f t="shared" si="18"/>
        <v>1</v>
      </c>
      <c r="H142" s="608"/>
      <c r="I142" s="599">
        <f t="shared" si="19"/>
        <v>1</v>
      </c>
      <c r="J142" s="608"/>
      <c r="K142" s="599">
        <f t="shared" si="20"/>
        <v>1</v>
      </c>
      <c r="L142" s="608"/>
      <c r="M142" s="599">
        <f t="shared" si="21"/>
        <v>1</v>
      </c>
      <c r="N142" s="608"/>
      <c r="O142" s="599">
        <f t="shared" si="22"/>
        <v>1</v>
      </c>
      <c r="P142" s="608"/>
      <c r="Q142" s="599">
        <f t="shared" si="23"/>
        <v>1</v>
      </c>
      <c r="R142" s="659">
        <f t="shared" si="24"/>
        <v>0</v>
      </c>
      <c r="S142" s="598">
        <f t="shared" si="15"/>
        <v>0</v>
      </c>
    </row>
    <row r="143" spans="1:19">
      <c r="A143" s="606"/>
      <c r="B143" s="607"/>
      <c r="C143" s="599">
        <f t="shared" si="16"/>
        <v>1</v>
      </c>
      <c r="D143" s="608"/>
      <c r="E143" s="599">
        <f t="shared" si="17"/>
        <v>1</v>
      </c>
      <c r="F143" s="608"/>
      <c r="G143" s="599">
        <f t="shared" si="18"/>
        <v>1</v>
      </c>
      <c r="H143" s="608"/>
      <c r="I143" s="599">
        <f t="shared" si="19"/>
        <v>1</v>
      </c>
      <c r="J143" s="608"/>
      <c r="K143" s="599">
        <f t="shared" si="20"/>
        <v>1</v>
      </c>
      <c r="L143" s="608"/>
      <c r="M143" s="599">
        <f t="shared" si="21"/>
        <v>1</v>
      </c>
      <c r="N143" s="608"/>
      <c r="O143" s="599">
        <f t="shared" si="22"/>
        <v>1</v>
      </c>
      <c r="P143" s="608"/>
      <c r="Q143" s="599">
        <f t="shared" si="23"/>
        <v>1</v>
      </c>
      <c r="R143" s="659">
        <f t="shared" si="24"/>
        <v>0</v>
      </c>
      <c r="S143" s="598">
        <f t="shared" si="15"/>
        <v>0</v>
      </c>
    </row>
    <row r="144" spans="1:19">
      <c r="A144" s="606"/>
      <c r="B144" s="607"/>
      <c r="C144" s="599">
        <f t="shared" si="16"/>
        <v>1</v>
      </c>
      <c r="D144" s="608"/>
      <c r="E144" s="599">
        <f t="shared" si="17"/>
        <v>1</v>
      </c>
      <c r="F144" s="608"/>
      <c r="G144" s="599">
        <f t="shared" si="18"/>
        <v>1</v>
      </c>
      <c r="H144" s="608"/>
      <c r="I144" s="599">
        <f t="shared" si="19"/>
        <v>1</v>
      </c>
      <c r="J144" s="608"/>
      <c r="K144" s="599">
        <f t="shared" si="20"/>
        <v>1</v>
      </c>
      <c r="L144" s="608"/>
      <c r="M144" s="599">
        <f t="shared" si="21"/>
        <v>1</v>
      </c>
      <c r="N144" s="608"/>
      <c r="O144" s="599">
        <f t="shared" si="22"/>
        <v>1</v>
      </c>
      <c r="P144" s="608"/>
      <c r="Q144" s="599">
        <f t="shared" si="23"/>
        <v>1</v>
      </c>
      <c r="R144" s="659">
        <f t="shared" si="24"/>
        <v>0</v>
      </c>
      <c r="S144" s="598">
        <f t="shared" si="15"/>
        <v>0</v>
      </c>
    </row>
    <row r="145" spans="1:19">
      <c r="A145" s="606"/>
      <c r="B145" s="607"/>
      <c r="C145" s="599">
        <f t="shared" si="16"/>
        <v>1</v>
      </c>
      <c r="D145" s="608"/>
      <c r="E145" s="599">
        <f t="shared" si="17"/>
        <v>1</v>
      </c>
      <c r="F145" s="608"/>
      <c r="G145" s="599">
        <f t="shared" si="18"/>
        <v>1</v>
      </c>
      <c r="H145" s="608"/>
      <c r="I145" s="599">
        <f t="shared" si="19"/>
        <v>1</v>
      </c>
      <c r="J145" s="608"/>
      <c r="K145" s="599">
        <f t="shared" si="20"/>
        <v>1</v>
      </c>
      <c r="L145" s="608"/>
      <c r="M145" s="599">
        <f t="shared" si="21"/>
        <v>1</v>
      </c>
      <c r="N145" s="608"/>
      <c r="O145" s="599">
        <f t="shared" si="22"/>
        <v>1</v>
      </c>
      <c r="P145" s="608"/>
      <c r="Q145" s="599">
        <f t="shared" si="23"/>
        <v>1</v>
      </c>
      <c r="R145" s="659">
        <f t="shared" si="24"/>
        <v>0</v>
      </c>
      <c r="S145" s="598">
        <f t="shared" si="15"/>
        <v>0</v>
      </c>
    </row>
    <row r="146" spans="1:19">
      <c r="A146" s="606"/>
      <c r="B146" s="607"/>
      <c r="C146" s="599">
        <f t="shared" si="16"/>
        <v>1</v>
      </c>
      <c r="D146" s="608"/>
      <c r="E146" s="599">
        <f t="shared" si="17"/>
        <v>1</v>
      </c>
      <c r="F146" s="608"/>
      <c r="G146" s="599">
        <f t="shared" si="18"/>
        <v>1</v>
      </c>
      <c r="H146" s="608"/>
      <c r="I146" s="599">
        <f t="shared" si="19"/>
        <v>1</v>
      </c>
      <c r="J146" s="608"/>
      <c r="K146" s="599">
        <f t="shared" si="20"/>
        <v>1</v>
      </c>
      <c r="L146" s="608"/>
      <c r="M146" s="599">
        <f t="shared" si="21"/>
        <v>1</v>
      </c>
      <c r="N146" s="608"/>
      <c r="O146" s="599">
        <f t="shared" si="22"/>
        <v>1</v>
      </c>
      <c r="P146" s="608"/>
      <c r="Q146" s="599">
        <f t="shared" si="23"/>
        <v>1</v>
      </c>
      <c r="R146" s="659">
        <f t="shared" si="24"/>
        <v>0</v>
      </c>
      <c r="S146" s="598">
        <f t="shared" si="15"/>
        <v>0</v>
      </c>
    </row>
    <row r="147" spans="1:19">
      <c r="A147" s="606"/>
      <c r="B147" s="607"/>
      <c r="C147" s="599">
        <f t="shared" si="16"/>
        <v>1</v>
      </c>
      <c r="D147" s="608"/>
      <c r="E147" s="599">
        <f t="shared" si="17"/>
        <v>1</v>
      </c>
      <c r="F147" s="608"/>
      <c r="G147" s="599">
        <f t="shared" si="18"/>
        <v>1</v>
      </c>
      <c r="H147" s="608"/>
      <c r="I147" s="599">
        <f t="shared" si="19"/>
        <v>1</v>
      </c>
      <c r="J147" s="608"/>
      <c r="K147" s="599">
        <f t="shared" si="20"/>
        <v>1</v>
      </c>
      <c r="L147" s="608"/>
      <c r="M147" s="599">
        <f t="shared" si="21"/>
        <v>1</v>
      </c>
      <c r="N147" s="608"/>
      <c r="O147" s="599">
        <f t="shared" si="22"/>
        <v>1</v>
      </c>
      <c r="P147" s="608"/>
      <c r="Q147" s="599">
        <f t="shared" si="23"/>
        <v>1</v>
      </c>
      <c r="R147" s="659">
        <f t="shared" si="24"/>
        <v>0</v>
      </c>
      <c r="S147" s="598">
        <f t="shared" si="15"/>
        <v>0</v>
      </c>
    </row>
    <row r="148" spans="1:19">
      <c r="A148" s="606"/>
      <c r="B148" s="607"/>
      <c r="C148" s="599">
        <f t="shared" si="16"/>
        <v>1</v>
      </c>
      <c r="D148" s="608"/>
      <c r="E148" s="599">
        <f t="shared" si="17"/>
        <v>1</v>
      </c>
      <c r="F148" s="608"/>
      <c r="G148" s="599">
        <f t="shared" si="18"/>
        <v>1</v>
      </c>
      <c r="H148" s="608"/>
      <c r="I148" s="599">
        <f t="shared" si="19"/>
        <v>1</v>
      </c>
      <c r="J148" s="608"/>
      <c r="K148" s="599">
        <f t="shared" si="20"/>
        <v>1</v>
      </c>
      <c r="L148" s="608"/>
      <c r="M148" s="599">
        <f t="shared" si="21"/>
        <v>1</v>
      </c>
      <c r="N148" s="608"/>
      <c r="O148" s="599">
        <f t="shared" si="22"/>
        <v>1</v>
      </c>
      <c r="P148" s="608"/>
      <c r="Q148" s="599">
        <f t="shared" si="23"/>
        <v>1</v>
      </c>
      <c r="R148" s="659">
        <f t="shared" si="24"/>
        <v>0</v>
      </c>
      <c r="S148" s="598">
        <f t="shared" si="15"/>
        <v>0</v>
      </c>
    </row>
    <row r="149" spans="1:19">
      <c r="A149" s="606"/>
      <c r="B149" s="607"/>
      <c r="C149" s="599">
        <f t="shared" si="16"/>
        <v>1</v>
      </c>
      <c r="D149" s="608"/>
      <c r="E149" s="599">
        <f t="shared" si="17"/>
        <v>1</v>
      </c>
      <c r="F149" s="608"/>
      <c r="G149" s="599">
        <f t="shared" si="18"/>
        <v>1</v>
      </c>
      <c r="H149" s="608"/>
      <c r="I149" s="599">
        <f t="shared" si="19"/>
        <v>1</v>
      </c>
      <c r="J149" s="608"/>
      <c r="K149" s="599">
        <f t="shared" si="20"/>
        <v>1</v>
      </c>
      <c r="L149" s="608"/>
      <c r="M149" s="599">
        <f t="shared" si="21"/>
        <v>1</v>
      </c>
      <c r="N149" s="608"/>
      <c r="O149" s="599">
        <f t="shared" si="22"/>
        <v>1</v>
      </c>
      <c r="P149" s="608"/>
      <c r="Q149" s="599">
        <f t="shared" si="23"/>
        <v>1</v>
      </c>
      <c r="R149" s="659">
        <f t="shared" si="24"/>
        <v>0</v>
      </c>
      <c r="S149" s="598">
        <f t="shared" si="15"/>
        <v>0</v>
      </c>
    </row>
    <row r="150" spans="1:19">
      <c r="A150" s="606"/>
      <c r="B150" s="607"/>
      <c r="C150" s="599">
        <f t="shared" si="16"/>
        <v>1</v>
      </c>
      <c r="D150" s="608"/>
      <c r="E150" s="599">
        <f t="shared" si="17"/>
        <v>1</v>
      </c>
      <c r="F150" s="608"/>
      <c r="G150" s="599">
        <f t="shared" si="18"/>
        <v>1</v>
      </c>
      <c r="H150" s="608"/>
      <c r="I150" s="599">
        <f t="shared" si="19"/>
        <v>1</v>
      </c>
      <c r="J150" s="608"/>
      <c r="K150" s="599">
        <f t="shared" si="20"/>
        <v>1</v>
      </c>
      <c r="L150" s="608"/>
      <c r="M150" s="599">
        <f t="shared" si="21"/>
        <v>1</v>
      </c>
      <c r="N150" s="608"/>
      <c r="O150" s="599">
        <f t="shared" si="22"/>
        <v>1</v>
      </c>
      <c r="P150" s="608"/>
      <c r="Q150" s="599">
        <f t="shared" si="23"/>
        <v>1</v>
      </c>
      <c r="R150" s="659">
        <f t="shared" si="24"/>
        <v>0</v>
      </c>
      <c r="S150" s="598">
        <f t="shared" si="15"/>
        <v>0</v>
      </c>
    </row>
    <row r="151" spans="1:19">
      <c r="A151" s="606"/>
      <c r="B151" s="607"/>
      <c r="C151" s="599">
        <f t="shared" si="16"/>
        <v>1</v>
      </c>
      <c r="D151" s="608"/>
      <c r="E151" s="599">
        <f t="shared" si="17"/>
        <v>1</v>
      </c>
      <c r="F151" s="608"/>
      <c r="G151" s="599">
        <f t="shared" si="18"/>
        <v>1</v>
      </c>
      <c r="H151" s="608"/>
      <c r="I151" s="599">
        <f t="shared" si="19"/>
        <v>1</v>
      </c>
      <c r="J151" s="608"/>
      <c r="K151" s="599">
        <f t="shared" si="20"/>
        <v>1</v>
      </c>
      <c r="L151" s="608"/>
      <c r="M151" s="599">
        <f t="shared" si="21"/>
        <v>1</v>
      </c>
      <c r="N151" s="608"/>
      <c r="O151" s="599">
        <f t="shared" si="22"/>
        <v>1</v>
      </c>
      <c r="P151" s="608"/>
      <c r="Q151" s="599">
        <f t="shared" si="23"/>
        <v>1</v>
      </c>
      <c r="R151" s="659">
        <f t="shared" si="24"/>
        <v>0</v>
      </c>
      <c r="S151" s="598">
        <f t="shared" si="15"/>
        <v>0</v>
      </c>
    </row>
    <row r="152" spans="1:19">
      <c r="A152" s="606"/>
      <c r="B152" s="607"/>
      <c r="C152" s="599">
        <f t="shared" si="16"/>
        <v>1</v>
      </c>
      <c r="D152" s="608"/>
      <c r="E152" s="599">
        <f t="shared" si="17"/>
        <v>1</v>
      </c>
      <c r="F152" s="608"/>
      <c r="G152" s="599">
        <f t="shared" si="18"/>
        <v>1</v>
      </c>
      <c r="H152" s="608"/>
      <c r="I152" s="599">
        <f t="shared" si="19"/>
        <v>1</v>
      </c>
      <c r="J152" s="608"/>
      <c r="K152" s="599">
        <f t="shared" si="20"/>
        <v>1</v>
      </c>
      <c r="L152" s="608"/>
      <c r="M152" s="599">
        <f t="shared" si="21"/>
        <v>1</v>
      </c>
      <c r="N152" s="608"/>
      <c r="O152" s="599">
        <f t="shared" si="22"/>
        <v>1</v>
      </c>
      <c r="P152" s="608"/>
      <c r="Q152" s="599">
        <f t="shared" si="23"/>
        <v>1</v>
      </c>
      <c r="R152" s="659">
        <f t="shared" si="24"/>
        <v>0</v>
      </c>
      <c r="S152" s="598">
        <f t="shared" ref="S152:S215" si="25">ROUND(R152*B152/10000,0)</f>
        <v>0</v>
      </c>
    </row>
    <row r="153" spans="1:19">
      <c r="A153" s="606"/>
      <c r="B153" s="607"/>
      <c r="C153" s="599">
        <f t="shared" ref="C153:C216" si="26">IF(B153="",1,(LOOKUP(B153,$3:$3,$4:$4)-LOOKUP($B$24,$3:$3,$4:$4)+100)/100)</f>
        <v>1</v>
      </c>
      <c r="D153" s="608"/>
      <c r="E153" s="599">
        <f t="shared" ref="E153:E216" si="27">(SUMIF($5:$5,D153,$6:$6)-SUMIF($5:$5,$D$24,$6:$6)+100)/100</f>
        <v>1</v>
      </c>
      <c r="F153" s="608"/>
      <c r="G153" s="599">
        <f t="shared" ref="G153:G216" si="28">(SUMIF($7:$7,F153,$8:$8)-SUMIF($7:$7,$F$24,$8:$8)+100)/100</f>
        <v>1</v>
      </c>
      <c r="H153" s="608"/>
      <c r="I153" s="599">
        <f t="shared" ref="I153:I216" si="29">(SUMIF($9:$9,H153,$10:$10)-SUMIF($9:$9,$H$24,$10:$10)+100)/100</f>
        <v>1</v>
      </c>
      <c r="J153" s="608"/>
      <c r="K153" s="599">
        <f t="shared" ref="K153:K216" si="30">(SUMIF($11:$11,J153,$12:$12)-SUMIF($11:$11,$J$24,$12:$12)+100)/100</f>
        <v>1</v>
      </c>
      <c r="L153" s="608"/>
      <c r="M153" s="599">
        <f t="shared" ref="M153:M216" si="31">(SUMIF($13:$13,L153,$14:$14)-SUMIF($13:$13,$L$24,$14:$14)+100)/100</f>
        <v>1</v>
      </c>
      <c r="N153" s="608"/>
      <c r="O153" s="599">
        <f t="shared" ref="O153:O216" si="32">(SUMIF($15:$15,N153,$16:$16)-SUMIF($15:$15,$N$24,$16:$16)+100)/100</f>
        <v>1</v>
      </c>
      <c r="P153" s="608"/>
      <c r="Q153" s="599">
        <f t="shared" ref="Q153:Q216" si="33">(SUMIF($17:$17,P153,$18:$18)-SUMIF($17:$17,$P$24,$18:$18)+100)/100</f>
        <v>1</v>
      </c>
      <c r="R153" s="659">
        <f t="shared" ref="R153:R216" si="34">IF(B153="",0,ROUND($R$24*C153*E153*G153*I153*K153*M153*O153*Q153,0))</f>
        <v>0</v>
      </c>
      <c r="S153" s="598">
        <f t="shared" si="25"/>
        <v>0</v>
      </c>
    </row>
    <row r="154" spans="1:19">
      <c r="A154" s="606"/>
      <c r="B154" s="607"/>
      <c r="C154" s="599">
        <f t="shared" si="26"/>
        <v>1</v>
      </c>
      <c r="D154" s="608"/>
      <c r="E154" s="599">
        <f t="shared" si="27"/>
        <v>1</v>
      </c>
      <c r="F154" s="608"/>
      <c r="G154" s="599">
        <f t="shared" si="28"/>
        <v>1</v>
      </c>
      <c r="H154" s="608"/>
      <c r="I154" s="599">
        <f t="shared" si="29"/>
        <v>1</v>
      </c>
      <c r="J154" s="608"/>
      <c r="K154" s="599">
        <f t="shared" si="30"/>
        <v>1</v>
      </c>
      <c r="L154" s="608"/>
      <c r="M154" s="599">
        <f t="shared" si="31"/>
        <v>1</v>
      </c>
      <c r="N154" s="608"/>
      <c r="O154" s="599">
        <f t="shared" si="32"/>
        <v>1</v>
      </c>
      <c r="P154" s="608"/>
      <c r="Q154" s="599">
        <f t="shared" si="33"/>
        <v>1</v>
      </c>
      <c r="R154" s="659">
        <f t="shared" si="34"/>
        <v>0</v>
      </c>
      <c r="S154" s="598">
        <f t="shared" si="25"/>
        <v>0</v>
      </c>
    </row>
    <row r="155" spans="1:19">
      <c r="A155" s="606"/>
      <c r="B155" s="607"/>
      <c r="C155" s="599">
        <f t="shared" si="26"/>
        <v>1</v>
      </c>
      <c r="D155" s="608"/>
      <c r="E155" s="599">
        <f t="shared" si="27"/>
        <v>1</v>
      </c>
      <c r="F155" s="608"/>
      <c r="G155" s="599">
        <f t="shared" si="28"/>
        <v>1</v>
      </c>
      <c r="H155" s="608"/>
      <c r="I155" s="599">
        <f t="shared" si="29"/>
        <v>1</v>
      </c>
      <c r="J155" s="608"/>
      <c r="K155" s="599">
        <f t="shared" si="30"/>
        <v>1</v>
      </c>
      <c r="L155" s="608"/>
      <c r="M155" s="599">
        <f t="shared" si="31"/>
        <v>1</v>
      </c>
      <c r="N155" s="608"/>
      <c r="O155" s="599">
        <f t="shared" si="32"/>
        <v>1</v>
      </c>
      <c r="P155" s="608"/>
      <c r="Q155" s="599">
        <f t="shared" si="33"/>
        <v>1</v>
      </c>
      <c r="R155" s="659">
        <f t="shared" si="34"/>
        <v>0</v>
      </c>
      <c r="S155" s="598">
        <f t="shared" si="25"/>
        <v>0</v>
      </c>
    </row>
    <row r="156" spans="1:19">
      <c r="A156" s="606"/>
      <c r="B156" s="607"/>
      <c r="C156" s="599">
        <f t="shared" si="26"/>
        <v>1</v>
      </c>
      <c r="D156" s="608"/>
      <c r="E156" s="599">
        <f t="shared" si="27"/>
        <v>1</v>
      </c>
      <c r="F156" s="608"/>
      <c r="G156" s="599">
        <f t="shared" si="28"/>
        <v>1</v>
      </c>
      <c r="H156" s="608"/>
      <c r="I156" s="599">
        <f t="shared" si="29"/>
        <v>1</v>
      </c>
      <c r="J156" s="608"/>
      <c r="K156" s="599">
        <f t="shared" si="30"/>
        <v>1</v>
      </c>
      <c r="L156" s="608"/>
      <c r="M156" s="599">
        <f t="shared" si="31"/>
        <v>1</v>
      </c>
      <c r="N156" s="608"/>
      <c r="O156" s="599">
        <f t="shared" si="32"/>
        <v>1</v>
      </c>
      <c r="P156" s="608"/>
      <c r="Q156" s="599">
        <f t="shared" si="33"/>
        <v>1</v>
      </c>
      <c r="R156" s="659">
        <f t="shared" si="34"/>
        <v>0</v>
      </c>
      <c r="S156" s="598">
        <f t="shared" si="25"/>
        <v>0</v>
      </c>
    </row>
    <row r="157" spans="1:19">
      <c r="A157" s="606"/>
      <c r="B157" s="607"/>
      <c r="C157" s="599">
        <f t="shared" si="26"/>
        <v>1</v>
      </c>
      <c r="D157" s="608"/>
      <c r="E157" s="599">
        <f t="shared" si="27"/>
        <v>1</v>
      </c>
      <c r="F157" s="608"/>
      <c r="G157" s="599">
        <f t="shared" si="28"/>
        <v>1</v>
      </c>
      <c r="H157" s="608"/>
      <c r="I157" s="599">
        <f t="shared" si="29"/>
        <v>1</v>
      </c>
      <c r="J157" s="608"/>
      <c r="K157" s="599">
        <f t="shared" si="30"/>
        <v>1</v>
      </c>
      <c r="L157" s="608"/>
      <c r="M157" s="599">
        <f t="shared" si="31"/>
        <v>1</v>
      </c>
      <c r="N157" s="608"/>
      <c r="O157" s="599">
        <f t="shared" si="32"/>
        <v>1</v>
      </c>
      <c r="P157" s="608"/>
      <c r="Q157" s="599">
        <f t="shared" si="33"/>
        <v>1</v>
      </c>
      <c r="R157" s="659">
        <f t="shared" si="34"/>
        <v>0</v>
      </c>
      <c r="S157" s="598">
        <f t="shared" si="25"/>
        <v>0</v>
      </c>
    </row>
    <row r="158" spans="1:19">
      <c r="A158" s="606"/>
      <c r="B158" s="607"/>
      <c r="C158" s="599">
        <f t="shared" si="26"/>
        <v>1</v>
      </c>
      <c r="D158" s="608"/>
      <c r="E158" s="599">
        <f t="shared" si="27"/>
        <v>1</v>
      </c>
      <c r="F158" s="608"/>
      <c r="G158" s="599">
        <f t="shared" si="28"/>
        <v>1</v>
      </c>
      <c r="H158" s="608"/>
      <c r="I158" s="599">
        <f t="shared" si="29"/>
        <v>1</v>
      </c>
      <c r="J158" s="608"/>
      <c r="K158" s="599">
        <f t="shared" si="30"/>
        <v>1</v>
      </c>
      <c r="L158" s="608"/>
      <c r="M158" s="599">
        <f t="shared" si="31"/>
        <v>1</v>
      </c>
      <c r="N158" s="608"/>
      <c r="O158" s="599">
        <f t="shared" si="32"/>
        <v>1</v>
      </c>
      <c r="P158" s="608"/>
      <c r="Q158" s="599">
        <f t="shared" si="33"/>
        <v>1</v>
      </c>
      <c r="R158" s="659">
        <f t="shared" si="34"/>
        <v>0</v>
      </c>
      <c r="S158" s="598">
        <f t="shared" si="25"/>
        <v>0</v>
      </c>
    </row>
    <row r="159" spans="1:19">
      <c r="A159" s="606"/>
      <c r="B159" s="607"/>
      <c r="C159" s="599">
        <f t="shared" si="26"/>
        <v>1</v>
      </c>
      <c r="D159" s="608"/>
      <c r="E159" s="599">
        <f t="shared" si="27"/>
        <v>1</v>
      </c>
      <c r="F159" s="608"/>
      <c r="G159" s="599">
        <f t="shared" si="28"/>
        <v>1</v>
      </c>
      <c r="H159" s="608"/>
      <c r="I159" s="599">
        <f t="shared" si="29"/>
        <v>1</v>
      </c>
      <c r="J159" s="608"/>
      <c r="K159" s="599">
        <f t="shared" si="30"/>
        <v>1</v>
      </c>
      <c r="L159" s="608"/>
      <c r="M159" s="599">
        <f t="shared" si="31"/>
        <v>1</v>
      </c>
      <c r="N159" s="608"/>
      <c r="O159" s="599">
        <f t="shared" si="32"/>
        <v>1</v>
      </c>
      <c r="P159" s="608"/>
      <c r="Q159" s="599">
        <f t="shared" si="33"/>
        <v>1</v>
      </c>
      <c r="R159" s="659">
        <f t="shared" si="34"/>
        <v>0</v>
      </c>
      <c r="S159" s="598">
        <f t="shared" si="25"/>
        <v>0</v>
      </c>
    </row>
    <row r="160" spans="1:19">
      <c r="A160" s="606"/>
      <c r="B160" s="607"/>
      <c r="C160" s="599">
        <f t="shared" si="26"/>
        <v>1</v>
      </c>
      <c r="D160" s="608"/>
      <c r="E160" s="599">
        <f t="shared" si="27"/>
        <v>1</v>
      </c>
      <c r="F160" s="608"/>
      <c r="G160" s="599">
        <f t="shared" si="28"/>
        <v>1</v>
      </c>
      <c r="H160" s="608"/>
      <c r="I160" s="599">
        <f t="shared" si="29"/>
        <v>1</v>
      </c>
      <c r="J160" s="608"/>
      <c r="K160" s="599">
        <f t="shared" si="30"/>
        <v>1</v>
      </c>
      <c r="L160" s="608"/>
      <c r="M160" s="599">
        <f t="shared" si="31"/>
        <v>1</v>
      </c>
      <c r="N160" s="608"/>
      <c r="O160" s="599">
        <f t="shared" si="32"/>
        <v>1</v>
      </c>
      <c r="P160" s="608"/>
      <c r="Q160" s="599">
        <f t="shared" si="33"/>
        <v>1</v>
      </c>
      <c r="R160" s="659">
        <f t="shared" si="34"/>
        <v>0</v>
      </c>
      <c r="S160" s="598">
        <f t="shared" si="25"/>
        <v>0</v>
      </c>
    </row>
    <row r="161" spans="1:19">
      <c r="A161" s="606"/>
      <c r="B161" s="607"/>
      <c r="C161" s="599">
        <f t="shared" si="26"/>
        <v>1</v>
      </c>
      <c r="D161" s="608"/>
      <c r="E161" s="599">
        <f t="shared" si="27"/>
        <v>1</v>
      </c>
      <c r="F161" s="608"/>
      <c r="G161" s="599">
        <f t="shared" si="28"/>
        <v>1</v>
      </c>
      <c r="H161" s="608"/>
      <c r="I161" s="599">
        <f t="shared" si="29"/>
        <v>1</v>
      </c>
      <c r="J161" s="608"/>
      <c r="K161" s="599">
        <f t="shared" si="30"/>
        <v>1</v>
      </c>
      <c r="L161" s="608"/>
      <c r="M161" s="599">
        <f t="shared" si="31"/>
        <v>1</v>
      </c>
      <c r="N161" s="608"/>
      <c r="O161" s="599">
        <f t="shared" si="32"/>
        <v>1</v>
      </c>
      <c r="P161" s="608"/>
      <c r="Q161" s="599">
        <f t="shared" si="33"/>
        <v>1</v>
      </c>
      <c r="R161" s="659">
        <f t="shared" si="34"/>
        <v>0</v>
      </c>
      <c r="S161" s="598">
        <f t="shared" si="25"/>
        <v>0</v>
      </c>
    </row>
    <row r="162" spans="1:19">
      <c r="A162" s="606"/>
      <c r="B162" s="607"/>
      <c r="C162" s="599">
        <f t="shared" si="26"/>
        <v>1</v>
      </c>
      <c r="D162" s="608"/>
      <c r="E162" s="599">
        <f t="shared" si="27"/>
        <v>1</v>
      </c>
      <c r="F162" s="608"/>
      <c r="G162" s="599">
        <f t="shared" si="28"/>
        <v>1</v>
      </c>
      <c r="H162" s="608"/>
      <c r="I162" s="599">
        <f t="shared" si="29"/>
        <v>1</v>
      </c>
      <c r="J162" s="608"/>
      <c r="K162" s="599">
        <f t="shared" si="30"/>
        <v>1</v>
      </c>
      <c r="L162" s="608"/>
      <c r="M162" s="599">
        <f t="shared" si="31"/>
        <v>1</v>
      </c>
      <c r="N162" s="608"/>
      <c r="O162" s="599">
        <f t="shared" si="32"/>
        <v>1</v>
      </c>
      <c r="P162" s="608"/>
      <c r="Q162" s="599">
        <f t="shared" si="33"/>
        <v>1</v>
      </c>
      <c r="R162" s="659">
        <f t="shared" si="34"/>
        <v>0</v>
      </c>
      <c r="S162" s="598">
        <f t="shared" si="25"/>
        <v>0</v>
      </c>
    </row>
    <row r="163" spans="1:19">
      <c r="A163" s="606"/>
      <c r="B163" s="607"/>
      <c r="C163" s="599">
        <f t="shared" si="26"/>
        <v>1</v>
      </c>
      <c r="D163" s="608"/>
      <c r="E163" s="599">
        <f t="shared" si="27"/>
        <v>1</v>
      </c>
      <c r="F163" s="608"/>
      <c r="G163" s="599">
        <f t="shared" si="28"/>
        <v>1</v>
      </c>
      <c r="H163" s="608"/>
      <c r="I163" s="599">
        <f t="shared" si="29"/>
        <v>1</v>
      </c>
      <c r="J163" s="608"/>
      <c r="K163" s="599">
        <f t="shared" si="30"/>
        <v>1</v>
      </c>
      <c r="L163" s="608"/>
      <c r="M163" s="599">
        <f t="shared" si="31"/>
        <v>1</v>
      </c>
      <c r="N163" s="608"/>
      <c r="O163" s="599">
        <f t="shared" si="32"/>
        <v>1</v>
      </c>
      <c r="P163" s="608"/>
      <c r="Q163" s="599">
        <f t="shared" si="33"/>
        <v>1</v>
      </c>
      <c r="R163" s="659">
        <f t="shared" si="34"/>
        <v>0</v>
      </c>
      <c r="S163" s="598">
        <f t="shared" si="25"/>
        <v>0</v>
      </c>
    </row>
    <row r="164" spans="1:19">
      <c r="A164" s="606"/>
      <c r="B164" s="607"/>
      <c r="C164" s="599">
        <f t="shared" si="26"/>
        <v>1</v>
      </c>
      <c r="D164" s="608"/>
      <c r="E164" s="599">
        <f t="shared" si="27"/>
        <v>1</v>
      </c>
      <c r="F164" s="608"/>
      <c r="G164" s="599">
        <f t="shared" si="28"/>
        <v>1</v>
      </c>
      <c r="H164" s="608"/>
      <c r="I164" s="599">
        <f t="shared" si="29"/>
        <v>1</v>
      </c>
      <c r="J164" s="608"/>
      <c r="K164" s="599">
        <f t="shared" si="30"/>
        <v>1</v>
      </c>
      <c r="L164" s="608"/>
      <c r="M164" s="599">
        <f t="shared" si="31"/>
        <v>1</v>
      </c>
      <c r="N164" s="608"/>
      <c r="O164" s="599">
        <f t="shared" si="32"/>
        <v>1</v>
      </c>
      <c r="P164" s="608"/>
      <c r="Q164" s="599">
        <f t="shared" si="33"/>
        <v>1</v>
      </c>
      <c r="R164" s="659">
        <f t="shared" si="34"/>
        <v>0</v>
      </c>
      <c r="S164" s="598">
        <f t="shared" si="25"/>
        <v>0</v>
      </c>
    </row>
    <row r="165" spans="1:19">
      <c r="A165" s="606"/>
      <c r="B165" s="607"/>
      <c r="C165" s="599">
        <f t="shared" si="26"/>
        <v>1</v>
      </c>
      <c r="D165" s="608"/>
      <c r="E165" s="599">
        <f t="shared" si="27"/>
        <v>1</v>
      </c>
      <c r="F165" s="608"/>
      <c r="G165" s="599">
        <f t="shared" si="28"/>
        <v>1</v>
      </c>
      <c r="H165" s="608"/>
      <c r="I165" s="599">
        <f t="shared" si="29"/>
        <v>1</v>
      </c>
      <c r="J165" s="608"/>
      <c r="K165" s="599">
        <f t="shared" si="30"/>
        <v>1</v>
      </c>
      <c r="L165" s="608"/>
      <c r="M165" s="599">
        <f t="shared" si="31"/>
        <v>1</v>
      </c>
      <c r="N165" s="608"/>
      <c r="O165" s="599">
        <f t="shared" si="32"/>
        <v>1</v>
      </c>
      <c r="P165" s="608"/>
      <c r="Q165" s="599">
        <f t="shared" si="33"/>
        <v>1</v>
      </c>
      <c r="R165" s="659">
        <f t="shared" si="34"/>
        <v>0</v>
      </c>
      <c r="S165" s="598">
        <f t="shared" si="25"/>
        <v>0</v>
      </c>
    </row>
    <row r="166" spans="1:19">
      <c r="A166" s="606"/>
      <c r="B166" s="607"/>
      <c r="C166" s="599">
        <f t="shared" si="26"/>
        <v>1</v>
      </c>
      <c r="D166" s="608"/>
      <c r="E166" s="599">
        <f t="shared" si="27"/>
        <v>1</v>
      </c>
      <c r="F166" s="608"/>
      <c r="G166" s="599">
        <f t="shared" si="28"/>
        <v>1</v>
      </c>
      <c r="H166" s="608"/>
      <c r="I166" s="599">
        <f t="shared" si="29"/>
        <v>1</v>
      </c>
      <c r="J166" s="608"/>
      <c r="K166" s="599">
        <f t="shared" si="30"/>
        <v>1</v>
      </c>
      <c r="L166" s="608"/>
      <c r="M166" s="599">
        <f t="shared" si="31"/>
        <v>1</v>
      </c>
      <c r="N166" s="608"/>
      <c r="O166" s="599">
        <f t="shared" si="32"/>
        <v>1</v>
      </c>
      <c r="P166" s="608"/>
      <c r="Q166" s="599">
        <f t="shared" si="33"/>
        <v>1</v>
      </c>
      <c r="R166" s="659">
        <f t="shared" si="34"/>
        <v>0</v>
      </c>
      <c r="S166" s="598">
        <f t="shared" si="25"/>
        <v>0</v>
      </c>
    </row>
    <row r="167" spans="1:19">
      <c r="A167" s="606"/>
      <c r="B167" s="607"/>
      <c r="C167" s="599">
        <f t="shared" si="26"/>
        <v>1</v>
      </c>
      <c r="D167" s="608"/>
      <c r="E167" s="599">
        <f t="shared" si="27"/>
        <v>1</v>
      </c>
      <c r="F167" s="608"/>
      <c r="G167" s="599">
        <f t="shared" si="28"/>
        <v>1</v>
      </c>
      <c r="H167" s="608"/>
      <c r="I167" s="599">
        <f t="shared" si="29"/>
        <v>1</v>
      </c>
      <c r="J167" s="608"/>
      <c r="K167" s="599">
        <f t="shared" si="30"/>
        <v>1</v>
      </c>
      <c r="L167" s="608"/>
      <c r="M167" s="599">
        <f t="shared" si="31"/>
        <v>1</v>
      </c>
      <c r="N167" s="608"/>
      <c r="O167" s="599">
        <f t="shared" si="32"/>
        <v>1</v>
      </c>
      <c r="P167" s="608"/>
      <c r="Q167" s="599">
        <f t="shared" si="33"/>
        <v>1</v>
      </c>
      <c r="R167" s="659">
        <f t="shared" si="34"/>
        <v>0</v>
      </c>
      <c r="S167" s="598">
        <f t="shared" si="25"/>
        <v>0</v>
      </c>
    </row>
    <row r="168" spans="1:19">
      <c r="A168" s="606"/>
      <c r="B168" s="607"/>
      <c r="C168" s="599">
        <f t="shared" si="26"/>
        <v>1</v>
      </c>
      <c r="D168" s="608"/>
      <c r="E168" s="599">
        <f t="shared" si="27"/>
        <v>1</v>
      </c>
      <c r="F168" s="608"/>
      <c r="G168" s="599">
        <f t="shared" si="28"/>
        <v>1</v>
      </c>
      <c r="H168" s="608"/>
      <c r="I168" s="599">
        <f t="shared" si="29"/>
        <v>1</v>
      </c>
      <c r="J168" s="608"/>
      <c r="K168" s="599">
        <f t="shared" si="30"/>
        <v>1</v>
      </c>
      <c r="L168" s="608"/>
      <c r="M168" s="599">
        <f t="shared" si="31"/>
        <v>1</v>
      </c>
      <c r="N168" s="608"/>
      <c r="O168" s="599">
        <f t="shared" si="32"/>
        <v>1</v>
      </c>
      <c r="P168" s="608"/>
      <c r="Q168" s="599">
        <f t="shared" si="33"/>
        <v>1</v>
      </c>
      <c r="R168" s="659">
        <f t="shared" si="34"/>
        <v>0</v>
      </c>
      <c r="S168" s="598">
        <f t="shared" si="25"/>
        <v>0</v>
      </c>
    </row>
    <row r="169" spans="1:19">
      <c r="A169" s="606"/>
      <c r="B169" s="607"/>
      <c r="C169" s="599">
        <f t="shared" si="26"/>
        <v>1</v>
      </c>
      <c r="D169" s="608"/>
      <c r="E169" s="599">
        <f t="shared" si="27"/>
        <v>1</v>
      </c>
      <c r="F169" s="608"/>
      <c r="G169" s="599">
        <f t="shared" si="28"/>
        <v>1</v>
      </c>
      <c r="H169" s="608"/>
      <c r="I169" s="599">
        <f t="shared" si="29"/>
        <v>1</v>
      </c>
      <c r="J169" s="608"/>
      <c r="K169" s="599">
        <f t="shared" si="30"/>
        <v>1</v>
      </c>
      <c r="L169" s="608"/>
      <c r="M169" s="599">
        <f t="shared" si="31"/>
        <v>1</v>
      </c>
      <c r="N169" s="608"/>
      <c r="O169" s="599">
        <f t="shared" si="32"/>
        <v>1</v>
      </c>
      <c r="P169" s="608"/>
      <c r="Q169" s="599">
        <f t="shared" si="33"/>
        <v>1</v>
      </c>
      <c r="R169" s="659">
        <f t="shared" si="34"/>
        <v>0</v>
      </c>
      <c r="S169" s="598">
        <f t="shared" si="25"/>
        <v>0</v>
      </c>
    </row>
    <row r="170" spans="1:19">
      <c r="A170" s="606"/>
      <c r="B170" s="607"/>
      <c r="C170" s="599">
        <f t="shared" si="26"/>
        <v>1</v>
      </c>
      <c r="D170" s="608"/>
      <c r="E170" s="599">
        <f t="shared" si="27"/>
        <v>1</v>
      </c>
      <c r="F170" s="608"/>
      <c r="G170" s="599">
        <f t="shared" si="28"/>
        <v>1</v>
      </c>
      <c r="H170" s="608"/>
      <c r="I170" s="599">
        <f t="shared" si="29"/>
        <v>1</v>
      </c>
      <c r="J170" s="608"/>
      <c r="K170" s="599">
        <f t="shared" si="30"/>
        <v>1</v>
      </c>
      <c r="L170" s="608"/>
      <c r="M170" s="599">
        <f t="shared" si="31"/>
        <v>1</v>
      </c>
      <c r="N170" s="608"/>
      <c r="O170" s="599">
        <f t="shared" si="32"/>
        <v>1</v>
      </c>
      <c r="P170" s="608"/>
      <c r="Q170" s="599">
        <f t="shared" si="33"/>
        <v>1</v>
      </c>
      <c r="R170" s="659">
        <f t="shared" si="34"/>
        <v>0</v>
      </c>
      <c r="S170" s="598">
        <f t="shared" si="25"/>
        <v>0</v>
      </c>
    </row>
    <row r="171" spans="1:19">
      <c r="A171" s="606"/>
      <c r="B171" s="607"/>
      <c r="C171" s="599">
        <f t="shared" si="26"/>
        <v>1</v>
      </c>
      <c r="D171" s="608"/>
      <c r="E171" s="599">
        <f t="shared" si="27"/>
        <v>1</v>
      </c>
      <c r="F171" s="608"/>
      <c r="G171" s="599">
        <f t="shared" si="28"/>
        <v>1</v>
      </c>
      <c r="H171" s="608"/>
      <c r="I171" s="599">
        <f t="shared" si="29"/>
        <v>1</v>
      </c>
      <c r="J171" s="608"/>
      <c r="K171" s="599">
        <f t="shared" si="30"/>
        <v>1</v>
      </c>
      <c r="L171" s="608"/>
      <c r="M171" s="599">
        <f t="shared" si="31"/>
        <v>1</v>
      </c>
      <c r="N171" s="608"/>
      <c r="O171" s="599">
        <f t="shared" si="32"/>
        <v>1</v>
      </c>
      <c r="P171" s="608"/>
      <c r="Q171" s="599">
        <f t="shared" si="33"/>
        <v>1</v>
      </c>
      <c r="R171" s="659">
        <f t="shared" si="34"/>
        <v>0</v>
      </c>
      <c r="S171" s="598">
        <f t="shared" si="25"/>
        <v>0</v>
      </c>
    </row>
    <row r="172" spans="1:19">
      <c r="A172" s="606"/>
      <c r="B172" s="607"/>
      <c r="C172" s="599">
        <f t="shared" si="26"/>
        <v>1</v>
      </c>
      <c r="D172" s="608"/>
      <c r="E172" s="599">
        <f t="shared" si="27"/>
        <v>1</v>
      </c>
      <c r="F172" s="608"/>
      <c r="G172" s="599">
        <f t="shared" si="28"/>
        <v>1</v>
      </c>
      <c r="H172" s="608"/>
      <c r="I172" s="599">
        <f t="shared" si="29"/>
        <v>1</v>
      </c>
      <c r="J172" s="608"/>
      <c r="K172" s="599">
        <f t="shared" si="30"/>
        <v>1</v>
      </c>
      <c r="L172" s="608"/>
      <c r="M172" s="599">
        <f t="shared" si="31"/>
        <v>1</v>
      </c>
      <c r="N172" s="608"/>
      <c r="O172" s="599">
        <f t="shared" si="32"/>
        <v>1</v>
      </c>
      <c r="P172" s="608"/>
      <c r="Q172" s="599">
        <f t="shared" si="33"/>
        <v>1</v>
      </c>
      <c r="R172" s="659">
        <f t="shared" si="34"/>
        <v>0</v>
      </c>
      <c r="S172" s="598">
        <f t="shared" si="25"/>
        <v>0</v>
      </c>
    </row>
    <row r="173" spans="1:19">
      <c r="A173" s="606"/>
      <c r="B173" s="607"/>
      <c r="C173" s="599">
        <f t="shared" si="26"/>
        <v>1</v>
      </c>
      <c r="D173" s="608"/>
      <c r="E173" s="599">
        <f t="shared" si="27"/>
        <v>1</v>
      </c>
      <c r="F173" s="608"/>
      <c r="G173" s="599">
        <f t="shared" si="28"/>
        <v>1</v>
      </c>
      <c r="H173" s="608"/>
      <c r="I173" s="599">
        <f t="shared" si="29"/>
        <v>1</v>
      </c>
      <c r="J173" s="608"/>
      <c r="K173" s="599">
        <f t="shared" si="30"/>
        <v>1</v>
      </c>
      <c r="L173" s="608"/>
      <c r="M173" s="599">
        <f t="shared" si="31"/>
        <v>1</v>
      </c>
      <c r="N173" s="608"/>
      <c r="O173" s="599">
        <f t="shared" si="32"/>
        <v>1</v>
      </c>
      <c r="P173" s="608"/>
      <c r="Q173" s="599">
        <f t="shared" si="33"/>
        <v>1</v>
      </c>
      <c r="R173" s="659">
        <f t="shared" si="34"/>
        <v>0</v>
      </c>
      <c r="S173" s="598">
        <f t="shared" si="25"/>
        <v>0</v>
      </c>
    </row>
    <row r="174" spans="1:19">
      <c r="A174" s="606"/>
      <c r="B174" s="607"/>
      <c r="C174" s="599">
        <f t="shared" si="26"/>
        <v>1</v>
      </c>
      <c r="D174" s="608"/>
      <c r="E174" s="599">
        <f t="shared" si="27"/>
        <v>1</v>
      </c>
      <c r="F174" s="608"/>
      <c r="G174" s="599">
        <f t="shared" si="28"/>
        <v>1</v>
      </c>
      <c r="H174" s="608"/>
      <c r="I174" s="599">
        <f t="shared" si="29"/>
        <v>1</v>
      </c>
      <c r="J174" s="608"/>
      <c r="K174" s="599">
        <f t="shared" si="30"/>
        <v>1</v>
      </c>
      <c r="L174" s="608"/>
      <c r="M174" s="599">
        <f t="shared" si="31"/>
        <v>1</v>
      </c>
      <c r="N174" s="608"/>
      <c r="O174" s="599">
        <f t="shared" si="32"/>
        <v>1</v>
      </c>
      <c r="P174" s="608"/>
      <c r="Q174" s="599">
        <f t="shared" si="33"/>
        <v>1</v>
      </c>
      <c r="R174" s="659">
        <f t="shared" si="34"/>
        <v>0</v>
      </c>
      <c r="S174" s="598">
        <f t="shared" si="25"/>
        <v>0</v>
      </c>
    </row>
    <row r="175" spans="1:19">
      <c r="A175" s="606"/>
      <c r="B175" s="607"/>
      <c r="C175" s="599">
        <f t="shared" si="26"/>
        <v>1</v>
      </c>
      <c r="D175" s="608"/>
      <c r="E175" s="599">
        <f t="shared" si="27"/>
        <v>1</v>
      </c>
      <c r="F175" s="608"/>
      <c r="G175" s="599">
        <f t="shared" si="28"/>
        <v>1</v>
      </c>
      <c r="H175" s="608"/>
      <c r="I175" s="599">
        <f t="shared" si="29"/>
        <v>1</v>
      </c>
      <c r="J175" s="608"/>
      <c r="K175" s="599">
        <f t="shared" si="30"/>
        <v>1</v>
      </c>
      <c r="L175" s="608"/>
      <c r="M175" s="599">
        <f t="shared" si="31"/>
        <v>1</v>
      </c>
      <c r="N175" s="608"/>
      <c r="O175" s="599">
        <f t="shared" si="32"/>
        <v>1</v>
      </c>
      <c r="P175" s="608"/>
      <c r="Q175" s="599">
        <f t="shared" si="33"/>
        <v>1</v>
      </c>
      <c r="R175" s="659">
        <f t="shared" si="34"/>
        <v>0</v>
      </c>
      <c r="S175" s="598">
        <f t="shared" si="25"/>
        <v>0</v>
      </c>
    </row>
    <row r="176" spans="1:19">
      <c r="A176" s="606"/>
      <c r="B176" s="607"/>
      <c r="C176" s="599">
        <f t="shared" si="26"/>
        <v>1</v>
      </c>
      <c r="D176" s="608"/>
      <c r="E176" s="599">
        <f t="shared" si="27"/>
        <v>1</v>
      </c>
      <c r="F176" s="608"/>
      <c r="G176" s="599">
        <f t="shared" si="28"/>
        <v>1</v>
      </c>
      <c r="H176" s="608"/>
      <c r="I176" s="599">
        <f t="shared" si="29"/>
        <v>1</v>
      </c>
      <c r="J176" s="608"/>
      <c r="K176" s="599">
        <f t="shared" si="30"/>
        <v>1</v>
      </c>
      <c r="L176" s="608"/>
      <c r="M176" s="599">
        <f t="shared" si="31"/>
        <v>1</v>
      </c>
      <c r="N176" s="608"/>
      <c r="O176" s="599">
        <f t="shared" si="32"/>
        <v>1</v>
      </c>
      <c r="P176" s="608"/>
      <c r="Q176" s="599">
        <f t="shared" si="33"/>
        <v>1</v>
      </c>
      <c r="R176" s="659">
        <f t="shared" si="34"/>
        <v>0</v>
      </c>
      <c r="S176" s="598">
        <f t="shared" si="25"/>
        <v>0</v>
      </c>
    </row>
    <row r="177" spans="1:19">
      <c r="A177" s="606"/>
      <c r="B177" s="607"/>
      <c r="C177" s="599">
        <f t="shared" si="26"/>
        <v>1</v>
      </c>
      <c r="D177" s="608"/>
      <c r="E177" s="599">
        <f t="shared" si="27"/>
        <v>1</v>
      </c>
      <c r="F177" s="608"/>
      <c r="G177" s="599">
        <f t="shared" si="28"/>
        <v>1</v>
      </c>
      <c r="H177" s="608"/>
      <c r="I177" s="599">
        <f t="shared" si="29"/>
        <v>1</v>
      </c>
      <c r="J177" s="608"/>
      <c r="K177" s="599">
        <f t="shared" si="30"/>
        <v>1</v>
      </c>
      <c r="L177" s="608"/>
      <c r="M177" s="599">
        <f t="shared" si="31"/>
        <v>1</v>
      </c>
      <c r="N177" s="608"/>
      <c r="O177" s="599">
        <f t="shared" si="32"/>
        <v>1</v>
      </c>
      <c r="P177" s="608"/>
      <c r="Q177" s="599">
        <f t="shared" si="33"/>
        <v>1</v>
      </c>
      <c r="R177" s="659">
        <f t="shared" si="34"/>
        <v>0</v>
      </c>
      <c r="S177" s="598">
        <f t="shared" si="25"/>
        <v>0</v>
      </c>
    </row>
    <row r="178" spans="1:19">
      <c r="A178" s="606"/>
      <c r="B178" s="607"/>
      <c r="C178" s="599">
        <f t="shared" si="26"/>
        <v>1</v>
      </c>
      <c r="D178" s="608"/>
      <c r="E178" s="599">
        <f t="shared" si="27"/>
        <v>1</v>
      </c>
      <c r="F178" s="608"/>
      <c r="G178" s="599">
        <f t="shared" si="28"/>
        <v>1</v>
      </c>
      <c r="H178" s="608"/>
      <c r="I178" s="599">
        <f t="shared" si="29"/>
        <v>1</v>
      </c>
      <c r="J178" s="608"/>
      <c r="K178" s="599">
        <f t="shared" si="30"/>
        <v>1</v>
      </c>
      <c r="L178" s="608"/>
      <c r="M178" s="599">
        <f t="shared" si="31"/>
        <v>1</v>
      </c>
      <c r="N178" s="608"/>
      <c r="O178" s="599">
        <f t="shared" si="32"/>
        <v>1</v>
      </c>
      <c r="P178" s="608"/>
      <c r="Q178" s="599">
        <f t="shared" si="33"/>
        <v>1</v>
      </c>
      <c r="R178" s="659">
        <f t="shared" si="34"/>
        <v>0</v>
      </c>
      <c r="S178" s="598">
        <f t="shared" si="25"/>
        <v>0</v>
      </c>
    </row>
    <row r="179" spans="1:19">
      <c r="A179" s="606"/>
      <c r="B179" s="607"/>
      <c r="C179" s="599">
        <f t="shared" si="26"/>
        <v>1</v>
      </c>
      <c r="D179" s="608"/>
      <c r="E179" s="599">
        <f t="shared" si="27"/>
        <v>1</v>
      </c>
      <c r="F179" s="608"/>
      <c r="G179" s="599">
        <f t="shared" si="28"/>
        <v>1</v>
      </c>
      <c r="H179" s="608"/>
      <c r="I179" s="599">
        <f t="shared" si="29"/>
        <v>1</v>
      </c>
      <c r="J179" s="608"/>
      <c r="K179" s="599">
        <f t="shared" si="30"/>
        <v>1</v>
      </c>
      <c r="L179" s="608"/>
      <c r="M179" s="599">
        <f t="shared" si="31"/>
        <v>1</v>
      </c>
      <c r="N179" s="608"/>
      <c r="O179" s="599">
        <f t="shared" si="32"/>
        <v>1</v>
      </c>
      <c r="P179" s="608"/>
      <c r="Q179" s="599">
        <f t="shared" si="33"/>
        <v>1</v>
      </c>
      <c r="R179" s="659">
        <f t="shared" si="34"/>
        <v>0</v>
      </c>
      <c r="S179" s="598">
        <f t="shared" si="25"/>
        <v>0</v>
      </c>
    </row>
    <row r="180" spans="1:19">
      <c r="A180" s="606"/>
      <c r="B180" s="607"/>
      <c r="C180" s="599">
        <f t="shared" si="26"/>
        <v>1</v>
      </c>
      <c r="D180" s="608"/>
      <c r="E180" s="599">
        <f t="shared" si="27"/>
        <v>1</v>
      </c>
      <c r="F180" s="608"/>
      <c r="G180" s="599">
        <f t="shared" si="28"/>
        <v>1</v>
      </c>
      <c r="H180" s="608"/>
      <c r="I180" s="599">
        <f t="shared" si="29"/>
        <v>1</v>
      </c>
      <c r="J180" s="608"/>
      <c r="K180" s="599">
        <f t="shared" si="30"/>
        <v>1</v>
      </c>
      <c r="L180" s="608"/>
      <c r="M180" s="599">
        <f t="shared" si="31"/>
        <v>1</v>
      </c>
      <c r="N180" s="608"/>
      <c r="O180" s="599">
        <f t="shared" si="32"/>
        <v>1</v>
      </c>
      <c r="P180" s="608"/>
      <c r="Q180" s="599">
        <f t="shared" si="33"/>
        <v>1</v>
      </c>
      <c r="R180" s="659">
        <f t="shared" si="34"/>
        <v>0</v>
      </c>
      <c r="S180" s="598">
        <f t="shared" si="25"/>
        <v>0</v>
      </c>
    </row>
    <row r="181" spans="1:19">
      <c r="A181" s="606"/>
      <c r="B181" s="607"/>
      <c r="C181" s="599">
        <f t="shared" si="26"/>
        <v>1</v>
      </c>
      <c r="D181" s="608"/>
      <c r="E181" s="599">
        <f t="shared" si="27"/>
        <v>1</v>
      </c>
      <c r="F181" s="608"/>
      <c r="G181" s="599">
        <f t="shared" si="28"/>
        <v>1</v>
      </c>
      <c r="H181" s="608"/>
      <c r="I181" s="599">
        <f t="shared" si="29"/>
        <v>1</v>
      </c>
      <c r="J181" s="608"/>
      <c r="K181" s="599">
        <f t="shared" si="30"/>
        <v>1</v>
      </c>
      <c r="L181" s="608"/>
      <c r="M181" s="599">
        <f t="shared" si="31"/>
        <v>1</v>
      </c>
      <c r="N181" s="608"/>
      <c r="O181" s="599">
        <f t="shared" si="32"/>
        <v>1</v>
      </c>
      <c r="P181" s="608"/>
      <c r="Q181" s="599">
        <f t="shared" si="33"/>
        <v>1</v>
      </c>
      <c r="R181" s="659">
        <f t="shared" si="34"/>
        <v>0</v>
      </c>
      <c r="S181" s="598">
        <f t="shared" si="25"/>
        <v>0</v>
      </c>
    </row>
    <row r="182" spans="1:19">
      <c r="A182" s="606"/>
      <c r="B182" s="607"/>
      <c r="C182" s="599">
        <f t="shared" si="26"/>
        <v>1</v>
      </c>
      <c r="D182" s="608"/>
      <c r="E182" s="599">
        <f t="shared" si="27"/>
        <v>1</v>
      </c>
      <c r="F182" s="608"/>
      <c r="G182" s="599">
        <f t="shared" si="28"/>
        <v>1</v>
      </c>
      <c r="H182" s="608"/>
      <c r="I182" s="599">
        <f t="shared" si="29"/>
        <v>1</v>
      </c>
      <c r="J182" s="608"/>
      <c r="K182" s="599">
        <f t="shared" si="30"/>
        <v>1</v>
      </c>
      <c r="L182" s="608"/>
      <c r="M182" s="599">
        <f t="shared" si="31"/>
        <v>1</v>
      </c>
      <c r="N182" s="608"/>
      <c r="O182" s="599">
        <f t="shared" si="32"/>
        <v>1</v>
      </c>
      <c r="P182" s="608"/>
      <c r="Q182" s="599">
        <f t="shared" si="33"/>
        <v>1</v>
      </c>
      <c r="R182" s="659">
        <f t="shared" si="34"/>
        <v>0</v>
      </c>
      <c r="S182" s="598">
        <f t="shared" si="25"/>
        <v>0</v>
      </c>
    </row>
    <row r="183" spans="1:19">
      <c r="A183" s="606"/>
      <c r="B183" s="607"/>
      <c r="C183" s="599">
        <f t="shared" si="26"/>
        <v>1</v>
      </c>
      <c r="D183" s="608"/>
      <c r="E183" s="599">
        <f t="shared" si="27"/>
        <v>1</v>
      </c>
      <c r="F183" s="608"/>
      <c r="G183" s="599">
        <f t="shared" si="28"/>
        <v>1</v>
      </c>
      <c r="H183" s="608"/>
      <c r="I183" s="599">
        <f t="shared" si="29"/>
        <v>1</v>
      </c>
      <c r="J183" s="608"/>
      <c r="K183" s="599">
        <f t="shared" si="30"/>
        <v>1</v>
      </c>
      <c r="L183" s="608"/>
      <c r="M183" s="599">
        <f t="shared" si="31"/>
        <v>1</v>
      </c>
      <c r="N183" s="608"/>
      <c r="O183" s="599">
        <f t="shared" si="32"/>
        <v>1</v>
      </c>
      <c r="P183" s="608"/>
      <c r="Q183" s="599">
        <f t="shared" si="33"/>
        <v>1</v>
      </c>
      <c r="R183" s="659">
        <f t="shared" si="34"/>
        <v>0</v>
      </c>
      <c r="S183" s="598">
        <f t="shared" si="25"/>
        <v>0</v>
      </c>
    </row>
    <row r="184" spans="1:19">
      <c r="A184" s="606"/>
      <c r="B184" s="607"/>
      <c r="C184" s="599">
        <f t="shared" si="26"/>
        <v>1</v>
      </c>
      <c r="D184" s="608"/>
      <c r="E184" s="599">
        <f t="shared" si="27"/>
        <v>1</v>
      </c>
      <c r="F184" s="608"/>
      <c r="G184" s="599">
        <f t="shared" si="28"/>
        <v>1</v>
      </c>
      <c r="H184" s="608"/>
      <c r="I184" s="599">
        <f t="shared" si="29"/>
        <v>1</v>
      </c>
      <c r="J184" s="608"/>
      <c r="K184" s="599">
        <f t="shared" si="30"/>
        <v>1</v>
      </c>
      <c r="L184" s="608"/>
      <c r="M184" s="599">
        <f t="shared" si="31"/>
        <v>1</v>
      </c>
      <c r="N184" s="608"/>
      <c r="O184" s="599">
        <f t="shared" si="32"/>
        <v>1</v>
      </c>
      <c r="P184" s="608"/>
      <c r="Q184" s="599">
        <f t="shared" si="33"/>
        <v>1</v>
      </c>
      <c r="R184" s="659">
        <f t="shared" si="34"/>
        <v>0</v>
      </c>
      <c r="S184" s="598">
        <f t="shared" si="25"/>
        <v>0</v>
      </c>
    </row>
    <row r="185" spans="1:19">
      <c r="A185" s="606"/>
      <c r="B185" s="607"/>
      <c r="C185" s="599">
        <f t="shared" si="26"/>
        <v>1</v>
      </c>
      <c r="D185" s="608"/>
      <c r="E185" s="599">
        <f t="shared" si="27"/>
        <v>1</v>
      </c>
      <c r="F185" s="608"/>
      <c r="G185" s="599">
        <f t="shared" si="28"/>
        <v>1</v>
      </c>
      <c r="H185" s="608"/>
      <c r="I185" s="599">
        <f t="shared" si="29"/>
        <v>1</v>
      </c>
      <c r="J185" s="608"/>
      <c r="K185" s="599">
        <f t="shared" si="30"/>
        <v>1</v>
      </c>
      <c r="L185" s="608"/>
      <c r="M185" s="599">
        <f t="shared" si="31"/>
        <v>1</v>
      </c>
      <c r="N185" s="608"/>
      <c r="O185" s="599">
        <f t="shared" si="32"/>
        <v>1</v>
      </c>
      <c r="P185" s="608"/>
      <c r="Q185" s="599">
        <f t="shared" si="33"/>
        <v>1</v>
      </c>
      <c r="R185" s="659">
        <f t="shared" si="34"/>
        <v>0</v>
      </c>
      <c r="S185" s="598">
        <f t="shared" si="25"/>
        <v>0</v>
      </c>
    </row>
    <row r="186" spans="1:19">
      <c r="A186" s="606"/>
      <c r="B186" s="607"/>
      <c r="C186" s="599">
        <f t="shared" si="26"/>
        <v>1</v>
      </c>
      <c r="D186" s="608"/>
      <c r="E186" s="599">
        <f t="shared" si="27"/>
        <v>1</v>
      </c>
      <c r="F186" s="608"/>
      <c r="G186" s="599">
        <f t="shared" si="28"/>
        <v>1</v>
      </c>
      <c r="H186" s="608"/>
      <c r="I186" s="599">
        <f t="shared" si="29"/>
        <v>1</v>
      </c>
      <c r="J186" s="608"/>
      <c r="K186" s="599">
        <f t="shared" si="30"/>
        <v>1</v>
      </c>
      <c r="L186" s="608"/>
      <c r="M186" s="599">
        <f t="shared" si="31"/>
        <v>1</v>
      </c>
      <c r="N186" s="608"/>
      <c r="O186" s="599">
        <f t="shared" si="32"/>
        <v>1</v>
      </c>
      <c r="P186" s="608"/>
      <c r="Q186" s="599">
        <f t="shared" si="33"/>
        <v>1</v>
      </c>
      <c r="R186" s="659">
        <f t="shared" si="34"/>
        <v>0</v>
      </c>
      <c r="S186" s="598">
        <f t="shared" si="25"/>
        <v>0</v>
      </c>
    </row>
    <row r="187" spans="1:19">
      <c r="A187" s="606"/>
      <c r="B187" s="607"/>
      <c r="C187" s="599">
        <f t="shared" si="26"/>
        <v>1</v>
      </c>
      <c r="D187" s="608"/>
      <c r="E187" s="599">
        <f t="shared" si="27"/>
        <v>1</v>
      </c>
      <c r="F187" s="608"/>
      <c r="G187" s="599">
        <f t="shared" si="28"/>
        <v>1</v>
      </c>
      <c r="H187" s="608"/>
      <c r="I187" s="599">
        <f t="shared" si="29"/>
        <v>1</v>
      </c>
      <c r="J187" s="608"/>
      <c r="K187" s="599">
        <f t="shared" si="30"/>
        <v>1</v>
      </c>
      <c r="L187" s="608"/>
      <c r="M187" s="599">
        <f t="shared" si="31"/>
        <v>1</v>
      </c>
      <c r="N187" s="608"/>
      <c r="O187" s="599">
        <f t="shared" si="32"/>
        <v>1</v>
      </c>
      <c r="P187" s="608"/>
      <c r="Q187" s="599">
        <f t="shared" si="33"/>
        <v>1</v>
      </c>
      <c r="R187" s="659">
        <f t="shared" si="34"/>
        <v>0</v>
      </c>
      <c r="S187" s="598">
        <f t="shared" si="25"/>
        <v>0</v>
      </c>
    </row>
    <row r="188" spans="1:19">
      <c r="A188" s="606"/>
      <c r="B188" s="607"/>
      <c r="C188" s="599">
        <f t="shared" si="26"/>
        <v>1</v>
      </c>
      <c r="D188" s="608"/>
      <c r="E188" s="599">
        <f t="shared" si="27"/>
        <v>1</v>
      </c>
      <c r="F188" s="608"/>
      <c r="G188" s="599">
        <f t="shared" si="28"/>
        <v>1</v>
      </c>
      <c r="H188" s="608"/>
      <c r="I188" s="599">
        <f t="shared" si="29"/>
        <v>1</v>
      </c>
      <c r="J188" s="608"/>
      <c r="K188" s="599">
        <f t="shared" si="30"/>
        <v>1</v>
      </c>
      <c r="L188" s="608"/>
      <c r="M188" s="599">
        <f t="shared" si="31"/>
        <v>1</v>
      </c>
      <c r="N188" s="608"/>
      <c r="O188" s="599">
        <f t="shared" si="32"/>
        <v>1</v>
      </c>
      <c r="P188" s="608"/>
      <c r="Q188" s="599">
        <f t="shared" si="33"/>
        <v>1</v>
      </c>
      <c r="R188" s="659">
        <f t="shared" si="34"/>
        <v>0</v>
      </c>
      <c r="S188" s="598">
        <f t="shared" si="25"/>
        <v>0</v>
      </c>
    </row>
    <row r="189" spans="1:19">
      <c r="A189" s="606"/>
      <c r="B189" s="607"/>
      <c r="C189" s="599">
        <f t="shared" si="26"/>
        <v>1</v>
      </c>
      <c r="D189" s="608"/>
      <c r="E189" s="599">
        <f t="shared" si="27"/>
        <v>1</v>
      </c>
      <c r="F189" s="608"/>
      <c r="G189" s="599">
        <f t="shared" si="28"/>
        <v>1</v>
      </c>
      <c r="H189" s="608"/>
      <c r="I189" s="599">
        <f t="shared" si="29"/>
        <v>1</v>
      </c>
      <c r="J189" s="608"/>
      <c r="K189" s="599">
        <f t="shared" si="30"/>
        <v>1</v>
      </c>
      <c r="L189" s="608"/>
      <c r="M189" s="599">
        <f t="shared" si="31"/>
        <v>1</v>
      </c>
      <c r="N189" s="608"/>
      <c r="O189" s="599">
        <f t="shared" si="32"/>
        <v>1</v>
      </c>
      <c r="P189" s="608"/>
      <c r="Q189" s="599">
        <f t="shared" si="33"/>
        <v>1</v>
      </c>
      <c r="R189" s="659">
        <f t="shared" si="34"/>
        <v>0</v>
      </c>
      <c r="S189" s="598">
        <f t="shared" si="25"/>
        <v>0</v>
      </c>
    </row>
    <row r="190" spans="1:19">
      <c r="A190" s="606"/>
      <c r="B190" s="607"/>
      <c r="C190" s="599">
        <f t="shared" si="26"/>
        <v>1</v>
      </c>
      <c r="D190" s="608"/>
      <c r="E190" s="599">
        <f t="shared" si="27"/>
        <v>1</v>
      </c>
      <c r="F190" s="608"/>
      <c r="G190" s="599">
        <f t="shared" si="28"/>
        <v>1</v>
      </c>
      <c r="H190" s="608"/>
      <c r="I190" s="599">
        <f t="shared" si="29"/>
        <v>1</v>
      </c>
      <c r="J190" s="608"/>
      <c r="K190" s="599">
        <f t="shared" si="30"/>
        <v>1</v>
      </c>
      <c r="L190" s="608"/>
      <c r="M190" s="599">
        <f t="shared" si="31"/>
        <v>1</v>
      </c>
      <c r="N190" s="608"/>
      <c r="O190" s="599">
        <f t="shared" si="32"/>
        <v>1</v>
      </c>
      <c r="P190" s="608"/>
      <c r="Q190" s="599">
        <f t="shared" si="33"/>
        <v>1</v>
      </c>
      <c r="R190" s="659">
        <f t="shared" si="34"/>
        <v>0</v>
      </c>
      <c r="S190" s="598">
        <f t="shared" si="25"/>
        <v>0</v>
      </c>
    </row>
    <row r="191" spans="1:19">
      <c r="A191" s="606"/>
      <c r="B191" s="607"/>
      <c r="C191" s="599">
        <f t="shared" si="26"/>
        <v>1</v>
      </c>
      <c r="D191" s="608"/>
      <c r="E191" s="599">
        <f t="shared" si="27"/>
        <v>1</v>
      </c>
      <c r="F191" s="608"/>
      <c r="G191" s="599">
        <f t="shared" si="28"/>
        <v>1</v>
      </c>
      <c r="H191" s="608"/>
      <c r="I191" s="599">
        <f t="shared" si="29"/>
        <v>1</v>
      </c>
      <c r="J191" s="608"/>
      <c r="K191" s="599">
        <f t="shared" si="30"/>
        <v>1</v>
      </c>
      <c r="L191" s="608"/>
      <c r="M191" s="599">
        <f t="shared" si="31"/>
        <v>1</v>
      </c>
      <c r="N191" s="608"/>
      <c r="O191" s="599">
        <f t="shared" si="32"/>
        <v>1</v>
      </c>
      <c r="P191" s="608"/>
      <c r="Q191" s="599">
        <f t="shared" si="33"/>
        <v>1</v>
      </c>
      <c r="R191" s="659">
        <f t="shared" si="34"/>
        <v>0</v>
      </c>
      <c r="S191" s="598">
        <f t="shared" si="25"/>
        <v>0</v>
      </c>
    </row>
    <row r="192" spans="1:19">
      <c r="A192" s="606"/>
      <c r="B192" s="607"/>
      <c r="C192" s="599">
        <f t="shared" si="26"/>
        <v>1</v>
      </c>
      <c r="D192" s="608"/>
      <c r="E192" s="599">
        <f t="shared" si="27"/>
        <v>1</v>
      </c>
      <c r="F192" s="608"/>
      <c r="G192" s="599">
        <f t="shared" si="28"/>
        <v>1</v>
      </c>
      <c r="H192" s="608"/>
      <c r="I192" s="599">
        <f t="shared" si="29"/>
        <v>1</v>
      </c>
      <c r="J192" s="608"/>
      <c r="K192" s="599">
        <f t="shared" si="30"/>
        <v>1</v>
      </c>
      <c r="L192" s="608"/>
      <c r="M192" s="599">
        <f t="shared" si="31"/>
        <v>1</v>
      </c>
      <c r="N192" s="608"/>
      <c r="O192" s="599">
        <f t="shared" si="32"/>
        <v>1</v>
      </c>
      <c r="P192" s="608"/>
      <c r="Q192" s="599">
        <f t="shared" si="33"/>
        <v>1</v>
      </c>
      <c r="R192" s="659">
        <f t="shared" si="34"/>
        <v>0</v>
      </c>
      <c r="S192" s="598">
        <f t="shared" si="25"/>
        <v>0</v>
      </c>
    </row>
    <row r="193" spans="1:19">
      <c r="A193" s="606"/>
      <c r="B193" s="607"/>
      <c r="C193" s="599">
        <f t="shared" si="26"/>
        <v>1</v>
      </c>
      <c r="D193" s="608"/>
      <c r="E193" s="599">
        <f t="shared" si="27"/>
        <v>1</v>
      </c>
      <c r="F193" s="608"/>
      <c r="G193" s="599">
        <f t="shared" si="28"/>
        <v>1</v>
      </c>
      <c r="H193" s="608"/>
      <c r="I193" s="599">
        <f t="shared" si="29"/>
        <v>1</v>
      </c>
      <c r="J193" s="608"/>
      <c r="K193" s="599">
        <f t="shared" si="30"/>
        <v>1</v>
      </c>
      <c r="L193" s="608"/>
      <c r="M193" s="599">
        <f t="shared" si="31"/>
        <v>1</v>
      </c>
      <c r="N193" s="608"/>
      <c r="O193" s="599">
        <f t="shared" si="32"/>
        <v>1</v>
      </c>
      <c r="P193" s="608"/>
      <c r="Q193" s="599">
        <f t="shared" si="33"/>
        <v>1</v>
      </c>
      <c r="R193" s="659">
        <f t="shared" si="34"/>
        <v>0</v>
      </c>
      <c r="S193" s="598">
        <f t="shared" si="25"/>
        <v>0</v>
      </c>
    </row>
    <row r="194" spans="1:19">
      <c r="A194" s="606"/>
      <c r="B194" s="607"/>
      <c r="C194" s="599">
        <f t="shared" si="26"/>
        <v>1</v>
      </c>
      <c r="D194" s="608"/>
      <c r="E194" s="599">
        <f t="shared" si="27"/>
        <v>1</v>
      </c>
      <c r="F194" s="608"/>
      <c r="G194" s="599">
        <f t="shared" si="28"/>
        <v>1</v>
      </c>
      <c r="H194" s="608"/>
      <c r="I194" s="599">
        <f t="shared" si="29"/>
        <v>1</v>
      </c>
      <c r="J194" s="608"/>
      <c r="K194" s="599">
        <f t="shared" si="30"/>
        <v>1</v>
      </c>
      <c r="L194" s="608"/>
      <c r="M194" s="599">
        <f t="shared" si="31"/>
        <v>1</v>
      </c>
      <c r="N194" s="608"/>
      <c r="O194" s="599">
        <f t="shared" si="32"/>
        <v>1</v>
      </c>
      <c r="P194" s="608"/>
      <c r="Q194" s="599">
        <f t="shared" si="33"/>
        <v>1</v>
      </c>
      <c r="R194" s="659">
        <f t="shared" si="34"/>
        <v>0</v>
      </c>
      <c r="S194" s="598">
        <f t="shared" si="25"/>
        <v>0</v>
      </c>
    </row>
    <row r="195" spans="1:19">
      <c r="A195" s="606"/>
      <c r="B195" s="607"/>
      <c r="C195" s="599">
        <f t="shared" si="26"/>
        <v>1</v>
      </c>
      <c r="D195" s="608"/>
      <c r="E195" s="599">
        <f t="shared" si="27"/>
        <v>1</v>
      </c>
      <c r="F195" s="608"/>
      <c r="G195" s="599">
        <f t="shared" si="28"/>
        <v>1</v>
      </c>
      <c r="H195" s="608"/>
      <c r="I195" s="599">
        <f t="shared" si="29"/>
        <v>1</v>
      </c>
      <c r="J195" s="608"/>
      <c r="K195" s="599">
        <f t="shared" si="30"/>
        <v>1</v>
      </c>
      <c r="L195" s="608"/>
      <c r="M195" s="599">
        <f t="shared" si="31"/>
        <v>1</v>
      </c>
      <c r="N195" s="608"/>
      <c r="O195" s="599">
        <f t="shared" si="32"/>
        <v>1</v>
      </c>
      <c r="P195" s="608"/>
      <c r="Q195" s="599">
        <f t="shared" si="33"/>
        <v>1</v>
      </c>
      <c r="R195" s="659">
        <f t="shared" si="34"/>
        <v>0</v>
      </c>
      <c r="S195" s="598">
        <f t="shared" si="25"/>
        <v>0</v>
      </c>
    </row>
    <row r="196" spans="1:19">
      <c r="A196" s="606"/>
      <c r="B196" s="607"/>
      <c r="C196" s="599">
        <f t="shared" si="26"/>
        <v>1</v>
      </c>
      <c r="D196" s="608"/>
      <c r="E196" s="599">
        <f t="shared" si="27"/>
        <v>1</v>
      </c>
      <c r="F196" s="608"/>
      <c r="G196" s="599">
        <f t="shared" si="28"/>
        <v>1</v>
      </c>
      <c r="H196" s="608"/>
      <c r="I196" s="599">
        <f t="shared" si="29"/>
        <v>1</v>
      </c>
      <c r="J196" s="608"/>
      <c r="K196" s="599">
        <f t="shared" si="30"/>
        <v>1</v>
      </c>
      <c r="L196" s="608"/>
      <c r="M196" s="599">
        <f t="shared" si="31"/>
        <v>1</v>
      </c>
      <c r="N196" s="608"/>
      <c r="O196" s="599">
        <f t="shared" si="32"/>
        <v>1</v>
      </c>
      <c r="P196" s="608"/>
      <c r="Q196" s="599">
        <f t="shared" si="33"/>
        <v>1</v>
      </c>
      <c r="R196" s="659">
        <f t="shared" si="34"/>
        <v>0</v>
      </c>
      <c r="S196" s="598">
        <f t="shared" si="25"/>
        <v>0</v>
      </c>
    </row>
    <row r="197" spans="1:19">
      <c r="A197" s="606"/>
      <c r="B197" s="607"/>
      <c r="C197" s="599">
        <f t="shared" si="26"/>
        <v>1</v>
      </c>
      <c r="D197" s="608"/>
      <c r="E197" s="599">
        <f t="shared" si="27"/>
        <v>1</v>
      </c>
      <c r="F197" s="608"/>
      <c r="G197" s="599">
        <f t="shared" si="28"/>
        <v>1</v>
      </c>
      <c r="H197" s="608"/>
      <c r="I197" s="599">
        <f t="shared" si="29"/>
        <v>1</v>
      </c>
      <c r="J197" s="608"/>
      <c r="K197" s="599">
        <f t="shared" si="30"/>
        <v>1</v>
      </c>
      <c r="L197" s="608"/>
      <c r="M197" s="599">
        <f t="shared" si="31"/>
        <v>1</v>
      </c>
      <c r="N197" s="608"/>
      <c r="O197" s="599">
        <f t="shared" si="32"/>
        <v>1</v>
      </c>
      <c r="P197" s="608"/>
      <c r="Q197" s="599">
        <f t="shared" si="33"/>
        <v>1</v>
      </c>
      <c r="R197" s="659">
        <f t="shared" si="34"/>
        <v>0</v>
      </c>
      <c r="S197" s="598">
        <f t="shared" si="25"/>
        <v>0</v>
      </c>
    </row>
    <row r="198" spans="1:19">
      <c r="A198" s="606"/>
      <c r="B198" s="607"/>
      <c r="C198" s="599">
        <f t="shared" si="26"/>
        <v>1</v>
      </c>
      <c r="D198" s="608"/>
      <c r="E198" s="599">
        <f t="shared" si="27"/>
        <v>1</v>
      </c>
      <c r="F198" s="608"/>
      <c r="G198" s="599">
        <f t="shared" si="28"/>
        <v>1</v>
      </c>
      <c r="H198" s="608"/>
      <c r="I198" s="599">
        <f t="shared" si="29"/>
        <v>1</v>
      </c>
      <c r="J198" s="608"/>
      <c r="K198" s="599">
        <f t="shared" si="30"/>
        <v>1</v>
      </c>
      <c r="L198" s="608"/>
      <c r="M198" s="599">
        <f t="shared" si="31"/>
        <v>1</v>
      </c>
      <c r="N198" s="608"/>
      <c r="O198" s="599">
        <f t="shared" si="32"/>
        <v>1</v>
      </c>
      <c r="P198" s="608"/>
      <c r="Q198" s="599">
        <f t="shared" si="33"/>
        <v>1</v>
      </c>
      <c r="R198" s="659">
        <f t="shared" si="34"/>
        <v>0</v>
      </c>
      <c r="S198" s="598">
        <f t="shared" si="25"/>
        <v>0</v>
      </c>
    </row>
    <row r="199" spans="1:19">
      <c r="A199" s="606"/>
      <c r="B199" s="607"/>
      <c r="C199" s="599">
        <f t="shared" si="26"/>
        <v>1</v>
      </c>
      <c r="D199" s="608"/>
      <c r="E199" s="599">
        <f t="shared" si="27"/>
        <v>1</v>
      </c>
      <c r="F199" s="608"/>
      <c r="G199" s="599">
        <f t="shared" si="28"/>
        <v>1</v>
      </c>
      <c r="H199" s="608"/>
      <c r="I199" s="599">
        <f t="shared" si="29"/>
        <v>1</v>
      </c>
      <c r="J199" s="608"/>
      <c r="K199" s="599">
        <f t="shared" si="30"/>
        <v>1</v>
      </c>
      <c r="L199" s="608"/>
      <c r="M199" s="599">
        <f t="shared" si="31"/>
        <v>1</v>
      </c>
      <c r="N199" s="608"/>
      <c r="O199" s="599">
        <f t="shared" si="32"/>
        <v>1</v>
      </c>
      <c r="P199" s="608"/>
      <c r="Q199" s="599">
        <f t="shared" si="33"/>
        <v>1</v>
      </c>
      <c r="R199" s="659">
        <f t="shared" si="34"/>
        <v>0</v>
      </c>
      <c r="S199" s="598">
        <f t="shared" si="25"/>
        <v>0</v>
      </c>
    </row>
    <row r="200" spans="1:19">
      <c r="A200" s="606"/>
      <c r="B200" s="607"/>
      <c r="C200" s="599">
        <f t="shared" si="26"/>
        <v>1</v>
      </c>
      <c r="D200" s="608"/>
      <c r="E200" s="599">
        <f t="shared" si="27"/>
        <v>1</v>
      </c>
      <c r="F200" s="608"/>
      <c r="G200" s="599">
        <f t="shared" si="28"/>
        <v>1</v>
      </c>
      <c r="H200" s="608"/>
      <c r="I200" s="599">
        <f t="shared" si="29"/>
        <v>1</v>
      </c>
      <c r="J200" s="608"/>
      <c r="K200" s="599">
        <f t="shared" si="30"/>
        <v>1</v>
      </c>
      <c r="L200" s="608"/>
      <c r="M200" s="599">
        <f t="shared" si="31"/>
        <v>1</v>
      </c>
      <c r="N200" s="608"/>
      <c r="O200" s="599">
        <f t="shared" si="32"/>
        <v>1</v>
      </c>
      <c r="P200" s="608"/>
      <c r="Q200" s="599">
        <f t="shared" si="33"/>
        <v>1</v>
      </c>
      <c r="R200" s="659">
        <f t="shared" si="34"/>
        <v>0</v>
      </c>
      <c r="S200" s="598">
        <f t="shared" si="25"/>
        <v>0</v>
      </c>
    </row>
    <row r="201" spans="1:19">
      <c r="A201" s="606"/>
      <c r="B201" s="607"/>
      <c r="C201" s="599">
        <f t="shared" si="26"/>
        <v>1</v>
      </c>
      <c r="D201" s="608"/>
      <c r="E201" s="599">
        <f t="shared" si="27"/>
        <v>1</v>
      </c>
      <c r="F201" s="608"/>
      <c r="G201" s="599">
        <f t="shared" si="28"/>
        <v>1</v>
      </c>
      <c r="H201" s="608"/>
      <c r="I201" s="599">
        <f t="shared" si="29"/>
        <v>1</v>
      </c>
      <c r="J201" s="608"/>
      <c r="K201" s="599">
        <f t="shared" si="30"/>
        <v>1</v>
      </c>
      <c r="L201" s="608"/>
      <c r="M201" s="599">
        <f t="shared" si="31"/>
        <v>1</v>
      </c>
      <c r="N201" s="608"/>
      <c r="O201" s="599">
        <f t="shared" si="32"/>
        <v>1</v>
      </c>
      <c r="P201" s="608"/>
      <c r="Q201" s="599">
        <f t="shared" si="33"/>
        <v>1</v>
      </c>
      <c r="R201" s="659">
        <f t="shared" si="34"/>
        <v>0</v>
      </c>
      <c r="S201" s="598">
        <f t="shared" si="25"/>
        <v>0</v>
      </c>
    </row>
    <row r="202" spans="1:19">
      <c r="A202" s="606"/>
      <c r="B202" s="607"/>
      <c r="C202" s="599">
        <f t="shared" si="26"/>
        <v>1</v>
      </c>
      <c r="D202" s="608"/>
      <c r="E202" s="599">
        <f t="shared" si="27"/>
        <v>1</v>
      </c>
      <c r="F202" s="608"/>
      <c r="G202" s="599">
        <f t="shared" si="28"/>
        <v>1</v>
      </c>
      <c r="H202" s="608"/>
      <c r="I202" s="599">
        <f t="shared" si="29"/>
        <v>1</v>
      </c>
      <c r="J202" s="608"/>
      <c r="K202" s="599">
        <f t="shared" si="30"/>
        <v>1</v>
      </c>
      <c r="L202" s="608"/>
      <c r="M202" s="599">
        <f t="shared" si="31"/>
        <v>1</v>
      </c>
      <c r="N202" s="608"/>
      <c r="O202" s="599">
        <f t="shared" si="32"/>
        <v>1</v>
      </c>
      <c r="P202" s="608"/>
      <c r="Q202" s="599">
        <f t="shared" si="33"/>
        <v>1</v>
      </c>
      <c r="R202" s="659">
        <f t="shared" si="34"/>
        <v>0</v>
      </c>
      <c r="S202" s="598">
        <f t="shared" si="25"/>
        <v>0</v>
      </c>
    </row>
    <row r="203" spans="1:19">
      <c r="A203" s="606"/>
      <c r="B203" s="607"/>
      <c r="C203" s="599">
        <f t="shared" si="26"/>
        <v>1</v>
      </c>
      <c r="D203" s="608"/>
      <c r="E203" s="599">
        <f t="shared" si="27"/>
        <v>1</v>
      </c>
      <c r="F203" s="608"/>
      <c r="G203" s="599">
        <f t="shared" si="28"/>
        <v>1</v>
      </c>
      <c r="H203" s="608"/>
      <c r="I203" s="599">
        <f t="shared" si="29"/>
        <v>1</v>
      </c>
      <c r="J203" s="608"/>
      <c r="K203" s="599">
        <f t="shared" si="30"/>
        <v>1</v>
      </c>
      <c r="L203" s="608"/>
      <c r="M203" s="599">
        <f t="shared" si="31"/>
        <v>1</v>
      </c>
      <c r="N203" s="608"/>
      <c r="O203" s="599">
        <f t="shared" si="32"/>
        <v>1</v>
      </c>
      <c r="P203" s="608"/>
      <c r="Q203" s="599">
        <f t="shared" si="33"/>
        <v>1</v>
      </c>
      <c r="R203" s="659">
        <f t="shared" si="34"/>
        <v>0</v>
      </c>
      <c r="S203" s="598">
        <f t="shared" si="25"/>
        <v>0</v>
      </c>
    </row>
    <row r="204" spans="1:19">
      <c r="A204" s="606"/>
      <c r="B204" s="607"/>
      <c r="C204" s="599">
        <f t="shared" si="26"/>
        <v>1</v>
      </c>
      <c r="D204" s="608"/>
      <c r="E204" s="599">
        <f t="shared" si="27"/>
        <v>1</v>
      </c>
      <c r="F204" s="608"/>
      <c r="G204" s="599">
        <f t="shared" si="28"/>
        <v>1</v>
      </c>
      <c r="H204" s="608"/>
      <c r="I204" s="599">
        <f t="shared" si="29"/>
        <v>1</v>
      </c>
      <c r="J204" s="608"/>
      <c r="K204" s="599">
        <f t="shared" si="30"/>
        <v>1</v>
      </c>
      <c r="L204" s="608"/>
      <c r="M204" s="599">
        <f t="shared" si="31"/>
        <v>1</v>
      </c>
      <c r="N204" s="608"/>
      <c r="O204" s="599">
        <f t="shared" si="32"/>
        <v>1</v>
      </c>
      <c r="P204" s="608"/>
      <c r="Q204" s="599">
        <f t="shared" si="33"/>
        <v>1</v>
      </c>
      <c r="R204" s="659">
        <f t="shared" si="34"/>
        <v>0</v>
      </c>
      <c r="S204" s="598">
        <f t="shared" si="25"/>
        <v>0</v>
      </c>
    </row>
    <row r="205" spans="1:19">
      <c r="A205" s="606"/>
      <c r="B205" s="607"/>
      <c r="C205" s="599">
        <f t="shared" si="26"/>
        <v>1</v>
      </c>
      <c r="D205" s="608"/>
      <c r="E205" s="599">
        <f t="shared" si="27"/>
        <v>1</v>
      </c>
      <c r="F205" s="608"/>
      <c r="G205" s="599">
        <f t="shared" si="28"/>
        <v>1</v>
      </c>
      <c r="H205" s="608"/>
      <c r="I205" s="599">
        <f t="shared" si="29"/>
        <v>1</v>
      </c>
      <c r="J205" s="608"/>
      <c r="K205" s="599">
        <f t="shared" si="30"/>
        <v>1</v>
      </c>
      <c r="L205" s="608"/>
      <c r="M205" s="599">
        <f t="shared" si="31"/>
        <v>1</v>
      </c>
      <c r="N205" s="608"/>
      <c r="O205" s="599">
        <f t="shared" si="32"/>
        <v>1</v>
      </c>
      <c r="P205" s="608"/>
      <c r="Q205" s="599">
        <f t="shared" si="33"/>
        <v>1</v>
      </c>
      <c r="R205" s="659">
        <f t="shared" si="34"/>
        <v>0</v>
      </c>
      <c r="S205" s="598">
        <f t="shared" si="25"/>
        <v>0</v>
      </c>
    </row>
    <row r="206" spans="1:19">
      <c r="A206" s="606"/>
      <c r="B206" s="607"/>
      <c r="C206" s="599">
        <f t="shared" si="26"/>
        <v>1</v>
      </c>
      <c r="D206" s="608"/>
      <c r="E206" s="599">
        <f t="shared" si="27"/>
        <v>1</v>
      </c>
      <c r="F206" s="608"/>
      <c r="G206" s="599">
        <f t="shared" si="28"/>
        <v>1</v>
      </c>
      <c r="H206" s="608"/>
      <c r="I206" s="599">
        <f t="shared" si="29"/>
        <v>1</v>
      </c>
      <c r="J206" s="608"/>
      <c r="K206" s="599">
        <f t="shared" si="30"/>
        <v>1</v>
      </c>
      <c r="L206" s="608"/>
      <c r="M206" s="599">
        <f t="shared" si="31"/>
        <v>1</v>
      </c>
      <c r="N206" s="608"/>
      <c r="O206" s="599">
        <f t="shared" si="32"/>
        <v>1</v>
      </c>
      <c r="P206" s="608"/>
      <c r="Q206" s="599">
        <f t="shared" si="33"/>
        <v>1</v>
      </c>
      <c r="R206" s="659">
        <f t="shared" si="34"/>
        <v>0</v>
      </c>
      <c r="S206" s="598">
        <f t="shared" si="25"/>
        <v>0</v>
      </c>
    </row>
    <row r="207" spans="1:19">
      <c r="A207" s="606"/>
      <c r="B207" s="607"/>
      <c r="C207" s="599">
        <f t="shared" si="26"/>
        <v>1</v>
      </c>
      <c r="D207" s="608"/>
      <c r="E207" s="599">
        <f t="shared" si="27"/>
        <v>1</v>
      </c>
      <c r="F207" s="608"/>
      <c r="G207" s="599">
        <f t="shared" si="28"/>
        <v>1</v>
      </c>
      <c r="H207" s="608"/>
      <c r="I207" s="599">
        <f t="shared" si="29"/>
        <v>1</v>
      </c>
      <c r="J207" s="608"/>
      <c r="K207" s="599">
        <f t="shared" si="30"/>
        <v>1</v>
      </c>
      <c r="L207" s="608"/>
      <c r="M207" s="599">
        <f t="shared" si="31"/>
        <v>1</v>
      </c>
      <c r="N207" s="608"/>
      <c r="O207" s="599">
        <f t="shared" si="32"/>
        <v>1</v>
      </c>
      <c r="P207" s="608"/>
      <c r="Q207" s="599">
        <f t="shared" si="33"/>
        <v>1</v>
      </c>
      <c r="R207" s="659">
        <f t="shared" si="34"/>
        <v>0</v>
      </c>
      <c r="S207" s="598">
        <f t="shared" si="25"/>
        <v>0</v>
      </c>
    </row>
    <row r="208" spans="1:19">
      <c r="A208" s="606"/>
      <c r="B208" s="607"/>
      <c r="C208" s="599">
        <f t="shared" si="26"/>
        <v>1</v>
      </c>
      <c r="D208" s="608"/>
      <c r="E208" s="599">
        <f t="shared" si="27"/>
        <v>1</v>
      </c>
      <c r="F208" s="608"/>
      <c r="G208" s="599">
        <f t="shared" si="28"/>
        <v>1</v>
      </c>
      <c r="H208" s="608"/>
      <c r="I208" s="599">
        <f t="shared" si="29"/>
        <v>1</v>
      </c>
      <c r="J208" s="608"/>
      <c r="K208" s="599">
        <f t="shared" si="30"/>
        <v>1</v>
      </c>
      <c r="L208" s="608"/>
      <c r="M208" s="599">
        <f t="shared" si="31"/>
        <v>1</v>
      </c>
      <c r="N208" s="608"/>
      <c r="O208" s="599">
        <f t="shared" si="32"/>
        <v>1</v>
      </c>
      <c r="P208" s="608"/>
      <c r="Q208" s="599">
        <f t="shared" si="33"/>
        <v>1</v>
      </c>
      <c r="R208" s="659">
        <f t="shared" si="34"/>
        <v>0</v>
      </c>
      <c r="S208" s="598">
        <f t="shared" si="25"/>
        <v>0</v>
      </c>
    </row>
    <row r="209" spans="1:19">
      <c r="A209" s="606"/>
      <c r="B209" s="607"/>
      <c r="C209" s="599">
        <f t="shared" si="26"/>
        <v>1</v>
      </c>
      <c r="D209" s="608"/>
      <c r="E209" s="599">
        <f t="shared" si="27"/>
        <v>1</v>
      </c>
      <c r="F209" s="608"/>
      <c r="G209" s="599">
        <f t="shared" si="28"/>
        <v>1</v>
      </c>
      <c r="H209" s="608"/>
      <c r="I209" s="599">
        <f t="shared" si="29"/>
        <v>1</v>
      </c>
      <c r="J209" s="608"/>
      <c r="K209" s="599">
        <f t="shared" si="30"/>
        <v>1</v>
      </c>
      <c r="L209" s="608"/>
      <c r="M209" s="599">
        <f t="shared" si="31"/>
        <v>1</v>
      </c>
      <c r="N209" s="608"/>
      <c r="O209" s="599">
        <f t="shared" si="32"/>
        <v>1</v>
      </c>
      <c r="P209" s="608"/>
      <c r="Q209" s="599">
        <f t="shared" si="33"/>
        <v>1</v>
      </c>
      <c r="R209" s="659">
        <f t="shared" si="34"/>
        <v>0</v>
      </c>
      <c r="S209" s="598">
        <f t="shared" si="25"/>
        <v>0</v>
      </c>
    </row>
    <row r="210" spans="1:19">
      <c r="A210" s="606"/>
      <c r="B210" s="607"/>
      <c r="C210" s="599">
        <f t="shared" si="26"/>
        <v>1</v>
      </c>
      <c r="D210" s="608"/>
      <c r="E210" s="599">
        <f t="shared" si="27"/>
        <v>1</v>
      </c>
      <c r="F210" s="608"/>
      <c r="G210" s="599">
        <f t="shared" si="28"/>
        <v>1</v>
      </c>
      <c r="H210" s="608"/>
      <c r="I210" s="599">
        <f t="shared" si="29"/>
        <v>1</v>
      </c>
      <c r="J210" s="608"/>
      <c r="K210" s="599">
        <f t="shared" si="30"/>
        <v>1</v>
      </c>
      <c r="L210" s="608"/>
      <c r="M210" s="599">
        <f t="shared" si="31"/>
        <v>1</v>
      </c>
      <c r="N210" s="608"/>
      <c r="O210" s="599">
        <f t="shared" si="32"/>
        <v>1</v>
      </c>
      <c r="P210" s="608"/>
      <c r="Q210" s="599">
        <f t="shared" si="33"/>
        <v>1</v>
      </c>
      <c r="R210" s="659">
        <f t="shared" si="34"/>
        <v>0</v>
      </c>
      <c r="S210" s="598">
        <f t="shared" si="25"/>
        <v>0</v>
      </c>
    </row>
    <row r="211" spans="1:19">
      <c r="A211" s="606"/>
      <c r="B211" s="607"/>
      <c r="C211" s="599">
        <f t="shared" si="26"/>
        <v>1</v>
      </c>
      <c r="D211" s="608"/>
      <c r="E211" s="599">
        <f t="shared" si="27"/>
        <v>1</v>
      </c>
      <c r="F211" s="608"/>
      <c r="G211" s="599">
        <f t="shared" si="28"/>
        <v>1</v>
      </c>
      <c r="H211" s="608"/>
      <c r="I211" s="599">
        <f t="shared" si="29"/>
        <v>1</v>
      </c>
      <c r="J211" s="608"/>
      <c r="K211" s="599">
        <f t="shared" si="30"/>
        <v>1</v>
      </c>
      <c r="L211" s="608"/>
      <c r="M211" s="599">
        <f t="shared" si="31"/>
        <v>1</v>
      </c>
      <c r="N211" s="608"/>
      <c r="O211" s="599">
        <f t="shared" si="32"/>
        <v>1</v>
      </c>
      <c r="P211" s="608"/>
      <c r="Q211" s="599">
        <f t="shared" si="33"/>
        <v>1</v>
      </c>
      <c r="R211" s="659">
        <f t="shared" si="34"/>
        <v>0</v>
      </c>
      <c r="S211" s="598">
        <f t="shared" si="25"/>
        <v>0</v>
      </c>
    </row>
    <row r="212" spans="1:19">
      <c r="A212" s="606"/>
      <c r="B212" s="607"/>
      <c r="C212" s="599">
        <f t="shared" si="26"/>
        <v>1</v>
      </c>
      <c r="D212" s="608"/>
      <c r="E212" s="599">
        <f t="shared" si="27"/>
        <v>1</v>
      </c>
      <c r="F212" s="608"/>
      <c r="G212" s="599">
        <f t="shared" si="28"/>
        <v>1</v>
      </c>
      <c r="H212" s="608"/>
      <c r="I212" s="599">
        <f t="shared" si="29"/>
        <v>1</v>
      </c>
      <c r="J212" s="608"/>
      <c r="K212" s="599">
        <f t="shared" si="30"/>
        <v>1</v>
      </c>
      <c r="L212" s="608"/>
      <c r="M212" s="599">
        <f t="shared" si="31"/>
        <v>1</v>
      </c>
      <c r="N212" s="608"/>
      <c r="O212" s="599">
        <f t="shared" si="32"/>
        <v>1</v>
      </c>
      <c r="P212" s="608"/>
      <c r="Q212" s="599">
        <f t="shared" si="33"/>
        <v>1</v>
      </c>
      <c r="R212" s="659">
        <f t="shared" si="34"/>
        <v>0</v>
      </c>
      <c r="S212" s="598">
        <f t="shared" si="25"/>
        <v>0</v>
      </c>
    </row>
    <row r="213" spans="1:19">
      <c r="A213" s="606"/>
      <c r="B213" s="607"/>
      <c r="C213" s="599">
        <f t="shared" si="26"/>
        <v>1</v>
      </c>
      <c r="D213" s="608"/>
      <c r="E213" s="599">
        <f t="shared" si="27"/>
        <v>1</v>
      </c>
      <c r="F213" s="608"/>
      <c r="G213" s="599">
        <f t="shared" si="28"/>
        <v>1</v>
      </c>
      <c r="H213" s="608"/>
      <c r="I213" s="599">
        <f t="shared" si="29"/>
        <v>1</v>
      </c>
      <c r="J213" s="608"/>
      <c r="K213" s="599">
        <f t="shared" si="30"/>
        <v>1</v>
      </c>
      <c r="L213" s="608"/>
      <c r="M213" s="599">
        <f t="shared" si="31"/>
        <v>1</v>
      </c>
      <c r="N213" s="608"/>
      <c r="O213" s="599">
        <f t="shared" si="32"/>
        <v>1</v>
      </c>
      <c r="P213" s="608"/>
      <c r="Q213" s="599">
        <f t="shared" si="33"/>
        <v>1</v>
      </c>
      <c r="R213" s="659">
        <f t="shared" si="34"/>
        <v>0</v>
      </c>
      <c r="S213" s="598">
        <f t="shared" si="25"/>
        <v>0</v>
      </c>
    </row>
    <row r="214" spans="1:19">
      <c r="A214" s="606"/>
      <c r="B214" s="607"/>
      <c r="C214" s="599">
        <f t="shared" si="26"/>
        <v>1</v>
      </c>
      <c r="D214" s="608"/>
      <c r="E214" s="599">
        <f t="shared" si="27"/>
        <v>1</v>
      </c>
      <c r="F214" s="608"/>
      <c r="G214" s="599">
        <f t="shared" si="28"/>
        <v>1</v>
      </c>
      <c r="H214" s="608"/>
      <c r="I214" s="599">
        <f t="shared" si="29"/>
        <v>1</v>
      </c>
      <c r="J214" s="608"/>
      <c r="K214" s="599">
        <f t="shared" si="30"/>
        <v>1</v>
      </c>
      <c r="L214" s="608"/>
      <c r="M214" s="599">
        <f t="shared" si="31"/>
        <v>1</v>
      </c>
      <c r="N214" s="608"/>
      <c r="O214" s="599">
        <f t="shared" si="32"/>
        <v>1</v>
      </c>
      <c r="P214" s="608"/>
      <c r="Q214" s="599">
        <f t="shared" si="33"/>
        <v>1</v>
      </c>
      <c r="R214" s="659">
        <f t="shared" si="34"/>
        <v>0</v>
      </c>
      <c r="S214" s="598">
        <f t="shared" si="25"/>
        <v>0</v>
      </c>
    </row>
    <row r="215" spans="1:19">
      <c r="A215" s="606"/>
      <c r="B215" s="607"/>
      <c r="C215" s="599">
        <f t="shared" si="26"/>
        <v>1</v>
      </c>
      <c r="D215" s="608"/>
      <c r="E215" s="599">
        <f t="shared" si="27"/>
        <v>1</v>
      </c>
      <c r="F215" s="608"/>
      <c r="G215" s="599">
        <f t="shared" si="28"/>
        <v>1</v>
      </c>
      <c r="H215" s="608"/>
      <c r="I215" s="599">
        <f t="shared" si="29"/>
        <v>1</v>
      </c>
      <c r="J215" s="608"/>
      <c r="K215" s="599">
        <f t="shared" si="30"/>
        <v>1</v>
      </c>
      <c r="L215" s="608"/>
      <c r="M215" s="599">
        <f t="shared" si="31"/>
        <v>1</v>
      </c>
      <c r="N215" s="608"/>
      <c r="O215" s="599">
        <f t="shared" si="32"/>
        <v>1</v>
      </c>
      <c r="P215" s="608"/>
      <c r="Q215" s="599">
        <f t="shared" si="33"/>
        <v>1</v>
      </c>
      <c r="R215" s="659">
        <f t="shared" si="34"/>
        <v>0</v>
      </c>
      <c r="S215" s="598">
        <f t="shared" si="25"/>
        <v>0</v>
      </c>
    </row>
    <row r="216" spans="1:19">
      <c r="A216" s="606"/>
      <c r="B216" s="607"/>
      <c r="C216" s="599">
        <f t="shared" si="26"/>
        <v>1</v>
      </c>
      <c r="D216" s="608"/>
      <c r="E216" s="599">
        <f t="shared" si="27"/>
        <v>1</v>
      </c>
      <c r="F216" s="608"/>
      <c r="G216" s="599">
        <f t="shared" si="28"/>
        <v>1</v>
      </c>
      <c r="H216" s="608"/>
      <c r="I216" s="599">
        <f t="shared" si="29"/>
        <v>1</v>
      </c>
      <c r="J216" s="608"/>
      <c r="K216" s="599">
        <f t="shared" si="30"/>
        <v>1</v>
      </c>
      <c r="L216" s="608"/>
      <c r="M216" s="599">
        <f t="shared" si="31"/>
        <v>1</v>
      </c>
      <c r="N216" s="608"/>
      <c r="O216" s="599">
        <f t="shared" si="32"/>
        <v>1</v>
      </c>
      <c r="P216" s="608"/>
      <c r="Q216" s="599">
        <f t="shared" si="33"/>
        <v>1</v>
      </c>
      <c r="R216" s="659">
        <f t="shared" si="34"/>
        <v>0</v>
      </c>
      <c r="S216" s="598">
        <f t="shared" ref="S216:S279" si="35">ROUND(R216*B216/10000,0)</f>
        <v>0</v>
      </c>
    </row>
    <row r="217" spans="1:19">
      <c r="A217" s="606"/>
      <c r="B217" s="607"/>
      <c r="C217" s="599">
        <f t="shared" ref="C217:C280" si="36">IF(B217="",1,(LOOKUP(B217,$3:$3,$4:$4)-LOOKUP($B$24,$3:$3,$4:$4)+100)/100)</f>
        <v>1</v>
      </c>
      <c r="D217" s="608"/>
      <c r="E217" s="599">
        <f t="shared" ref="E217:E280" si="37">(SUMIF($5:$5,D217,$6:$6)-SUMIF($5:$5,$D$24,$6:$6)+100)/100</f>
        <v>1</v>
      </c>
      <c r="F217" s="608"/>
      <c r="G217" s="599">
        <f t="shared" ref="G217:G280" si="38">(SUMIF($7:$7,F217,$8:$8)-SUMIF($7:$7,$F$24,$8:$8)+100)/100</f>
        <v>1</v>
      </c>
      <c r="H217" s="608"/>
      <c r="I217" s="599">
        <f t="shared" ref="I217:I280" si="39">(SUMIF($9:$9,H217,$10:$10)-SUMIF($9:$9,$H$24,$10:$10)+100)/100</f>
        <v>1</v>
      </c>
      <c r="J217" s="608"/>
      <c r="K217" s="599">
        <f t="shared" ref="K217:K280" si="40">(SUMIF($11:$11,J217,$12:$12)-SUMIF($11:$11,$J$24,$12:$12)+100)/100</f>
        <v>1</v>
      </c>
      <c r="L217" s="608"/>
      <c r="M217" s="599">
        <f t="shared" ref="M217:M280" si="41">(SUMIF($13:$13,L217,$14:$14)-SUMIF($13:$13,$L$24,$14:$14)+100)/100</f>
        <v>1</v>
      </c>
      <c r="N217" s="608"/>
      <c r="O217" s="599">
        <f t="shared" ref="O217:O280" si="42">(SUMIF($15:$15,N217,$16:$16)-SUMIF($15:$15,$N$24,$16:$16)+100)/100</f>
        <v>1</v>
      </c>
      <c r="P217" s="608"/>
      <c r="Q217" s="599">
        <f t="shared" ref="Q217:Q280" si="43">(SUMIF($17:$17,P217,$18:$18)-SUMIF($17:$17,$P$24,$18:$18)+100)/100</f>
        <v>1</v>
      </c>
      <c r="R217" s="659">
        <f t="shared" ref="R217:R280" si="44">IF(B217="",0,ROUND($R$24*C217*E217*G217*I217*K217*M217*O217*Q217,0))</f>
        <v>0</v>
      </c>
      <c r="S217" s="598">
        <f t="shared" si="35"/>
        <v>0</v>
      </c>
    </row>
    <row r="218" spans="1:19">
      <c r="A218" s="606"/>
      <c r="B218" s="607"/>
      <c r="C218" s="599">
        <f t="shared" si="36"/>
        <v>1</v>
      </c>
      <c r="D218" s="608"/>
      <c r="E218" s="599">
        <f t="shared" si="37"/>
        <v>1</v>
      </c>
      <c r="F218" s="608"/>
      <c r="G218" s="599">
        <f t="shared" si="38"/>
        <v>1</v>
      </c>
      <c r="H218" s="608"/>
      <c r="I218" s="599">
        <f t="shared" si="39"/>
        <v>1</v>
      </c>
      <c r="J218" s="608"/>
      <c r="K218" s="599">
        <f t="shared" si="40"/>
        <v>1</v>
      </c>
      <c r="L218" s="608"/>
      <c r="M218" s="599">
        <f t="shared" si="41"/>
        <v>1</v>
      </c>
      <c r="N218" s="608"/>
      <c r="O218" s="599">
        <f t="shared" si="42"/>
        <v>1</v>
      </c>
      <c r="P218" s="608"/>
      <c r="Q218" s="599">
        <f t="shared" si="43"/>
        <v>1</v>
      </c>
      <c r="R218" s="659">
        <f t="shared" si="44"/>
        <v>0</v>
      </c>
      <c r="S218" s="598">
        <f t="shared" si="35"/>
        <v>0</v>
      </c>
    </row>
    <row r="219" spans="1:19">
      <c r="A219" s="606"/>
      <c r="B219" s="607"/>
      <c r="C219" s="599">
        <f t="shared" si="36"/>
        <v>1</v>
      </c>
      <c r="D219" s="608"/>
      <c r="E219" s="599">
        <f t="shared" si="37"/>
        <v>1</v>
      </c>
      <c r="F219" s="608"/>
      <c r="G219" s="599">
        <f t="shared" si="38"/>
        <v>1</v>
      </c>
      <c r="H219" s="608"/>
      <c r="I219" s="599">
        <f t="shared" si="39"/>
        <v>1</v>
      </c>
      <c r="J219" s="608"/>
      <c r="K219" s="599">
        <f t="shared" si="40"/>
        <v>1</v>
      </c>
      <c r="L219" s="608"/>
      <c r="M219" s="599">
        <f t="shared" si="41"/>
        <v>1</v>
      </c>
      <c r="N219" s="608"/>
      <c r="O219" s="599">
        <f t="shared" si="42"/>
        <v>1</v>
      </c>
      <c r="P219" s="608"/>
      <c r="Q219" s="599">
        <f t="shared" si="43"/>
        <v>1</v>
      </c>
      <c r="R219" s="659">
        <f t="shared" si="44"/>
        <v>0</v>
      </c>
      <c r="S219" s="598">
        <f t="shared" si="35"/>
        <v>0</v>
      </c>
    </row>
    <row r="220" spans="1:19">
      <c r="A220" s="606"/>
      <c r="B220" s="607"/>
      <c r="C220" s="599">
        <f t="shared" si="36"/>
        <v>1</v>
      </c>
      <c r="D220" s="608"/>
      <c r="E220" s="599">
        <f t="shared" si="37"/>
        <v>1</v>
      </c>
      <c r="F220" s="608"/>
      <c r="G220" s="599">
        <f t="shared" si="38"/>
        <v>1</v>
      </c>
      <c r="H220" s="608"/>
      <c r="I220" s="599">
        <f t="shared" si="39"/>
        <v>1</v>
      </c>
      <c r="J220" s="608"/>
      <c r="K220" s="599">
        <f t="shared" si="40"/>
        <v>1</v>
      </c>
      <c r="L220" s="608"/>
      <c r="M220" s="599">
        <f t="shared" si="41"/>
        <v>1</v>
      </c>
      <c r="N220" s="608"/>
      <c r="O220" s="599">
        <f t="shared" si="42"/>
        <v>1</v>
      </c>
      <c r="P220" s="608"/>
      <c r="Q220" s="599">
        <f t="shared" si="43"/>
        <v>1</v>
      </c>
      <c r="R220" s="659">
        <f t="shared" si="44"/>
        <v>0</v>
      </c>
      <c r="S220" s="598">
        <f t="shared" si="35"/>
        <v>0</v>
      </c>
    </row>
    <row r="221" spans="1:19">
      <c r="A221" s="606"/>
      <c r="B221" s="607"/>
      <c r="C221" s="599">
        <f t="shared" si="36"/>
        <v>1</v>
      </c>
      <c r="D221" s="608"/>
      <c r="E221" s="599">
        <f t="shared" si="37"/>
        <v>1</v>
      </c>
      <c r="F221" s="608"/>
      <c r="G221" s="599">
        <f t="shared" si="38"/>
        <v>1</v>
      </c>
      <c r="H221" s="608"/>
      <c r="I221" s="599">
        <f t="shared" si="39"/>
        <v>1</v>
      </c>
      <c r="J221" s="608"/>
      <c r="K221" s="599">
        <f t="shared" si="40"/>
        <v>1</v>
      </c>
      <c r="L221" s="608"/>
      <c r="M221" s="599">
        <f t="shared" si="41"/>
        <v>1</v>
      </c>
      <c r="N221" s="608"/>
      <c r="O221" s="599">
        <f t="shared" si="42"/>
        <v>1</v>
      </c>
      <c r="P221" s="608"/>
      <c r="Q221" s="599">
        <f t="shared" si="43"/>
        <v>1</v>
      </c>
      <c r="R221" s="659">
        <f t="shared" si="44"/>
        <v>0</v>
      </c>
      <c r="S221" s="598">
        <f t="shared" si="35"/>
        <v>0</v>
      </c>
    </row>
    <row r="222" spans="1:19">
      <c r="A222" s="606"/>
      <c r="B222" s="607"/>
      <c r="C222" s="599">
        <f t="shared" si="36"/>
        <v>1</v>
      </c>
      <c r="D222" s="608"/>
      <c r="E222" s="599">
        <f t="shared" si="37"/>
        <v>1</v>
      </c>
      <c r="F222" s="608"/>
      <c r="G222" s="599">
        <f t="shared" si="38"/>
        <v>1</v>
      </c>
      <c r="H222" s="608"/>
      <c r="I222" s="599">
        <f t="shared" si="39"/>
        <v>1</v>
      </c>
      <c r="J222" s="608"/>
      <c r="K222" s="599">
        <f t="shared" si="40"/>
        <v>1</v>
      </c>
      <c r="L222" s="608"/>
      <c r="M222" s="599">
        <f t="shared" si="41"/>
        <v>1</v>
      </c>
      <c r="N222" s="608"/>
      <c r="O222" s="599">
        <f t="shared" si="42"/>
        <v>1</v>
      </c>
      <c r="P222" s="608"/>
      <c r="Q222" s="599">
        <f t="shared" si="43"/>
        <v>1</v>
      </c>
      <c r="R222" s="659">
        <f t="shared" si="44"/>
        <v>0</v>
      </c>
      <c r="S222" s="598">
        <f t="shared" si="35"/>
        <v>0</v>
      </c>
    </row>
    <row r="223" spans="1:19">
      <c r="A223" s="606"/>
      <c r="B223" s="607"/>
      <c r="C223" s="599">
        <f t="shared" si="36"/>
        <v>1</v>
      </c>
      <c r="D223" s="608"/>
      <c r="E223" s="599">
        <f t="shared" si="37"/>
        <v>1</v>
      </c>
      <c r="F223" s="608"/>
      <c r="G223" s="599">
        <f t="shared" si="38"/>
        <v>1</v>
      </c>
      <c r="H223" s="608"/>
      <c r="I223" s="599">
        <f t="shared" si="39"/>
        <v>1</v>
      </c>
      <c r="J223" s="608"/>
      <c r="K223" s="599">
        <f t="shared" si="40"/>
        <v>1</v>
      </c>
      <c r="L223" s="608"/>
      <c r="M223" s="599">
        <f t="shared" si="41"/>
        <v>1</v>
      </c>
      <c r="N223" s="608"/>
      <c r="O223" s="599">
        <f t="shared" si="42"/>
        <v>1</v>
      </c>
      <c r="P223" s="608"/>
      <c r="Q223" s="599">
        <f t="shared" si="43"/>
        <v>1</v>
      </c>
      <c r="R223" s="659">
        <f t="shared" si="44"/>
        <v>0</v>
      </c>
      <c r="S223" s="598">
        <f t="shared" si="35"/>
        <v>0</v>
      </c>
    </row>
    <row r="224" spans="1:19">
      <c r="A224" s="606"/>
      <c r="B224" s="607"/>
      <c r="C224" s="599">
        <f t="shared" si="36"/>
        <v>1</v>
      </c>
      <c r="D224" s="608"/>
      <c r="E224" s="599">
        <f t="shared" si="37"/>
        <v>1</v>
      </c>
      <c r="F224" s="608"/>
      <c r="G224" s="599">
        <f t="shared" si="38"/>
        <v>1</v>
      </c>
      <c r="H224" s="608"/>
      <c r="I224" s="599">
        <f t="shared" si="39"/>
        <v>1</v>
      </c>
      <c r="J224" s="608"/>
      <c r="K224" s="599">
        <f t="shared" si="40"/>
        <v>1</v>
      </c>
      <c r="L224" s="608"/>
      <c r="M224" s="599">
        <f t="shared" si="41"/>
        <v>1</v>
      </c>
      <c r="N224" s="608"/>
      <c r="O224" s="599">
        <f t="shared" si="42"/>
        <v>1</v>
      </c>
      <c r="P224" s="608"/>
      <c r="Q224" s="599">
        <f t="shared" si="43"/>
        <v>1</v>
      </c>
      <c r="R224" s="659">
        <f t="shared" si="44"/>
        <v>0</v>
      </c>
      <c r="S224" s="598">
        <f t="shared" si="35"/>
        <v>0</v>
      </c>
    </row>
    <row r="225" spans="1:19">
      <c r="A225" s="606"/>
      <c r="B225" s="607"/>
      <c r="C225" s="599">
        <f t="shared" si="36"/>
        <v>1</v>
      </c>
      <c r="D225" s="608"/>
      <c r="E225" s="599">
        <f t="shared" si="37"/>
        <v>1</v>
      </c>
      <c r="F225" s="608"/>
      <c r="G225" s="599">
        <f t="shared" si="38"/>
        <v>1</v>
      </c>
      <c r="H225" s="608"/>
      <c r="I225" s="599">
        <f t="shared" si="39"/>
        <v>1</v>
      </c>
      <c r="J225" s="608"/>
      <c r="K225" s="599">
        <f t="shared" si="40"/>
        <v>1</v>
      </c>
      <c r="L225" s="608"/>
      <c r="M225" s="599">
        <f t="shared" si="41"/>
        <v>1</v>
      </c>
      <c r="N225" s="608"/>
      <c r="O225" s="599">
        <f t="shared" si="42"/>
        <v>1</v>
      </c>
      <c r="P225" s="608"/>
      <c r="Q225" s="599">
        <f t="shared" si="43"/>
        <v>1</v>
      </c>
      <c r="R225" s="659">
        <f t="shared" si="44"/>
        <v>0</v>
      </c>
      <c r="S225" s="598">
        <f t="shared" si="35"/>
        <v>0</v>
      </c>
    </row>
    <row r="226" spans="1:19">
      <c r="A226" s="606"/>
      <c r="B226" s="607"/>
      <c r="C226" s="599">
        <f t="shared" si="36"/>
        <v>1</v>
      </c>
      <c r="D226" s="608"/>
      <c r="E226" s="599">
        <f t="shared" si="37"/>
        <v>1</v>
      </c>
      <c r="F226" s="608"/>
      <c r="G226" s="599">
        <f t="shared" si="38"/>
        <v>1</v>
      </c>
      <c r="H226" s="608"/>
      <c r="I226" s="599">
        <f t="shared" si="39"/>
        <v>1</v>
      </c>
      <c r="J226" s="608"/>
      <c r="K226" s="599">
        <f t="shared" si="40"/>
        <v>1</v>
      </c>
      <c r="L226" s="608"/>
      <c r="M226" s="599">
        <f t="shared" si="41"/>
        <v>1</v>
      </c>
      <c r="N226" s="608"/>
      <c r="O226" s="599">
        <f t="shared" si="42"/>
        <v>1</v>
      </c>
      <c r="P226" s="608"/>
      <c r="Q226" s="599">
        <f t="shared" si="43"/>
        <v>1</v>
      </c>
      <c r="R226" s="659">
        <f t="shared" si="44"/>
        <v>0</v>
      </c>
      <c r="S226" s="598">
        <f t="shared" si="35"/>
        <v>0</v>
      </c>
    </row>
    <row r="227" spans="1:19">
      <c r="A227" s="606"/>
      <c r="B227" s="607"/>
      <c r="C227" s="599">
        <f t="shared" si="36"/>
        <v>1</v>
      </c>
      <c r="D227" s="608"/>
      <c r="E227" s="599">
        <f t="shared" si="37"/>
        <v>1</v>
      </c>
      <c r="F227" s="608"/>
      <c r="G227" s="599">
        <f t="shared" si="38"/>
        <v>1</v>
      </c>
      <c r="H227" s="608"/>
      <c r="I227" s="599">
        <f t="shared" si="39"/>
        <v>1</v>
      </c>
      <c r="J227" s="608"/>
      <c r="K227" s="599">
        <f t="shared" si="40"/>
        <v>1</v>
      </c>
      <c r="L227" s="608"/>
      <c r="M227" s="599">
        <f t="shared" si="41"/>
        <v>1</v>
      </c>
      <c r="N227" s="608"/>
      <c r="O227" s="599">
        <f t="shared" si="42"/>
        <v>1</v>
      </c>
      <c r="P227" s="608"/>
      <c r="Q227" s="599">
        <f t="shared" si="43"/>
        <v>1</v>
      </c>
      <c r="R227" s="659">
        <f t="shared" si="44"/>
        <v>0</v>
      </c>
      <c r="S227" s="598">
        <f t="shared" si="35"/>
        <v>0</v>
      </c>
    </row>
    <row r="228" spans="1:19">
      <c r="A228" s="606"/>
      <c r="B228" s="607"/>
      <c r="C228" s="599">
        <f t="shared" si="36"/>
        <v>1</v>
      </c>
      <c r="D228" s="608"/>
      <c r="E228" s="599">
        <f t="shared" si="37"/>
        <v>1</v>
      </c>
      <c r="F228" s="608"/>
      <c r="G228" s="599">
        <f t="shared" si="38"/>
        <v>1</v>
      </c>
      <c r="H228" s="608"/>
      <c r="I228" s="599">
        <f t="shared" si="39"/>
        <v>1</v>
      </c>
      <c r="J228" s="608"/>
      <c r="K228" s="599">
        <f t="shared" si="40"/>
        <v>1</v>
      </c>
      <c r="L228" s="608"/>
      <c r="M228" s="599">
        <f t="shared" si="41"/>
        <v>1</v>
      </c>
      <c r="N228" s="608"/>
      <c r="O228" s="599">
        <f t="shared" si="42"/>
        <v>1</v>
      </c>
      <c r="P228" s="608"/>
      <c r="Q228" s="599">
        <f t="shared" si="43"/>
        <v>1</v>
      </c>
      <c r="R228" s="659">
        <f t="shared" si="44"/>
        <v>0</v>
      </c>
      <c r="S228" s="598">
        <f t="shared" si="35"/>
        <v>0</v>
      </c>
    </row>
    <row r="229" spans="1:19">
      <c r="A229" s="606"/>
      <c r="B229" s="607"/>
      <c r="C229" s="599">
        <f t="shared" si="36"/>
        <v>1</v>
      </c>
      <c r="D229" s="608"/>
      <c r="E229" s="599">
        <f t="shared" si="37"/>
        <v>1</v>
      </c>
      <c r="F229" s="608"/>
      <c r="G229" s="599">
        <f t="shared" si="38"/>
        <v>1</v>
      </c>
      <c r="H229" s="608"/>
      <c r="I229" s="599">
        <f t="shared" si="39"/>
        <v>1</v>
      </c>
      <c r="J229" s="608"/>
      <c r="K229" s="599">
        <f t="shared" si="40"/>
        <v>1</v>
      </c>
      <c r="L229" s="608"/>
      <c r="M229" s="599">
        <f t="shared" si="41"/>
        <v>1</v>
      </c>
      <c r="N229" s="608"/>
      <c r="O229" s="599">
        <f t="shared" si="42"/>
        <v>1</v>
      </c>
      <c r="P229" s="608"/>
      <c r="Q229" s="599">
        <f t="shared" si="43"/>
        <v>1</v>
      </c>
      <c r="R229" s="659">
        <f t="shared" si="44"/>
        <v>0</v>
      </c>
      <c r="S229" s="598">
        <f t="shared" si="35"/>
        <v>0</v>
      </c>
    </row>
    <row r="230" spans="1:19">
      <c r="A230" s="606"/>
      <c r="B230" s="607"/>
      <c r="C230" s="599">
        <f t="shared" si="36"/>
        <v>1</v>
      </c>
      <c r="D230" s="608"/>
      <c r="E230" s="599">
        <f t="shared" si="37"/>
        <v>1</v>
      </c>
      <c r="F230" s="608"/>
      <c r="G230" s="599">
        <f t="shared" si="38"/>
        <v>1</v>
      </c>
      <c r="H230" s="608"/>
      <c r="I230" s="599">
        <f t="shared" si="39"/>
        <v>1</v>
      </c>
      <c r="J230" s="608"/>
      <c r="K230" s="599">
        <f t="shared" si="40"/>
        <v>1</v>
      </c>
      <c r="L230" s="608"/>
      <c r="M230" s="599">
        <f t="shared" si="41"/>
        <v>1</v>
      </c>
      <c r="N230" s="608"/>
      <c r="O230" s="599">
        <f t="shared" si="42"/>
        <v>1</v>
      </c>
      <c r="P230" s="608"/>
      <c r="Q230" s="599">
        <f t="shared" si="43"/>
        <v>1</v>
      </c>
      <c r="R230" s="659">
        <f t="shared" si="44"/>
        <v>0</v>
      </c>
      <c r="S230" s="598">
        <f t="shared" si="35"/>
        <v>0</v>
      </c>
    </row>
    <row r="231" spans="1:19">
      <c r="A231" s="606"/>
      <c r="B231" s="607"/>
      <c r="C231" s="599">
        <f t="shared" si="36"/>
        <v>1</v>
      </c>
      <c r="D231" s="608"/>
      <c r="E231" s="599">
        <f t="shared" si="37"/>
        <v>1</v>
      </c>
      <c r="F231" s="608"/>
      <c r="G231" s="599">
        <f t="shared" si="38"/>
        <v>1</v>
      </c>
      <c r="H231" s="608"/>
      <c r="I231" s="599">
        <f t="shared" si="39"/>
        <v>1</v>
      </c>
      <c r="J231" s="608"/>
      <c r="K231" s="599">
        <f t="shared" si="40"/>
        <v>1</v>
      </c>
      <c r="L231" s="608"/>
      <c r="M231" s="599">
        <f t="shared" si="41"/>
        <v>1</v>
      </c>
      <c r="N231" s="608"/>
      <c r="O231" s="599">
        <f t="shared" si="42"/>
        <v>1</v>
      </c>
      <c r="P231" s="608"/>
      <c r="Q231" s="599">
        <f t="shared" si="43"/>
        <v>1</v>
      </c>
      <c r="R231" s="659">
        <f t="shared" si="44"/>
        <v>0</v>
      </c>
      <c r="S231" s="598">
        <f t="shared" si="35"/>
        <v>0</v>
      </c>
    </row>
    <row r="232" spans="1:19">
      <c r="A232" s="606"/>
      <c r="B232" s="607"/>
      <c r="C232" s="599">
        <f t="shared" si="36"/>
        <v>1</v>
      </c>
      <c r="D232" s="608"/>
      <c r="E232" s="599">
        <f t="shared" si="37"/>
        <v>1</v>
      </c>
      <c r="F232" s="608"/>
      <c r="G232" s="599">
        <f t="shared" si="38"/>
        <v>1</v>
      </c>
      <c r="H232" s="608"/>
      <c r="I232" s="599">
        <f t="shared" si="39"/>
        <v>1</v>
      </c>
      <c r="J232" s="608"/>
      <c r="K232" s="599">
        <f t="shared" si="40"/>
        <v>1</v>
      </c>
      <c r="L232" s="608"/>
      <c r="M232" s="599">
        <f t="shared" si="41"/>
        <v>1</v>
      </c>
      <c r="N232" s="608"/>
      <c r="O232" s="599">
        <f t="shared" si="42"/>
        <v>1</v>
      </c>
      <c r="P232" s="608"/>
      <c r="Q232" s="599">
        <f t="shared" si="43"/>
        <v>1</v>
      </c>
      <c r="R232" s="659">
        <f t="shared" si="44"/>
        <v>0</v>
      </c>
      <c r="S232" s="598">
        <f t="shared" si="35"/>
        <v>0</v>
      </c>
    </row>
    <row r="233" spans="1:19">
      <c r="A233" s="606"/>
      <c r="B233" s="607"/>
      <c r="C233" s="599">
        <f t="shared" si="36"/>
        <v>1</v>
      </c>
      <c r="D233" s="608"/>
      <c r="E233" s="599">
        <f t="shared" si="37"/>
        <v>1</v>
      </c>
      <c r="F233" s="608"/>
      <c r="G233" s="599">
        <f t="shared" si="38"/>
        <v>1</v>
      </c>
      <c r="H233" s="608"/>
      <c r="I233" s="599">
        <f t="shared" si="39"/>
        <v>1</v>
      </c>
      <c r="J233" s="608"/>
      <c r="K233" s="599">
        <f t="shared" si="40"/>
        <v>1</v>
      </c>
      <c r="L233" s="608"/>
      <c r="M233" s="599">
        <f t="shared" si="41"/>
        <v>1</v>
      </c>
      <c r="N233" s="608"/>
      <c r="O233" s="599">
        <f t="shared" si="42"/>
        <v>1</v>
      </c>
      <c r="P233" s="608"/>
      <c r="Q233" s="599">
        <f t="shared" si="43"/>
        <v>1</v>
      </c>
      <c r="R233" s="659">
        <f t="shared" si="44"/>
        <v>0</v>
      </c>
      <c r="S233" s="598">
        <f t="shared" si="35"/>
        <v>0</v>
      </c>
    </row>
    <row r="234" spans="1:19">
      <c r="A234" s="606"/>
      <c r="B234" s="607"/>
      <c r="C234" s="599">
        <f t="shared" si="36"/>
        <v>1</v>
      </c>
      <c r="D234" s="608"/>
      <c r="E234" s="599">
        <f t="shared" si="37"/>
        <v>1</v>
      </c>
      <c r="F234" s="608"/>
      <c r="G234" s="599">
        <f t="shared" si="38"/>
        <v>1</v>
      </c>
      <c r="H234" s="608"/>
      <c r="I234" s="599">
        <f t="shared" si="39"/>
        <v>1</v>
      </c>
      <c r="J234" s="608"/>
      <c r="K234" s="599">
        <f t="shared" si="40"/>
        <v>1</v>
      </c>
      <c r="L234" s="608"/>
      <c r="M234" s="599">
        <f t="shared" si="41"/>
        <v>1</v>
      </c>
      <c r="N234" s="608"/>
      <c r="O234" s="599">
        <f t="shared" si="42"/>
        <v>1</v>
      </c>
      <c r="P234" s="608"/>
      <c r="Q234" s="599">
        <f t="shared" si="43"/>
        <v>1</v>
      </c>
      <c r="R234" s="659">
        <f t="shared" si="44"/>
        <v>0</v>
      </c>
      <c r="S234" s="598">
        <f t="shared" si="35"/>
        <v>0</v>
      </c>
    </row>
    <row r="235" spans="1:19">
      <c r="A235" s="606"/>
      <c r="B235" s="607"/>
      <c r="C235" s="599">
        <f t="shared" si="36"/>
        <v>1</v>
      </c>
      <c r="D235" s="608"/>
      <c r="E235" s="599">
        <f t="shared" si="37"/>
        <v>1</v>
      </c>
      <c r="F235" s="608"/>
      <c r="G235" s="599">
        <f t="shared" si="38"/>
        <v>1</v>
      </c>
      <c r="H235" s="608"/>
      <c r="I235" s="599">
        <f t="shared" si="39"/>
        <v>1</v>
      </c>
      <c r="J235" s="608"/>
      <c r="K235" s="599">
        <f t="shared" si="40"/>
        <v>1</v>
      </c>
      <c r="L235" s="608"/>
      <c r="M235" s="599">
        <f t="shared" si="41"/>
        <v>1</v>
      </c>
      <c r="N235" s="608"/>
      <c r="O235" s="599">
        <f t="shared" si="42"/>
        <v>1</v>
      </c>
      <c r="P235" s="608"/>
      <c r="Q235" s="599">
        <f t="shared" si="43"/>
        <v>1</v>
      </c>
      <c r="R235" s="659">
        <f t="shared" si="44"/>
        <v>0</v>
      </c>
      <c r="S235" s="598">
        <f t="shared" si="35"/>
        <v>0</v>
      </c>
    </row>
    <row r="236" spans="1:19">
      <c r="A236" s="606"/>
      <c r="B236" s="607"/>
      <c r="C236" s="599">
        <f t="shared" si="36"/>
        <v>1</v>
      </c>
      <c r="D236" s="608"/>
      <c r="E236" s="599">
        <f t="shared" si="37"/>
        <v>1</v>
      </c>
      <c r="F236" s="608"/>
      <c r="G236" s="599">
        <f t="shared" si="38"/>
        <v>1</v>
      </c>
      <c r="H236" s="608"/>
      <c r="I236" s="599">
        <f t="shared" si="39"/>
        <v>1</v>
      </c>
      <c r="J236" s="608"/>
      <c r="K236" s="599">
        <f t="shared" si="40"/>
        <v>1</v>
      </c>
      <c r="L236" s="608"/>
      <c r="M236" s="599">
        <f t="shared" si="41"/>
        <v>1</v>
      </c>
      <c r="N236" s="608"/>
      <c r="O236" s="599">
        <f t="shared" si="42"/>
        <v>1</v>
      </c>
      <c r="P236" s="608"/>
      <c r="Q236" s="599">
        <f t="shared" si="43"/>
        <v>1</v>
      </c>
      <c r="R236" s="659">
        <f t="shared" si="44"/>
        <v>0</v>
      </c>
      <c r="S236" s="598">
        <f t="shared" si="35"/>
        <v>0</v>
      </c>
    </row>
    <row r="237" spans="1:19">
      <c r="A237" s="606"/>
      <c r="B237" s="607"/>
      <c r="C237" s="599">
        <f t="shared" si="36"/>
        <v>1</v>
      </c>
      <c r="D237" s="608"/>
      <c r="E237" s="599">
        <f t="shared" si="37"/>
        <v>1</v>
      </c>
      <c r="F237" s="608"/>
      <c r="G237" s="599">
        <f t="shared" si="38"/>
        <v>1</v>
      </c>
      <c r="H237" s="608"/>
      <c r="I237" s="599">
        <f t="shared" si="39"/>
        <v>1</v>
      </c>
      <c r="J237" s="608"/>
      <c r="K237" s="599">
        <f t="shared" si="40"/>
        <v>1</v>
      </c>
      <c r="L237" s="608"/>
      <c r="M237" s="599">
        <f t="shared" si="41"/>
        <v>1</v>
      </c>
      <c r="N237" s="608"/>
      <c r="O237" s="599">
        <f t="shared" si="42"/>
        <v>1</v>
      </c>
      <c r="P237" s="608"/>
      <c r="Q237" s="599">
        <f t="shared" si="43"/>
        <v>1</v>
      </c>
      <c r="R237" s="659">
        <f t="shared" si="44"/>
        <v>0</v>
      </c>
      <c r="S237" s="598">
        <f t="shared" si="35"/>
        <v>0</v>
      </c>
    </row>
    <row r="238" spans="1:19">
      <c r="A238" s="606"/>
      <c r="B238" s="607"/>
      <c r="C238" s="599">
        <f t="shared" si="36"/>
        <v>1</v>
      </c>
      <c r="D238" s="608"/>
      <c r="E238" s="599">
        <f t="shared" si="37"/>
        <v>1</v>
      </c>
      <c r="F238" s="608"/>
      <c r="G238" s="599">
        <f t="shared" si="38"/>
        <v>1</v>
      </c>
      <c r="H238" s="608"/>
      <c r="I238" s="599">
        <f t="shared" si="39"/>
        <v>1</v>
      </c>
      <c r="J238" s="608"/>
      <c r="K238" s="599">
        <f t="shared" si="40"/>
        <v>1</v>
      </c>
      <c r="L238" s="608"/>
      <c r="M238" s="599">
        <f t="shared" si="41"/>
        <v>1</v>
      </c>
      <c r="N238" s="608"/>
      <c r="O238" s="599">
        <f t="shared" si="42"/>
        <v>1</v>
      </c>
      <c r="P238" s="608"/>
      <c r="Q238" s="599">
        <f t="shared" si="43"/>
        <v>1</v>
      </c>
      <c r="R238" s="659">
        <f t="shared" si="44"/>
        <v>0</v>
      </c>
      <c r="S238" s="598">
        <f t="shared" si="35"/>
        <v>0</v>
      </c>
    </row>
    <row r="239" spans="1:19">
      <c r="A239" s="606"/>
      <c r="B239" s="607"/>
      <c r="C239" s="599">
        <f t="shared" si="36"/>
        <v>1</v>
      </c>
      <c r="D239" s="608"/>
      <c r="E239" s="599">
        <f t="shared" si="37"/>
        <v>1</v>
      </c>
      <c r="F239" s="608"/>
      <c r="G239" s="599">
        <f t="shared" si="38"/>
        <v>1</v>
      </c>
      <c r="H239" s="608"/>
      <c r="I239" s="599">
        <f t="shared" si="39"/>
        <v>1</v>
      </c>
      <c r="J239" s="608"/>
      <c r="K239" s="599">
        <f t="shared" si="40"/>
        <v>1</v>
      </c>
      <c r="L239" s="608"/>
      <c r="M239" s="599">
        <f t="shared" si="41"/>
        <v>1</v>
      </c>
      <c r="N239" s="608"/>
      <c r="O239" s="599">
        <f t="shared" si="42"/>
        <v>1</v>
      </c>
      <c r="P239" s="608"/>
      <c r="Q239" s="599">
        <f t="shared" si="43"/>
        <v>1</v>
      </c>
      <c r="R239" s="659">
        <f t="shared" si="44"/>
        <v>0</v>
      </c>
      <c r="S239" s="598">
        <f t="shared" si="35"/>
        <v>0</v>
      </c>
    </row>
    <row r="240" spans="1:19">
      <c r="A240" s="606"/>
      <c r="B240" s="607"/>
      <c r="C240" s="599">
        <f t="shared" si="36"/>
        <v>1</v>
      </c>
      <c r="D240" s="608"/>
      <c r="E240" s="599">
        <f t="shared" si="37"/>
        <v>1</v>
      </c>
      <c r="F240" s="608"/>
      <c r="G240" s="599">
        <f t="shared" si="38"/>
        <v>1</v>
      </c>
      <c r="H240" s="608"/>
      <c r="I240" s="599">
        <f t="shared" si="39"/>
        <v>1</v>
      </c>
      <c r="J240" s="608"/>
      <c r="K240" s="599">
        <f t="shared" si="40"/>
        <v>1</v>
      </c>
      <c r="L240" s="608"/>
      <c r="M240" s="599">
        <f t="shared" si="41"/>
        <v>1</v>
      </c>
      <c r="N240" s="608"/>
      <c r="O240" s="599">
        <f t="shared" si="42"/>
        <v>1</v>
      </c>
      <c r="P240" s="608"/>
      <c r="Q240" s="599">
        <f t="shared" si="43"/>
        <v>1</v>
      </c>
      <c r="R240" s="659">
        <f t="shared" si="44"/>
        <v>0</v>
      </c>
      <c r="S240" s="598">
        <f t="shared" si="35"/>
        <v>0</v>
      </c>
    </row>
    <row r="241" spans="1:19">
      <c r="A241" s="606"/>
      <c r="B241" s="607"/>
      <c r="C241" s="599">
        <f t="shared" si="36"/>
        <v>1</v>
      </c>
      <c r="D241" s="608"/>
      <c r="E241" s="599">
        <f t="shared" si="37"/>
        <v>1</v>
      </c>
      <c r="F241" s="608"/>
      <c r="G241" s="599">
        <f t="shared" si="38"/>
        <v>1</v>
      </c>
      <c r="H241" s="608"/>
      <c r="I241" s="599">
        <f t="shared" si="39"/>
        <v>1</v>
      </c>
      <c r="J241" s="608"/>
      <c r="K241" s="599">
        <f t="shared" si="40"/>
        <v>1</v>
      </c>
      <c r="L241" s="608"/>
      <c r="M241" s="599">
        <f t="shared" si="41"/>
        <v>1</v>
      </c>
      <c r="N241" s="608"/>
      <c r="O241" s="599">
        <f t="shared" si="42"/>
        <v>1</v>
      </c>
      <c r="P241" s="608"/>
      <c r="Q241" s="599">
        <f t="shared" si="43"/>
        <v>1</v>
      </c>
      <c r="R241" s="659">
        <f t="shared" si="44"/>
        <v>0</v>
      </c>
      <c r="S241" s="598">
        <f t="shared" si="35"/>
        <v>0</v>
      </c>
    </row>
    <row r="242" spans="1:19">
      <c r="A242" s="606"/>
      <c r="B242" s="607"/>
      <c r="C242" s="599">
        <f t="shared" si="36"/>
        <v>1</v>
      </c>
      <c r="D242" s="608"/>
      <c r="E242" s="599">
        <f t="shared" si="37"/>
        <v>1</v>
      </c>
      <c r="F242" s="608"/>
      <c r="G242" s="599">
        <f t="shared" si="38"/>
        <v>1</v>
      </c>
      <c r="H242" s="608"/>
      <c r="I242" s="599">
        <f t="shared" si="39"/>
        <v>1</v>
      </c>
      <c r="J242" s="608"/>
      <c r="K242" s="599">
        <f t="shared" si="40"/>
        <v>1</v>
      </c>
      <c r="L242" s="608"/>
      <c r="M242" s="599">
        <f t="shared" si="41"/>
        <v>1</v>
      </c>
      <c r="N242" s="608"/>
      <c r="O242" s="599">
        <f t="shared" si="42"/>
        <v>1</v>
      </c>
      <c r="P242" s="608"/>
      <c r="Q242" s="599">
        <f t="shared" si="43"/>
        <v>1</v>
      </c>
      <c r="R242" s="659">
        <f t="shared" si="44"/>
        <v>0</v>
      </c>
      <c r="S242" s="598">
        <f t="shared" si="35"/>
        <v>0</v>
      </c>
    </row>
    <row r="243" spans="1:19">
      <c r="A243" s="606"/>
      <c r="B243" s="607"/>
      <c r="C243" s="599">
        <f t="shared" si="36"/>
        <v>1</v>
      </c>
      <c r="D243" s="608"/>
      <c r="E243" s="599">
        <f t="shared" si="37"/>
        <v>1</v>
      </c>
      <c r="F243" s="608"/>
      <c r="G243" s="599">
        <f t="shared" si="38"/>
        <v>1</v>
      </c>
      <c r="H243" s="608"/>
      <c r="I243" s="599">
        <f t="shared" si="39"/>
        <v>1</v>
      </c>
      <c r="J243" s="608"/>
      <c r="K243" s="599">
        <f t="shared" si="40"/>
        <v>1</v>
      </c>
      <c r="L243" s="608"/>
      <c r="M243" s="599">
        <f t="shared" si="41"/>
        <v>1</v>
      </c>
      <c r="N243" s="608"/>
      <c r="O243" s="599">
        <f t="shared" si="42"/>
        <v>1</v>
      </c>
      <c r="P243" s="608"/>
      <c r="Q243" s="599">
        <f t="shared" si="43"/>
        <v>1</v>
      </c>
      <c r="R243" s="659">
        <f t="shared" si="44"/>
        <v>0</v>
      </c>
      <c r="S243" s="598">
        <f t="shared" si="35"/>
        <v>0</v>
      </c>
    </row>
    <row r="244" spans="1:19">
      <c r="A244" s="606"/>
      <c r="B244" s="607"/>
      <c r="C244" s="599">
        <f t="shared" si="36"/>
        <v>1</v>
      </c>
      <c r="D244" s="608"/>
      <c r="E244" s="599">
        <f t="shared" si="37"/>
        <v>1</v>
      </c>
      <c r="F244" s="608"/>
      <c r="G244" s="599">
        <f t="shared" si="38"/>
        <v>1</v>
      </c>
      <c r="H244" s="608"/>
      <c r="I244" s="599">
        <f t="shared" si="39"/>
        <v>1</v>
      </c>
      <c r="J244" s="608"/>
      <c r="K244" s="599">
        <f t="shared" si="40"/>
        <v>1</v>
      </c>
      <c r="L244" s="608"/>
      <c r="M244" s="599">
        <f t="shared" si="41"/>
        <v>1</v>
      </c>
      <c r="N244" s="608"/>
      <c r="O244" s="599">
        <f t="shared" si="42"/>
        <v>1</v>
      </c>
      <c r="P244" s="608"/>
      <c r="Q244" s="599">
        <f t="shared" si="43"/>
        <v>1</v>
      </c>
      <c r="R244" s="659">
        <f t="shared" si="44"/>
        <v>0</v>
      </c>
      <c r="S244" s="598">
        <f t="shared" si="35"/>
        <v>0</v>
      </c>
    </row>
    <row r="245" spans="1:19">
      <c r="A245" s="606"/>
      <c r="B245" s="607"/>
      <c r="C245" s="599">
        <f t="shared" si="36"/>
        <v>1</v>
      </c>
      <c r="D245" s="608"/>
      <c r="E245" s="599">
        <f t="shared" si="37"/>
        <v>1</v>
      </c>
      <c r="F245" s="608"/>
      <c r="G245" s="599">
        <f t="shared" si="38"/>
        <v>1</v>
      </c>
      <c r="H245" s="608"/>
      <c r="I245" s="599">
        <f t="shared" si="39"/>
        <v>1</v>
      </c>
      <c r="J245" s="608"/>
      <c r="K245" s="599">
        <f t="shared" si="40"/>
        <v>1</v>
      </c>
      <c r="L245" s="608"/>
      <c r="M245" s="599">
        <f t="shared" si="41"/>
        <v>1</v>
      </c>
      <c r="N245" s="608"/>
      <c r="O245" s="599">
        <f t="shared" si="42"/>
        <v>1</v>
      </c>
      <c r="P245" s="608"/>
      <c r="Q245" s="599">
        <f t="shared" si="43"/>
        <v>1</v>
      </c>
      <c r="R245" s="659">
        <f t="shared" si="44"/>
        <v>0</v>
      </c>
      <c r="S245" s="598">
        <f t="shared" si="35"/>
        <v>0</v>
      </c>
    </row>
    <row r="246" spans="1:19">
      <c r="A246" s="606"/>
      <c r="B246" s="607"/>
      <c r="C246" s="599">
        <f t="shared" si="36"/>
        <v>1</v>
      </c>
      <c r="D246" s="608"/>
      <c r="E246" s="599">
        <f t="shared" si="37"/>
        <v>1</v>
      </c>
      <c r="F246" s="608"/>
      <c r="G246" s="599">
        <f t="shared" si="38"/>
        <v>1</v>
      </c>
      <c r="H246" s="608"/>
      <c r="I246" s="599">
        <f t="shared" si="39"/>
        <v>1</v>
      </c>
      <c r="J246" s="608"/>
      <c r="K246" s="599">
        <f t="shared" si="40"/>
        <v>1</v>
      </c>
      <c r="L246" s="608"/>
      <c r="M246" s="599">
        <f t="shared" si="41"/>
        <v>1</v>
      </c>
      <c r="N246" s="608"/>
      <c r="O246" s="599">
        <f t="shared" si="42"/>
        <v>1</v>
      </c>
      <c r="P246" s="608"/>
      <c r="Q246" s="599">
        <f t="shared" si="43"/>
        <v>1</v>
      </c>
      <c r="R246" s="659">
        <f t="shared" si="44"/>
        <v>0</v>
      </c>
      <c r="S246" s="598">
        <f t="shared" si="35"/>
        <v>0</v>
      </c>
    </row>
    <row r="247" spans="1:19">
      <c r="A247" s="606"/>
      <c r="B247" s="607"/>
      <c r="C247" s="599">
        <f t="shared" si="36"/>
        <v>1</v>
      </c>
      <c r="D247" s="608"/>
      <c r="E247" s="599">
        <f t="shared" si="37"/>
        <v>1</v>
      </c>
      <c r="F247" s="608"/>
      <c r="G247" s="599">
        <f t="shared" si="38"/>
        <v>1</v>
      </c>
      <c r="H247" s="608"/>
      <c r="I247" s="599">
        <f t="shared" si="39"/>
        <v>1</v>
      </c>
      <c r="J247" s="608"/>
      <c r="K247" s="599">
        <f t="shared" si="40"/>
        <v>1</v>
      </c>
      <c r="L247" s="608"/>
      <c r="M247" s="599">
        <f t="shared" si="41"/>
        <v>1</v>
      </c>
      <c r="N247" s="608"/>
      <c r="O247" s="599">
        <f t="shared" si="42"/>
        <v>1</v>
      </c>
      <c r="P247" s="608"/>
      <c r="Q247" s="599">
        <f t="shared" si="43"/>
        <v>1</v>
      </c>
      <c r="R247" s="659">
        <f t="shared" si="44"/>
        <v>0</v>
      </c>
      <c r="S247" s="598">
        <f t="shared" si="35"/>
        <v>0</v>
      </c>
    </row>
    <row r="248" spans="1:19">
      <c r="A248" s="606"/>
      <c r="B248" s="607"/>
      <c r="C248" s="599">
        <f t="shared" si="36"/>
        <v>1</v>
      </c>
      <c r="D248" s="608"/>
      <c r="E248" s="599">
        <f t="shared" si="37"/>
        <v>1</v>
      </c>
      <c r="F248" s="608"/>
      <c r="G248" s="599">
        <f t="shared" si="38"/>
        <v>1</v>
      </c>
      <c r="H248" s="608"/>
      <c r="I248" s="599">
        <f t="shared" si="39"/>
        <v>1</v>
      </c>
      <c r="J248" s="608"/>
      <c r="K248" s="599">
        <f t="shared" si="40"/>
        <v>1</v>
      </c>
      <c r="L248" s="608"/>
      <c r="M248" s="599">
        <f t="shared" si="41"/>
        <v>1</v>
      </c>
      <c r="N248" s="608"/>
      <c r="O248" s="599">
        <f t="shared" si="42"/>
        <v>1</v>
      </c>
      <c r="P248" s="608"/>
      <c r="Q248" s="599">
        <f t="shared" si="43"/>
        <v>1</v>
      </c>
      <c r="R248" s="659">
        <f t="shared" si="44"/>
        <v>0</v>
      </c>
      <c r="S248" s="598">
        <f t="shared" si="35"/>
        <v>0</v>
      </c>
    </row>
    <row r="249" spans="1:19">
      <c r="A249" s="606"/>
      <c r="B249" s="607"/>
      <c r="C249" s="599">
        <f t="shared" si="36"/>
        <v>1</v>
      </c>
      <c r="D249" s="608"/>
      <c r="E249" s="599">
        <f t="shared" si="37"/>
        <v>1</v>
      </c>
      <c r="F249" s="608"/>
      <c r="G249" s="599">
        <f t="shared" si="38"/>
        <v>1</v>
      </c>
      <c r="H249" s="608"/>
      <c r="I249" s="599">
        <f t="shared" si="39"/>
        <v>1</v>
      </c>
      <c r="J249" s="608"/>
      <c r="K249" s="599">
        <f t="shared" si="40"/>
        <v>1</v>
      </c>
      <c r="L249" s="608"/>
      <c r="M249" s="599">
        <f t="shared" si="41"/>
        <v>1</v>
      </c>
      <c r="N249" s="608"/>
      <c r="O249" s="599">
        <f t="shared" si="42"/>
        <v>1</v>
      </c>
      <c r="P249" s="608"/>
      <c r="Q249" s="599">
        <f t="shared" si="43"/>
        <v>1</v>
      </c>
      <c r="R249" s="659">
        <f t="shared" si="44"/>
        <v>0</v>
      </c>
      <c r="S249" s="598">
        <f t="shared" si="35"/>
        <v>0</v>
      </c>
    </row>
    <row r="250" spans="1:19">
      <c r="A250" s="606"/>
      <c r="B250" s="607"/>
      <c r="C250" s="599">
        <f t="shared" si="36"/>
        <v>1</v>
      </c>
      <c r="D250" s="608"/>
      <c r="E250" s="599">
        <f t="shared" si="37"/>
        <v>1</v>
      </c>
      <c r="F250" s="608"/>
      <c r="G250" s="599">
        <f t="shared" si="38"/>
        <v>1</v>
      </c>
      <c r="H250" s="608"/>
      <c r="I250" s="599">
        <f t="shared" si="39"/>
        <v>1</v>
      </c>
      <c r="J250" s="608"/>
      <c r="K250" s="599">
        <f t="shared" si="40"/>
        <v>1</v>
      </c>
      <c r="L250" s="608"/>
      <c r="M250" s="599">
        <f t="shared" si="41"/>
        <v>1</v>
      </c>
      <c r="N250" s="608"/>
      <c r="O250" s="599">
        <f t="shared" si="42"/>
        <v>1</v>
      </c>
      <c r="P250" s="608"/>
      <c r="Q250" s="599">
        <f t="shared" si="43"/>
        <v>1</v>
      </c>
      <c r="R250" s="659">
        <f t="shared" si="44"/>
        <v>0</v>
      </c>
      <c r="S250" s="598">
        <f t="shared" si="35"/>
        <v>0</v>
      </c>
    </row>
    <row r="251" spans="1:19">
      <c r="A251" s="606"/>
      <c r="B251" s="607"/>
      <c r="C251" s="599">
        <f t="shared" si="36"/>
        <v>1</v>
      </c>
      <c r="D251" s="608"/>
      <c r="E251" s="599">
        <f t="shared" si="37"/>
        <v>1</v>
      </c>
      <c r="F251" s="608"/>
      <c r="G251" s="599">
        <f t="shared" si="38"/>
        <v>1</v>
      </c>
      <c r="H251" s="608"/>
      <c r="I251" s="599">
        <f t="shared" si="39"/>
        <v>1</v>
      </c>
      <c r="J251" s="608"/>
      <c r="K251" s="599">
        <f t="shared" si="40"/>
        <v>1</v>
      </c>
      <c r="L251" s="608"/>
      <c r="M251" s="599">
        <f t="shared" si="41"/>
        <v>1</v>
      </c>
      <c r="N251" s="608"/>
      <c r="O251" s="599">
        <f t="shared" si="42"/>
        <v>1</v>
      </c>
      <c r="P251" s="608"/>
      <c r="Q251" s="599">
        <f t="shared" si="43"/>
        <v>1</v>
      </c>
      <c r="R251" s="659">
        <f t="shared" si="44"/>
        <v>0</v>
      </c>
      <c r="S251" s="598">
        <f t="shared" si="35"/>
        <v>0</v>
      </c>
    </row>
    <row r="252" spans="1:19">
      <c r="A252" s="606"/>
      <c r="B252" s="607"/>
      <c r="C252" s="599">
        <f t="shared" si="36"/>
        <v>1</v>
      </c>
      <c r="D252" s="608"/>
      <c r="E252" s="599">
        <f t="shared" si="37"/>
        <v>1</v>
      </c>
      <c r="F252" s="608"/>
      <c r="G252" s="599">
        <f t="shared" si="38"/>
        <v>1</v>
      </c>
      <c r="H252" s="608"/>
      <c r="I252" s="599">
        <f t="shared" si="39"/>
        <v>1</v>
      </c>
      <c r="J252" s="608"/>
      <c r="K252" s="599">
        <f t="shared" si="40"/>
        <v>1</v>
      </c>
      <c r="L252" s="608"/>
      <c r="M252" s="599">
        <f t="shared" si="41"/>
        <v>1</v>
      </c>
      <c r="N252" s="608"/>
      <c r="O252" s="599">
        <f t="shared" si="42"/>
        <v>1</v>
      </c>
      <c r="P252" s="608"/>
      <c r="Q252" s="599">
        <f t="shared" si="43"/>
        <v>1</v>
      </c>
      <c r="R252" s="659">
        <f t="shared" si="44"/>
        <v>0</v>
      </c>
      <c r="S252" s="598">
        <f t="shared" si="35"/>
        <v>0</v>
      </c>
    </row>
    <row r="253" spans="1:19">
      <c r="A253" s="606"/>
      <c r="B253" s="607"/>
      <c r="C253" s="599">
        <f t="shared" si="36"/>
        <v>1</v>
      </c>
      <c r="D253" s="608"/>
      <c r="E253" s="599">
        <f t="shared" si="37"/>
        <v>1</v>
      </c>
      <c r="F253" s="608"/>
      <c r="G253" s="599">
        <f t="shared" si="38"/>
        <v>1</v>
      </c>
      <c r="H253" s="608"/>
      <c r="I253" s="599">
        <f t="shared" si="39"/>
        <v>1</v>
      </c>
      <c r="J253" s="608"/>
      <c r="K253" s="599">
        <f t="shared" si="40"/>
        <v>1</v>
      </c>
      <c r="L253" s="608"/>
      <c r="M253" s="599">
        <f t="shared" si="41"/>
        <v>1</v>
      </c>
      <c r="N253" s="608"/>
      <c r="O253" s="599">
        <f t="shared" si="42"/>
        <v>1</v>
      </c>
      <c r="P253" s="608"/>
      <c r="Q253" s="599">
        <f t="shared" si="43"/>
        <v>1</v>
      </c>
      <c r="R253" s="659">
        <f t="shared" si="44"/>
        <v>0</v>
      </c>
      <c r="S253" s="598">
        <f t="shared" si="35"/>
        <v>0</v>
      </c>
    </row>
    <row r="254" spans="1:19">
      <c r="A254" s="606"/>
      <c r="B254" s="607"/>
      <c r="C254" s="599">
        <f t="shared" si="36"/>
        <v>1</v>
      </c>
      <c r="D254" s="608"/>
      <c r="E254" s="599">
        <f t="shared" si="37"/>
        <v>1</v>
      </c>
      <c r="F254" s="608"/>
      <c r="G254" s="599">
        <f t="shared" si="38"/>
        <v>1</v>
      </c>
      <c r="H254" s="608"/>
      <c r="I254" s="599">
        <f t="shared" si="39"/>
        <v>1</v>
      </c>
      <c r="J254" s="608"/>
      <c r="K254" s="599">
        <f t="shared" si="40"/>
        <v>1</v>
      </c>
      <c r="L254" s="608"/>
      <c r="M254" s="599">
        <f t="shared" si="41"/>
        <v>1</v>
      </c>
      <c r="N254" s="608"/>
      <c r="O254" s="599">
        <f t="shared" si="42"/>
        <v>1</v>
      </c>
      <c r="P254" s="608"/>
      <c r="Q254" s="599">
        <f t="shared" si="43"/>
        <v>1</v>
      </c>
      <c r="R254" s="659">
        <f t="shared" si="44"/>
        <v>0</v>
      </c>
      <c r="S254" s="598">
        <f t="shared" si="35"/>
        <v>0</v>
      </c>
    </row>
    <row r="255" spans="1:19">
      <c r="A255" s="606"/>
      <c r="B255" s="607"/>
      <c r="C255" s="599">
        <f t="shared" si="36"/>
        <v>1</v>
      </c>
      <c r="D255" s="608"/>
      <c r="E255" s="599">
        <f t="shared" si="37"/>
        <v>1</v>
      </c>
      <c r="F255" s="608"/>
      <c r="G255" s="599">
        <f t="shared" si="38"/>
        <v>1</v>
      </c>
      <c r="H255" s="608"/>
      <c r="I255" s="599">
        <f t="shared" si="39"/>
        <v>1</v>
      </c>
      <c r="J255" s="608"/>
      <c r="K255" s="599">
        <f t="shared" si="40"/>
        <v>1</v>
      </c>
      <c r="L255" s="608"/>
      <c r="M255" s="599">
        <f t="shared" si="41"/>
        <v>1</v>
      </c>
      <c r="N255" s="608"/>
      <c r="O255" s="599">
        <f t="shared" si="42"/>
        <v>1</v>
      </c>
      <c r="P255" s="608"/>
      <c r="Q255" s="599">
        <f t="shared" si="43"/>
        <v>1</v>
      </c>
      <c r="R255" s="659">
        <f t="shared" si="44"/>
        <v>0</v>
      </c>
      <c r="S255" s="598">
        <f t="shared" si="35"/>
        <v>0</v>
      </c>
    </row>
    <row r="256" spans="1:19">
      <c r="A256" s="606"/>
      <c r="B256" s="607"/>
      <c r="C256" s="599">
        <f t="shared" si="36"/>
        <v>1</v>
      </c>
      <c r="D256" s="608"/>
      <c r="E256" s="599">
        <f t="shared" si="37"/>
        <v>1</v>
      </c>
      <c r="F256" s="608"/>
      <c r="G256" s="599">
        <f t="shared" si="38"/>
        <v>1</v>
      </c>
      <c r="H256" s="608"/>
      <c r="I256" s="599">
        <f t="shared" si="39"/>
        <v>1</v>
      </c>
      <c r="J256" s="608"/>
      <c r="K256" s="599">
        <f t="shared" si="40"/>
        <v>1</v>
      </c>
      <c r="L256" s="608"/>
      <c r="M256" s="599">
        <f t="shared" si="41"/>
        <v>1</v>
      </c>
      <c r="N256" s="608"/>
      <c r="O256" s="599">
        <f t="shared" si="42"/>
        <v>1</v>
      </c>
      <c r="P256" s="608"/>
      <c r="Q256" s="599">
        <f t="shared" si="43"/>
        <v>1</v>
      </c>
      <c r="R256" s="659">
        <f t="shared" si="44"/>
        <v>0</v>
      </c>
      <c r="S256" s="598">
        <f t="shared" si="35"/>
        <v>0</v>
      </c>
    </row>
    <row r="257" spans="1:19">
      <c r="A257" s="606"/>
      <c r="B257" s="607"/>
      <c r="C257" s="599">
        <f t="shared" si="36"/>
        <v>1</v>
      </c>
      <c r="D257" s="608"/>
      <c r="E257" s="599">
        <f t="shared" si="37"/>
        <v>1</v>
      </c>
      <c r="F257" s="608"/>
      <c r="G257" s="599">
        <f t="shared" si="38"/>
        <v>1</v>
      </c>
      <c r="H257" s="608"/>
      <c r="I257" s="599">
        <f t="shared" si="39"/>
        <v>1</v>
      </c>
      <c r="J257" s="608"/>
      <c r="K257" s="599">
        <f t="shared" si="40"/>
        <v>1</v>
      </c>
      <c r="L257" s="608"/>
      <c r="M257" s="599">
        <f t="shared" si="41"/>
        <v>1</v>
      </c>
      <c r="N257" s="608"/>
      <c r="O257" s="599">
        <f t="shared" si="42"/>
        <v>1</v>
      </c>
      <c r="P257" s="608"/>
      <c r="Q257" s="599">
        <f t="shared" si="43"/>
        <v>1</v>
      </c>
      <c r="R257" s="659">
        <f t="shared" si="44"/>
        <v>0</v>
      </c>
      <c r="S257" s="598">
        <f t="shared" si="35"/>
        <v>0</v>
      </c>
    </row>
    <row r="258" spans="1:19">
      <c r="A258" s="606"/>
      <c r="B258" s="607"/>
      <c r="C258" s="599">
        <f t="shared" si="36"/>
        <v>1</v>
      </c>
      <c r="D258" s="608"/>
      <c r="E258" s="599">
        <f t="shared" si="37"/>
        <v>1</v>
      </c>
      <c r="F258" s="608"/>
      <c r="G258" s="599">
        <f t="shared" si="38"/>
        <v>1</v>
      </c>
      <c r="H258" s="608"/>
      <c r="I258" s="599">
        <f t="shared" si="39"/>
        <v>1</v>
      </c>
      <c r="J258" s="608"/>
      <c r="K258" s="599">
        <f t="shared" si="40"/>
        <v>1</v>
      </c>
      <c r="L258" s="608"/>
      <c r="M258" s="599">
        <f t="shared" si="41"/>
        <v>1</v>
      </c>
      <c r="N258" s="608"/>
      <c r="O258" s="599">
        <f t="shared" si="42"/>
        <v>1</v>
      </c>
      <c r="P258" s="608"/>
      <c r="Q258" s="599">
        <f t="shared" si="43"/>
        <v>1</v>
      </c>
      <c r="R258" s="659">
        <f t="shared" si="44"/>
        <v>0</v>
      </c>
      <c r="S258" s="598">
        <f t="shared" si="35"/>
        <v>0</v>
      </c>
    </row>
    <row r="259" spans="1:19">
      <c r="A259" s="606"/>
      <c r="B259" s="607"/>
      <c r="C259" s="599">
        <f t="shared" si="36"/>
        <v>1</v>
      </c>
      <c r="D259" s="608"/>
      <c r="E259" s="599">
        <f t="shared" si="37"/>
        <v>1</v>
      </c>
      <c r="F259" s="608"/>
      <c r="G259" s="599">
        <f t="shared" si="38"/>
        <v>1</v>
      </c>
      <c r="H259" s="608"/>
      <c r="I259" s="599">
        <f t="shared" si="39"/>
        <v>1</v>
      </c>
      <c r="J259" s="608"/>
      <c r="K259" s="599">
        <f t="shared" si="40"/>
        <v>1</v>
      </c>
      <c r="L259" s="608"/>
      <c r="M259" s="599">
        <f t="shared" si="41"/>
        <v>1</v>
      </c>
      <c r="N259" s="608"/>
      <c r="O259" s="599">
        <f t="shared" si="42"/>
        <v>1</v>
      </c>
      <c r="P259" s="608"/>
      <c r="Q259" s="599">
        <f t="shared" si="43"/>
        <v>1</v>
      </c>
      <c r="R259" s="659">
        <f t="shared" si="44"/>
        <v>0</v>
      </c>
      <c r="S259" s="598">
        <f t="shared" si="35"/>
        <v>0</v>
      </c>
    </row>
    <row r="260" spans="1:19">
      <c r="A260" s="606"/>
      <c r="B260" s="607"/>
      <c r="C260" s="599">
        <f t="shared" si="36"/>
        <v>1</v>
      </c>
      <c r="D260" s="608"/>
      <c r="E260" s="599">
        <f t="shared" si="37"/>
        <v>1</v>
      </c>
      <c r="F260" s="608"/>
      <c r="G260" s="599">
        <f t="shared" si="38"/>
        <v>1</v>
      </c>
      <c r="H260" s="608"/>
      <c r="I260" s="599">
        <f t="shared" si="39"/>
        <v>1</v>
      </c>
      <c r="J260" s="608"/>
      <c r="K260" s="599">
        <f t="shared" si="40"/>
        <v>1</v>
      </c>
      <c r="L260" s="608"/>
      <c r="M260" s="599">
        <f t="shared" si="41"/>
        <v>1</v>
      </c>
      <c r="N260" s="608"/>
      <c r="O260" s="599">
        <f t="shared" si="42"/>
        <v>1</v>
      </c>
      <c r="P260" s="608"/>
      <c r="Q260" s="599">
        <f t="shared" si="43"/>
        <v>1</v>
      </c>
      <c r="R260" s="659">
        <f t="shared" si="44"/>
        <v>0</v>
      </c>
      <c r="S260" s="598">
        <f t="shared" si="35"/>
        <v>0</v>
      </c>
    </row>
    <row r="261" spans="1:19">
      <c r="A261" s="606"/>
      <c r="B261" s="607"/>
      <c r="C261" s="599">
        <f t="shared" si="36"/>
        <v>1</v>
      </c>
      <c r="D261" s="608"/>
      <c r="E261" s="599">
        <f t="shared" si="37"/>
        <v>1</v>
      </c>
      <c r="F261" s="608"/>
      <c r="G261" s="599">
        <f t="shared" si="38"/>
        <v>1</v>
      </c>
      <c r="H261" s="608"/>
      <c r="I261" s="599">
        <f t="shared" si="39"/>
        <v>1</v>
      </c>
      <c r="J261" s="608"/>
      <c r="K261" s="599">
        <f t="shared" si="40"/>
        <v>1</v>
      </c>
      <c r="L261" s="608"/>
      <c r="M261" s="599">
        <f t="shared" si="41"/>
        <v>1</v>
      </c>
      <c r="N261" s="608"/>
      <c r="O261" s="599">
        <f t="shared" si="42"/>
        <v>1</v>
      </c>
      <c r="P261" s="608"/>
      <c r="Q261" s="599">
        <f t="shared" si="43"/>
        <v>1</v>
      </c>
      <c r="R261" s="659">
        <f t="shared" si="44"/>
        <v>0</v>
      </c>
      <c r="S261" s="598">
        <f t="shared" si="35"/>
        <v>0</v>
      </c>
    </row>
    <row r="262" spans="1:19">
      <c r="A262" s="606"/>
      <c r="B262" s="607"/>
      <c r="C262" s="599">
        <f t="shared" si="36"/>
        <v>1</v>
      </c>
      <c r="D262" s="608"/>
      <c r="E262" s="599">
        <f t="shared" si="37"/>
        <v>1</v>
      </c>
      <c r="F262" s="608"/>
      <c r="G262" s="599">
        <f t="shared" si="38"/>
        <v>1</v>
      </c>
      <c r="H262" s="608"/>
      <c r="I262" s="599">
        <f t="shared" si="39"/>
        <v>1</v>
      </c>
      <c r="J262" s="608"/>
      <c r="K262" s="599">
        <f t="shared" si="40"/>
        <v>1</v>
      </c>
      <c r="L262" s="608"/>
      <c r="M262" s="599">
        <f t="shared" si="41"/>
        <v>1</v>
      </c>
      <c r="N262" s="608"/>
      <c r="O262" s="599">
        <f t="shared" si="42"/>
        <v>1</v>
      </c>
      <c r="P262" s="608"/>
      <c r="Q262" s="599">
        <f t="shared" si="43"/>
        <v>1</v>
      </c>
      <c r="R262" s="659">
        <f t="shared" si="44"/>
        <v>0</v>
      </c>
      <c r="S262" s="598">
        <f t="shared" si="35"/>
        <v>0</v>
      </c>
    </row>
    <row r="263" spans="1:19">
      <c r="A263" s="606"/>
      <c r="B263" s="607"/>
      <c r="C263" s="599">
        <f t="shared" si="36"/>
        <v>1</v>
      </c>
      <c r="D263" s="608"/>
      <c r="E263" s="599">
        <f t="shared" si="37"/>
        <v>1</v>
      </c>
      <c r="F263" s="608"/>
      <c r="G263" s="599">
        <f t="shared" si="38"/>
        <v>1</v>
      </c>
      <c r="H263" s="608"/>
      <c r="I263" s="599">
        <f t="shared" si="39"/>
        <v>1</v>
      </c>
      <c r="J263" s="608"/>
      <c r="K263" s="599">
        <f t="shared" si="40"/>
        <v>1</v>
      </c>
      <c r="L263" s="608"/>
      <c r="M263" s="599">
        <f t="shared" si="41"/>
        <v>1</v>
      </c>
      <c r="N263" s="608"/>
      <c r="O263" s="599">
        <f t="shared" si="42"/>
        <v>1</v>
      </c>
      <c r="P263" s="608"/>
      <c r="Q263" s="599">
        <f t="shared" si="43"/>
        <v>1</v>
      </c>
      <c r="R263" s="659">
        <f t="shared" si="44"/>
        <v>0</v>
      </c>
      <c r="S263" s="598">
        <f t="shared" si="35"/>
        <v>0</v>
      </c>
    </row>
    <row r="264" spans="1:19">
      <c r="A264" s="606"/>
      <c r="B264" s="607"/>
      <c r="C264" s="599">
        <f t="shared" si="36"/>
        <v>1</v>
      </c>
      <c r="D264" s="608"/>
      <c r="E264" s="599">
        <f t="shared" si="37"/>
        <v>1</v>
      </c>
      <c r="F264" s="608"/>
      <c r="G264" s="599">
        <f t="shared" si="38"/>
        <v>1</v>
      </c>
      <c r="H264" s="608"/>
      <c r="I264" s="599">
        <f t="shared" si="39"/>
        <v>1</v>
      </c>
      <c r="J264" s="608"/>
      <c r="K264" s="599">
        <f t="shared" si="40"/>
        <v>1</v>
      </c>
      <c r="L264" s="608"/>
      <c r="M264" s="599">
        <f t="shared" si="41"/>
        <v>1</v>
      </c>
      <c r="N264" s="608"/>
      <c r="O264" s="599">
        <f t="shared" si="42"/>
        <v>1</v>
      </c>
      <c r="P264" s="608"/>
      <c r="Q264" s="599">
        <f t="shared" si="43"/>
        <v>1</v>
      </c>
      <c r="R264" s="659">
        <f t="shared" si="44"/>
        <v>0</v>
      </c>
      <c r="S264" s="598">
        <f t="shared" si="35"/>
        <v>0</v>
      </c>
    </row>
    <row r="265" spans="1:19">
      <c r="A265" s="606"/>
      <c r="B265" s="607"/>
      <c r="C265" s="599">
        <f t="shared" si="36"/>
        <v>1</v>
      </c>
      <c r="D265" s="608"/>
      <c r="E265" s="599">
        <f t="shared" si="37"/>
        <v>1</v>
      </c>
      <c r="F265" s="608"/>
      <c r="G265" s="599">
        <f t="shared" si="38"/>
        <v>1</v>
      </c>
      <c r="H265" s="608"/>
      <c r="I265" s="599">
        <f t="shared" si="39"/>
        <v>1</v>
      </c>
      <c r="J265" s="608"/>
      <c r="K265" s="599">
        <f t="shared" si="40"/>
        <v>1</v>
      </c>
      <c r="L265" s="608"/>
      <c r="M265" s="599">
        <f t="shared" si="41"/>
        <v>1</v>
      </c>
      <c r="N265" s="608"/>
      <c r="O265" s="599">
        <f t="shared" si="42"/>
        <v>1</v>
      </c>
      <c r="P265" s="608"/>
      <c r="Q265" s="599">
        <f t="shared" si="43"/>
        <v>1</v>
      </c>
      <c r="R265" s="659">
        <f t="shared" si="44"/>
        <v>0</v>
      </c>
      <c r="S265" s="598">
        <f t="shared" si="35"/>
        <v>0</v>
      </c>
    </row>
    <row r="266" spans="1:19">
      <c r="A266" s="606"/>
      <c r="B266" s="607"/>
      <c r="C266" s="599">
        <f t="shared" si="36"/>
        <v>1</v>
      </c>
      <c r="D266" s="608"/>
      <c r="E266" s="599">
        <f t="shared" si="37"/>
        <v>1</v>
      </c>
      <c r="F266" s="608"/>
      <c r="G266" s="599">
        <f t="shared" si="38"/>
        <v>1</v>
      </c>
      <c r="H266" s="608"/>
      <c r="I266" s="599">
        <f t="shared" si="39"/>
        <v>1</v>
      </c>
      <c r="J266" s="608"/>
      <c r="K266" s="599">
        <f t="shared" si="40"/>
        <v>1</v>
      </c>
      <c r="L266" s="608"/>
      <c r="M266" s="599">
        <f t="shared" si="41"/>
        <v>1</v>
      </c>
      <c r="N266" s="608"/>
      <c r="O266" s="599">
        <f t="shared" si="42"/>
        <v>1</v>
      </c>
      <c r="P266" s="608"/>
      <c r="Q266" s="599">
        <f t="shared" si="43"/>
        <v>1</v>
      </c>
      <c r="R266" s="659">
        <f t="shared" si="44"/>
        <v>0</v>
      </c>
      <c r="S266" s="598">
        <f t="shared" si="35"/>
        <v>0</v>
      </c>
    </row>
    <row r="267" spans="1:19">
      <c r="A267" s="606"/>
      <c r="B267" s="607"/>
      <c r="C267" s="599">
        <f t="shared" si="36"/>
        <v>1</v>
      </c>
      <c r="D267" s="608"/>
      <c r="E267" s="599">
        <f t="shared" si="37"/>
        <v>1</v>
      </c>
      <c r="F267" s="608"/>
      <c r="G267" s="599">
        <f t="shared" si="38"/>
        <v>1</v>
      </c>
      <c r="H267" s="608"/>
      <c r="I267" s="599">
        <f t="shared" si="39"/>
        <v>1</v>
      </c>
      <c r="J267" s="608"/>
      <c r="K267" s="599">
        <f t="shared" si="40"/>
        <v>1</v>
      </c>
      <c r="L267" s="608"/>
      <c r="M267" s="599">
        <f t="shared" si="41"/>
        <v>1</v>
      </c>
      <c r="N267" s="608"/>
      <c r="O267" s="599">
        <f t="shared" si="42"/>
        <v>1</v>
      </c>
      <c r="P267" s="608"/>
      <c r="Q267" s="599">
        <f t="shared" si="43"/>
        <v>1</v>
      </c>
      <c r="R267" s="659">
        <f t="shared" si="44"/>
        <v>0</v>
      </c>
      <c r="S267" s="598">
        <f t="shared" si="35"/>
        <v>0</v>
      </c>
    </row>
    <row r="268" spans="1:19">
      <c r="A268" s="606"/>
      <c r="B268" s="607"/>
      <c r="C268" s="599">
        <f t="shared" si="36"/>
        <v>1</v>
      </c>
      <c r="D268" s="608"/>
      <c r="E268" s="599">
        <f t="shared" si="37"/>
        <v>1</v>
      </c>
      <c r="F268" s="608"/>
      <c r="G268" s="599">
        <f t="shared" si="38"/>
        <v>1</v>
      </c>
      <c r="H268" s="608"/>
      <c r="I268" s="599">
        <f t="shared" si="39"/>
        <v>1</v>
      </c>
      <c r="J268" s="608"/>
      <c r="K268" s="599">
        <f t="shared" si="40"/>
        <v>1</v>
      </c>
      <c r="L268" s="608"/>
      <c r="M268" s="599">
        <f t="shared" si="41"/>
        <v>1</v>
      </c>
      <c r="N268" s="608"/>
      <c r="O268" s="599">
        <f t="shared" si="42"/>
        <v>1</v>
      </c>
      <c r="P268" s="608"/>
      <c r="Q268" s="599">
        <f t="shared" si="43"/>
        <v>1</v>
      </c>
      <c r="R268" s="659">
        <f t="shared" si="44"/>
        <v>0</v>
      </c>
      <c r="S268" s="598">
        <f t="shared" si="35"/>
        <v>0</v>
      </c>
    </row>
    <row r="269" spans="1:19">
      <c r="A269" s="606"/>
      <c r="B269" s="607"/>
      <c r="C269" s="599">
        <f t="shared" si="36"/>
        <v>1</v>
      </c>
      <c r="D269" s="608"/>
      <c r="E269" s="599">
        <f t="shared" si="37"/>
        <v>1</v>
      </c>
      <c r="F269" s="608"/>
      <c r="G269" s="599">
        <f t="shared" si="38"/>
        <v>1</v>
      </c>
      <c r="H269" s="608"/>
      <c r="I269" s="599">
        <f t="shared" si="39"/>
        <v>1</v>
      </c>
      <c r="J269" s="608"/>
      <c r="K269" s="599">
        <f t="shared" si="40"/>
        <v>1</v>
      </c>
      <c r="L269" s="608"/>
      <c r="M269" s="599">
        <f t="shared" si="41"/>
        <v>1</v>
      </c>
      <c r="N269" s="608"/>
      <c r="O269" s="599">
        <f t="shared" si="42"/>
        <v>1</v>
      </c>
      <c r="P269" s="608"/>
      <c r="Q269" s="599">
        <f t="shared" si="43"/>
        <v>1</v>
      </c>
      <c r="R269" s="659">
        <f t="shared" si="44"/>
        <v>0</v>
      </c>
      <c r="S269" s="598">
        <f t="shared" si="35"/>
        <v>0</v>
      </c>
    </row>
    <row r="270" spans="1:19">
      <c r="A270" s="606"/>
      <c r="B270" s="607"/>
      <c r="C270" s="599">
        <f t="shared" si="36"/>
        <v>1</v>
      </c>
      <c r="D270" s="608"/>
      <c r="E270" s="599">
        <f t="shared" si="37"/>
        <v>1</v>
      </c>
      <c r="F270" s="608"/>
      <c r="G270" s="599">
        <f t="shared" si="38"/>
        <v>1</v>
      </c>
      <c r="H270" s="608"/>
      <c r="I270" s="599">
        <f t="shared" si="39"/>
        <v>1</v>
      </c>
      <c r="J270" s="608"/>
      <c r="K270" s="599">
        <f t="shared" si="40"/>
        <v>1</v>
      </c>
      <c r="L270" s="608"/>
      <c r="M270" s="599">
        <f t="shared" si="41"/>
        <v>1</v>
      </c>
      <c r="N270" s="608"/>
      <c r="O270" s="599">
        <f t="shared" si="42"/>
        <v>1</v>
      </c>
      <c r="P270" s="608"/>
      <c r="Q270" s="599">
        <f t="shared" si="43"/>
        <v>1</v>
      </c>
      <c r="R270" s="659">
        <f t="shared" si="44"/>
        <v>0</v>
      </c>
      <c r="S270" s="598">
        <f t="shared" si="35"/>
        <v>0</v>
      </c>
    </row>
    <row r="271" spans="1:19">
      <c r="A271" s="606"/>
      <c r="B271" s="607"/>
      <c r="C271" s="599">
        <f t="shared" si="36"/>
        <v>1</v>
      </c>
      <c r="D271" s="608"/>
      <c r="E271" s="599">
        <f t="shared" si="37"/>
        <v>1</v>
      </c>
      <c r="F271" s="608"/>
      <c r="G271" s="599">
        <f t="shared" si="38"/>
        <v>1</v>
      </c>
      <c r="H271" s="608"/>
      <c r="I271" s="599">
        <f t="shared" si="39"/>
        <v>1</v>
      </c>
      <c r="J271" s="608"/>
      <c r="K271" s="599">
        <f t="shared" si="40"/>
        <v>1</v>
      </c>
      <c r="L271" s="608"/>
      <c r="M271" s="599">
        <f t="shared" si="41"/>
        <v>1</v>
      </c>
      <c r="N271" s="608"/>
      <c r="O271" s="599">
        <f t="shared" si="42"/>
        <v>1</v>
      </c>
      <c r="P271" s="608"/>
      <c r="Q271" s="599">
        <f t="shared" si="43"/>
        <v>1</v>
      </c>
      <c r="R271" s="659">
        <f t="shared" si="44"/>
        <v>0</v>
      </c>
      <c r="S271" s="598">
        <f t="shared" si="35"/>
        <v>0</v>
      </c>
    </row>
    <row r="272" spans="1:19">
      <c r="A272" s="606"/>
      <c r="B272" s="607"/>
      <c r="C272" s="599">
        <f t="shared" si="36"/>
        <v>1</v>
      </c>
      <c r="D272" s="608"/>
      <c r="E272" s="599">
        <f t="shared" si="37"/>
        <v>1</v>
      </c>
      <c r="F272" s="608"/>
      <c r="G272" s="599">
        <f t="shared" si="38"/>
        <v>1</v>
      </c>
      <c r="H272" s="608"/>
      <c r="I272" s="599">
        <f t="shared" si="39"/>
        <v>1</v>
      </c>
      <c r="J272" s="608"/>
      <c r="K272" s="599">
        <f t="shared" si="40"/>
        <v>1</v>
      </c>
      <c r="L272" s="608"/>
      <c r="M272" s="599">
        <f t="shared" si="41"/>
        <v>1</v>
      </c>
      <c r="N272" s="608"/>
      <c r="O272" s="599">
        <f t="shared" si="42"/>
        <v>1</v>
      </c>
      <c r="P272" s="608"/>
      <c r="Q272" s="599">
        <f t="shared" si="43"/>
        <v>1</v>
      </c>
      <c r="R272" s="659">
        <f t="shared" si="44"/>
        <v>0</v>
      </c>
      <c r="S272" s="598">
        <f t="shared" si="35"/>
        <v>0</v>
      </c>
    </row>
    <row r="273" spans="1:19">
      <c r="A273" s="606"/>
      <c r="B273" s="607"/>
      <c r="C273" s="599">
        <f t="shared" si="36"/>
        <v>1</v>
      </c>
      <c r="D273" s="608"/>
      <c r="E273" s="599">
        <f t="shared" si="37"/>
        <v>1</v>
      </c>
      <c r="F273" s="608"/>
      <c r="G273" s="599">
        <f t="shared" si="38"/>
        <v>1</v>
      </c>
      <c r="H273" s="608"/>
      <c r="I273" s="599">
        <f t="shared" si="39"/>
        <v>1</v>
      </c>
      <c r="J273" s="608"/>
      <c r="K273" s="599">
        <f t="shared" si="40"/>
        <v>1</v>
      </c>
      <c r="L273" s="608"/>
      <c r="M273" s="599">
        <f t="shared" si="41"/>
        <v>1</v>
      </c>
      <c r="N273" s="608"/>
      <c r="O273" s="599">
        <f t="shared" si="42"/>
        <v>1</v>
      </c>
      <c r="P273" s="608"/>
      <c r="Q273" s="599">
        <f t="shared" si="43"/>
        <v>1</v>
      </c>
      <c r="R273" s="659">
        <f t="shared" si="44"/>
        <v>0</v>
      </c>
      <c r="S273" s="598">
        <f t="shared" si="35"/>
        <v>0</v>
      </c>
    </row>
    <row r="274" spans="1:19">
      <c r="A274" s="606"/>
      <c r="B274" s="607"/>
      <c r="C274" s="599">
        <f t="shared" si="36"/>
        <v>1</v>
      </c>
      <c r="D274" s="608"/>
      <c r="E274" s="599">
        <f t="shared" si="37"/>
        <v>1</v>
      </c>
      <c r="F274" s="608"/>
      <c r="G274" s="599">
        <f t="shared" si="38"/>
        <v>1</v>
      </c>
      <c r="H274" s="608"/>
      <c r="I274" s="599">
        <f t="shared" si="39"/>
        <v>1</v>
      </c>
      <c r="J274" s="608"/>
      <c r="K274" s="599">
        <f t="shared" si="40"/>
        <v>1</v>
      </c>
      <c r="L274" s="608"/>
      <c r="M274" s="599">
        <f t="shared" si="41"/>
        <v>1</v>
      </c>
      <c r="N274" s="608"/>
      <c r="O274" s="599">
        <f t="shared" si="42"/>
        <v>1</v>
      </c>
      <c r="P274" s="608"/>
      <c r="Q274" s="599">
        <f t="shared" si="43"/>
        <v>1</v>
      </c>
      <c r="R274" s="659">
        <f t="shared" si="44"/>
        <v>0</v>
      </c>
      <c r="S274" s="598">
        <f t="shared" si="35"/>
        <v>0</v>
      </c>
    </row>
    <row r="275" spans="1:19">
      <c r="A275" s="606"/>
      <c r="B275" s="607"/>
      <c r="C275" s="599">
        <f t="shared" si="36"/>
        <v>1</v>
      </c>
      <c r="D275" s="608"/>
      <c r="E275" s="599">
        <f t="shared" si="37"/>
        <v>1</v>
      </c>
      <c r="F275" s="608"/>
      <c r="G275" s="599">
        <f t="shared" si="38"/>
        <v>1</v>
      </c>
      <c r="H275" s="608"/>
      <c r="I275" s="599">
        <f t="shared" si="39"/>
        <v>1</v>
      </c>
      <c r="J275" s="608"/>
      <c r="K275" s="599">
        <f t="shared" si="40"/>
        <v>1</v>
      </c>
      <c r="L275" s="608"/>
      <c r="M275" s="599">
        <f t="shared" si="41"/>
        <v>1</v>
      </c>
      <c r="N275" s="608"/>
      <c r="O275" s="599">
        <f t="shared" si="42"/>
        <v>1</v>
      </c>
      <c r="P275" s="608"/>
      <c r="Q275" s="599">
        <f t="shared" si="43"/>
        <v>1</v>
      </c>
      <c r="R275" s="659">
        <f t="shared" si="44"/>
        <v>0</v>
      </c>
      <c r="S275" s="598">
        <f t="shared" si="35"/>
        <v>0</v>
      </c>
    </row>
    <row r="276" spans="1:19">
      <c r="A276" s="606"/>
      <c r="B276" s="607"/>
      <c r="C276" s="599">
        <f t="shared" si="36"/>
        <v>1</v>
      </c>
      <c r="D276" s="608"/>
      <c r="E276" s="599">
        <f t="shared" si="37"/>
        <v>1</v>
      </c>
      <c r="F276" s="608"/>
      <c r="G276" s="599">
        <f t="shared" si="38"/>
        <v>1</v>
      </c>
      <c r="H276" s="608"/>
      <c r="I276" s="599">
        <f t="shared" si="39"/>
        <v>1</v>
      </c>
      <c r="J276" s="608"/>
      <c r="K276" s="599">
        <f t="shared" si="40"/>
        <v>1</v>
      </c>
      <c r="L276" s="608"/>
      <c r="M276" s="599">
        <f t="shared" si="41"/>
        <v>1</v>
      </c>
      <c r="N276" s="608"/>
      <c r="O276" s="599">
        <f t="shared" si="42"/>
        <v>1</v>
      </c>
      <c r="P276" s="608"/>
      <c r="Q276" s="599">
        <f t="shared" si="43"/>
        <v>1</v>
      </c>
      <c r="R276" s="659">
        <f t="shared" si="44"/>
        <v>0</v>
      </c>
      <c r="S276" s="598">
        <f t="shared" si="35"/>
        <v>0</v>
      </c>
    </row>
    <row r="277" spans="1:19">
      <c r="A277" s="606"/>
      <c r="B277" s="607"/>
      <c r="C277" s="599">
        <f t="shared" si="36"/>
        <v>1</v>
      </c>
      <c r="D277" s="608"/>
      <c r="E277" s="599">
        <f t="shared" si="37"/>
        <v>1</v>
      </c>
      <c r="F277" s="608"/>
      <c r="G277" s="599">
        <f t="shared" si="38"/>
        <v>1</v>
      </c>
      <c r="H277" s="608"/>
      <c r="I277" s="599">
        <f t="shared" si="39"/>
        <v>1</v>
      </c>
      <c r="J277" s="608"/>
      <c r="K277" s="599">
        <f t="shared" si="40"/>
        <v>1</v>
      </c>
      <c r="L277" s="608"/>
      <c r="M277" s="599">
        <f t="shared" si="41"/>
        <v>1</v>
      </c>
      <c r="N277" s="608"/>
      <c r="O277" s="599">
        <f t="shared" si="42"/>
        <v>1</v>
      </c>
      <c r="P277" s="608"/>
      <c r="Q277" s="599">
        <f t="shared" si="43"/>
        <v>1</v>
      </c>
      <c r="R277" s="659">
        <f t="shared" si="44"/>
        <v>0</v>
      </c>
      <c r="S277" s="598">
        <f t="shared" si="35"/>
        <v>0</v>
      </c>
    </row>
    <row r="278" spans="1:19">
      <c r="A278" s="606"/>
      <c r="B278" s="607"/>
      <c r="C278" s="599">
        <f t="shared" si="36"/>
        <v>1</v>
      </c>
      <c r="D278" s="608"/>
      <c r="E278" s="599">
        <f t="shared" si="37"/>
        <v>1</v>
      </c>
      <c r="F278" s="608"/>
      <c r="G278" s="599">
        <f t="shared" si="38"/>
        <v>1</v>
      </c>
      <c r="H278" s="608"/>
      <c r="I278" s="599">
        <f t="shared" si="39"/>
        <v>1</v>
      </c>
      <c r="J278" s="608"/>
      <c r="K278" s="599">
        <f t="shared" si="40"/>
        <v>1</v>
      </c>
      <c r="L278" s="608"/>
      <c r="M278" s="599">
        <f t="shared" si="41"/>
        <v>1</v>
      </c>
      <c r="N278" s="608"/>
      <c r="O278" s="599">
        <f t="shared" si="42"/>
        <v>1</v>
      </c>
      <c r="P278" s="608"/>
      <c r="Q278" s="599">
        <f t="shared" si="43"/>
        <v>1</v>
      </c>
      <c r="R278" s="659">
        <f t="shared" si="44"/>
        <v>0</v>
      </c>
      <c r="S278" s="598">
        <f t="shared" si="35"/>
        <v>0</v>
      </c>
    </row>
    <row r="279" spans="1:19">
      <c r="A279" s="606"/>
      <c r="B279" s="607"/>
      <c r="C279" s="599">
        <f t="shared" si="36"/>
        <v>1</v>
      </c>
      <c r="D279" s="608"/>
      <c r="E279" s="599">
        <f t="shared" si="37"/>
        <v>1</v>
      </c>
      <c r="F279" s="608"/>
      <c r="G279" s="599">
        <f t="shared" si="38"/>
        <v>1</v>
      </c>
      <c r="H279" s="608"/>
      <c r="I279" s="599">
        <f t="shared" si="39"/>
        <v>1</v>
      </c>
      <c r="J279" s="608"/>
      <c r="K279" s="599">
        <f t="shared" si="40"/>
        <v>1</v>
      </c>
      <c r="L279" s="608"/>
      <c r="M279" s="599">
        <f t="shared" si="41"/>
        <v>1</v>
      </c>
      <c r="N279" s="608"/>
      <c r="O279" s="599">
        <f t="shared" si="42"/>
        <v>1</v>
      </c>
      <c r="P279" s="608"/>
      <c r="Q279" s="599">
        <f t="shared" si="43"/>
        <v>1</v>
      </c>
      <c r="R279" s="659">
        <f t="shared" si="44"/>
        <v>0</v>
      </c>
      <c r="S279" s="598">
        <f t="shared" si="35"/>
        <v>0</v>
      </c>
    </row>
    <row r="280" spans="1:19">
      <c r="A280" s="606"/>
      <c r="B280" s="607"/>
      <c r="C280" s="599">
        <f t="shared" si="36"/>
        <v>1</v>
      </c>
      <c r="D280" s="608"/>
      <c r="E280" s="599">
        <f t="shared" si="37"/>
        <v>1</v>
      </c>
      <c r="F280" s="608"/>
      <c r="G280" s="599">
        <f t="shared" si="38"/>
        <v>1</v>
      </c>
      <c r="H280" s="608"/>
      <c r="I280" s="599">
        <f t="shared" si="39"/>
        <v>1</v>
      </c>
      <c r="J280" s="608"/>
      <c r="K280" s="599">
        <f t="shared" si="40"/>
        <v>1</v>
      </c>
      <c r="L280" s="608"/>
      <c r="M280" s="599">
        <f t="shared" si="41"/>
        <v>1</v>
      </c>
      <c r="N280" s="608"/>
      <c r="O280" s="599">
        <f t="shared" si="42"/>
        <v>1</v>
      </c>
      <c r="P280" s="608"/>
      <c r="Q280" s="599">
        <f t="shared" si="43"/>
        <v>1</v>
      </c>
      <c r="R280" s="659">
        <f t="shared" si="44"/>
        <v>0</v>
      </c>
      <c r="S280" s="598">
        <f t="shared" ref="S280:S343" si="45">ROUND(R280*B280/10000,0)</f>
        <v>0</v>
      </c>
    </row>
    <row r="281" spans="1:19">
      <c r="A281" s="606"/>
      <c r="B281" s="607"/>
      <c r="C281" s="599">
        <f t="shared" ref="C281:C344" si="46">IF(B281="",1,(LOOKUP(B281,$3:$3,$4:$4)-LOOKUP($B$24,$3:$3,$4:$4)+100)/100)</f>
        <v>1</v>
      </c>
      <c r="D281" s="608"/>
      <c r="E281" s="599">
        <f t="shared" ref="E281:E344" si="47">(SUMIF($5:$5,D281,$6:$6)-SUMIF($5:$5,$D$24,$6:$6)+100)/100</f>
        <v>1</v>
      </c>
      <c r="F281" s="608"/>
      <c r="G281" s="599">
        <f t="shared" ref="G281:G344" si="48">(SUMIF($7:$7,F281,$8:$8)-SUMIF($7:$7,$F$24,$8:$8)+100)/100</f>
        <v>1</v>
      </c>
      <c r="H281" s="608"/>
      <c r="I281" s="599">
        <f t="shared" ref="I281:I344" si="49">(SUMIF($9:$9,H281,$10:$10)-SUMIF($9:$9,$H$24,$10:$10)+100)/100</f>
        <v>1</v>
      </c>
      <c r="J281" s="608"/>
      <c r="K281" s="599">
        <f t="shared" ref="K281:K344" si="50">(SUMIF($11:$11,J281,$12:$12)-SUMIF($11:$11,$J$24,$12:$12)+100)/100</f>
        <v>1</v>
      </c>
      <c r="L281" s="608"/>
      <c r="M281" s="599">
        <f t="shared" ref="M281:M344" si="51">(SUMIF($13:$13,L281,$14:$14)-SUMIF($13:$13,$L$24,$14:$14)+100)/100</f>
        <v>1</v>
      </c>
      <c r="N281" s="608"/>
      <c r="O281" s="599">
        <f t="shared" ref="O281:O344" si="52">(SUMIF($15:$15,N281,$16:$16)-SUMIF($15:$15,$N$24,$16:$16)+100)/100</f>
        <v>1</v>
      </c>
      <c r="P281" s="608"/>
      <c r="Q281" s="599">
        <f t="shared" ref="Q281:Q344" si="53">(SUMIF($17:$17,P281,$18:$18)-SUMIF($17:$17,$P$24,$18:$18)+100)/100</f>
        <v>1</v>
      </c>
      <c r="R281" s="659">
        <f t="shared" ref="R281:R344" si="54">IF(B281="",0,ROUND($R$24*C281*E281*G281*I281*K281*M281*O281*Q281,0))</f>
        <v>0</v>
      </c>
      <c r="S281" s="598">
        <f t="shared" si="45"/>
        <v>0</v>
      </c>
    </row>
    <row r="282" spans="1:19">
      <c r="A282" s="606"/>
      <c r="B282" s="607"/>
      <c r="C282" s="599">
        <f t="shared" si="46"/>
        <v>1</v>
      </c>
      <c r="D282" s="608"/>
      <c r="E282" s="599">
        <f t="shared" si="47"/>
        <v>1</v>
      </c>
      <c r="F282" s="608"/>
      <c r="G282" s="599">
        <f t="shared" si="48"/>
        <v>1</v>
      </c>
      <c r="H282" s="608"/>
      <c r="I282" s="599">
        <f t="shared" si="49"/>
        <v>1</v>
      </c>
      <c r="J282" s="608"/>
      <c r="K282" s="599">
        <f t="shared" si="50"/>
        <v>1</v>
      </c>
      <c r="L282" s="608"/>
      <c r="M282" s="599">
        <f t="shared" si="51"/>
        <v>1</v>
      </c>
      <c r="N282" s="608"/>
      <c r="O282" s="599">
        <f t="shared" si="52"/>
        <v>1</v>
      </c>
      <c r="P282" s="608"/>
      <c r="Q282" s="599">
        <f t="shared" si="53"/>
        <v>1</v>
      </c>
      <c r="R282" s="659">
        <f t="shared" si="54"/>
        <v>0</v>
      </c>
      <c r="S282" s="598">
        <f t="shared" si="45"/>
        <v>0</v>
      </c>
    </row>
    <row r="283" spans="1:19">
      <c r="A283" s="606"/>
      <c r="B283" s="607"/>
      <c r="C283" s="599">
        <f t="shared" si="46"/>
        <v>1</v>
      </c>
      <c r="D283" s="608"/>
      <c r="E283" s="599">
        <f t="shared" si="47"/>
        <v>1</v>
      </c>
      <c r="F283" s="608"/>
      <c r="G283" s="599">
        <f t="shared" si="48"/>
        <v>1</v>
      </c>
      <c r="H283" s="608"/>
      <c r="I283" s="599">
        <f t="shared" si="49"/>
        <v>1</v>
      </c>
      <c r="J283" s="608"/>
      <c r="K283" s="599">
        <f t="shared" si="50"/>
        <v>1</v>
      </c>
      <c r="L283" s="608"/>
      <c r="M283" s="599">
        <f t="shared" si="51"/>
        <v>1</v>
      </c>
      <c r="N283" s="608"/>
      <c r="O283" s="599">
        <f t="shared" si="52"/>
        <v>1</v>
      </c>
      <c r="P283" s="608"/>
      <c r="Q283" s="599">
        <f t="shared" si="53"/>
        <v>1</v>
      </c>
      <c r="R283" s="659">
        <f t="shared" si="54"/>
        <v>0</v>
      </c>
      <c r="S283" s="598">
        <f t="shared" si="45"/>
        <v>0</v>
      </c>
    </row>
    <row r="284" spans="1:19">
      <c r="A284" s="606"/>
      <c r="B284" s="607"/>
      <c r="C284" s="599">
        <f t="shared" si="46"/>
        <v>1</v>
      </c>
      <c r="D284" s="608"/>
      <c r="E284" s="599">
        <f t="shared" si="47"/>
        <v>1</v>
      </c>
      <c r="F284" s="608"/>
      <c r="G284" s="599">
        <f t="shared" si="48"/>
        <v>1</v>
      </c>
      <c r="H284" s="608"/>
      <c r="I284" s="599">
        <f t="shared" si="49"/>
        <v>1</v>
      </c>
      <c r="J284" s="608"/>
      <c r="K284" s="599">
        <f t="shared" si="50"/>
        <v>1</v>
      </c>
      <c r="L284" s="608"/>
      <c r="M284" s="599">
        <f t="shared" si="51"/>
        <v>1</v>
      </c>
      <c r="N284" s="608"/>
      <c r="O284" s="599">
        <f t="shared" si="52"/>
        <v>1</v>
      </c>
      <c r="P284" s="608"/>
      <c r="Q284" s="599">
        <f t="shared" si="53"/>
        <v>1</v>
      </c>
      <c r="R284" s="659">
        <f t="shared" si="54"/>
        <v>0</v>
      </c>
      <c r="S284" s="598">
        <f t="shared" si="45"/>
        <v>0</v>
      </c>
    </row>
    <row r="285" spans="1:19">
      <c r="A285" s="606"/>
      <c r="B285" s="607"/>
      <c r="C285" s="599">
        <f t="shared" si="46"/>
        <v>1</v>
      </c>
      <c r="D285" s="608"/>
      <c r="E285" s="599">
        <f t="shared" si="47"/>
        <v>1</v>
      </c>
      <c r="F285" s="608"/>
      <c r="G285" s="599">
        <f t="shared" si="48"/>
        <v>1</v>
      </c>
      <c r="H285" s="608"/>
      <c r="I285" s="599">
        <f t="shared" si="49"/>
        <v>1</v>
      </c>
      <c r="J285" s="608"/>
      <c r="K285" s="599">
        <f t="shared" si="50"/>
        <v>1</v>
      </c>
      <c r="L285" s="608"/>
      <c r="M285" s="599">
        <f t="shared" si="51"/>
        <v>1</v>
      </c>
      <c r="N285" s="608"/>
      <c r="O285" s="599">
        <f t="shared" si="52"/>
        <v>1</v>
      </c>
      <c r="P285" s="608"/>
      <c r="Q285" s="599">
        <f t="shared" si="53"/>
        <v>1</v>
      </c>
      <c r="R285" s="659">
        <f t="shared" si="54"/>
        <v>0</v>
      </c>
      <c r="S285" s="598">
        <f t="shared" si="45"/>
        <v>0</v>
      </c>
    </row>
    <row r="286" spans="1:19">
      <c r="A286" s="606"/>
      <c r="B286" s="607"/>
      <c r="C286" s="599">
        <f t="shared" si="46"/>
        <v>1</v>
      </c>
      <c r="D286" s="608"/>
      <c r="E286" s="599">
        <f t="shared" si="47"/>
        <v>1</v>
      </c>
      <c r="F286" s="608"/>
      <c r="G286" s="599">
        <f t="shared" si="48"/>
        <v>1</v>
      </c>
      <c r="H286" s="608"/>
      <c r="I286" s="599">
        <f t="shared" si="49"/>
        <v>1</v>
      </c>
      <c r="J286" s="608"/>
      <c r="K286" s="599">
        <f t="shared" si="50"/>
        <v>1</v>
      </c>
      <c r="L286" s="608"/>
      <c r="M286" s="599">
        <f t="shared" si="51"/>
        <v>1</v>
      </c>
      <c r="N286" s="608"/>
      <c r="O286" s="599">
        <f t="shared" si="52"/>
        <v>1</v>
      </c>
      <c r="P286" s="608"/>
      <c r="Q286" s="599">
        <f t="shared" si="53"/>
        <v>1</v>
      </c>
      <c r="R286" s="659">
        <f t="shared" si="54"/>
        <v>0</v>
      </c>
      <c r="S286" s="598">
        <f t="shared" si="45"/>
        <v>0</v>
      </c>
    </row>
    <row r="287" spans="1:19">
      <c r="A287" s="606"/>
      <c r="B287" s="607"/>
      <c r="C287" s="599">
        <f t="shared" si="46"/>
        <v>1</v>
      </c>
      <c r="D287" s="608"/>
      <c r="E287" s="599">
        <f t="shared" si="47"/>
        <v>1</v>
      </c>
      <c r="F287" s="608"/>
      <c r="G287" s="599">
        <f t="shared" si="48"/>
        <v>1</v>
      </c>
      <c r="H287" s="608"/>
      <c r="I287" s="599">
        <f t="shared" si="49"/>
        <v>1</v>
      </c>
      <c r="J287" s="608"/>
      <c r="K287" s="599">
        <f t="shared" si="50"/>
        <v>1</v>
      </c>
      <c r="L287" s="608"/>
      <c r="M287" s="599">
        <f t="shared" si="51"/>
        <v>1</v>
      </c>
      <c r="N287" s="608"/>
      <c r="O287" s="599">
        <f t="shared" si="52"/>
        <v>1</v>
      </c>
      <c r="P287" s="608"/>
      <c r="Q287" s="599">
        <f t="shared" si="53"/>
        <v>1</v>
      </c>
      <c r="R287" s="659">
        <f t="shared" si="54"/>
        <v>0</v>
      </c>
      <c r="S287" s="598">
        <f t="shared" si="45"/>
        <v>0</v>
      </c>
    </row>
    <row r="288" spans="1:19">
      <c r="A288" s="606"/>
      <c r="B288" s="607"/>
      <c r="C288" s="599">
        <f t="shared" si="46"/>
        <v>1</v>
      </c>
      <c r="D288" s="608"/>
      <c r="E288" s="599">
        <f t="shared" si="47"/>
        <v>1</v>
      </c>
      <c r="F288" s="608"/>
      <c r="G288" s="599">
        <f t="shared" si="48"/>
        <v>1</v>
      </c>
      <c r="H288" s="608"/>
      <c r="I288" s="599">
        <f t="shared" si="49"/>
        <v>1</v>
      </c>
      <c r="J288" s="608"/>
      <c r="K288" s="599">
        <f t="shared" si="50"/>
        <v>1</v>
      </c>
      <c r="L288" s="608"/>
      <c r="M288" s="599">
        <f t="shared" si="51"/>
        <v>1</v>
      </c>
      <c r="N288" s="608"/>
      <c r="O288" s="599">
        <f t="shared" si="52"/>
        <v>1</v>
      </c>
      <c r="P288" s="608"/>
      <c r="Q288" s="599">
        <f t="shared" si="53"/>
        <v>1</v>
      </c>
      <c r="R288" s="659">
        <f t="shared" si="54"/>
        <v>0</v>
      </c>
      <c r="S288" s="598">
        <f t="shared" si="45"/>
        <v>0</v>
      </c>
    </row>
    <row r="289" spans="1:19">
      <c r="A289" s="606"/>
      <c r="B289" s="607"/>
      <c r="C289" s="599">
        <f t="shared" si="46"/>
        <v>1</v>
      </c>
      <c r="D289" s="608"/>
      <c r="E289" s="599">
        <f t="shared" si="47"/>
        <v>1</v>
      </c>
      <c r="F289" s="608"/>
      <c r="G289" s="599">
        <f t="shared" si="48"/>
        <v>1</v>
      </c>
      <c r="H289" s="608"/>
      <c r="I289" s="599">
        <f t="shared" si="49"/>
        <v>1</v>
      </c>
      <c r="J289" s="608"/>
      <c r="K289" s="599">
        <f t="shared" si="50"/>
        <v>1</v>
      </c>
      <c r="L289" s="608"/>
      <c r="M289" s="599">
        <f t="shared" si="51"/>
        <v>1</v>
      </c>
      <c r="N289" s="608"/>
      <c r="O289" s="599">
        <f t="shared" si="52"/>
        <v>1</v>
      </c>
      <c r="P289" s="608"/>
      <c r="Q289" s="599">
        <f t="shared" si="53"/>
        <v>1</v>
      </c>
      <c r="R289" s="659">
        <f t="shared" si="54"/>
        <v>0</v>
      </c>
      <c r="S289" s="598">
        <f t="shared" si="45"/>
        <v>0</v>
      </c>
    </row>
    <row r="290" spans="1:19">
      <c r="A290" s="606"/>
      <c r="B290" s="607"/>
      <c r="C290" s="599">
        <f t="shared" si="46"/>
        <v>1</v>
      </c>
      <c r="D290" s="608"/>
      <c r="E290" s="599">
        <f t="shared" si="47"/>
        <v>1</v>
      </c>
      <c r="F290" s="608"/>
      <c r="G290" s="599">
        <f t="shared" si="48"/>
        <v>1</v>
      </c>
      <c r="H290" s="608"/>
      <c r="I290" s="599">
        <f t="shared" si="49"/>
        <v>1</v>
      </c>
      <c r="J290" s="608"/>
      <c r="K290" s="599">
        <f t="shared" si="50"/>
        <v>1</v>
      </c>
      <c r="L290" s="608"/>
      <c r="M290" s="599">
        <f t="shared" si="51"/>
        <v>1</v>
      </c>
      <c r="N290" s="608"/>
      <c r="O290" s="599">
        <f t="shared" si="52"/>
        <v>1</v>
      </c>
      <c r="P290" s="608"/>
      <c r="Q290" s="599">
        <f t="shared" si="53"/>
        <v>1</v>
      </c>
      <c r="R290" s="659">
        <f t="shared" si="54"/>
        <v>0</v>
      </c>
      <c r="S290" s="598">
        <f t="shared" si="45"/>
        <v>0</v>
      </c>
    </row>
    <row r="291" spans="1:19">
      <c r="A291" s="606"/>
      <c r="B291" s="607"/>
      <c r="C291" s="599">
        <f t="shared" si="46"/>
        <v>1</v>
      </c>
      <c r="D291" s="608"/>
      <c r="E291" s="599">
        <f t="shared" si="47"/>
        <v>1</v>
      </c>
      <c r="F291" s="608"/>
      <c r="G291" s="599">
        <f t="shared" si="48"/>
        <v>1</v>
      </c>
      <c r="H291" s="608"/>
      <c r="I291" s="599">
        <f t="shared" si="49"/>
        <v>1</v>
      </c>
      <c r="J291" s="608"/>
      <c r="K291" s="599">
        <f t="shared" si="50"/>
        <v>1</v>
      </c>
      <c r="L291" s="608"/>
      <c r="M291" s="599">
        <f t="shared" si="51"/>
        <v>1</v>
      </c>
      <c r="N291" s="608"/>
      <c r="O291" s="599">
        <f t="shared" si="52"/>
        <v>1</v>
      </c>
      <c r="P291" s="608"/>
      <c r="Q291" s="599">
        <f t="shared" si="53"/>
        <v>1</v>
      </c>
      <c r="R291" s="659">
        <f t="shared" si="54"/>
        <v>0</v>
      </c>
      <c r="S291" s="598">
        <f t="shared" si="45"/>
        <v>0</v>
      </c>
    </row>
    <row r="292" spans="1:19">
      <c r="A292" s="606"/>
      <c r="B292" s="607"/>
      <c r="C292" s="599">
        <f t="shared" si="46"/>
        <v>1</v>
      </c>
      <c r="D292" s="608"/>
      <c r="E292" s="599">
        <f t="shared" si="47"/>
        <v>1</v>
      </c>
      <c r="F292" s="608"/>
      <c r="G292" s="599">
        <f t="shared" si="48"/>
        <v>1</v>
      </c>
      <c r="H292" s="608"/>
      <c r="I292" s="599">
        <f t="shared" si="49"/>
        <v>1</v>
      </c>
      <c r="J292" s="608"/>
      <c r="K292" s="599">
        <f t="shared" si="50"/>
        <v>1</v>
      </c>
      <c r="L292" s="608"/>
      <c r="M292" s="599">
        <f t="shared" si="51"/>
        <v>1</v>
      </c>
      <c r="N292" s="608"/>
      <c r="O292" s="599">
        <f t="shared" si="52"/>
        <v>1</v>
      </c>
      <c r="P292" s="608"/>
      <c r="Q292" s="599">
        <f t="shared" si="53"/>
        <v>1</v>
      </c>
      <c r="R292" s="659">
        <f t="shared" si="54"/>
        <v>0</v>
      </c>
      <c r="S292" s="598">
        <f t="shared" si="45"/>
        <v>0</v>
      </c>
    </row>
    <row r="293" spans="1:19">
      <c r="A293" s="606"/>
      <c r="B293" s="607"/>
      <c r="C293" s="599">
        <f t="shared" si="46"/>
        <v>1</v>
      </c>
      <c r="D293" s="608"/>
      <c r="E293" s="599">
        <f t="shared" si="47"/>
        <v>1</v>
      </c>
      <c r="F293" s="608"/>
      <c r="G293" s="599">
        <f t="shared" si="48"/>
        <v>1</v>
      </c>
      <c r="H293" s="608"/>
      <c r="I293" s="599">
        <f t="shared" si="49"/>
        <v>1</v>
      </c>
      <c r="J293" s="608"/>
      <c r="K293" s="599">
        <f t="shared" si="50"/>
        <v>1</v>
      </c>
      <c r="L293" s="608"/>
      <c r="M293" s="599">
        <f t="shared" si="51"/>
        <v>1</v>
      </c>
      <c r="N293" s="608"/>
      <c r="O293" s="599">
        <f t="shared" si="52"/>
        <v>1</v>
      </c>
      <c r="P293" s="608"/>
      <c r="Q293" s="599">
        <f t="shared" si="53"/>
        <v>1</v>
      </c>
      <c r="R293" s="659">
        <f t="shared" si="54"/>
        <v>0</v>
      </c>
      <c r="S293" s="598">
        <f t="shared" si="45"/>
        <v>0</v>
      </c>
    </row>
    <row r="294" spans="1:19">
      <c r="A294" s="606"/>
      <c r="B294" s="607"/>
      <c r="C294" s="599">
        <f t="shared" si="46"/>
        <v>1</v>
      </c>
      <c r="D294" s="608"/>
      <c r="E294" s="599">
        <f t="shared" si="47"/>
        <v>1</v>
      </c>
      <c r="F294" s="608"/>
      <c r="G294" s="599">
        <f t="shared" si="48"/>
        <v>1</v>
      </c>
      <c r="H294" s="608"/>
      <c r="I294" s="599">
        <f t="shared" si="49"/>
        <v>1</v>
      </c>
      <c r="J294" s="608"/>
      <c r="K294" s="599">
        <f t="shared" si="50"/>
        <v>1</v>
      </c>
      <c r="L294" s="608"/>
      <c r="M294" s="599">
        <f t="shared" si="51"/>
        <v>1</v>
      </c>
      <c r="N294" s="608"/>
      <c r="O294" s="599">
        <f t="shared" si="52"/>
        <v>1</v>
      </c>
      <c r="P294" s="608"/>
      <c r="Q294" s="599">
        <f t="shared" si="53"/>
        <v>1</v>
      </c>
      <c r="R294" s="659">
        <f t="shared" si="54"/>
        <v>0</v>
      </c>
      <c r="S294" s="598">
        <f t="shared" si="45"/>
        <v>0</v>
      </c>
    </row>
    <row r="295" spans="1:19">
      <c r="A295" s="606"/>
      <c r="B295" s="607"/>
      <c r="C295" s="599">
        <f t="shared" si="46"/>
        <v>1</v>
      </c>
      <c r="D295" s="608"/>
      <c r="E295" s="599">
        <f t="shared" si="47"/>
        <v>1</v>
      </c>
      <c r="F295" s="608"/>
      <c r="G295" s="599">
        <f t="shared" si="48"/>
        <v>1</v>
      </c>
      <c r="H295" s="608"/>
      <c r="I295" s="599">
        <f t="shared" si="49"/>
        <v>1</v>
      </c>
      <c r="J295" s="608"/>
      <c r="K295" s="599">
        <f t="shared" si="50"/>
        <v>1</v>
      </c>
      <c r="L295" s="608"/>
      <c r="M295" s="599">
        <f t="shared" si="51"/>
        <v>1</v>
      </c>
      <c r="N295" s="608"/>
      <c r="O295" s="599">
        <f t="shared" si="52"/>
        <v>1</v>
      </c>
      <c r="P295" s="608"/>
      <c r="Q295" s="599">
        <f t="shared" si="53"/>
        <v>1</v>
      </c>
      <c r="R295" s="659">
        <f t="shared" si="54"/>
        <v>0</v>
      </c>
      <c r="S295" s="598">
        <f t="shared" si="45"/>
        <v>0</v>
      </c>
    </row>
    <row r="296" spans="1:19">
      <c r="A296" s="606"/>
      <c r="B296" s="607"/>
      <c r="C296" s="599">
        <f t="shared" si="46"/>
        <v>1</v>
      </c>
      <c r="D296" s="608"/>
      <c r="E296" s="599">
        <f t="shared" si="47"/>
        <v>1</v>
      </c>
      <c r="F296" s="608"/>
      <c r="G296" s="599">
        <f t="shared" si="48"/>
        <v>1</v>
      </c>
      <c r="H296" s="608"/>
      <c r="I296" s="599">
        <f t="shared" si="49"/>
        <v>1</v>
      </c>
      <c r="J296" s="608"/>
      <c r="K296" s="599">
        <f t="shared" si="50"/>
        <v>1</v>
      </c>
      <c r="L296" s="608"/>
      <c r="M296" s="599">
        <f t="shared" si="51"/>
        <v>1</v>
      </c>
      <c r="N296" s="608"/>
      <c r="O296" s="599">
        <f t="shared" si="52"/>
        <v>1</v>
      </c>
      <c r="P296" s="608"/>
      <c r="Q296" s="599">
        <f t="shared" si="53"/>
        <v>1</v>
      </c>
      <c r="R296" s="659">
        <f t="shared" si="54"/>
        <v>0</v>
      </c>
      <c r="S296" s="598">
        <f t="shared" si="45"/>
        <v>0</v>
      </c>
    </row>
    <row r="297" spans="1:19">
      <c r="A297" s="606"/>
      <c r="B297" s="607"/>
      <c r="C297" s="599">
        <f t="shared" si="46"/>
        <v>1</v>
      </c>
      <c r="D297" s="608"/>
      <c r="E297" s="599">
        <f t="shared" si="47"/>
        <v>1</v>
      </c>
      <c r="F297" s="608"/>
      <c r="G297" s="599">
        <f t="shared" si="48"/>
        <v>1</v>
      </c>
      <c r="H297" s="608"/>
      <c r="I297" s="599">
        <f t="shared" si="49"/>
        <v>1</v>
      </c>
      <c r="J297" s="608"/>
      <c r="K297" s="599">
        <f t="shared" si="50"/>
        <v>1</v>
      </c>
      <c r="L297" s="608"/>
      <c r="M297" s="599">
        <f t="shared" si="51"/>
        <v>1</v>
      </c>
      <c r="N297" s="608"/>
      <c r="O297" s="599">
        <f t="shared" si="52"/>
        <v>1</v>
      </c>
      <c r="P297" s="608"/>
      <c r="Q297" s="599">
        <f t="shared" si="53"/>
        <v>1</v>
      </c>
      <c r="R297" s="659">
        <f t="shared" si="54"/>
        <v>0</v>
      </c>
      <c r="S297" s="598">
        <f t="shared" si="45"/>
        <v>0</v>
      </c>
    </row>
    <row r="298" spans="1:19">
      <c r="A298" s="606"/>
      <c r="B298" s="607"/>
      <c r="C298" s="599">
        <f t="shared" si="46"/>
        <v>1</v>
      </c>
      <c r="D298" s="608"/>
      <c r="E298" s="599">
        <f t="shared" si="47"/>
        <v>1</v>
      </c>
      <c r="F298" s="608"/>
      <c r="G298" s="599">
        <f t="shared" si="48"/>
        <v>1</v>
      </c>
      <c r="H298" s="608"/>
      <c r="I298" s="599">
        <f t="shared" si="49"/>
        <v>1</v>
      </c>
      <c r="J298" s="608"/>
      <c r="K298" s="599">
        <f t="shared" si="50"/>
        <v>1</v>
      </c>
      <c r="L298" s="608"/>
      <c r="M298" s="599">
        <f t="shared" si="51"/>
        <v>1</v>
      </c>
      <c r="N298" s="608"/>
      <c r="O298" s="599">
        <f t="shared" si="52"/>
        <v>1</v>
      </c>
      <c r="P298" s="608"/>
      <c r="Q298" s="599">
        <f t="shared" si="53"/>
        <v>1</v>
      </c>
      <c r="R298" s="659">
        <f t="shared" si="54"/>
        <v>0</v>
      </c>
      <c r="S298" s="598">
        <f t="shared" si="45"/>
        <v>0</v>
      </c>
    </row>
    <row r="299" spans="1:19">
      <c r="A299" s="606"/>
      <c r="B299" s="607"/>
      <c r="C299" s="599">
        <f t="shared" si="46"/>
        <v>1</v>
      </c>
      <c r="D299" s="608"/>
      <c r="E299" s="599">
        <f t="shared" si="47"/>
        <v>1</v>
      </c>
      <c r="F299" s="608"/>
      <c r="G299" s="599">
        <f t="shared" si="48"/>
        <v>1</v>
      </c>
      <c r="H299" s="608"/>
      <c r="I299" s="599">
        <f t="shared" si="49"/>
        <v>1</v>
      </c>
      <c r="J299" s="608"/>
      <c r="K299" s="599">
        <f t="shared" si="50"/>
        <v>1</v>
      </c>
      <c r="L299" s="608"/>
      <c r="M299" s="599">
        <f t="shared" si="51"/>
        <v>1</v>
      </c>
      <c r="N299" s="608"/>
      <c r="O299" s="599">
        <f t="shared" si="52"/>
        <v>1</v>
      </c>
      <c r="P299" s="608"/>
      <c r="Q299" s="599">
        <f t="shared" si="53"/>
        <v>1</v>
      </c>
      <c r="R299" s="659">
        <f t="shared" si="54"/>
        <v>0</v>
      </c>
      <c r="S299" s="598">
        <f t="shared" si="45"/>
        <v>0</v>
      </c>
    </row>
    <row r="300" spans="1:19">
      <c r="A300" s="606"/>
      <c r="B300" s="607"/>
      <c r="C300" s="599">
        <f t="shared" si="46"/>
        <v>1</v>
      </c>
      <c r="D300" s="608"/>
      <c r="E300" s="599">
        <f t="shared" si="47"/>
        <v>1</v>
      </c>
      <c r="F300" s="608"/>
      <c r="G300" s="599">
        <f t="shared" si="48"/>
        <v>1</v>
      </c>
      <c r="H300" s="608"/>
      <c r="I300" s="599">
        <f t="shared" si="49"/>
        <v>1</v>
      </c>
      <c r="J300" s="608"/>
      <c r="K300" s="599">
        <f t="shared" si="50"/>
        <v>1</v>
      </c>
      <c r="L300" s="608"/>
      <c r="M300" s="599">
        <f t="shared" si="51"/>
        <v>1</v>
      </c>
      <c r="N300" s="608"/>
      <c r="O300" s="599">
        <f t="shared" si="52"/>
        <v>1</v>
      </c>
      <c r="P300" s="608"/>
      <c r="Q300" s="599">
        <f t="shared" si="53"/>
        <v>1</v>
      </c>
      <c r="R300" s="659">
        <f t="shared" si="54"/>
        <v>0</v>
      </c>
      <c r="S300" s="598">
        <f t="shared" si="45"/>
        <v>0</v>
      </c>
    </row>
    <row r="301" spans="1:19">
      <c r="A301" s="606"/>
      <c r="B301" s="607"/>
      <c r="C301" s="599">
        <f t="shared" si="46"/>
        <v>1</v>
      </c>
      <c r="D301" s="608"/>
      <c r="E301" s="599">
        <f t="shared" si="47"/>
        <v>1</v>
      </c>
      <c r="F301" s="608"/>
      <c r="G301" s="599">
        <f t="shared" si="48"/>
        <v>1</v>
      </c>
      <c r="H301" s="608"/>
      <c r="I301" s="599">
        <f t="shared" si="49"/>
        <v>1</v>
      </c>
      <c r="J301" s="608"/>
      <c r="K301" s="599">
        <f t="shared" si="50"/>
        <v>1</v>
      </c>
      <c r="L301" s="608"/>
      <c r="M301" s="599">
        <f t="shared" si="51"/>
        <v>1</v>
      </c>
      <c r="N301" s="608"/>
      <c r="O301" s="599">
        <f t="shared" si="52"/>
        <v>1</v>
      </c>
      <c r="P301" s="608"/>
      <c r="Q301" s="599">
        <f t="shared" si="53"/>
        <v>1</v>
      </c>
      <c r="R301" s="659">
        <f t="shared" si="54"/>
        <v>0</v>
      </c>
      <c r="S301" s="598">
        <f t="shared" si="45"/>
        <v>0</v>
      </c>
    </row>
    <row r="302" spans="1:19">
      <c r="A302" s="606"/>
      <c r="B302" s="607"/>
      <c r="C302" s="599">
        <f t="shared" si="46"/>
        <v>1</v>
      </c>
      <c r="D302" s="608"/>
      <c r="E302" s="599">
        <f t="shared" si="47"/>
        <v>1</v>
      </c>
      <c r="F302" s="608"/>
      <c r="G302" s="599">
        <f t="shared" si="48"/>
        <v>1</v>
      </c>
      <c r="H302" s="608"/>
      <c r="I302" s="599">
        <f t="shared" si="49"/>
        <v>1</v>
      </c>
      <c r="J302" s="608"/>
      <c r="K302" s="599">
        <f t="shared" si="50"/>
        <v>1</v>
      </c>
      <c r="L302" s="608"/>
      <c r="M302" s="599">
        <f t="shared" si="51"/>
        <v>1</v>
      </c>
      <c r="N302" s="608"/>
      <c r="O302" s="599">
        <f t="shared" si="52"/>
        <v>1</v>
      </c>
      <c r="P302" s="608"/>
      <c r="Q302" s="599">
        <f t="shared" si="53"/>
        <v>1</v>
      </c>
      <c r="R302" s="659">
        <f t="shared" si="54"/>
        <v>0</v>
      </c>
      <c r="S302" s="598">
        <f t="shared" si="45"/>
        <v>0</v>
      </c>
    </row>
    <row r="303" spans="1:19">
      <c r="A303" s="606"/>
      <c r="B303" s="607"/>
      <c r="C303" s="599">
        <f t="shared" si="46"/>
        <v>1</v>
      </c>
      <c r="D303" s="608"/>
      <c r="E303" s="599">
        <f t="shared" si="47"/>
        <v>1</v>
      </c>
      <c r="F303" s="608"/>
      <c r="G303" s="599">
        <f t="shared" si="48"/>
        <v>1</v>
      </c>
      <c r="H303" s="608"/>
      <c r="I303" s="599">
        <f t="shared" si="49"/>
        <v>1</v>
      </c>
      <c r="J303" s="608"/>
      <c r="K303" s="599">
        <f t="shared" si="50"/>
        <v>1</v>
      </c>
      <c r="L303" s="608"/>
      <c r="M303" s="599">
        <f t="shared" si="51"/>
        <v>1</v>
      </c>
      <c r="N303" s="608"/>
      <c r="O303" s="599">
        <f t="shared" si="52"/>
        <v>1</v>
      </c>
      <c r="P303" s="608"/>
      <c r="Q303" s="599">
        <f t="shared" si="53"/>
        <v>1</v>
      </c>
      <c r="R303" s="659">
        <f t="shared" si="54"/>
        <v>0</v>
      </c>
      <c r="S303" s="598">
        <f t="shared" si="45"/>
        <v>0</v>
      </c>
    </row>
    <row r="304" spans="1:19">
      <c r="A304" s="606"/>
      <c r="B304" s="607"/>
      <c r="C304" s="599">
        <f t="shared" si="46"/>
        <v>1</v>
      </c>
      <c r="D304" s="608"/>
      <c r="E304" s="599">
        <f t="shared" si="47"/>
        <v>1</v>
      </c>
      <c r="F304" s="608"/>
      <c r="G304" s="599">
        <f t="shared" si="48"/>
        <v>1</v>
      </c>
      <c r="H304" s="608"/>
      <c r="I304" s="599">
        <f t="shared" si="49"/>
        <v>1</v>
      </c>
      <c r="J304" s="608"/>
      <c r="K304" s="599">
        <f t="shared" si="50"/>
        <v>1</v>
      </c>
      <c r="L304" s="608"/>
      <c r="M304" s="599">
        <f t="shared" si="51"/>
        <v>1</v>
      </c>
      <c r="N304" s="608"/>
      <c r="O304" s="599">
        <f t="shared" si="52"/>
        <v>1</v>
      </c>
      <c r="P304" s="608"/>
      <c r="Q304" s="599">
        <f t="shared" si="53"/>
        <v>1</v>
      </c>
      <c r="R304" s="659">
        <f t="shared" si="54"/>
        <v>0</v>
      </c>
      <c r="S304" s="598">
        <f t="shared" si="45"/>
        <v>0</v>
      </c>
    </row>
    <row r="305" spans="1:19">
      <c r="A305" s="606"/>
      <c r="B305" s="607"/>
      <c r="C305" s="599">
        <f t="shared" si="46"/>
        <v>1</v>
      </c>
      <c r="D305" s="608"/>
      <c r="E305" s="599">
        <f t="shared" si="47"/>
        <v>1</v>
      </c>
      <c r="F305" s="608"/>
      <c r="G305" s="599">
        <f t="shared" si="48"/>
        <v>1</v>
      </c>
      <c r="H305" s="608"/>
      <c r="I305" s="599">
        <f t="shared" si="49"/>
        <v>1</v>
      </c>
      <c r="J305" s="608"/>
      <c r="K305" s="599">
        <f t="shared" si="50"/>
        <v>1</v>
      </c>
      <c r="L305" s="608"/>
      <c r="M305" s="599">
        <f t="shared" si="51"/>
        <v>1</v>
      </c>
      <c r="N305" s="608"/>
      <c r="O305" s="599">
        <f t="shared" si="52"/>
        <v>1</v>
      </c>
      <c r="P305" s="608"/>
      <c r="Q305" s="599">
        <f t="shared" si="53"/>
        <v>1</v>
      </c>
      <c r="R305" s="659">
        <f t="shared" si="54"/>
        <v>0</v>
      </c>
      <c r="S305" s="598">
        <f t="shared" si="45"/>
        <v>0</v>
      </c>
    </row>
    <row r="306" spans="1:19">
      <c r="A306" s="606"/>
      <c r="B306" s="607"/>
      <c r="C306" s="599">
        <f t="shared" si="46"/>
        <v>1</v>
      </c>
      <c r="D306" s="608"/>
      <c r="E306" s="599">
        <f t="shared" si="47"/>
        <v>1</v>
      </c>
      <c r="F306" s="608"/>
      <c r="G306" s="599">
        <f t="shared" si="48"/>
        <v>1</v>
      </c>
      <c r="H306" s="608"/>
      <c r="I306" s="599">
        <f t="shared" si="49"/>
        <v>1</v>
      </c>
      <c r="J306" s="608"/>
      <c r="K306" s="599">
        <f t="shared" si="50"/>
        <v>1</v>
      </c>
      <c r="L306" s="608"/>
      <c r="M306" s="599">
        <f t="shared" si="51"/>
        <v>1</v>
      </c>
      <c r="N306" s="608"/>
      <c r="O306" s="599">
        <f t="shared" si="52"/>
        <v>1</v>
      </c>
      <c r="P306" s="608"/>
      <c r="Q306" s="599">
        <f t="shared" si="53"/>
        <v>1</v>
      </c>
      <c r="R306" s="659">
        <f t="shared" si="54"/>
        <v>0</v>
      </c>
      <c r="S306" s="598">
        <f t="shared" si="45"/>
        <v>0</v>
      </c>
    </row>
    <row r="307" spans="1:19">
      <c r="A307" s="606"/>
      <c r="B307" s="607"/>
      <c r="C307" s="599">
        <f t="shared" si="46"/>
        <v>1</v>
      </c>
      <c r="D307" s="608"/>
      <c r="E307" s="599">
        <f t="shared" si="47"/>
        <v>1</v>
      </c>
      <c r="F307" s="608"/>
      <c r="G307" s="599">
        <f t="shared" si="48"/>
        <v>1</v>
      </c>
      <c r="H307" s="608"/>
      <c r="I307" s="599">
        <f t="shared" si="49"/>
        <v>1</v>
      </c>
      <c r="J307" s="608"/>
      <c r="K307" s="599">
        <f t="shared" si="50"/>
        <v>1</v>
      </c>
      <c r="L307" s="608"/>
      <c r="M307" s="599">
        <f t="shared" si="51"/>
        <v>1</v>
      </c>
      <c r="N307" s="608"/>
      <c r="O307" s="599">
        <f t="shared" si="52"/>
        <v>1</v>
      </c>
      <c r="P307" s="608"/>
      <c r="Q307" s="599">
        <f t="shared" si="53"/>
        <v>1</v>
      </c>
      <c r="R307" s="659">
        <f t="shared" si="54"/>
        <v>0</v>
      </c>
      <c r="S307" s="598">
        <f t="shared" si="45"/>
        <v>0</v>
      </c>
    </row>
    <row r="308" spans="1:19">
      <c r="A308" s="606"/>
      <c r="B308" s="607"/>
      <c r="C308" s="599">
        <f t="shared" si="46"/>
        <v>1</v>
      </c>
      <c r="D308" s="608"/>
      <c r="E308" s="599">
        <f t="shared" si="47"/>
        <v>1</v>
      </c>
      <c r="F308" s="608"/>
      <c r="G308" s="599">
        <f t="shared" si="48"/>
        <v>1</v>
      </c>
      <c r="H308" s="608"/>
      <c r="I308" s="599">
        <f t="shared" si="49"/>
        <v>1</v>
      </c>
      <c r="J308" s="608"/>
      <c r="K308" s="599">
        <f t="shared" si="50"/>
        <v>1</v>
      </c>
      <c r="L308" s="608"/>
      <c r="M308" s="599">
        <f t="shared" si="51"/>
        <v>1</v>
      </c>
      <c r="N308" s="608"/>
      <c r="O308" s="599">
        <f t="shared" si="52"/>
        <v>1</v>
      </c>
      <c r="P308" s="608"/>
      <c r="Q308" s="599">
        <f t="shared" si="53"/>
        <v>1</v>
      </c>
      <c r="R308" s="659">
        <f t="shared" si="54"/>
        <v>0</v>
      </c>
      <c r="S308" s="598">
        <f t="shared" si="45"/>
        <v>0</v>
      </c>
    </row>
    <row r="309" spans="1:19">
      <c r="A309" s="606"/>
      <c r="B309" s="607"/>
      <c r="C309" s="599">
        <f t="shared" si="46"/>
        <v>1</v>
      </c>
      <c r="D309" s="608"/>
      <c r="E309" s="599">
        <f t="shared" si="47"/>
        <v>1</v>
      </c>
      <c r="F309" s="608"/>
      <c r="G309" s="599">
        <f t="shared" si="48"/>
        <v>1</v>
      </c>
      <c r="H309" s="608"/>
      <c r="I309" s="599">
        <f t="shared" si="49"/>
        <v>1</v>
      </c>
      <c r="J309" s="608"/>
      <c r="K309" s="599">
        <f t="shared" si="50"/>
        <v>1</v>
      </c>
      <c r="L309" s="608"/>
      <c r="M309" s="599">
        <f t="shared" si="51"/>
        <v>1</v>
      </c>
      <c r="N309" s="608"/>
      <c r="O309" s="599">
        <f t="shared" si="52"/>
        <v>1</v>
      </c>
      <c r="P309" s="608"/>
      <c r="Q309" s="599">
        <f t="shared" si="53"/>
        <v>1</v>
      </c>
      <c r="R309" s="659">
        <f t="shared" si="54"/>
        <v>0</v>
      </c>
      <c r="S309" s="598">
        <f t="shared" si="45"/>
        <v>0</v>
      </c>
    </row>
    <row r="310" spans="1:19">
      <c r="A310" s="606"/>
      <c r="B310" s="607"/>
      <c r="C310" s="599">
        <f t="shared" si="46"/>
        <v>1</v>
      </c>
      <c r="D310" s="608"/>
      <c r="E310" s="599">
        <f t="shared" si="47"/>
        <v>1</v>
      </c>
      <c r="F310" s="608"/>
      <c r="G310" s="599">
        <f t="shared" si="48"/>
        <v>1</v>
      </c>
      <c r="H310" s="608"/>
      <c r="I310" s="599">
        <f t="shared" si="49"/>
        <v>1</v>
      </c>
      <c r="J310" s="608"/>
      <c r="K310" s="599">
        <f t="shared" si="50"/>
        <v>1</v>
      </c>
      <c r="L310" s="608"/>
      <c r="M310" s="599">
        <f t="shared" si="51"/>
        <v>1</v>
      </c>
      <c r="N310" s="608"/>
      <c r="O310" s="599">
        <f t="shared" si="52"/>
        <v>1</v>
      </c>
      <c r="P310" s="608"/>
      <c r="Q310" s="599">
        <f t="shared" si="53"/>
        <v>1</v>
      </c>
      <c r="R310" s="659">
        <f t="shared" si="54"/>
        <v>0</v>
      </c>
      <c r="S310" s="598">
        <f t="shared" si="45"/>
        <v>0</v>
      </c>
    </row>
    <row r="311" spans="1:19">
      <c r="A311" s="606"/>
      <c r="B311" s="607"/>
      <c r="C311" s="599">
        <f t="shared" si="46"/>
        <v>1</v>
      </c>
      <c r="D311" s="608"/>
      <c r="E311" s="599">
        <f t="shared" si="47"/>
        <v>1</v>
      </c>
      <c r="F311" s="608"/>
      <c r="G311" s="599">
        <f t="shared" si="48"/>
        <v>1</v>
      </c>
      <c r="H311" s="608"/>
      <c r="I311" s="599">
        <f t="shared" si="49"/>
        <v>1</v>
      </c>
      <c r="J311" s="608"/>
      <c r="K311" s="599">
        <f t="shared" si="50"/>
        <v>1</v>
      </c>
      <c r="L311" s="608"/>
      <c r="M311" s="599">
        <f t="shared" si="51"/>
        <v>1</v>
      </c>
      <c r="N311" s="608"/>
      <c r="O311" s="599">
        <f t="shared" si="52"/>
        <v>1</v>
      </c>
      <c r="P311" s="608"/>
      <c r="Q311" s="599">
        <f t="shared" si="53"/>
        <v>1</v>
      </c>
      <c r="R311" s="659">
        <f t="shared" si="54"/>
        <v>0</v>
      </c>
      <c r="S311" s="598">
        <f t="shared" si="45"/>
        <v>0</v>
      </c>
    </row>
    <row r="312" spans="1:19">
      <c r="A312" s="606"/>
      <c r="B312" s="607"/>
      <c r="C312" s="599">
        <f t="shared" si="46"/>
        <v>1</v>
      </c>
      <c r="D312" s="608"/>
      <c r="E312" s="599">
        <f t="shared" si="47"/>
        <v>1</v>
      </c>
      <c r="F312" s="608"/>
      <c r="G312" s="599">
        <f t="shared" si="48"/>
        <v>1</v>
      </c>
      <c r="H312" s="608"/>
      <c r="I312" s="599">
        <f t="shared" si="49"/>
        <v>1</v>
      </c>
      <c r="J312" s="608"/>
      <c r="K312" s="599">
        <f t="shared" si="50"/>
        <v>1</v>
      </c>
      <c r="L312" s="608"/>
      <c r="M312" s="599">
        <f t="shared" si="51"/>
        <v>1</v>
      </c>
      <c r="N312" s="608"/>
      <c r="O312" s="599">
        <f t="shared" si="52"/>
        <v>1</v>
      </c>
      <c r="P312" s="608"/>
      <c r="Q312" s="599">
        <f t="shared" si="53"/>
        <v>1</v>
      </c>
      <c r="R312" s="659">
        <f t="shared" si="54"/>
        <v>0</v>
      </c>
      <c r="S312" s="598">
        <f t="shared" si="45"/>
        <v>0</v>
      </c>
    </row>
    <row r="313" spans="1:19">
      <c r="A313" s="606"/>
      <c r="B313" s="607"/>
      <c r="C313" s="599">
        <f t="shared" si="46"/>
        <v>1</v>
      </c>
      <c r="D313" s="608"/>
      <c r="E313" s="599">
        <f t="shared" si="47"/>
        <v>1</v>
      </c>
      <c r="F313" s="608"/>
      <c r="G313" s="599">
        <f t="shared" si="48"/>
        <v>1</v>
      </c>
      <c r="H313" s="608"/>
      <c r="I313" s="599">
        <f t="shared" si="49"/>
        <v>1</v>
      </c>
      <c r="J313" s="608"/>
      <c r="K313" s="599">
        <f t="shared" si="50"/>
        <v>1</v>
      </c>
      <c r="L313" s="608"/>
      <c r="M313" s="599">
        <f t="shared" si="51"/>
        <v>1</v>
      </c>
      <c r="N313" s="608"/>
      <c r="O313" s="599">
        <f t="shared" si="52"/>
        <v>1</v>
      </c>
      <c r="P313" s="608"/>
      <c r="Q313" s="599">
        <f t="shared" si="53"/>
        <v>1</v>
      </c>
      <c r="R313" s="659">
        <f t="shared" si="54"/>
        <v>0</v>
      </c>
      <c r="S313" s="598">
        <f t="shared" si="45"/>
        <v>0</v>
      </c>
    </row>
    <row r="314" spans="1:19">
      <c r="A314" s="606"/>
      <c r="B314" s="607"/>
      <c r="C314" s="599">
        <f t="shared" si="46"/>
        <v>1</v>
      </c>
      <c r="D314" s="608"/>
      <c r="E314" s="599">
        <f t="shared" si="47"/>
        <v>1</v>
      </c>
      <c r="F314" s="608"/>
      <c r="G314" s="599">
        <f t="shared" si="48"/>
        <v>1</v>
      </c>
      <c r="H314" s="608"/>
      <c r="I314" s="599">
        <f t="shared" si="49"/>
        <v>1</v>
      </c>
      <c r="J314" s="608"/>
      <c r="K314" s="599">
        <f t="shared" si="50"/>
        <v>1</v>
      </c>
      <c r="L314" s="608"/>
      <c r="M314" s="599">
        <f t="shared" si="51"/>
        <v>1</v>
      </c>
      <c r="N314" s="608"/>
      <c r="O314" s="599">
        <f t="shared" si="52"/>
        <v>1</v>
      </c>
      <c r="P314" s="608"/>
      <c r="Q314" s="599">
        <f t="shared" si="53"/>
        <v>1</v>
      </c>
      <c r="R314" s="659">
        <f t="shared" si="54"/>
        <v>0</v>
      </c>
      <c r="S314" s="598">
        <f t="shared" si="45"/>
        <v>0</v>
      </c>
    </row>
    <row r="315" spans="1:19">
      <c r="A315" s="606"/>
      <c r="B315" s="607"/>
      <c r="C315" s="599">
        <f t="shared" si="46"/>
        <v>1</v>
      </c>
      <c r="D315" s="608"/>
      <c r="E315" s="599">
        <f t="shared" si="47"/>
        <v>1</v>
      </c>
      <c r="F315" s="608"/>
      <c r="G315" s="599">
        <f t="shared" si="48"/>
        <v>1</v>
      </c>
      <c r="H315" s="608"/>
      <c r="I315" s="599">
        <f t="shared" si="49"/>
        <v>1</v>
      </c>
      <c r="J315" s="608"/>
      <c r="K315" s="599">
        <f t="shared" si="50"/>
        <v>1</v>
      </c>
      <c r="L315" s="608"/>
      <c r="M315" s="599">
        <f t="shared" si="51"/>
        <v>1</v>
      </c>
      <c r="N315" s="608"/>
      <c r="O315" s="599">
        <f t="shared" si="52"/>
        <v>1</v>
      </c>
      <c r="P315" s="608"/>
      <c r="Q315" s="599">
        <f t="shared" si="53"/>
        <v>1</v>
      </c>
      <c r="R315" s="659">
        <f t="shared" si="54"/>
        <v>0</v>
      </c>
      <c r="S315" s="598">
        <f t="shared" si="45"/>
        <v>0</v>
      </c>
    </row>
    <row r="316" spans="1:19">
      <c r="A316" s="606"/>
      <c r="B316" s="607"/>
      <c r="C316" s="599">
        <f t="shared" si="46"/>
        <v>1</v>
      </c>
      <c r="D316" s="608"/>
      <c r="E316" s="599">
        <f t="shared" si="47"/>
        <v>1</v>
      </c>
      <c r="F316" s="608"/>
      <c r="G316" s="599">
        <f t="shared" si="48"/>
        <v>1</v>
      </c>
      <c r="H316" s="608"/>
      <c r="I316" s="599">
        <f t="shared" si="49"/>
        <v>1</v>
      </c>
      <c r="J316" s="608"/>
      <c r="K316" s="599">
        <f t="shared" si="50"/>
        <v>1</v>
      </c>
      <c r="L316" s="608"/>
      <c r="M316" s="599">
        <f t="shared" si="51"/>
        <v>1</v>
      </c>
      <c r="N316" s="608"/>
      <c r="O316" s="599">
        <f t="shared" si="52"/>
        <v>1</v>
      </c>
      <c r="P316" s="608"/>
      <c r="Q316" s="599">
        <f t="shared" si="53"/>
        <v>1</v>
      </c>
      <c r="R316" s="659">
        <f t="shared" si="54"/>
        <v>0</v>
      </c>
      <c r="S316" s="598">
        <f t="shared" si="45"/>
        <v>0</v>
      </c>
    </row>
    <row r="317" spans="1:19">
      <c r="A317" s="606"/>
      <c r="B317" s="607"/>
      <c r="C317" s="599">
        <f t="shared" si="46"/>
        <v>1</v>
      </c>
      <c r="D317" s="608"/>
      <c r="E317" s="599">
        <f t="shared" si="47"/>
        <v>1</v>
      </c>
      <c r="F317" s="608"/>
      <c r="G317" s="599">
        <f t="shared" si="48"/>
        <v>1</v>
      </c>
      <c r="H317" s="608"/>
      <c r="I317" s="599">
        <f t="shared" si="49"/>
        <v>1</v>
      </c>
      <c r="J317" s="608"/>
      <c r="K317" s="599">
        <f t="shared" si="50"/>
        <v>1</v>
      </c>
      <c r="L317" s="608"/>
      <c r="M317" s="599">
        <f t="shared" si="51"/>
        <v>1</v>
      </c>
      <c r="N317" s="608"/>
      <c r="O317" s="599">
        <f t="shared" si="52"/>
        <v>1</v>
      </c>
      <c r="P317" s="608"/>
      <c r="Q317" s="599">
        <f t="shared" si="53"/>
        <v>1</v>
      </c>
      <c r="R317" s="659">
        <f t="shared" si="54"/>
        <v>0</v>
      </c>
      <c r="S317" s="598">
        <f t="shared" si="45"/>
        <v>0</v>
      </c>
    </row>
    <row r="318" spans="1:19">
      <c r="A318" s="606"/>
      <c r="B318" s="607"/>
      <c r="C318" s="599">
        <f t="shared" si="46"/>
        <v>1</v>
      </c>
      <c r="D318" s="608"/>
      <c r="E318" s="599">
        <f t="shared" si="47"/>
        <v>1</v>
      </c>
      <c r="F318" s="608"/>
      <c r="G318" s="599">
        <f t="shared" si="48"/>
        <v>1</v>
      </c>
      <c r="H318" s="608"/>
      <c r="I318" s="599">
        <f t="shared" si="49"/>
        <v>1</v>
      </c>
      <c r="J318" s="608"/>
      <c r="K318" s="599">
        <f t="shared" si="50"/>
        <v>1</v>
      </c>
      <c r="L318" s="608"/>
      <c r="M318" s="599">
        <f t="shared" si="51"/>
        <v>1</v>
      </c>
      <c r="N318" s="608"/>
      <c r="O318" s="599">
        <f t="shared" si="52"/>
        <v>1</v>
      </c>
      <c r="P318" s="608"/>
      <c r="Q318" s="599">
        <f t="shared" si="53"/>
        <v>1</v>
      </c>
      <c r="R318" s="659">
        <f t="shared" si="54"/>
        <v>0</v>
      </c>
      <c r="S318" s="598">
        <f t="shared" si="45"/>
        <v>0</v>
      </c>
    </row>
    <row r="319" spans="1:19">
      <c r="A319" s="606"/>
      <c r="B319" s="607"/>
      <c r="C319" s="599">
        <f t="shared" si="46"/>
        <v>1</v>
      </c>
      <c r="D319" s="608"/>
      <c r="E319" s="599">
        <f t="shared" si="47"/>
        <v>1</v>
      </c>
      <c r="F319" s="608"/>
      <c r="G319" s="599">
        <f t="shared" si="48"/>
        <v>1</v>
      </c>
      <c r="H319" s="608"/>
      <c r="I319" s="599">
        <f t="shared" si="49"/>
        <v>1</v>
      </c>
      <c r="J319" s="608"/>
      <c r="K319" s="599">
        <f t="shared" si="50"/>
        <v>1</v>
      </c>
      <c r="L319" s="608"/>
      <c r="M319" s="599">
        <f t="shared" si="51"/>
        <v>1</v>
      </c>
      <c r="N319" s="608"/>
      <c r="O319" s="599">
        <f t="shared" si="52"/>
        <v>1</v>
      </c>
      <c r="P319" s="608"/>
      <c r="Q319" s="599">
        <f t="shared" si="53"/>
        <v>1</v>
      </c>
      <c r="R319" s="659">
        <f t="shared" si="54"/>
        <v>0</v>
      </c>
      <c r="S319" s="598">
        <f t="shared" si="45"/>
        <v>0</v>
      </c>
    </row>
    <row r="320" spans="1:19">
      <c r="A320" s="606"/>
      <c r="B320" s="607"/>
      <c r="C320" s="599">
        <f t="shared" si="46"/>
        <v>1</v>
      </c>
      <c r="D320" s="608"/>
      <c r="E320" s="599">
        <f t="shared" si="47"/>
        <v>1</v>
      </c>
      <c r="F320" s="608"/>
      <c r="G320" s="599">
        <f t="shared" si="48"/>
        <v>1</v>
      </c>
      <c r="H320" s="608"/>
      <c r="I320" s="599">
        <f t="shared" si="49"/>
        <v>1</v>
      </c>
      <c r="J320" s="608"/>
      <c r="K320" s="599">
        <f t="shared" si="50"/>
        <v>1</v>
      </c>
      <c r="L320" s="608"/>
      <c r="M320" s="599">
        <f t="shared" si="51"/>
        <v>1</v>
      </c>
      <c r="N320" s="608"/>
      <c r="O320" s="599">
        <f t="shared" si="52"/>
        <v>1</v>
      </c>
      <c r="P320" s="608"/>
      <c r="Q320" s="599">
        <f t="shared" si="53"/>
        <v>1</v>
      </c>
      <c r="R320" s="659">
        <f t="shared" si="54"/>
        <v>0</v>
      </c>
      <c r="S320" s="598">
        <f t="shared" si="45"/>
        <v>0</v>
      </c>
    </row>
    <row r="321" spans="1:19">
      <c r="A321" s="606"/>
      <c r="B321" s="607"/>
      <c r="C321" s="599">
        <f t="shared" si="46"/>
        <v>1</v>
      </c>
      <c r="D321" s="608"/>
      <c r="E321" s="599">
        <f t="shared" si="47"/>
        <v>1</v>
      </c>
      <c r="F321" s="608"/>
      <c r="G321" s="599">
        <f t="shared" si="48"/>
        <v>1</v>
      </c>
      <c r="H321" s="608"/>
      <c r="I321" s="599">
        <f t="shared" si="49"/>
        <v>1</v>
      </c>
      <c r="J321" s="608"/>
      <c r="K321" s="599">
        <f t="shared" si="50"/>
        <v>1</v>
      </c>
      <c r="L321" s="608"/>
      <c r="M321" s="599">
        <f t="shared" si="51"/>
        <v>1</v>
      </c>
      <c r="N321" s="608"/>
      <c r="O321" s="599">
        <f t="shared" si="52"/>
        <v>1</v>
      </c>
      <c r="P321" s="608"/>
      <c r="Q321" s="599">
        <f t="shared" si="53"/>
        <v>1</v>
      </c>
      <c r="R321" s="659">
        <f t="shared" si="54"/>
        <v>0</v>
      </c>
      <c r="S321" s="598">
        <f t="shared" si="45"/>
        <v>0</v>
      </c>
    </row>
    <row r="322" spans="1:19">
      <c r="A322" s="606"/>
      <c r="B322" s="607"/>
      <c r="C322" s="599">
        <f t="shared" si="46"/>
        <v>1</v>
      </c>
      <c r="D322" s="608"/>
      <c r="E322" s="599">
        <f t="shared" si="47"/>
        <v>1</v>
      </c>
      <c r="F322" s="608"/>
      <c r="G322" s="599">
        <f t="shared" si="48"/>
        <v>1</v>
      </c>
      <c r="H322" s="608"/>
      <c r="I322" s="599">
        <f t="shared" si="49"/>
        <v>1</v>
      </c>
      <c r="J322" s="608"/>
      <c r="K322" s="599">
        <f t="shared" si="50"/>
        <v>1</v>
      </c>
      <c r="L322" s="608"/>
      <c r="M322" s="599">
        <f t="shared" si="51"/>
        <v>1</v>
      </c>
      <c r="N322" s="608"/>
      <c r="O322" s="599">
        <f t="shared" si="52"/>
        <v>1</v>
      </c>
      <c r="P322" s="608"/>
      <c r="Q322" s="599">
        <f t="shared" si="53"/>
        <v>1</v>
      </c>
      <c r="R322" s="659">
        <f t="shared" si="54"/>
        <v>0</v>
      </c>
      <c r="S322" s="598">
        <f t="shared" si="45"/>
        <v>0</v>
      </c>
    </row>
    <row r="323" spans="1:19">
      <c r="A323" s="606"/>
      <c r="B323" s="607"/>
      <c r="C323" s="599">
        <f t="shared" si="46"/>
        <v>1</v>
      </c>
      <c r="D323" s="608"/>
      <c r="E323" s="599">
        <f t="shared" si="47"/>
        <v>1</v>
      </c>
      <c r="F323" s="608"/>
      <c r="G323" s="599">
        <f t="shared" si="48"/>
        <v>1</v>
      </c>
      <c r="H323" s="608"/>
      <c r="I323" s="599">
        <f t="shared" si="49"/>
        <v>1</v>
      </c>
      <c r="J323" s="608"/>
      <c r="K323" s="599">
        <f t="shared" si="50"/>
        <v>1</v>
      </c>
      <c r="L323" s="608"/>
      <c r="M323" s="599">
        <f t="shared" si="51"/>
        <v>1</v>
      </c>
      <c r="N323" s="608"/>
      <c r="O323" s="599">
        <f t="shared" si="52"/>
        <v>1</v>
      </c>
      <c r="P323" s="608"/>
      <c r="Q323" s="599">
        <f t="shared" si="53"/>
        <v>1</v>
      </c>
      <c r="R323" s="659">
        <f t="shared" si="54"/>
        <v>0</v>
      </c>
      <c r="S323" s="598">
        <f t="shared" si="45"/>
        <v>0</v>
      </c>
    </row>
    <row r="324" spans="1:19">
      <c r="A324" s="606"/>
      <c r="B324" s="607"/>
      <c r="C324" s="599">
        <f t="shared" si="46"/>
        <v>1</v>
      </c>
      <c r="D324" s="608"/>
      <c r="E324" s="599">
        <f t="shared" si="47"/>
        <v>1</v>
      </c>
      <c r="F324" s="608"/>
      <c r="G324" s="599">
        <f t="shared" si="48"/>
        <v>1</v>
      </c>
      <c r="H324" s="608"/>
      <c r="I324" s="599">
        <f t="shared" si="49"/>
        <v>1</v>
      </c>
      <c r="J324" s="608"/>
      <c r="K324" s="599">
        <f t="shared" si="50"/>
        <v>1</v>
      </c>
      <c r="L324" s="608"/>
      <c r="M324" s="599">
        <f t="shared" si="51"/>
        <v>1</v>
      </c>
      <c r="N324" s="608"/>
      <c r="O324" s="599">
        <f t="shared" si="52"/>
        <v>1</v>
      </c>
      <c r="P324" s="608"/>
      <c r="Q324" s="599">
        <f t="shared" si="53"/>
        <v>1</v>
      </c>
      <c r="R324" s="659">
        <f t="shared" si="54"/>
        <v>0</v>
      </c>
      <c r="S324" s="598">
        <f t="shared" si="45"/>
        <v>0</v>
      </c>
    </row>
    <row r="325" spans="1:19">
      <c r="A325" s="606"/>
      <c r="B325" s="607"/>
      <c r="C325" s="599">
        <f t="shared" si="46"/>
        <v>1</v>
      </c>
      <c r="D325" s="608"/>
      <c r="E325" s="599">
        <f t="shared" si="47"/>
        <v>1</v>
      </c>
      <c r="F325" s="608"/>
      <c r="G325" s="599">
        <f t="shared" si="48"/>
        <v>1</v>
      </c>
      <c r="H325" s="608"/>
      <c r="I325" s="599">
        <f t="shared" si="49"/>
        <v>1</v>
      </c>
      <c r="J325" s="608"/>
      <c r="K325" s="599">
        <f t="shared" si="50"/>
        <v>1</v>
      </c>
      <c r="L325" s="608"/>
      <c r="M325" s="599">
        <f t="shared" si="51"/>
        <v>1</v>
      </c>
      <c r="N325" s="608"/>
      <c r="O325" s="599">
        <f t="shared" si="52"/>
        <v>1</v>
      </c>
      <c r="P325" s="608"/>
      <c r="Q325" s="599">
        <f t="shared" si="53"/>
        <v>1</v>
      </c>
      <c r="R325" s="659">
        <f t="shared" si="54"/>
        <v>0</v>
      </c>
      <c r="S325" s="598">
        <f t="shared" si="45"/>
        <v>0</v>
      </c>
    </row>
    <row r="326" spans="1:19">
      <c r="A326" s="606"/>
      <c r="B326" s="607"/>
      <c r="C326" s="599">
        <f t="shared" si="46"/>
        <v>1</v>
      </c>
      <c r="D326" s="608"/>
      <c r="E326" s="599">
        <f t="shared" si="47"/>
        <v>1</v>
      </c>
      <c r="F326" s="608"/>
      <c r="G326" s="599">
        <f t="shared" si="48"/>
        <v>1</v>
      </c>
      <c r="H326" s="608"/>
      <c r="I326" s="599">
        <f t="shared" si="49"/>
        <v>1</v>
      </c>
      <c r="J326" s="608"/>
      <c r="K326" s="599">
        <f t="shared" si="50"/>
        <v>1</v>
      </c>
      <c r="L326" s="608"/>
      <c r="M326" s="599">
        <f t="shared" si="51"/>
        <v>1</v>
      </c>
      <c r="N326" s="608"/>
      <c r="O326" s="599">
        <f t="shared" si="52"/>
        <v>1</v>
      </c>
      <c r="P326" s="608"/>
      <c r="Q326" s="599">
        <f t="shared" si="53"/>
        <v>1</v>
      </c>
      <c r="R326" s="659">
        <f t="shared" si="54"/>
        <v>0</v>
      </c>
      <c r="S326" s="598">
        <f t="shared" si="45"/>
        <v>0</v>
      </c>
    </row>
    <row r="327" spans="1:19">
      <c r="A327" s="606"/>
      <c r="B327" s="607"/>
      <c r="C327" s="599">
        <f t="shared" si="46"/>
        <v>1</v>
      </c>
      <c r="D327" s="608"/>
      <c r="E327" s="599">
        <f t="shared" si="47"/>
        <v>1</v>
      </c>
      <c r="F327" s="608"/>
      <c r="G327" s="599">
        <f t="shared" si="48"/>
        <v>1</v>
      </c>
      <c r="H327" s="608"/>
      <c r="I327" s="599">
        <f t="shared" si="49"/>
        <v>1</v>
      </c>
      <c r="J327" s="608"/>
      <c r="K327" s="599">
        <f t="shared" si="50"/>
        <v>1</v>
      </c>
      <c r="L327" s="608"/>
      <c r="M327" s="599">
        <f t="shared" si="51"/>
        <v>1</v>
      </c>
      <c r="N327" s="608"/>
      <c r="O327" s="599">
        <f t="shared" si="52"/>
        <v>1</v>
      </c>
      <c r="P327" s="608"/>
      <c r="Q327" s="599">
        <f t="shared" si="53"/>
        <v>1</v>
      </c>
      <c r="R327" s="659">
        <f t="shared" si="54"/>
        <v>0</v>
      </c>
      <c r="S327" s="598">
        <f t="shared" si="45"/>
        <v>0</v>
      </c>
    </row>
    <row r="328" spans="1:19">
      <c r="A328" s="606"/>
      <c r="B328" s="607"/>
      <c r="C328" s="599">
        <f t="shared" si="46"/>
        <v>1</v>
      </c>
      <c r="D328" s="608"/>
      <c r="E328" s="599">
        <f t="shared" si="47"/>
        <v>1</v>
      </c>
      <c r="F328" s="608"/>
      <c r="G328" s="599">
        <f t="shared" si="48"/>
        <v>1</v>
      </c>
      <c r="H328" s="608"/>
      <c r="I328" s="599">
        <f t="shared" si="49"/>
        <v>1</v>
      </c>
      <c r="J328" s="608"/>
      <c r="K328" s="599">
        <f t="shared" si="50"/>
        <v>1</v>
      </c>
      <c r="L328" s="608"/>
      <c r="M328" s="599">
        <f t="shared" si="51"/>
        <v>1</v>
      </c>
      <c r="N328" s="608"/>
      <c r="O328" s="599">
        <f t="shared" si="52"/>
        <v>1</v>
      </c>
      <c r="P328" s="608"/>
      <c r="Q328" s="599">
        <f t="shared" si="53"/>
        <v>1</v>
      </c>
      <c r="R328" s="659">
        <f t="shared" si="54"/>
        <v>0</v>
      </c>
      <c r="S328" s="598">
        <f t="shared" si="45"/>
        <v>0</v>
      </c>
    </row>
    <row r="329" spans="1:19">
      <c r="A329" s="606"/>
      <c r="B329" s="607"/>
      <c r="C329" s="599">
        <f t="shared" si="46"/>
        <v>1</v>
      </c>
      <c r="D329" s="608"/>
      <c r="E329" s="599">
        <f t="shared" si="47"/>
        <v>1</v>
      </c>
      <c r="F329" s="608"/>
      <c r="G329" s="599">
        <f t="shared" si="48"/>
        <v>1</v>
      </c>
      <c r="H329" s="608"/>
      <c r="I329" s="599">
        <f t="shared" si="49"/>
        <v>1</v>
      </c>
      <c r="J329" s="608"/>
      <c r="K329" s="599">
        <f t="shared" si="50"/>
        <v>1</v>
      </c>
      <c r="L329" s="608"/>
      <c r="M329" s="599">
        <f t="shared" si="51"/>
        <v>1</v>
      </c>
      <c r="N329" s="608"/>
      <c r="O329" s="599">
        <f t="shared" si="52"/>
        <v>1</v>
      </c>
      <c r="P329" s="608"/>
      <c r="Q329" s="599">
        <f t="shared" si="53"/>
        <v>1</v>
      </c>
      <c r="R329" s="659">
        <f t="shared" si="54"/>
        <v>0</v>
      </c>
      <c r="S329" s="598">
        <f t="shared" si="45"/>
        <v>0</v>
      </c>
    </row>
    <row r="330" spans="1:19">
      <c r="A330" s="606"/>
      <c r="B330" s="607"/>
      <c r="C330" s="599">
        <f t="shared" si="46"/>
        <v>1</v>
      </c>
      <c r="D330" s="608"/>
      <c r="E330" s="599">
        <f t="shared" si="47"/>
        <v>1</v>
      </c>
      <c r="F330" s="608"/>
      <c r="G330" s="599">
        <f t="shared" si="48"/>
        <v>1</v>
      </c>
      <c r="H330" s="608"/>
      <c r="I330" s="599">
        <f t="shared" si="49"/>
        <v>1</v>
      </c>
      <c r="J330" s="608"/>
      <c r="K330" s="599">
        <f t="shared" si="50"/>
        <v>1</v>
      </c>
      <c r="L330" s="608"/>
      <c r="M330" s="599">
        <f t="shared" si="51"/>
        <v>1</v>
      </c>
      <c r="N330" s="608"/>
      <c r="O330" s="599">
        <f t="shared" si="52"/>
        <v>1</v>
      </c>
      <c r="P330" s="608"/>
      <c r="Q330" s="599">
        <f t="shared" si="53"/>
        <v>1</v>
      </c>
      <c r="R330" s="659">
        <f t="shared" si="54"/>
        <v>0</v>
      </c>
      <c r="S330" s="598">
        <f t="shared" si="45"/>
        <v>0</v>
      </c>
    </row>
    <row r="331" spans="1:19">
      <c r="A331" s="606"/>
      <c r="B331" s="607"/>
      <c r="C331" s="599">
        <f t="shared" si="46"/>
        <v>1</v>
      </c>
      <c r="D331" s="608"/>
      <c r="E331" s="599">
        <f t="shared" si="47"/>
        <v>1</v>
      </c>
      <c r="F331" s="608"/>
      <c r="G331" s="599">
        <f t="shared" si="48"/>
        <v>1</v>
      </c>
      <c r="H331" s="608"/>
      <c r="I331" s="599">
        <f t="shared" si="49"/>
        <v>1</v>
      </c>
      <c r="J331" s="608"/>
      <c r="K331" s="599">
        <f t="shared" si="50"/>
        <v>1</v>
      </c>
      <c r="L331" s="608"/>
      <c r="M331" s="599">
        <f t="shared" si="51"/>
        <v>1</v>
      </c>
      <c r="N331" s="608"/>
      <c r="O331" s="599">
        <f t="shared" si="52"/>
        <v>1</v>
      </c>
      <c r="P331" s="608"/>
      <c r="Q331" s="599">
        <f t="shared" si="53"/>
        <v>1</v>
      </c>
      <c r="R331" s="659">
        <f t="shared" si="54"/>
        <v>0</v>
      </c>
      <c r="S331" s="598">
        <f t="shared" si="45"/>
        <v>0</v>
      </c>
    </row>
    <row r="332" spans="1:19">
      <c r="A332" s="606"/>
      <c r="B332" s="607"/>
      <c r="C332" s="599">
        <f t="shared" si="46"/>
        <v>1</v>
      </c>
      <c r="D332" s="608"/>
      <c r="E332" s="599">
        <f t="shared" si="47"/>
        <v>1</v>
      </c>
      <c r="F332" s="608"/>
      <c r="G332" s="599">
        <f t="shared" si="48"/>
        <v>1</v>
      </c>
      <c r="H332" s="608"/>
      <c r="I332" s="599">
        <f t="shared" si="49"/>
        <v>1</v>
      </c>
      <c r="J332" s="608"/>
      <c r="K332" s="599">
        <f t="shared" si="50"/>
        <v>1</v>
      </c>
      <c r="L332" s="608"/>
      <c r="M332" s="599">
        <f t="shared" si="51"/>
        <v>1</v>
      </c>
      <c r="N332" s="608"/>
      <c r="O332" s="599">
        <f t="shared" si="52"/>
        <v>1</v>
      </c>
      <c r="P332" s="608"/>
      <c r="Q332" s="599">
        <f t="shared" si="53"/>
        <v>1</v>
      </c>
      <c r="R332" s="659">
        <f t="shared" si="54"/>
        <v>0</v>
      </c>
      <c r="S332" s="598">
        <f t="shared" si="45"/>
        <v>0</v>
      </c>
    </row>
    <row r="333" spans="1:19">
      <c r="A333" s="606"/>
      <c r="B333" s="607"/>
      <c r="C333" s="599">
        <f t="shared" si="46"/>
        <v>1</v>
      </c>
      <c r="D333" s="608"/>
      <c r="E333" s="599">
        <f t="shared" si="47"/>
        <v>1</v>
      </c>
      <c r="F333" s="608"/>
      <c r="G333" s="599">
        <f t="shared" si="48"/>
        <v>1</v>
      </c>
      <c r="H333" s="608"/>
      <c r="I333" s="599">
        <f t="shared" si="49"/>
        <v>1</v>
      </c>
      <c r="J333" s="608"/>
      <c r="K333" s="599">
        <f t="shared" si="50"/>
        <v>1</v>
      </c>
      <c r="L333" s="608"/>
      <c r="M333" s="599">
        <f t="shared" si="51"/>
        <v>1</v>
      </c>
      <c r="N333" s="608"/>
      <c r="O333" s="599">
        <f t="shared" si="52"/>
        <v>1</v>
      </c>
      <c r="P333" s="608"/>
      <c r="Q333" s="599">
        <f t="shared" si="53"/>
        <v>1</v>
      </c>
      <c r="R333" s="659">
        <f t="shared" si="54"/>
        <v>0</v>
      </c>
      <c r="S333" s="598">
        <f t="shared" si="45"/>
        <v>0</v>
      </c>
    </row>
    <row r="334" spans="1:19">
      <c r="A334" s="606"/>
      <c r="B334" s="607"/>
      <c r="C334" s="599">
        <f t="shared" si="46"/>
        <v>1</v>
      </c>
      <c r="D334" s="608"/>
      <c r="E334" s="599">
        <f t="shared" si="47"/>
        <v>1</v>
      </c>
      <c r="F334" s="608"/>
      <c r="G334" s="599">
        <f t="shared" si="48"/>
        <v>1</v>
      </c>
      <c r="H334" s="608"/>
      <c r="I334" s="599">
        <f t="shared" si="49"/>
        <v>1</v>
      </c>
      <c r="J334" s="608"/>
      <c r="K334" s="599">
        <f t="shared" si="50"/>
        <v>1</v>
      </c>
      <c r="L334" s="608"/>
      <c r="M334" s="599">
        <f t="shared" si="51"/>
        <v>1</v>
      </c>
      <c r="N334" s="608"/>
      <c r="O334" s="599">
        <f t="shared" si="52"/>
        <v>1</v>
      </c>
      <c r="P334" s="608"/>
      <c r="Q334" s="599">
        <f t="shared" si="53"/>
        <v>1</v>
      </c>
      <c r="R334" s="659">
        <f t="shared" si="54"/>
        <v>0</v>
      </c>
      <c r="S334" s="598">
        <f t="shared" si="45"/>
        <v>0</v>
      </c>
    </row>
    <row r="335" spans="1:19">
      <c r="A335" s="606"/>
      <c r="B335" s="607"/>
      <c r="C335" s="599">
        <f t="shared" si="46"/>
        <v>1</v>
      </c>
      <c r="D335" s="608"/>
      <c r="E335" s="599">
        <f t="shared" si="47"/>
        <v>1</v>
      </c>
      <c r="F335" s="608"/>
      <c r="G335" s="599">
        <f t="shared" si="48"/>
        <v>1</v>
      </c>
      <c r="H335" s="608"/>
      <c r="I335" s="599">
        <f t="shared" si="49"/>
        <v>1</v>
      </c>
      <c r="J335" s="608"/>
      <c r="K335" s="599">
        <f t="shared" si="50"/>
        <v>1</v>
      </c>
      <c r="L335" s="608"/>
      <c r="M335" s="599">
        <f t="shared" si="51"/>
        <v>1</v>
      </c>
      <c r="N335" s="608"/>
      <c r="O335" s="599">
        <f t="shared" si="52"/>
        <v>1</v>
      </c>
      <c r="P335" s="608"/>
      <c r="Q335" s="599">
        <f t="shared" si="53"/>
        <v>1</v>
      </c>
      <c r="R335" s="659">
        <f t="shared" si="54"/>
        <v>0</v>
      </c>
      <c r="S335" s="598">
        <f t="shared" si="45"/>
        <v>0</v>
      </c>
    </row>
    <row r="336" spans="1:19">
      <c r="A336" s="606"/>
      <c r="B336" s="607"/>
      <c r="C336" s="599">
        <f t="shared" si="46"/>
        <v>1</v>
      </c>
      <c r="D336" s="608"/>
      <c r="E336" s="599">
        <f t="shared" si="47"/>
        <v>1</v>
      </c>
      <c r="F336" s="608"/>
      <c r="G336" s="599">
        <f t="shared" si="48"/>
        <v>1</v>
      </c>
      <c r="H336" s="608"/>
      <c r="I336" s="599">
        <f t="shared" si="49"/>
        <v>1</v>
      </c>
      <c r="J336" s="608"/>
      <c r="K336" s="599">
        <f t="shared" si="50"/>
        <v>1</v>
      </c>
      <c r="L336" s="608"/>
      <c r="M336" s="599">
        <f t="shared" si="51"/>
        <v>1</v>
      </c>
      <c r="N336" s="608"/>
      <c r="O336" s="599">
        <f t="shared" si="52"/>
        <v>1</v>
      </c>
      <c r="P336" s="608"/>
      <c r="Q336" s="599">
        <f t="shared" si="53"/>
        <v>1</v>
      </c>
      <c r="R336" s="659">
        <f t="shared" si="54"/>
        <v>0</v>
      </c>
      <c r="S336" s="598">
        <f t="shared" si="45"/>
        <v>0</v>
      </c>
    </row>
    <row r="337" spans="1:19">
      <c r="A337" s="606"/>
      <c r="B337" s="607"/>
      <c r="C337" s="599">
        <f t="shared" si="46"/>
        <v>1</v>
      </c>
      <c r="D337" s="608"/>
      <c r="E337" s="599">
        <f t="shared" si="47"/>
        <v>1</v>
      </c>
      <c r="F337" s="608"/>
      <c r="G337" s="599">
        <f t="shared" si="48"/>
        <v>1</v>
      </c>
      <c r="H337" s="608"/>
      <c r="I337" s="599">
        <f t="shared" si="49"/>
        <v>1</v>
      </c>
      <c r="J337" s="608"/>
      <c r="K337" s="599">
        <f t="shared" si="50"/>
        <v>1</v>
      </c>
      <c r="L337" s="608"/>
      <c r="M337" s="599">
        <f t="shared" si="51"/>
        <v>1</v>
      </c>
      <c r="N337" s="608"/>
      <c r="O337" s="599">
        <f t="shared" si="52"/>
        <v>1</v>
      </c>
      <c r="P337" s="608"/>
      <c r="Q337" s="599">
        <f t="shared" si="53"/>
        <v>1</v>
      </c>
      <c r="R337" s="659">
        <f t="shared" si="54"/>
        <v>0</v>
      </c>
      <c r="S337" s="598">
        <f t="shared" si="45"/>
        <v>0</v>
      </c>
    </row>
    <row r="338" spans="1:19">
      <c r="A338" s="606"/>
      <c r="B338" s="607"/>
      <c r="C338" s="599">
        <f t="shared" si="46"/>
        <v>1</v>
      </c>
      <c r="D338" s="608"/>
      <c r="E338" s="599">
        <f t="shared" si="47"/>
        <v>1</v>
      </c>
      <c r="F338" s="608"/>
      <c r="G338" s="599">
        <f t="shared" si="48"/>
        <v>1</v>
      </c>
      <c r="H338" s="608"/>
      <c r="I338" s="599">
        <f t="shared" si="49"/>
        <v>1</v>
      </c>
      <c r="J338" s="608"/>
      <c r="K338" s="599">
        <f t="shared" si="50"/>
        <v>1</v>
      </c>
      <c r="L338" s="608"/>
      <c r="M338" s="599">
        <f t="shared" si="51"/>
        <v>1</v>
      </c>
      <c r="N338" s="608"/>
      <c r="O338" s="599">
        <f t="shared" si="52"/>
        <v>1</v>
      </c>
      <c r="P338" s="608"/>
      <c r="Q338" s="599">
        <f t="shared" si="53"/>
        <v>1</v>
      </c>
      <c r="R338" s="659">
        <f t="shared" si="54"/>
        <v>0</v>
      </c>
      <c r="S338" s="598">
        <f t="shared" si="45"/>
        <v>0</v>
      </c>
    </row>
    <row r="339" spans="1:19">
      <c r="A339" s="606"/>
      <c r="B339" s="607"/>
      <c r="C339" s="599">
        <f t="shared" si="46"/>
        <v>1</v>
      </c>
      <c r="D339" s="608"/>
      <c r="E339" s="599">
        <f t="shared" si="47"/>
        <v>1</v>
      </c>
      <c r="F339" s="608"/>
      <c r="G339" s="599">
        <f t="shared" si="48"/>
        <v>1</v>
      </c>
      <c r="H339" s="608"/>
      <c r="I339" s="599">
        <f t="shared" si="49"/>
        <v>1</v>
      </c>
      <c r="J339" s="608"/>
      <c r="K339" s="599">
        <f t="shared" si="50"/>
        <v>1</v>
      </c>
      <c r="L339" s="608"/>
      <c r="M339" s="599">
        <f t="shared" si="51"/>
        <v>1</v>
      </c>
      <c r="N339" s="608"/>
      <c r="O339" s="599">
        <f t="shared" si="52"/>
        <v>1</v>
      </c>
      <c r="P339" s="608"/>
      <c r="Q339" s="599">
        <f t="shared" si="53"/>
        <v>1</v>
      </c>
      <c r="R339" s="659">
        <f t="shared" si="54"/>
        <v>0</v>
      </c>
      <c r="S339" s="598">
        <f t="shared" si="45"/>
        <v>0</v>
      </c>
    </row>
    <row r="340" spans="1:19">
      <c r="A340" s="606"/>
      <c r="B340" s="607"/>
      <c r="C340" s="599">
        <f t="shared" si="46"/>
        <v>1</v>
      </c>
      <c r="D340" s="608"/>
      <c r="E340" s="599">
        <f t="shared" si="47"/>
        <v>1</v>
      </c>
      <c r="F340" s="608"/>
      <c r="G340" s="599">
        <f t="shared" si="48"/>
        <v>1</v>
      </c>
      <c r="H340" s="608"/>
      <c r="I340" s="599">
        <f t="shared" si="49"/>
        <v>1</v>
      </c>
      <c r="J340" s="608"/>
      <c r="K340" s="599">
        <f t="shared" si="50"/>
        <v>1</v>
      </c>
      <c r="L340" s="608"/>
      <c r="M340" s="599">
        <f t="shared" si="51"/>
        <v>1</v>
      </c>
      <c r="N340" s="608"/>
      <c r="O340" s="599">
        <f t="shared" si="52"/>
        <v>1</v>
      </c>
      <c r="P340" s="608"/>
      <c r="Q340" s="599">
        <f t="shared" si="53"/>
        <v>1</v>
      </c>
      <c r="R340" s="659">
        <f t="shared" si="54"/>
        <v>0</v>
      </c>
      <c r="S340" s="598">
        <f t="shared" si="45"/>
        <v>0</v>
      </c>
    </row>
    <row r="341" spans="1:19">
      <c r="A341" s="606"/>
      <c r="B341" s="607"/>
      <c r="C341" s="599">
        <f t="shared" si="46"/>
        <v>1</v>
      </c>
      <c r="D341" s="608"/>
      <c r="E341" s="599">
        <f t="shared" si="47"/>
        <v>1</v>
      </c>
      <c r="F341" s="608"/>
      <c r="G341" s="599">
        <f t="shared" si="48"/>
        <v>1</v>
      </c>
      <c r="H341" s="608"/>
      <c r="I341" s="599">
        <f t="shared" si="49"/>
        <v>1</v>
      </c>
      <c r="J341" s="608"/>
      <c r="K341" s="599">
        <f t="shared" si="50"/>
        <v>1</v>
      </c>
      <c r="L341" s="608"/>
      <c r="M341" s="599">
        <f t="shared" si="51"/>
        <v>1</v>
      </c>
      <c r="N341" s="608"/>
      <c r="O341" s="599">
        <f t="shared" si="52"/>
        <v>1</v>
      </c>
      <c r="P341" s="608"/>
      <c r="Q341" s="599">
        <f t="shared" si="53"/>
        <v>1</v>
      </c>
      <c r="R341" s="659">
        <f t="shared" si="54"/>
        <v>0</v>
      </c>
      <c r="S341" s="598">
        <f t="shared" si="45"/>
        <v>0</v>
      </c>
    </row>
    <row r="342" spans="1:19">
      <c r="A342" s="606"/>
      <c r="B342" s="607"/>
      <c r="C342" s="599">
        <f t="shared" si="46"/>
        <v>1</v>
      </c>
      <c r="D342" s="608"/>
      <c r="E342" s="599">
        <f t="shared" si="47"/>
        <v>1</v>
      </c>
      <c r="F342" s="608"/>
      <c r="G342" s="599">
        <f t="shared" si="48"/>
        <v>1</v>
      </c>
      <c r="H342" s="608"/>
      <c r="I342" s="599">
        <f t="shared" si="49"/>
        <v>1</v>
      </c>
      <c r="J342" s="608"/>
      <c r="K342" s="599">
        <f t="shared" si="50"/>
        <v>1</v>
      </c>
      <c r="L342" s="608"/>
      <c r="M342" s="599">
        <f t="shared" si="51"/>
        <v>1</v>
      </c>
      <c r="N342" s="608"/>
      <c r="O342" s="599">
        <f t="shared" si="52"/>
        <v>1</v>
      </c>
      <c r="P342" s="608"/>
      <c r="Q342" s="599">
        <f t="shared" si="53"/>
        <v>1</v>
      </c>
      <c r="R342" s="659">
        <f t="shared" si="54"/>
        <v>0</v>
      </c>
      <c r="S342" s="598">
        <f t="shared" si="45"/>
        <v>0</v>
      </c>
    </row>
    <row r="343" spans="1:19">
      <c r="A343" s="606"/>
      <c r="B343" s="607"/>
      <c r="C343" s="599">
        <f t="shared" si="46"/>
        <v>1</v>
      </c>
      <c r="D343" s="608"/>
      <c r="E343" s="599">
        <f t="shared" si="47"/>
        <v>1</v>
      </c>
      <c r="F343" s="608"/>
      <c r="G343" s="599">
        <f t="shared" si="48"/>
        <v>1</v>
      </c>
      <c r="H343" s="608"/>
      <c r="I343" s="599">
        <f t="shared" si="49"/>
        <v>1</v>
      </c>
      <c r="J343" s="608"/>
      <c r="K343" s="599">
        <f t="shared" si="50"/>
        <v>1</v>
      </c>
      <c r="L343" s="608"/>
      <c r="M343" s="599">
        <f t="shared" si="51"/>
        <v>1</v>
      </c>
      <c r="N343" s="608"/>
      <c r="O343" s="599">
        <f t="shared" si="52"/>
        <v>1</v>
      </c>
      <c r="P343" s="608"/>
      <c r="Q343" s="599">
        <f t="shared" si="53"/>
        <v>1</v>
      </c>
      <c r="R343" s="659">
        <f t="shared" si="54"/>
        <v>0</v>
      </c>
      <c r="S343" s="598">
        <f t="shared" si="45"/>
        <v>0</v>
      </c>
    </row>
    <row r="344" spans="1:19">
      <c r="A344" s="606"/>
      <c r="B344" s="607"/>
      <c r="C344" s="599">
        <f t="shared" si="46"/>
        <v>1</v>
      </c>
      <c r="D344" s="608"/>
      <c r="E344" s="599">
        <f t="shared" si="47"/>
        <v>1</v>
      </c>
      <c r="F344" s="608"/>
      <c r="G344" s="599">
        <f t="shared" si="48"/>
        <v>1</v>
      </c>
      <c r="H344" s="608"/>
      <c r="I344" s="599">
        <f t="shared" si="49"/>
        <v>1</v>
      </c>
      <c r="J344" s="608"/>
      <c r="K344" s="599">
        <f t="shared" si="50"/>
        <v>1</v>
      </c>
      <c r="L344" s="608"/>
      <c r="M344" s="599">
        <f t="shared" si="51"/>
        <v>1</v>
      </c>
      <c r="N344" s="608"/>
      <c r="O344" s="599">
        <f t="shared" si="52"/>
        <v>1</v>
      </c>
      <c r="P344" s="608"/>
      <c r="Q344" s="599">
        <f t="shared" si="53"/>
        <v>1</v>
      </c>
      <c r="R344" s="659">
        <f t="shared" si="54"/>
        <v>0</v>
      </c>
      <c r="S344" s="598">
        <f t="shared" ref="S344:S407" si="55">ROUND(R344*B344/10000,0)</f>
        <v>0</v>
      </c>
    </row>
    <row r="345" spans="1:19">
      <c r="A345" s="606"/>
      <c r="B345" s="607"/>
      <c r="C345" s="599">
        <f t="shared" ref="C345:C408" si="56">IF(B345="",1,(LOOKUP(B345,$3:$3,$4:$4)-LOOKUP($B$24,$3:$3,$4:$4)+100)/100)</f>
        <v>1</v>
      </c>
      <c r="D345" s="608"/>
      <c r="E345" s="599">
        <f t="shared" ref="E345:E408" si="57">(SUMIF($5:$5,D345,$6:$6)-SUMIF($5:$5,$D$24,$6:$6)+100)/100</f>
        <v>1</v>
      </c>
      <c r="F345" s="608"/>
      <c r="G345" s="599">
        <f t="shared" ref="G345:G408" si="58">(SUMIF($7:$7,F345,$8:$8)-SUMIF($7:$7,$F$24,$8:$8)+100)/100</f>
        <v>1</v>
      </c>
      <c r="H345" s="608"/>
      <c r="I345" s="599">
        <f t="shared" ref="I345:I408" si="59">(SUMIF($9:$9,H345,$10:$10)-SUMIF($9:$9,$H$24,$10:$10)+100)/100</f>
        <v>1</v>
      </c>
      <c r="J345" s="608"/>
      <c r="K345" s="599">
        <f t="shared" ref="K345:K408" si="60">(SUMIF($11:$11,J345,$12:$12)-SUMIF($11:$11,$J$24,$12:$12)+100)/100</f>
        <v>1</v>
      </c>
      <c r="L345" s="608"/>
      <c r="M345" s="599">
        <f t="shared" ref="M345:M408" si="61">(SUMIF($13:$13,L345,$14:$14)-SUMIF($13:$13,$L$24,$14:$14)+100)/100</f>
        <v>1</v>
      </c>
      <c r="N345" s="608"/>
      <c r="O345" s="599">
        <f t="shared" ref="O345:O408" si="62">(SUMIF($15:$15,N345,$16:$16)-SUMIF($15:$15,$N$24,$16:$16)+100)/100</f>
        <v>1</v>
      </c>
      <c r="P345" s="608"/>
      <c r="Q345" s="599">
        <f t="shared" ref="Q345:Q408" si="63">(SUMIF($17:$17,P345,$18:$18)-SUMIF($17:$17,$P$24,$18:$18)+100)/100</f>
        <v>1</v>
      </c>
      <c r="R345" s="659">
        <f t="shared" ref="R345:R408" si="64">IF(B345="",0,ROUND($R$24*C345*E345*G345*I345*K345*M345*O345*Q345,0))</f>
        <v>0</v>
      </c>
      <c r="S345" s="598">
        <f t="shared" si="55"/>
        <v>0</v>
      </c>
    </row>
    <row r="346" spans="1:19">
      <c r="A346" s="606"/>
      <c r="B346" s="607"/>
      <c r="C346" s="599">
        <f t="shared" si="56"/>
        <v>1</v>
      </c>
      <c r="D346" s="608"/>
      <c r="E346" s="599">
        <f t="shared" si="57"/>
        <v>1</v>
      </c>
      <c r="F346" s="608"/>
      <c r="G346" s="599">
        <f t="shared" si="58"/>
        <v>1</v>
      </c>
      <c r="H346" s="608"/>
      <c r="I346" s="599">
        <f t="shared" si="59"/>
        <v>1</v>
      </c>
      <c r="J346" s="608"/>
      <c r="K346" s="599">
        <f t="shared" si="60"/>
        <v>1</v>
      </c>
      <c r="L346" s="608"/>
      <c r="M346" s="599">
        <f t="shared" si="61"/>
        <v>1</v>
      </c>
      <c r="N346" s="608"/>
      <c r="O346" s="599">
        <f t="shared" si="62"/>
        <v>1</v>
      </c>
      <c r="P346" s="608"/>
      <c r="Q346" s="599">
        <f t="shared" si="63"/>
        <v>1</v>
      </c>
      <c r="R346" s="659">
        <f t="shared" si="64"/>
        <v>0</v>
      </c>
      <c r="S346" s="598">
        <f t="shared" si="55"/>
        <v>0</v>
      </c>
    </row>
    <row r="347" spans="1:19">
      <c r="A347" s="606"/>
      <c r="B347" s="607"/>
      <c r="C347" s="599">
        <f t="shared" si="56"/>
        <v>1</v>
      </c>
      <c r="D347" s="608"/>
      <c r="E347" s="599">
        <f t="shared" si="57"/>
        <v>1</v>
      </c>
      <c r="F347" s="608"/>
      <c r="G347" s="599">
        <f t="shared" si="58"/>
        <v>1</v>
      </c>
      <c r="H347" s="608"/>
      <c r="I347" s="599">
        <f t="shared" si="59"/>
        <v>1</v>
      </c>
      <c r="J347" s="608"/>
      <c r="K347" s="599">
        <f t="shared" si="60"/>
        <v>1</v>
      </c>
      <c r="L347" s="608"/>
      <c r="M347" s="599">
        <f t="shared" si="61"/>
        <v>1</v>
      </c>
      <c r="N347" s="608"/>
      <c r="O347" s="599">
        <f t="shared" si="62"/>
        <v>1</v>
      </c>
      <c r="P347" s="608"/>
      <c r="Q347" s="599">
        <f t="shared" si="63"/>
        <v>1</v>
      </c>
      <c r="R347" s="659">
        <f t="shared" si="64"/>
        <v>0</v>
      </c>
      <c r="S347" s="598">
        <f t="shared" si="55"/>
        <v>0</v>
      </c>
    </row>
    <row r="348" spans="1:19">
      <c r="A348" s="606"/>
      <c r="B348" s="607"/>
      <c r="C348" s="599">
        <f t="shared" si="56"/>
        <v>1</v>
      </c>
      <c r="D348" s="608"/>
      <c r="E348" s="599">
        <f t="shared" si="57"/>
        <v>1</v>
      </c>
      <c r="F348" s="608"/>
      <c r="G348" s="599">
        <f t="shared" si="58"/>
        <v>1</v>
      </c>
      <c r="H348" s="608"/>
      <c r="I348" s="599">
        <f t="shared" si="59"/>
        <v>1</v>
      </c>
      <c r="J348" s="608"/>
      <c r="K348" s="599">
        <f t="shared" si="60"/>
        <v>1</v>
      </c>
      <c r="L348" s="608"/>
      <c r="M348" s="599">
        <f t="shared" si="61"/>
        <v>1</v>
      </c>
      <c r="N348" s="608"/>
      <c r="O348" s="599">
        <f t="shared" si="62"/>
        <v>1</v>
      </c>
      <c r="P348" s="608"/>
      <c r="Q348" s="599">
        <f t="shared" si="63"/>
        <v>1</v>
      </c>
      <c r="R348" s="659">
        <f t="shared" si="64"/>
        <v>0</v>
      </c>
      <c r="S348" s="598">
        <f t="shared" si="55"/>
        <v>0</v>
      </c>
    </row>
    <row r="349" spans="1:19">
      <c r="A349" s="606"/>
      <c r="B349" s="607"/>
      <c r="C349" s="599">
        <f t="shared" si="56"/>
        <v>1</v>
      </c>
      <c r="D349" s="608"/>
      <c r="E349" s="599">
        <f t="shared" si="57"/>
        <v>1</v>
      </c>
      <c r="F349" s="608"/>
      <c r="G349" s="599">
        <f t="shared" si="58"/>
        <v>1</v>
      </c>
      <c r="H349" s="608"/>
      <c r="I349" s="599">
        <f t="shared" si="59"/>
        <v>1</v>
      </c>
      <c r="J349" s="608"/>
      <c r="K349" s="599">
        <f t="shared" si="60"/>
        <v>1</v>
      </c>
      <c r="L349" s="608"/>
      <c r="M349" s="599">
        <f t="shared" si="61"/>
        <v>1</v>
      </c>
      <c r="N349" s="608"/>
      <c r="O349" s="599">
        <f t="shared" si="62"/>
        <v>1</v>
      </c>
      <c r="P349" s="608"/>
      <c r="Q349" s="599">
        <f t="shared" si="63"/>
        <v>1</v>
      </c>
      <c r="R349" s="659">
        <f t="shared" si="64"/>
        <v>0</v>
      </c>
      <c r="S349" s="598">
        <f t="shared" si="55"/>
        <v>0</v>
      </c>
    </row>
    <row r="350" spans="1:19">
      <c r="A350" s="606"/>
      <c r="B350" s="607"/>
      <c r="C350" s="599">
        <f t="shared" si="56"/>
        <v>1</v>
      </c>
      <c r="D350" s="608"/>
      <c r="E350" s="599">
        <f t="shared" si="57"/>
        <v>1</v>
      </c>
      <c r="F350" s="608"/>
      <c r="G350" s="599">
        <f t="shared" si="58"/>
        <v>1</v>
      </c>
      <c r="H350" s="608"/>
      <c r="I350" s="599">
        <f t="shared" si="59"/>
        <v>1</v>
      </c>
      <c r="J350" s="608"/>
      <c r="K350" s="599">
        <f t="shared" si="60"/>
        <v>1</v>
      </c>
      <c r="L350" s="608"/>
      <c r="M350" s="599">
        <f t="shared" si="61"/>
        <v>1</v>
      </c>
      <c r="N350" s="608"/>
      <c r="O350" s="599">
        <f t="shared" si="62"/>
        <v>1</v>
      </c>
      <c r="P350" s="608"/>
      <c r="Q350" s="599">
        <f t="shared" si="63"/>
        <v>1</v>
      </c>
      <c r="R350" s="659">
        <f t="shared" si="64"/>
        <v>0</v>
      </c>
      <c r="S350" s="598">
        <f t="shared" si="55"/>
        <v>0</v>
      </c>
    </row>
    <row r="351" spans="1:19">
      <c r="A351" s="606"/>
      <c r="B351" s="607"/>
      <c r="C351" s="599">
        <f t="shared" si="56"/>
        <v>1</v>
      </c>
      <c r="D351" s="608"/>
      <c r="E351" s="599">
        <f t="shared" si="57"/>
        <v>1</v>
      </c>
      <c r="F351" s="608"/>
      <c r="G351" s="599">
        <f t="shared" si="58"/>
        <v>1</v>
      </c>
      <c r="H351" s="608"/>
      <c r="I351" s="599">
        <f t="shared" si="59"/>
        <v>1</v>
      </c>
      <c r="J351" s="608"/>
      <c r="K351" s="599">
        <f t="shared" si="60"/>
        <v>1</v>
      </c>
      <c r="L351" s="608"/>
      <c r="M351" s="599">
        <f t="shared" si="61"/>
        <v>1</v>
      </c>
      <c r="N351" s="608"/>
      <c r="O351" s="599">
        <f t="shared" si="62"/>
        <v>1</v>
      </c>
      <c r="P351" s="608"/>
      <c r="Q351" s="599">
        <f t="shared" si="63"/>
        <v>1</v>
      </c>
      <c r="R351" s="659">
        <f t="shared" si="64"/>
        <v>0</v>
      </c>
      <c r="S351" s="598">
        <f t="shared" si="55"/>
        <v>0</v>
      </c>
    </row>
    <row r="352" spans="1:19">
      <c r="A352" s="606"/>
      <c r="B352" s="607"/>
      <c r="C352" s="599">
        <f t="shared" si="56"/>
        <v>1</v>
      </c>
      <c r="D352" s="608"/>
      <c r="E352" s="599">
        <f t="shared" si="57"/>
        <v>1</v>
      </c>
      <c r="F352" s="608"/>
      <c r="G352" s="599">
        <f t="shared" si="58"/>
        <v>1</v>
      </c>
      <c r="H352" s="608"/>
      <c r="I352" s="599">
        <f t="shared" si="59"/>
        <v>1</v>
      </c>
      <c r="J352" s="608"/>
      <c r="K352" s="599">
        <f t="shared" si="60"/>
        <v>1</v>
      </c>
      <c r="L352" s="608"/>
      <c r="M352" s="599">
        <f t="shared" si="61"/>
        <v>1</v>
      </c>
      <c r="N352" s="608"/>
      <c r="O352" s="599">
        <f t="shared" si="62"/>
        <v>1</v>
      </c>
      <c r="P352" s="608"/>
      <c r="Q352" s="599">
        <f t="shared" si="63"/>
        <v>1</v>
      </c>
      <c r="R352" s="659">
        <f t="shared" si="64"/>
        <v>0</v>
      </c>
      <c r="S352" s="598">
        <f t="shared" si="55"/>
        <v>0</v>
      </c>
    </row>
    <row r="353" spans="1:19">
      <c r="A353" s="606"/>
      <c r="B353" s="607"/>
      <c r="C353" s="599">
        <f t="shared" si="56"/>
        <v>1</v>
      </c>
      <c r="D353" s="608"/>
      <c r="E353" s="599">
        <f t="shared" si="57"/>
        <v>1</v>
      </c>
      <c r="F353" s="608"/>
      <c r="G353" s="599">
        <f t="shared" si="58"/>
        <v>1</v>
      </c>
      <c r="H353" s="608"/>
      <c r="I353" s="599">
        <f t="shared" si="59"/>
        <v>1</v>
      </c>
      <c r="J353" s="608"/>
      <c r="K353" s="599">
        <f t="shared" si="60"/>
        <v>1</v>
      </c>
      <c r="L353" s="608"/>
      <c r="M353" s="599">
        <f t="shared" si="61"/>
        <v>1</v>
      </c>
      <c r="N353" s="608"/>
      <c r="O353" s="599">
        <f t="shared" si="62"/>
        <v>1</v>
      </c>
      <c r="P353" s="608"/>
      <c r="Q353" s="599">
        <f t="shared" si="63"/>
        <v>1</v>
      </c>
      <c r="R353" s="659">
        <f t="shared" si="64"/>
        <v>0</v>
      </c>
      <c r="S353" s="598">
        <f t="shared" si="55"/>
        <v>0</v>
      </c>
    </row>
    <row r="354" spans="1:19">
      <c r="A354" s="606"/>
      <c r="B354" s="607"/>
      <c r="C354" s="599">
        <f t="shared" si="56"/>
        <v>1</v>
      </c>
      <c r="D354" s="608"/>
      <c r="E354" s="599">
        <f t="shared" si="57"/>
        <v>1</v>
      </c>
      <c r="F354" s="608"/>
      <c r="G354" s="599">
        <f t="shared" si="58"/>
        <v>1</v>
      </c>
      <c r="H354" s="608"/>
      <c r="I354" s="599">
        <f t="shared" si="59"/>
        <v>1</v>
      </c>
      <c r="J354" s="608"/>
      <c r="K354" s="599">
        <f t="shared" si="60"/>
        <v>1</v>
      </c>
      <c r="L354" s="608"/>
      <c r="M354" s="599">
        <f t="shared" si="61"/>
        <v>1</v>
      </c>
      <c r="N354" s="608"/>
      <c r="O354" s="599">
        <f t="shared" si="62"/>
        <v>1</v>
      </c>
      <c r="P354" s="608"/>
      <c r="Q354" s="599">
        <f t="shared" si="63"/>
        <v>1</v>
      </c>
      <c r="R354" s="659">
        <f t="shared" si="64"/>
        <v>0</v>
      </c>
      <c r="S354" s="598">
        <f t="shared" si="55"/>
        <v>0</v>
      </c>
    </row>
    <row r="355" spans="1:19">
      <c r="A355" s="606"/>
      <c r="B355" s="607"/>
      <c r="C355" s="599">
        <f t="shared" si="56"/>
        <v>1</v>
      </c>
      <c r="D355" s="608"/>
      <c r="E355" s="599">
        <f t="shared" si="57"/>
        <v>1</v>
      </c>
      <c r="F355" s="608"/>
      <c r="G355" s="599">
        <f t="shared" si="58"/>
        <v>1</v>
      </c>
      <c r="H355" s="608"/>
      <c r="I355" s="599">
        <f t="shared" si="59"/>
        <v>1</v>
      </c>
      <c r="J355" s="608"/>
      <c r="K355" s="599">
        <f t="shared" si="60"/>
        <v>1</v>
      </c>
      <c r="L355" s="608"/>
      <c r="M355" s="599">
        <f t="shared" si="61"/>
        <v>1</v>
      </c>
      <c r="N355" s="608"/>
      <c r="O355" s="599">
        <f t="shared" si="62"/>
        <v>1</v>
      </c>
      <c r="P355" s="608"/>
      <c r="Q355" s="599">
        <f t="shared" si="63"/>
        <v>1</v>
      </c>
      <c r="R355" s="659">
        <f t="shared" si="64"/>
        <v>0</v>
      </c>
      <c r="S355" s="598">
        <f t="shared" si="55"/>
        <v>0</v>
      </c>
    </row>
    <row r="356" spans="1:19">
      <c r="A356" s="606"/>
      <c r="B356" s="607"/>
      <c r="C356" s="599">
        <f t="shared" si="56"/>
        <v>1</v>
      </c>
      <c r="D356" s="608"/>
      <c r="E356" s="599">
        <f t="shared" si="57"/>
        <v>1</v>
      </c>
      <c r="F356" s="608"/>
      <c r="G356" s="599">
        <f t="shared" si="58"/>
        <v>1</v>
      </c>
      <c r="H356" s="608"/>
      <c r="I356" s="599">
        <f t="shared" si="59"/>
        <v>1</v>
      </c>
      <c r="J356" s="608"/>
      <c r="K356" s="599">
        <f t="shared" si="60"/>
        <v>1</v>
      </c>
      <c r="L356" s="608"/>
      <c r="M356" s="599">
        <f t="shared" si="61"/>
        <v>1</v>
      </c>
      <c r="N356" s="608"/>
      <c r="O356" s="599">
        <f t="shared" si="62"/>
        <v>1</v>
      </c>
      <c r="P356" s="608"/>
      <c r="Q356" s="599">
        <f t="shared" si="63"/>
        <v>1</v>
      </c>
      <c r="R356" s="659">
        <f t="shared" si="64"/>
        <v>0</v>
      </c>
      <c r="S356" s="598">
        <f t="shared" si="55"/>
        <v>0</v>
      </c>
    </row>
    <row r="357" spans="1:19">
      <c r="A357" s="606"/>
      <c r="B357" s="607"/>
      <c r="C357" s="599">
        <f t="shared" si="56"/>
        <v>1</v>
      </c>
      <c r="D357" s="608"/>
      <c r="E357" s="599">
        <f t="shared" si="57"/>
        <v>1</v>
      </c>
      <c r="F357" s="608"/>
      <c r="G357" s="599">
        <f t="shared" si="58"/>
        <v>1</v>
      </c>
      <c r="H357" s="608"/>
      <c r="I357" s="599">
        <f t="shared" si="59"/>
        <v>1</v>
      </c>
      <c r="J357" s="608"/>
      <c r="K357" s="599">
        <f t="shared" si="60"/>
        <v>1</v>
      </c>
      <c r="L357" s="608"/>
      <c r="M357" s="599">
        <f t="shared" si="61"/>
        <v>1</v>
      </c>
      <c r="N357" s="608"/>
      <c r="O357" s="599">
        <f t="shared" si="62"/>
        <v>1</v>
      </c>
      <c r="P357" s="608"/>
      <c r="Q357" s="599">
        <f t="shared" si="63"/>
        <v>1</v>
      </c>
      <c r="R357" s="659">
        <f t="shared" si="64"/>
        <v>0</v>
      </c>
      <c r="S357" s="598">
        <f t="shared" si="55"/>
        <v>0</v>
      </c>
    </row>
    <row r="358" spans="1:19">
      <c r="A358" s="606"/>
      <c r="B358" s="607"/>
      <c r="C358" s="599">
        <f t="shared" si="56"/>
        <v>1</v>
      </c>
      <c r="D358" s="608"/>
      <c r="E358" s="599">
        <f t="shared" si="57"/>
        <v>1</v>
      </c>
      <c r="F358" s="608"/>
      <c r="G358" s="599">
        <f t="shared" si="58"/>
        <v>1</v>
      </c>
      <c r="H358" s="608"/>
      <c r="I358" s="599">
        <f t="shared" si="59"/>
        <v>1</v>
      </c>
      <c r="J358" s="608"/>
      <c r="K358" s="599">
        <f t="shared" si="60"/>
        <v>1</v>
      </c>
      <c r="L358" s="608"/>
      <c r="M358" s="599">
        <f t="shared" si="61"/>
        <v>1</v>
      </c>
      <c r="N358" s="608"/>
      <c r="O358" s="599">
        <f t="shared" si="62"/>
        <v>1</v>
      </c>
      <c r="P358" s="608"/>
      <c r="Q358" s="599">
        <f t="shared" si="63"/>
        <v>1</v>
      </c>
      <c r="R358" s="659">
        <f t="shared" si="64"/>
        <v>0</v>
      </c>
      <c r="S358" s="598">
        <f t="shared" si="55"/>
        <v>0</v>
      </c>
    </row>
    <row r="359" spans="1:19">
      <c r="A359" s="606"/>
      <c r="B359" s="607"/>
      <c r="C359" s="599">
        <f t="shared" si="56"/>
        <v>1</v>
      </c>
      <c r="D359" s="608"/>
      <c r="E359" s="599">
        <f t="shared" si="57"/>
        <v>1</v>
      </c>
      <c r="F359" s="608"/>
      <c r="G359" s="599">
        <f t="shared" si="58"/>
        <v>1</v>
      </c>
      <c r="H359" s="608"/>
      <c r="I359" s="599">
        <f t="shared" si="59"/>
        <v>1</v>
      </c>
      <c r="J359" s="608"/>
      <c r="K359" s="599">
        <f t="shared" si="60"/>
        <v>1</v>
      </c>
      <c r="L359" s="608"/>
      <c r="M359" s="599">
        <f t="shared" si="61"/>
        <v>1</v>
      </c>
      <c r="N359" s="608"/>
      <c r="O359" s="599">
        <f t="shared" si="62"/>
        <v>1</v>
      </c>
      <c r="P359" s="608"/>
      <c r="Q359" s="599">
        <f t="shared" si="63"/>
        <v>1</v>
      </c>
      <c r="R359" s="659">
        <f t="shared" si="64"/>
        <v>0</v>
      </c>
      <c r="S359" s="598">
        <f t="shared" si="55"/>
        <v>0</v>
      </c>
    </row>
    <row r="360" spans="1:19">
      <c r="A360" s="606"/>
      <c r="B360" s="607"/>
      <c r="C360" s="599">
        <f t="shared" si="56"/>
        <v>1</v>
      </c>
      <c r="D360" s="608"/>
      <c r="E360" s="599">
        <f t="shared" si="57"/>
        <v>1</v>
      </c>
      <c r="F360" s="608"/>
      <c r="G360" s="599">
        <f t="shared" si="58"/>
        <v>1</v>
      </c>
      <c r="H360" s="608"/>
      <c r="I360" s="599">
        <f t="shared" si="59"/>
        <v>1</v>
      </c>
      <c r="J360" s="608"/>
      <c r="K360" s="599">
        <f t="shared" si="60"/>
        <v>1</v>
      </c>
      <c r="L360" s="608"/>
      <c r="M360" s="599">
        <f t="shared" si="61"/>
        <v>1</v>
      </c>
      <c r="N360" s="608"/>
      <c r="O360" s="599">
        <f t="shared" si="62"/>
        <v>1</v>
      </c>
      <c r="P360" s="608"/>
      <c r="Q360" s="599">
        <f t="shared" si="63"/>
        <v>1</v>
      </c>
      <c r="R360" s="659">
        <f t="shared" si="64"/>
        <v>0</v>
      </c>
      <c r="S360" s="598">
        <f t="shared" si="55"/>
        <v>0</v>
      </c>
    </row>
    <row r="361" spans="1:19">
      <c r="A361" s="606"/>
      <c r="B361" s="607"/>
      <c r="C361" s="599">
        <f t="shared" si="56"/>
        <v>1</v>
      </c>
      <c r="D361" s="608"/>
      <c r="E361" s="599">
        <f t="shared" si="57"/>
        <v>1</v>
      </c>
      <c r="F361" s="608"/>
      <c r="G361" s="599">
        <f t="shared" si="58"/>
        <v>1</v>
      </c>
      <c r="H361" s="608"/>
      <c r="I361" s="599">
        <f t="shared" si="59"/>
        <v>1</v>
      </c>
      <c r="J361" s="608"/>
      <c r="K361" s="599">
        <f t="shared" si="60"/>
        <v>1</v>
      </c>
      <c r="L361" s="608"/>
      <c r="M361" s="599">
        <f t="shared" si="61"/>
        <v>1</v>
      </c>
      <c r="N361" s="608"/>
      <c r="O361" s="599">
        <f t="shared" si="62"/>
        <v>1</v>
      </c>
      <c r="P361" s="608"/>
      <c r="Q361" s="599">
        <f t="shared" si="63"/>
        <v>1</v>
      </c>
      <c r="R361" s="659">
        <f t="shared" si="64"/>
        <v>0</v>
      </c>
      <c r="S361" s="598">
        <f t="shared" si="55"/>
        <v>0</v>
      </c>
    </row>
    <row r="362" spans="1:19">
      <c r="A362" s="606"/>
      <c r="B362" s="607"/>
      <c r="C362" s="599">
        <f t="shared" si="56"/>
        <v>1</v>
      </c>
      <c r="D362" s="608"/>
      <c r="E362" s="599">
        <f t="shared" si="57"/>
        <v>1</v>
      </c>
      <c r="F362" s="608"/>
      <c r="G362" s="599">
        <f t="shared" si="58"/>
        <v>1</v>
      </c>
      <c r="H362" s="608"/>
      <c r="I362" s="599">
        <f t="shared" si="59"/>
        <v>1</v>
      </c>
      <c r="J362" s="608"/>
      <c r="K362" s="599">
        <f t="shared" si="60"/>
        <v>1</v>
      </c>
      <c r="L362" s="608"/>
      <c r="M362" s="599">
        <f t="shared" si="61"/>
        <v>1</v>
      </c>
      <c r="N362" s="608"/>
      <c r="O362" s="599">
        <f t="shared" si="62"/>
        <v>1</v>
      </c>
      <c r="P362" s="608"/>
      <c r="Q362" s="599">
        <f t="shared" si="63"/>
        <v>1</v>
      </c>
      <c r="R362" s="659">
        <f t="shared" si="64"/>
        <v>0</v>
      </c>
      <c r="S362" s="598">
        <f t="shared" si="55"/>
        <v>0</v>
      </c>
    </row>
    <row r="363" spans="1:19">
      <c r="A363" s="606"/>
      <c r="B363" s="607"/>
      <c r="C363" s="599">
        <f t="shared" si="56"/>
        <v>1</v>
      </c>
      <c r="D363" s="608"/>
      <c r="E363" s="599">
        <f t="shared" si="57"/>
        <v>1</v>
      </c>
      <c r="F363" s="608"/>
      <c r="G363" s="599">
        <f t="shared" si="58"/>
        <v>1</v>
      </c>
      <c r="H363" s="608"/>
      <c r="I363" s="599">
        <f t="shared" si="59"/>
        <v>1</v>
      </c>
      <c r="J363" s="608"/>
      <c r="K363" s="599">
        <f t="shared" si="60"/>
        <v>1</v>
      </c>
      <c r="L363" s="608"/>
      <c r="M363" s="599">
        <f t="shared" si="61"/>
        <v>1</v>
      </c>
      <c r="N363" s="608"/>
      <c r="O363" s="599">
        <f t="shared" si="62"/>
        <v>1</v>
      </c>
      <c r="P363" s="608"/>
      <c r="Q363" s="599">
        <f t="shared" si="63"/>
        <v>1</v>
      </c>
      <c r="R363" s="659">
        <f t="shared" si="64"/>
        <v>0</v>
      </c>
      <c r="S363" s="598">
        <f t="shared" si="55"/>
        <v>0</v>
      </c>
    </row>
    <row r="364" spans="1:19">
      <c r="A364" s="606"/>
      <c r="B364" s="607"/>
      <c r="C364" s="599">
        <f t="shared" si="56"/>
        <v>1</v>
      </c>
      <c r="D364" s="608"/>
      <c r="E364" s="599">
        <f t="shared" si="57"/>
        <v>1</v>
      </c>
      <c r="F364" s="608"/>
      <c r="G364" s="599">
        <f t="shared" si="58"/>
        <v>1</v>
      </c>
      <c r="H364" s="608"/>
      <c r="I364" s="599">
        <f t="shared" si="59"/>
        <v>1</v>
      </c>
      <c r="J364" s="608"/>
      <c r="K364" s="599">
        <f t="shared" si="60"/>
        <v>1</v>
      </c>
      <c r="L364" s="608"/>
      <c r="M364" s="599">
        <f t="shared" si="61"/>
        <v>1</v>
      </c>
      <c r="N364" s="608"/>
      <c r="O364" s="599">
        <f t="shared" si="62"/>
        <v>1</v>
      </c>
      <c r="P364" s="608"/>
      <c r="Q364" s="599">
        <f t="shared" si="63"/>
        <v>1</v>
      </c>
      <c r="R364" s="659">
        <f t="shared" si="64"/>
        <v>0</v>
      </c>
      <c r="S364" s="598">
        <f t="shared" si="55"/>
        <v>0</v>
      </c>
    </row>
    <row r="365" spans="1:19">
      <c r="A365" s="606"/>
      <c r="B365" s="607"/>
      <c r="C365" s="599">
        <f t="shared" si="56"/>
        <v>1</v>
      </c>
      <c r="D365" s="608"/>
      <c r="E365" s="599">
        <f t="shared" si="57"/>
        <v>1</v>
      </c>
      <c r="F365" s="608"/>
      <c r="G365" s="599">
        <f t="shared" si="58"/>
        <v>1</v>
      </c>
      <c r="H365" s="608"/>
      <c r="I365" s="599">
        <f t="shared" si="59"/>
        <v>1</v>
      </c>
      <c r="J365" s="608"/>
      <c r="K365" s="599">
        <f t="shared" si="60"/>
        <v>1</v>
      </c>
      <c r="L365" s="608"/>
      <c r="M365" s="599">
        <f t="shared" si="61"/>
        <v>1</v>
      </c>
      <c r="N365" s="608"/>
      <c r="O365" s="599">
        <f t="shared" si="62"/>
        <v>1</v>
      </c>
      <c r="P365" s="608"/>
      <c r="Q365" s="599">
        <f t="shared" si="63"/>
        <v>1</v>
      </c>
      <c r="R365" s="659">
        <f t="shared" si="64"/>
        <v>0</v>
      </c>
      <c r="S365" s="598">
        <f t="shared" si="55"/>
        <v>0</v>
      </c>
    </row>
    <row r="366" spans="1:19">
      <c r="A366" s="606"/>
      <c r="B366" s="607"/>
      <c r="C366" s="599">
        <f t="shared" si="56"/>
        <v>1</v>
      </c>
      <c r="D366" s="608"/>
      <c r="E366" s="599">
        <f t="shared" si="57"/>
        <v>1</v>
      </c>
      <c r="F366" s="608"/>
      <c r="G366" s="599">
        <f t="shared" si="58"/>
        <v>1</v>
      </c>
      <c r="H366" s="608"/>
      <c r="I366" s="599">
        <f t="shared" si="59"/>
        <v>1</v>
      </c>
      <c r="J366" s="608"/>
      <c r="K366" s="599">
        <f t="shared" si="60"/>
        <v>1</v>
      </c>
      <c r="L366" s="608"/>
      <c r="M366" s="599">
        <f t="shared" si="61"/>
        <v>1</v>
      </c>
      <c r="N366" s="608"/>
      <c r="O366" s="599">
        <f t="shared" si="62"/>
        <v>1</v>
      </c>
      <c r="P366" s="608"/>
      <c r="Q366" s="599">
        <f t="shared" si="63"/>
        <v>1</v>
      </c>
      <c r="R366" s="659">
        <f t="shared" si="64"/>
        <v>0</v>
      </c>
      <c r="S366" s="598">
        <f t="shared" si="55"/>
        <v>0</v>
      </c>
    </row>
    <row r="367" spans="1:19">
      <c r="A367" s="606"/>
      <c r="B367" s="607"/>
      <c r="C367" s="599">
        <f t="shared" si="56"/>
        <v>1</v>
      </c>
      <c r="D367" s="608"/>
      <c r="E367" s="599">
        <f t="shared" si="57"/>
        <v>1</v>
      </c>
      <c r="F367" s="608"/>
      <c r="G367" s="599">
        <f t="shared" si="58"/>
        <v>1</v>
      </c>
      <c r="H367" s="608"/>
      <c r="I367" s="599">
        <f t="shared" si="59"/>
        <v>1</v>
      </c>
      <c r="J367" s="608"/>
      <c r="K367" s="599">
        <f t="shared" si="60"/>
        <v>1</v>
      </c>
      <c r="L367" s="608"/>
      <c r="M367" s="599">
        <f t="shared" si="61"/>
        <v>1</v>
      </c>
      <c r="N367" s="608"/>
      <c r="O367" s="599">
        <f t="shared" si="62"/>
        <v>1</v>
      </c>
      <c r="P367" s="608"/>
      <c r="Q367" s="599">
        <f t="shared" si="63"/>
        <v>1</v>
      </c>
      <c r="R367" s="659">
        <f t="shared" si="64"/>
        <v>0</v>
      </c>
      <c r="S367" s="598">
        <f t="shared" si="55"/>
        <v>0</v>
      </c>
    </row>
    <row r="368" spans="1:19">
      <c r="A368" s="606"/>
      <c r="B368" s="607"/>
      <c r="C368" s="599">
        <f t="shared" si="56"/>
        <v>1</v>
      </c>
      <c r="D368" s="608"/>
      <c r="E368" s="599">
        <f t="shared" si="57"/>
        <v>1</v>
      </c>
      <c r="F368" s="608"/>
      <c r="G368" s="599">
        <f t="shared" si="58"/>
        <v>1</v>
      </c>
      <c r="H368" s="608"/>
      <c r="I368" s="599">
        <f t="shared" si="59"/>
        <v>1</v>
      </c>
      <c r="J368" s="608"/>
      <c r="K368" s="599">
        <f t="shared" si="60"/>
        <v>1</v>
      </c>
      <c r="L368" s="608"/>
      <c r="M368" s="599">
        <f t="shared" si="61"/>
        <v>1</v>
      </c>
      <c r="N368" s="608"/>
      <c r="O368" s="599">
        <f t="shared" si="62"/>
        <v>1</v>
      </c>
      <c r="P368" s="608"/>
      <c r="Q368" s="599">
        <f t="shared" si="63"/>
        <v>1</v>
      </c>
      <c r="R368" s="659">
        <f t="shared" si="64"/>
        <v>0</v>
      </c>
      <c r="S368" s="598">
        <f t="shared" si="55"/>
        <v>0</v>
      </c>
    </row>
    <row r="369" spans="1:19">
      <c r="A369" s="606"/>
      <c r="B369" s="607"/>
      <c r="C369" s="599">
        <f t="shared" si="56"/>
        <v>1</v>
      </c>
      <c r="D369" s="608"/>
      <c r="E369" s="599">
        <f t="shared" si="57"/>
        <v>1</v>
      </c>
      <c r="F369" s="608"/>
      <c r="G369" s="599">
        <f t="shared" si="58"/>
        <v>1</v>
      </c>
      <c r="H369" s="608"/>
      <c r="I369" s="599">
        <f t="shared" si="59"/>
        <v>1</v>
      </c>
      <c r="J369" s="608"/>
      <c r="K369" s="599">
        <f t="shared" si="60"/>
        <v>1</v>
      </c>
      <c r="L369" s="608"/>
      <c r="M369" s="599">
        <f t="shared" si="61"/>
        <v>1</v>
      </c>
      <c r="N369" s="608"/>
      <c r="O369" s="599">
        <f t="shared" si="62"/>
        <v>1</v>
      </c>
      <c r="P369" s="608"/>
      <c r="Q369" s="599">
        <f t="shared" si="63"/>
        <v>1</v>
      </c>
      <c r="R369" s="659">
        <f t="shared" si="64"/>
        <v>0</v>
      </c>
      <c r="S369" s="598">
        <f t="shared" si="55"/>
        <v>0</v>
      </c>
    </row>
    <row r="370" spans="1:19">
      <c r="A370" s="606"/>
      <c r="B370" s="607"/>
      <c r="C370" s="599">
        <f t="shared" si="56"/>
        <v>1</v>
      </c>
      <c r="D370" s="608"/>
      <c r="E370" s="599">
        <f t="shared" si="57"/>
        <v>1</v>
      </c>
      <c r="F370" s="608"/>
      <c r="G370" s="599">
        <f t="shared" si="58"/>
        <v>1</v>
      </c>
      <c r="H370" s="608"/>
      <c r="I370" s="599">
        <f t="shared" si="59"/>
        <v>1</v>
      </c>
      <c r="J370" s="608"/>
      <c r="K370" s="599">
        <f t="shared" si="60"/>
        <v>1</v>
      </c>
      <c r="L370" s="608"/>
      <c r="M370" s="599">
        <f t="shared" si="61"/>
        <v>1</v>
      </c>
      <c r="N370" s="608"/>
      <c r="O370" s="599">
        <f t="shared" si="62"/>
        <v>1</v>
      </c>
      <c r="P370" s="608"/>
      <c r="Q370" s="599">
        <f t="shared" si="63"/>
        <v>1</v>
      </c>
      <c r="R370" s="659">
        <f t="shared" si="64"/>
        <v>0</v>
      </c>
      <c r="S370" s="598">
        <f t="shared" si="55"/>
        <v>0</v>
      </c>
    </row>
    <row r="371" spans="1:19">
      <c r="A371" s="606"/>
      <c r="B371" s="607"/>
      <c r="C371" s="599">
        <f t="shared" si="56"/>
        <v>1</v>
      </c>
      <c r="D371" s="608"/>
      <c r="E371" s="599">
        <f t="shared" si="57"/>
        <v>1</v>
      </c>
      <c r="F371" s="608"/>
      <c r="G371" s="599">
        <f t="shared" si="58"/>
        <v>1</v>
      </c>
      <c r="H371" s="608"/>
      <c r="I371" s="599">
        <f t="shared" si="59"/>
        <v>1</v>
      </c>
      <c r="J371" s="608"/>
      <c r="K371" s="599">
        <f t="shared" si="60"/>
        <v>1</v>
      </c>
      <c r="L371" s="608"/>
      <c r="M371" s="599">
        <f t="shared" si="61"/>
        <v>1</v>
      </c>
      <c r="N371" s="608"/>
      <c r="O371" s="599">
        <f t="shared" si="62"/>
        <v>1</v>
      </c>
      <c r="P371" s="608"/>
      <c r="Q371" s="599">
        <f t="shared" si="63"/>
        <v>1</v>
      </c>
      <c r="R371" s="659">
        <f t="shared" si="64"/>
        <v>0</v>
      </c>
      <c r="S371" s="598">
        <f t="shared" si="55"/>
        <v>0</v>
      </c>
    </row>
    <row r="372" spans="1:19">
      <c r="A372" s="606"/>
      <c r="B372" s="607"/>
      <c r="C372" s="599">
        <f t="shared" si="56"/>
        <v>1</v>
      </c>
      <c r="D372" s="608"/>
      <c r="E372" s="599">
        <f t="shared" si="57"/>
        <v>1</v>
      </c>
      <c r="F372" s="608"/>
      <c r="G372" s="599">
        <f t="shared" si="58"/>
        <v>1</v>
      </c>
      <c r="H372" s="608"/>
      <c r="I372" s="599">
        <f t="shared" si="59"/>
        <v>1</v>
      </c>
      <c r="J372" s="608"/>
      <c r="K372" s="599">
        <f t="shared" si="60"/>
        <v>1</v>
      </c>
      <c r="L372" s="608"/>
      <c r="M372" s="599">
        <f t="shared" si="61"/>
        <v>1</v>
      </c>
      <c r="N372" s="608"/>
      <c r="O372" s="599">
        <f t="shared" si="62"/>
        <v>1</v>
      </c>
      <c r="P372" s="608"/>
      <c r="Q372" s="599">
        <f t="shared" si="63"/>
        <v>1</v>
      </c>
      <c r="R372" s="659">
        <f t="shared" si="64"/>
        <v>0</v>
      </c>
      <c r="S372" s="598">
        <f t="shared" si="55"/>
        <v>0</v>
      </c>
    </row>
    <row r="373" spans="1:19">
      <c r="A373" s="606"/>
      <c r="B373" s="607"/>
      <c r="C373" s="599">
        <f t="shared" si="56"/>
        <v>1</v>
      </c>
      <c r="D373" s="608"/>
      <c r="E373" s="599">
        <f t="shared" si="57"/>
        <v>1</v>
      </c>
      <c r="F373" s="608"/>
      <c r="G373" s="599">
        <f t="shared" si="58"/>
        <v>1</v>
      </c>
      <c r="H373" s="608"/>
      <c r="I373" s="599">
        <f t="shared" si="59"/>
        <v>1</v>
      </c>
      <c r="J373" s="608"/>
      <c r="K373" s="599">
        <f t="shared" si="60"/>
        <v>1</v>
      </c>
      <c r="L373" s="608"/>
      <c r="M373" s="599">
        <f t="shared" si="61"/>
        <v>1</v>
      </c>
      <c r="N373" s="608"/>
      <c r="O373" s="599">
        <f t="shared" si="62"/>
        <v>1</v>
      </c>
      <c r="P373" s="608"/>
      <c r="Q373" s="599">
        <f t="shared" si="63"/>
        <v>1</v>
      </c>
      <c r="R373" s="659">
        <f t="shared" si="64"/>
        <v>0</v>
      </c>
      <c r="S373" s="598">
        <f t="shared" si="55"/>
        <v>0</v>
      </c>
    </row>
    <row r="374" spans="1:19">
      <c r="A374" s="606"/>
      <c r="B374" s="607"/>
      <c r="C374" s="599">
        <f t="shared" si="56"/>
        <v>1</v>
      </c>
      <c r="D374" s="608"/>
      <c r="E374" s="599">
        <f t="shared" si="57"/>
        <v>1</v>
      </c>
      <c r="F374" s="608"/>
      <c r="G374" s="599">
        <f t="shared" si="58"/>
        <v>1</v>
      </c>
      <c r="H374" s="608"/>
      <c r="I374" s="599">
        <f t="shared" si="59"/>
        <v>1</v>
      </c>
      <c r="J374" s="608"/>
      <c r="K374" s="599">
        <f t="shared" si="60"/>
        <v>1</v>
      </c>
      <c r="L374" s="608"/>
      <c r="M374" s="599">
        <f t="shared" si="61"/>
        <v>1</v>
      </c>
      <c r="N374" s="608"/>
      <c r="O374" s="599">
        <f t="shared" si="62"/>
        <v>1</v>
      </c>
      <c r="P374" s="608"/>
      <c r="Q374" s="599">
        <f t="shared" si="63"/>
        <v>1</v>
      </c>
      <c r="R374" s="659">
        <f t="shared" si="64"/>
        <v>0</v>
      </c>
      <c r="S374" s="598">
        <f t="shared" si="55"/>
        <v>0</v>
      </c>
    </row>
    <row r="375" spans="1:19">
      <c r="A375" s="606"/>
      <c r="B375" s="607"/>
      <c r="C375" s="599">
        <f t="shared" si="56"/>
        <v>1</v>
      </c>
      <c r="D375" s="608"/>
      <c r="E375" s="599">
        <f t="shared" si="57"/>
        <v>1</v>
      </c>
      <c r="F375" s="608"/>
      <c r="G375" s="599">
        <f t="shared" si="58"/>
        <v>1</v>
      </c>
      <c r="H375" s="608"/>
      <c r="I375" s="599">
        <f t="shared" si="59"/>
        <v>1</v>
      </c>
      <c r="J375" s="608"/>
      <c r="K375" s="599">
        <f t="shared" si="60"/>
        <v>1</v>
      </c>
      <c r="L375" s="608"/>
      <c r="M375" s="599">
        <f t="shared" si="61"/>
        <v>1</v>
      </c>
      <c r="N375" s="608"/>
      <c r="O375" s="599">
        <f t="shared" si="62"/>
        <v>1</v>
      </c>
      <c r="P375" s="608"/>
      <c r="Q375" s="599">
        <f t="shared" si="63"/>
        <v>1</v>
      </c>
      <c r="R375" s="659">
        <f t="shared" si="64"/>
        <v>0</v>
      </c>
      <c r="S375" s="598">
        <f t="shared" si="55"/>
        <v>0</v>
      </c>
    </row>
    <row r="376" spans="1:19">
      <c r="A376" s="606"/>
      <c r="B376" s="607"/>
      <c r="C376" s="599">
        <f t="shared" si="56"/>
        <v>1</v>
      </c>
      <c r="D376" s="608"/>
      <c r="E376" s="599">
        <f t="shared" si="57"/>
        <v>1</v>
      </c>
      <c r="F376" s="608"/>
      <c r="G376" s="599">
        <f t="shared" si="58"/>
        <v>1</v>
      </c>
      <c r="H376" s="608"/>
      <c r="I376" s="599">
        <f t="shared" si="59"/>
        <v>1</v>
      </c>
      <c r="J376" s="608"/>
      <c r="K376" s="599">
        <f t="shared" si="60"/>
        <v>1</v>
      </c>
      <c r="L376" s="608"/>
      <c r="M376" s="599">
        <f t="shared" si="61"/>
        <v>1</v>
      </c>
      <c r="N376" s="608"/>
      <c r="O376" s="599">
        <f t="shared" si="62"/>
        <v>1</v>
      </c>
      <c r="P376" s="608"/>
      <c r="Q376" s="599">
        <f t="shared" si="63"/>
        <v>1</v>
      </c>
      <c r="R376" s="659">
        <f t="shared" si="64"/>
        <v>0</v>
      </c>
      <c r="S376" s="598">
        <f t="shared" si="55"/>
        <v>0</v>
      </c>
    </row>
    <row r="377" spans="1:19">
      <c r="A377" s="606"/>
      <c r="B377" s="607"/>
      <c r="C377" s="599">
        <f t="shared" si="56"/>
        <v>1</v>
      </c>
      <c r="D377" s="608"/>
      <c r="E377" s="599">
        <f t="shared" si="57"/>
        <v>1</v>
      </c>
      <c r="F377" s="608"/>
      <c r="G377" s="599">
        <f t="shared" si="58"/>
        <v>1</v>
      </c>
      <c r="H377" s="608"/>
      <c r="I377" s="599">
        <f t="shared" si="59"/>
        <v>1</v>
      </c>
      <c r="J377" s="608"/>
      <c r="K377" s="599">
        <f t="shared" si="60"/>
        <v>1</v>
      </c>
      <c r="L377" s="608"/>
      <c r="M377" s="599">
        <f t="shared" si="61"/>
        <v>1</v>
      </c>
      <c r="N377" s="608"/>
      <c r="O377" s="599">
        <f t="shared" si="62"/>
        <v>1</v>
      </c>
      <c r="P377" s="608"/>
      <c r="Q377" s="599">
        <f t="shared" si="63"/>
        <v>1</v>
      </c>
      <c r="R377" s="659">
        <f t="shared" si="64"/>
        <v>0</v>
      </c>
      <c r="S377" s="598">
        <f t="shared" si="55"/>
        <v>0</v>
      </c>
    </row>
    <row r="378" spans="1:19">
      <c r="A378" s="606"/>
      <c r="B378" s="607"/>
      <c r="C378" s="599">
        <f t="shared" si="56"/>
        <v>1</v>
      </c>
      <c r="D378" s="608"/>
      <c r="E378" s="599">
        <f t="shared" si="57"/>
        <v>1</v>
      </c>
      <c r="F378" s="608"/>
      <c r="G378" s="599">
        <f t="shared" si="58"/>
        <v>1</v>
      </c>
      <c r="H378" s="608"/>
      <c r="I378" s="599">
        <f t="shared" si="59"/>
        <v>1</v>
      </c>
      <c r="J378" s="608"/>
      <c r="K378" s="599">
        <f t="shared" si="60"/>
        <v>1</v>
      </c>
      <c r="L378" s="608"/>
      <c r="M378" s="599">
        <f t="shared" si="61"/>
        <v>1</v>
      </c>
      <c r="N378" s="608"/>
      <c r="O378" s="599">
        <f t="shared" si="62"/>
        <v>1</v>
      </c>
      <c r="P378" s="608"/>
      <c r="Q378" s="599">
        <f t="shared" si="63"/>
        <v>1</v>
      </c>
      <c r="R378" s="659">
        <f t="shared" si="64"/>
        <v>0</v>
      </c>
      <c r="S378" s="598">
        <f t="shared" si="55"/>
        <v>0</v>
      </c>
    </row>
    <row r="379" spans="1:19">
      <c r="A379" s="606"/>
      <c r="B379" s="607"/>
      <c r="C379" s="599">
        <f t="shared" si="56"/>
        <v>1</v>
      </c>
      <c r="D379" s="608"/>
      <c r="E379" s="599">
        <f t="shared" si="57"/>
        <v>1</v>
      </c>
      <c r="F379" s="608"/>
      <c r="G379" s="599">
        <f t="shared" si="58"/>
        <v>1</v>
      </c>
      <c r="H379" s="608"/>
      <c r="I379" s="599">
        <f t="shared" si="59"/>
        <v>1</v>
      </c>
      <c r="J379" s="608"/>
      <c r="K379" s="599">
        <f t="shared" si="60"/>
        <v>1</v>
      </c>
      <c r="L379" s="608"/>
      <c r="M379" s="599">
        <f t="shared" si="61"/>
        <v>1</v>
      </c>
      <c r="N379" s="608"/>
      <c r="O379" s="599">
        <f t="shared" si="62"/>
        <v>1</v>
      </c>
      <c r="P379" s="608"/>
      <c r="Q379" s="599">
        <f t="shared" si="63"/>
        <v>1</v>
      </c>
      <c r="R379" s="659">
        <f t="shared" si="64"/>
        <v>0</v>
      </c>
      <c r="S379" s="598">
        <f t="shared" si="55"/>
        <v>0</v>
      </c>
    </row>
    <row r="380" spans="1:19">
      <c r="A380" s="606"/>
      <c r="B380" s="607"/>
      <c r="C380" s="599">
        <f t="shared" si="56"/>
        <v>1</v>
      </c>
      <c r="D380" s="608"/>
      <c r="E380" s="599">
        <f t="shared" si="57"/>
        <v>1</v>
      </c>
      <c r="F380" s="608"/>
      <c r="G380" s="599">
        <f t="shared" si="58"/>
        <v>1</v>
      </c>
      <c r="H380" s="608"/>
      <c r="I380" s="599">
        <f t="shared" si="59"/>
        <v>1</v>
      </c>
      <c r="J380" s="608"/>
      <c r="K380" s="599">
        <f t="shared" si="60"/>
        <v>1</v>
      </c>
      <c r="L380" s="608"/>
      <c r="M380" s="599">
        <f t="shared" si="61"/>
        <v>1</v>
      </c>
      <c r="N380" s="608"/>
      <c r="O380" s="599">
        <f t="shared" si="62"/>
        <v>1</v>
      </c>
      <c r="P380" s="608"/>
      <c r="Q380" s="599">
        <f t="shared" si="63"/>
        <v>1</v>
      </c>
      <c r="R380" s="659">
        <f t="shared" si="64"/>
        <v>0</v>
      </c>
      <c r="S380" s="598">
        <f t="shared" si="55"/>
        <v>0</v>
      </c>
    </row>
    <row r="381" spans="1:19">
      <c r="A381" s="606"/>
      <c r="B381" s="607"/>
      <c r="C381" s="599">
        <f t="shared" si="56"/>
        <v>1</v>
      </c>
      <c r="D381" s="608"/>
      <c r="E381" s="599">
        <f t="shared" si="57"/>
        <v>1</v>
      </c>
      <c r="F381" s="608"/>
      <c r="G381" s="599">
        <f t="shared" si="58"/>
        <v>1</v>
      </c>
      <c r="H381" s="608"/>
      <c r="I381" s="599">
        <f t="shared" si="59"/>
        <v>1</v>
      </c>
      <c r="J381" s="608"/>
      <c r="K381" s="599">
        <f t="shared" si="60"/>
        <v>1</v>
      </c>
      <c r="L381" s="608"/>
      <c r="M381" s="599">
        <f t="shared" si="61"/>
        <v>1</v>
      </c>
      <c r="N381" s="608"/>
      <c r="O381" s="599">
        <f t="shared" si="62"/>
        <v>1</v>
      </c>
      <c r="P381" s="608"/>
      <c r="Q381" s="599">
        <f t="shared" si="63"/>
        <v>1</v>
      </c>
      <c r="R381" s="659">
        <f t="shared" si="64"/>
        <v>0</v>
      </c>
      <c r="S381" s="598">
        <f t="shared" si="55"/>
        <v>0</v>
      </c>
    </row>
    <row r="382" spans="1:19">
      <c r="A382" s="606"/>
      <c r="B382" s="607"/>
      <c r="C382" s="599">
        <f t="shared" si="56"/>
        <v>1</v>
      </c>
      <c r="D382" s="608"/>
      <c r="E382" s="599">
        <f t="shared" si="57"/>
        <v>1</v>
      </c>
      <c r="F382" s="608"/>
      <c r="G382" s="599">
        <f t="shared" si="58"/>
        <v>1</v>
      </c>
      <c r="H382" s="608"/>
      <c r="I382" s="599">
        <f t="shared" si="59"/>
        <v>1</v>
      </c>
      <c r="J382" s="608"/>
      <c r="K382" s="599">
        <f t="shared" si="60"/>
        <v>1</v>
      </c>
      <c r="L382" s="608"/>
      <c r="M382" s="599">
        <f t="shared" si="61"/>
        <v>1</v>
      </c>
      <c r="N382" s="608"/>
      <c r="O382" s="599">
        <f t="shared" si="62"/>
        <v>1</v>
      </c>
      <c r="P382" s="608"/>
      <c r="Q382" s="599">
        <f t="shared" si="63"/>
        <v>1</v>
      </c>
      <c r="R382" s="659">
        <f t="shared" si="64"/>
        <v>0</v>
      </c>
      <c r="S382" s="598">
        <f t="shared" si="55"/>
        <v>0</v>
      </c>
    </row>
    <row r="383" spans="1:19">
      <c r="A383" s="606"/>
      <c r="B383" s="607"/>
      <c r="C383" s="599">
        <f t="shared" si="56"/>
        <v>1</v>
      </c>
      <c r="D383" s="608"/>
      <c r="E383" s="599">
        <f t="shared" si="57"/>
        <v>1</v>
      </c>
      <c r="F383" s="608"/>
      <c r="G383" s="599">
        <f t="shared" si="58"/>
        <v>1</v>
      </c>
      <c r="H383" s="608"/>
      <c r="I383" s="599">
        <f t="shared" si="59"/>
        <v>1</v>
      </c>
      <c r="J383" s="608"/>
      <c r="K383" s="599">
        <f t="shared" si="60"/>
        <v>1</v>
      </c>
      <c r="L383" s="608"/>
      <c r="M383" s="599">
        <f t="shared" si="61"/>
        <v>1</v>
      </c>
      <c r="N383" s="608"/>
      <c r="O383" s="599">
        <f t="shared" si="62"/>
        <v>1</v>
      </c>
      <c r="P383" s="608"/>
      <c r="Q383" s="599">
        <f t="shared" si="63"/>
        <v>1</v>
      </c>
      <c r="R383" s="659">
        <f t="shared" si="64"/>
        <v>0</v>
      </c>
      <c r="S383" s="598">
        <f t="shared" si="55"/>
        <v>0</v>
      </c>
    </row>
    <row r="384" spans="1:19">
      <c r="A384" s="606"/>
      <c r="B384" s="607"/>
      <c r="C384" s="599">
        <f t="shared" si="56"/>
        <v>1</v>
      </c>
      <c r="D384" s="608"/>
      <c r="E384" s="599">
        <f t="shared" si="57"/>
        <v>1</v>
      </c>
      <c r="F384" s="608"/>
      <c r="G384" s="599">
        <f t="shared" si="58"/>
        <v>1</v>
      </c>
      <c r="H384" s="608"/>
      <c r="I384" s="599">
        <f t="shared" si="59"/>
        <v>1</v>
      </c>
      <c r="J384" s="608"/>
      <c r="K384" s="599">
        <f t="shared" si="60"/>
        <v>1</v>
      </c>
      <c r="L384" s="608"/>
      <c r="M384" s="599">
        <f t="shared" si="61"/>
        <v>1</v>
      </c>
      <c r="N384" s="608"/>
      <c r="O384" s="599">
        <f t="shared" si="62"/>
        <v>1</v>
      </c>
      <c r="P384" s="608"/>
      <c r="Q384" s="599">
        <f t="shared" si="63"/>
        <v>1</v>
      </c>
      <c r="R384" s="659">
        <f t="shared" si="64"/>
        <v>0</v>
      </c>
      <c r="S384" s="598">
        <f t="shared" si="55"/>
        <v>0</v>
      </c>
    </row>
    <row r="385" spans="1:19">
      <c r="A385" s="606"/>
      <c r="B385" s="607"/>
      <c r="C385" s="599">
        <f t="shared" si="56"/>
        <v>1</v>
      </c>
      <c r="D385" s="608"/>
      <c r="E385" s="599">
        <f t="shared" si="57"/>
        <v>1</v>
      </c>
      <c r="F385" s="608"/>
      <c r="G385" s="599">
        <f t="shared" si="58"/>
        <v>1</v>
      </c>
      <c r="H385" s="608"/>
      <c r="I385" s="599">
        <f t="shared" si="59"/>
        <v>1</v>
      </c>
      <c r="J385" s="608"/>
      <c r="K385" s="599">
        <f t="shared" si="60"/>
        <v>1</v>
      </c>
      <c r="L385" s="608"/>
      <c r="M385" s="599">
        <f t="shared" si="61"/>
        <v>1</v>
      </c>
      <c r="N385" s="608"/>
      <c r="O385" s="599">
        <f t="shared" si="62"/>
        <v>1</v>
      </c>
      <c r="P385" s="608"/>
      <c r="Q385" s="599">
        <f t="shared" si="63"/>
        <v>1</v>
      </c>
      <c r="R385" s="659">
        <f t="shared" si="64"/>
        <v>0</v>
      </c>
      <c r="S385" s="598">
        <f t="shared" si="55"/>
        <v>0</v>
      </c>
    </row>
    <row r="386" spans="1:19">
      <c r="A386" s="606"/>
      <c r="B386" s="607"/>
      <c r="C386" s="599">
        <f t="shared" si="56"/>
        <v>1</v>
      </c>
      <c r="D386" s="608"/>
      <c r="E386" s="599">
        <f t="shared" si="57"/>
        <v>1</v>
      </c>
      <c r="F386" s="608"/>
      <c r="G386" s="599">
        <f t="shared" si="58"/>
        <v>1</v>
      </c>
      <c r="H386" s="608"/>
      <c r="I386" s="599">
        <f t="shared" si="59"/>
        <v>1</v>
      </c>
      <c r="J386" s="608"/>
      <c r="K386" s="599">
        <f t="shared" si="60"/>
        <v>1</v>
      </c>
      <c r="L386" s="608"/>
      <c r="M386" s="599">
        <f t="shared" si="61"/>
        <v>1</v>
      </c>
      <c r="N386" s="608"/>
      <c r="O386" s="599">
        <f t="shared" si="62"/>
        <v>1</v>
      </c>
      <c r="P386" s="608"/>
      <c r="Q386" s="599">
        <f t="shared" si="63"/>
        <v>1</v>
      </c>
      <c r="R386" s="659">
        <f t="shared" si="64"/>
        <v>0</v>
      </c>
      <c r="S386" s="598">
        <f t="shared" si="55"/>
        <v>0</v>
      </c>
    </row>
    <row r="387" spans="1:19">
      <c r="A387" s="606"/>
      <c r="B387" s="607"/>
      <c r="C387" s="599">
        <f t="shared" si="56"/>
        <v>1</v>
      </c>
      <c r="D387" s="608"/>
      <c r="E387" s="599">
        <f t="shared" si="57"/>
        <v>1</v>
      </c>
      <c r="F387" s="608"/>
      <c r="G387" s="599">
        <f t="shared" si="58"/>
        <v>1</v>
      </c>
      <c r="H387" s="608"/>
      <c r="I387" s="599">
        <f t="shared" si="59"/>
        <v>1</v>
      </c>
      <c r="J387" s="608"/>
      <c r="K387" s="599">
        <f t="shared" si="60"/>
        <v>1</v>
      </c>
      <c r="L387" s="608"/>
      <c r="M387" s="599">
        <f t="shared" si="61"/>
        <v>1</v>
      </c>
      <c r="N387" s="608"/>
      <c r="O387" s="599">
        <f t="shared" si="62"/>
        <v>1</v>
      </c>
      <c r="P387" s="608"/>
      <c r="Q387" s="599">
        <f t="shared" si="63"/>
        <v>1</v>
      </c>
      <c r="R387" s="659">
        <f t="shared" si="64"/>
        <v>0</v>
      </c>
      <c r="S387" s="598">
        <f t="shared" si="55"/>
        <v>0</v>
      </c>
    </row>
    <row r="388" spans="1:19">
      <c r="A388" s="606"/>
      <c r="B388" s="607"/>
      <c r="C388" s="599">
        <f t="shared" si="56"/>
        <v>1</v>
      </c>
      <c r="D388" s="608"/>
      <c r="E388" s="599">
        <f t="shared" si="57"/>
        <v>1</v>
      </c>
      <c r="F388" s="608"/>
      <c r="G388" s="599">
        <f t="shared" si="58"/>
        <v>1</v>
      </c>
      <c r="H388" s="608"/>
      <c r="I388" s="599">
        <f t="shared" si="59"/>
        <v>1</v>
      </c>
      <c r="J388" s="608"/>
      <c r="K388" s="599">
        <f t="shared" si="60"/>
        <v>1</v>
      </c>
      <c r="L388" s="608"/>
      <c r="M388" s="599">
        <f t="shared" si="61"/>
        <v>1</v>
      </c>
      <c r="N388" s="608"/>
      <c r="O388" s="599">
        <f t="shared" si="62"/>
        <v>1</v>
      </c>
      <c r="P388" s="608"/>
      <c r="Q388" s="599">
        <f t="shared" si="63"/>
        <v>1</v>
      </c>
      <c r="R388" s="659">
        <f t="shared" si="64"/>
        <v>0</v>
      </c>
      <c r="S388" s="598">
        <f t="shared" si="55"/>
        <v>0</v>
      </c>
    </row>
    <row r="389" spans="1:19">
      <c r="A389" s="606"/>
      <c r="B389" s="607"/>
      <c r="C389" s="599">
        <f t="shared" si="56"/>
        <v>1</v>
      </c>
      <c r="D389" s="608"/>
      <c r="E389" s="599">
        <f t="shared" si="57"/>
        <v>1</v>
      </c>
      <c r="F389" s="608"/>
      <c r="G389" s="599">
        <f t="shared" si="58"/>
        <v>1</v>
      </c>
      <c r="H389" s="608"/>
      <c r="I389" s="599">
        <f t="shared" si="59"/>
        <v>1</v>
      </c>
      <c r="J389" s="608"/>
      <c r="K389" s="599">
        <f t="shared" si="60"/>
        <v>1</v>
      </c>
      <c r="L389" s="608"/>
      <c r="M389" s="599">
        <f t="shared" si="61"/>
        <v>1</v>
      </c>
      <c r="N389" s="608"/>
      <c r="O389" s="599">
        <f t="shared" si="62"/>
        <v>1</v>
      </c>
      <c r="P389" s="608"/>
      <c r="Q389" s="599">
        <f t="shared" si="63"/>
        <v>1</v>
      </c>
      <c r="R389" s="659">
        <f t="shared" si="64"/>
        <v>0</v>
      </c>
      <c r="S389" s="598">
        <f t="shared" si="55"/>
        <v>0</v>
      </c>
    </row>
    <row r="390" spans="1:19">
      <c r="A390" s="606"/>
      <c r="B390" s="607"/>
      <c r="C390" s="599">
        <f t="shared" si="56"/>
        <v>1</v>
      </c>
      <c r="D390" s="608"/>
      <c r="E390" s="599">
        <f t="shared" si="57"/>
        <v>1</v>
      </c>
      <c r="F390" s="608"/>
      <c r="G390" s="599">
        <f t="shared" si="58"/>
        <v>1</v>
      </c>
      <c r="H390" s="608"/>
      <c r="I390" s="599">
        <f t="shared" si="59"/>
        <v>1</v>
      </c>
      <c r="J390" s="608"/>
      <c r="K390" s="599">
        <f t="shared" si="60"/>
        <v>1</v>
      </c>
      <c r="L390" s="608"/>
      <c r="M390" s="599">
        <f t="shared" si="61"/>
        <v>1</v>
      </c>
      <c r="N390" s="608"/>
      <c r="O390" s="599">
        <f t="shared" si="62"/>
        <v>1</v>
      </c>
      <c r="P390" s="608"/>
      <c r="Q390" s="599">
        <f t="shared" si="63"/>
        <v>1</v>
      </c>
      <c r="R390" s="659">
        <f t="shared" si="64"/>
        <v>0</v>
      </c>
      <c r="S390" s="598">
        <f t="shared" si="55"/>
        <v>0</v>
      </c>
    </row>
    <row r="391" spans="1:19">
      <c r="A391" s="606"/>
      <c r="B391" s="607"/>
      <c r="C391" s="599">
        <f t="shared" si="56"/>
        <v>1</v>
      </c>
      <c r="D391" s="608"/>
      <c r="E391" s="599">
        <f t="shared" si="57"/>
        <v>1</v>
      </c>
      <c r="F391" s="608"/>
      <c r="G391" s="599">
        <f t="shared" si="58"/>
        <v>1</v>
      </c>
      <c r="H391" s="608"/>
      <c r="I391" s="599">
        <f t="shared" si="59"/>
        <v>1</v>
      </c>
      <c r="J391" s="608"/>
      <c r="K391" s="599">
        <f t="shared" si="60"/>
        <v>1</v>
      </c>
      <c r="L391" s="608"/>
      <c r="M391" s="599">
        <f t="shared" si="61"/>
        <v>1</v>
      </c>
      <c r="N391" s="608"/>
      <c r="O391" s="599">
        <f t="shared" si="62"/>
        <v>1</v>
      </c>
      <c r="P391" s="608"/>
      <c r="Q391" s="599">
        <f t="shared" si="63"/>
        <v>1</v>
      </c>
      <c r="R391" s="659">
        <f t="shared" si="64"/>
        <v>0</v>
      </c>
      <c r="S391" s="598">
        <f t="shared" si="55"/>
        <v>0</v>
      </c>
    </row>
    <row r="392" spans="1:19">
      <c r="A392" s="606"/>
      <c r="B392" s="607"/>
      <c r="C392" s="599">
        <f t="shared" si="56"/>
        <v>1</v>
      </c>
      <c r="D392" s="608"/>
      <c r="E392" s="599">
        <f t="shared" si="57"/>
        <v>1</v>
      </c>
      <c r="F392" s="608"/>
      <c r="G392" s="599">
        <f t="shared" si="58"/>
        <v>1</v>
      </c>
      <c r="H392" s="608"/>
      <c r="I392" s="599">
        <f t="shared" si="59"/>
        <v>1</v>
      </c>
      <c r="J392" s="608"/>
      <c r="K392" s="599">
        <f t="shared" si="60"/>
        <v>1</v>
      </c>
      <c r="L392" s="608"/>
      <c r="M392" s="599">
        <f t="shared" si="61"/>
        <v>1</v>
      </c>
      <c r="N392" s="608"/>
      <c r="O392" s="599">
        <f t="shared" si="62"/>
        <v>1</v>
      </c>
      <c r="P392" s="608"/>
      <c r="Q392" s="599">
        <f t="shared" si="63"/>
        <v>1</v>
      </c>
      <c r="R392" s="659">
        <f t="shared" si="64"/>
        <v>0</v>
      </c>
      <c r="S392" s="598">
        <f t="shared" si="55"/>
        <v>0</v>
      </c>
    </row>
    <row r="393" spans="1:19">
      <c r="A393" s="606"/>
      <c r="B393" s="607"/>
      <c r="C393" s="599">
        <f t="shared" si="56"/>
        <v>1</v>
      </c>
      <c r="D393" s="608"/>
      <c r="E393" s="599">
        <f t="shared" si="57"/>
        <v>1</v>
      </c>
      <c r="F393" s="608"/>
      <c r="G393" s="599">
        <f t="shared" si="58"/>
        <v>1</v>
      </c>
      <c r="H393" s="608"/>
      <c r="I393" s="599">
        <f t="shared" si="59"/>
        <v>1</v>
      </c>
      <c r="J393" s="608"/>
      <c r="K393" s="599">
        <f t="shared" si="60"/>
        <v>1</v>
      </c>
      <c r="L393" s="608"/>
      <c r="M393" s="599">
        <f t="shared" si="61"/>
        <v>1</v>
      </c>
      <c r="N393" s="608"/>
      <c r="O393" s="599">
        <f t="shared" si="62"/>
        <v>1</v>
      </c>
      <c r="P393" s="608"/>
      <c r="Q393" s="599">
        <f t="shared" si="63"/>
        <v>1</v>
      </c>
      <c r="R393" s="659">
        <f t="shared" si="64"/>
        <v>0</v>
      </c>
      <c r="S393" s="598">
        <f t="shared" si="55"/>
        <v>0</v>
      </c>
    </row>
    <row r="394" spans="1:19">
      <c r="A394" s="606"/>
      <c r="B394" s="607"/>
      <c r="C394" s="599">
        <f t="shared" si="56"/>
        <v>1</v>
      </c>
      <c r="D394" s="608"/>
      <c r="E394" s="599">
        <f t="shared" si="57"/>
        <v>1</v>
      </c>
      <c r="F394" s="608"/>
      <c r="G394" s="599">
        <f t="shared" si="58"/>
        <v>1</v>
      </c>
      <c r="H394" s="608"/>
      <c r="I394" s="599">
        <f t="shared" si="59"/>
        <v>1</v>
      </c>
      <c r="J394" s="608"/>
      <c r="K394" s="599">
        <f t="shared" si="60"/>
        <v>1</v>
      </c>
      <c r="L394" s="608"/>
      <c r="M394" s="599">
        <f t="shared" si="61"/>
        <v>1</v>
      </c>
      <c r="N394" s="608"/>
      <c r="O394" s="599">
        <f t="shared" si="62"/>
        <v>1</v>
      </c>
      <c r="P394" s="608"/>
      <c r="Q394" s="599">
        <f t="shared" si="63"/>
        <v>1</v>
      </c>
      <c r="R394" s="659">
        <f t="shared" si="64"/>
        <v>0</v>
      </c>
      <c r="S394" s="598">
        <f t="shared" si="55"/>
        <v>0</v>
      </c>
    </row>
    <row r="395" spans="1:19">
      <c r="A395" s="606"/>
      <c r="B395" s="607"/>
      <c r="C395" s="599">
        <f t="shared" si="56"/>
        <v>1</v>
      </c>
      <c r="D395" s="608"/>
      <c r="E395" s="599">
        <f t="shared" si="57"/>
        <v>1</v>
      </c>
      <c r="F395" s="608"/>
      <c r="G395" s="599">
        <f t="shared" si="58"/>
        <v>1</v>
      </c>
      <c r="H395" s="608"/>
      <c r="I395" s="599">
        <f t="shared" si="59"/>
        <v>1</v>
      </c>
      <c r="J395" s="608"/>
      <c r="K395" s="599">
        <f t="shared" si="60"/>
        <v>1</v>
      </c>
      <c r="L395" s="608"/>
      <c r="M395" s="599">
        <f t="shared" si="61"/>
        <v>1</v>
      </c>
      <c r="N395" s="608"/>
      <c r="O395" s="599">
        <f t="shared" si="62"/>
        <v>1</v>
      </c>
      <c r="P395" s="608"/>
      <c r="Q395" s="599">
        <f t="shared" si="63"/>
        <v>1</v>
      </c>
      <c r="R395" s="659">
        <f t="shared" si="64"/>
        <v>0</v>
      </c>
      <c r="S395" s="598">
        <f t="shared" si="55"/>
        <v>0</v>
      </c>
    </row>
    <row r="396" spans="1:19">
      <c r="A396" s="606"/>
      <c r="B396" s="607"/>
      <c r="C396" s="599">
        <f t="shared" si="56"/>
        <v>1</v>
      </c>
      <c r="D396" s="608"/>
      <c r="E396" s="599">
        <f t="shared" si="57"/>
        <v>1</v>
      </c>
      <c r="F396" s="608"/>
      <c r="G396" s="599">
        <f t="shared" si="58"/>
        <v>1</v>
      </c>
      <c r="H396" s="608"/>
      <c r="I396" s="599">
        <f t="shared" si="59"/>
        <v>1</v>
      </c>
      <c r="J396" s="608"/>
      <c r="K396" s="599">
        <f t="shared" si="60"/>
        <v>1</v>
      </c>
      <c r="L396" s="608"/>
      <c r="M396" s="599">
        <f t="shared" si="61"/>
        <v>1</v>
      </c>
      <c r="N396" s="608"/>
      <c r="O396" s="599">
        <f t="shared" si="62"/>
        <v>1</v>
      </c>
      <c r="P396" s="608"/>
      <c r="Q396" s="599">
        <f t="shared" si="63"/>
        <v>1</v>
      </c>
      <c r="R396" s="659">
        <f t="shared" si="64"/>
        <v>0</v>
      </c>
      <c r="S396" s="598">
        <f t="shared" si="55"/>
        <v>0</v>
      </c>
    </row>
    <row r="397" spans="1:19">
      <c r="A397" s="606"/>
      <c r="B397" s="607"/>
      <c r="C397" s="599">
        <f t="shared" si="56"/>
        <v>1</v>
      </c>
      <c r="D397" s="608"/>
      <c r="E397" s="599">
        <f t="shared" si="57"/>
        <v>1</v>
      </c>
      <c r="F397" s="608"/>
      <c r="G397" s="599">
        <f t="shared" si="58"/>
        <v>1</v>
      </c>
      <c r="H397" s="608"/>
      <c r="I397" s="599">
        <f t="shared" si="59"/>
        <v>1</v>
      </c>
      <c r="J397" s="608"/>
      <c r="K397" s="599">
        <f t="shared" si="60"/>
        <v>1</v>
      </c>
      <c r="L397" s="608"/>
      <c r="M397" s="599">
        <f t="shared" si="61"/>
        <v>1</v>
      </c>
      <c r="N397" s="608"/>
      <c r="O397" s="599">
        <f t="shared" si="62"/>
        <v>1</v>
      </c>
      <c r="P397" s="608"/>
      <c r="Q397" s="599">
        <f t="shared" si="63"/>
        <v>1</v>
      </c>
      <c r="R397" s="659">
        <f t="shared" si="64"/>
        <v>0</v>
      </c>
      <c r="S397" s="598">
        <f t="shared" si="55"/>
        <v>0</v>
      </c>
    </row>
    <row r="398" spans="1:19">
      <c r="A398" s="606"/>
      <c r="B398" s="607"/>
      <c r="C398" s="599">
        <f t="shared" si="56"/>
        <v>1</v>
      </c>
      <c r="D398" s="608"/>
      <c r="E398" s="599">
        <f t="shared" si="57"/>
        <v>1</v>
      </c>
      <c r="F398" s="608"/>
      <c r="G398" s="599">
        <f t="shared" si="58"/>
        <v>1</v>
      </c>
      <c r="H398" s="608"/>
      <c r="I398" s="599">
        <f t="shared" si="59"/>
        <v>1</v>
      </c>
      <c r="J398" s="608"/>
      <c r="K398" s="599">
        <f t="shared" si="60"/>
        <v>1</v>
      </c>
      <c r="L398" s="608"/>
      <c r="M398" s="599">
        <f t="shared" si="61"/>
        <v>1</v>
      </c>
      <c r="N398" s="608"/>
      <c r="O398" s="599">
        <f t="shared" si="62"/>
        <v>1</v>
      </c>
      <c r="P398" s="608"/>
      <c r="Q398" s="599">
        <f t="shared" si="63"/>
        <v>1</v>
      </c>
      <c r="R398" s="659">
        <f t="shared" si="64"/>
        <v>0</v>
      </c>
      <c r="S398" s="598">
        <f t="shared" si="55"/>
        <v>0</v>
      </c>
    </row>
    <row r="399" spans="1:19">
      <c r="A399" s="606"/>
      <c r="B399" s="607"/>
      <c r="C399" s="599">
        <f t="shared" si="56"/>
        <v>1</v>
      </c>
      <c r="D399" s="608"/>
      <c r="E399" s="599">
        <f t="shared" si="57"/>
        <v>1</v>
      </c>
      <c r="F399" s="608"/>
      <c r="G399" s="599">
        <f t="shared" si="58"/>
        <v>1</v>
      </c>
      <c r="H399" s="608"/>
      <c r="I399" s="599">
        <f t="shared" si="59"/>
        <v>1</v>
      </c>
      <c r="J399" s="608"/>
      <c r="K399" s="599">
        <f t="shared" si="60"/>
        <v>1</v>
      </c>
      <c r="L399" s="608"/>
      <c r="M399" s="599">
        <f t="shared" si="61"/>
        <v>1</v>
      </c>
      <c r="N399" s="608"/>
      <c r="O399" s="599">
        <f t="shared" si="62"/>
        <v>1</v>
      </c>
      <c r="P399" s="608"/>
      <c r="Q399" s="599">
        <f t="shared" si="63"/>
        <v>1</v>
      </c>
      <c r="R399" s="659">
        <f t="shared" si="64"/>
        <v>0</v>
      </c>
      <c r="S399" s="598">
        <f t="shared" si="55"/>
        <v>0</v>
      </c>
    </row>
    <row r="400" spans="1:19">
      <c r="A400" s="606"/>
      <c r="B400" s="607"/>
      <c r="C400" s="599">
        <f t="shared" si="56"/>
        <v>1</v>
      </c>
      <c r="D400" s="608"/>
      <c r="E400" s="599">
        <f t="shared" si="57"/>
        <v>1</v>
      </c>
      <c r="F400" s="608"/>
      <c r="G400" s="599">
        <f t="shared" si="58"/>
        <v>1</v>
      </c>
      <c r="H400" s="608"/>
      <c r="I400" s="599">
        <f t="shared" si="59"/>
        <v>1</v>
      </c>
      <c r="J400" s="608"/>
      <c r="K400" s="599">
        <f t="shared" si="60"/>
        <v>1</v>
      </c>
      <c r="L400" s="608"/>
      <c r="M400" s="599">
        <f t="shared" si="61"/>
        <v>1</v>
      </c>
      <c r="N400" s="608"/>
      <c r="O400" s="599">
        <f t="shared" si="62"/>
        <v>1</v>
      </c>
      <c r="P400" s="608"/>
      <c r="Q400" s="599">
        <f t="shared" si="63"/>
        <v>1</v>
      </c>
      <c r="R400" s="659">
        <f t="shared" si="64"/>
        <v>0</v>
      </c>
      <c r="S400" s="598">
        <f t="shared" si="55"/>
        <v>0</v>
      </c>
    </row>
    <row r="401" spans="1:19">
      <c r="A401" s="606"/>
      <c r="B401" s="607"/>
      <c r="C401" s="599">
        <f t="shared" si="56"/>
        <v>1</v>
      </c>
      <c r="D401" s="608"/>
      <c r="E401" s="599">
        <f t="shared" si="57"/>
        <v>1</v>
      </c>
      <c r="F401" s="608"/>
      <c r="G401" s="599">
        <f t="shared" si="58"/>
        <v>1</v>
      </c>
      <c r="H401" s="608"/>
      <c r="I401" s="599">
        <f t="shared" si="59"/>
        <v>1</v>
      </c>
      <c r="J401" s="608"/>
      <c r="K401" s="599">
        <f t="shared" si="60"/>
        <v>1</v>
      </c>
      <c r="L401" s="608"/>
      <c r="M401" s="599">
        <f t="shared" si="61"/>
        <v>1</v>
      </c>
      <c r="N401" s="608"/>
      <c r="O401" s="599">
        <f t="shared" si="62"/>
        <v>1</v>
      </c>
      <c r="P401" s="608"/>
      <c r="Q401" s="599">
        <f t="shared" si="63"/>
        <v>1</v>
      </c>
      <c r="R401" s="659">
        <f t="shared" si="64"/>
        <v>0</v>
      </c>
      <c r="S401" s="598">
        <f t="shared" si="55"/>
        <v>0</v>
      </c>
    </row>
    <row r="402" spans="1:19">
      <c r="A402" s="606"/>
      <c r="B402" s="607"/>
      <c r="C402" s="599">
        <f t="shared" si="56"/>
        <v>1</v>
      </c>
      <c r="D402" s="608"/>
      <c r="E402" s="599">
        <f t="shared" si="57"/>
        <v>1</v>
      </c>
      <c r="F402" s="608"/>
      <c r="G402" s="599">
        <f t="shared" si="58"/>
        <v>1</v>
      </c>
      <c r="H402" s="608"/>
      <c r="I402" s="599">
        <f t="shared" si="59"/>
        <v>1</v>
      </c>
      <c r="J402" s="608"/>
      <c r="K402" s="599">
        <f t="shared" si="60"/>
        <v>1</v>
      </c>
      <c r="L402" s="608"/>
      <c r="M402" s="599">
        <f t="shared" si="61"/>
        <v>1</v>
      </c>
      <c r="N402" s="608"/>
      <c r="O402" s="599">
        <f t="shared" si="62"/>
        <v>1</v>
      </c>
      <c r="P402" s="608"/>
      <c r="Q402" s="599">
        <f t="shared" si="63"/>
        <v>1</v>
      </c>
      <c r="R402" s="659">
        <f t="shared" si="64"/>
        <v>0</v>
      </c>
      <c r="S402" s="598">
        <f t="shared" si="55"/>
        <v>0</v>
      </c>
    </row>
    <row r="403" spans="1:19">
      <c r="A403" s="606"/>
      <c r="B403" s="607"/>
      <c r="C403" s="599">
        <f t="shared" si="56"/>
        <v>1</v>
      </c>
      <c r="D403" s="608"/>
      <c r="E403" s="599">
        <f t="shared" si="57"/>
        <v>1</v>
      </c>
      <c r="F403" s="608"/>
      <c r="G403" s="599">
        <f t="shared" si="58"/>
        <v>1</v>
      </c>
      <c r="H403" s="608"/>
      <c r="I403" s="599">
        <f t="shared" si="59"/>
        <v>1</v>
      </c>
      <c r="J403" s="608"/>
      <c r="K403" s="599">
        <f t="shared" si="60"/>
        <v>1</v>
      </c>
      <c r="L403" s="608"/>
      <c r="M403" s="599">
        <f t="shared" si="61"/>
        <v>1</v>
      </c>
      <c r="N403" s="608"/>
      <c r="O403" s="599">
        <f t="shared" si="62"/>
        <v>1</v>
      </c>
      <c r="P403" s="608"/>
      <c r="Q403" s="599">
        <f t="shared" si="63"/>
        <v>1</v>
      </c>
      <c r="R403" s="659">
        <f t="shared" si="64"/>
        <v>0</v>
      </c>
      <c r="S403" s="598">
        <f t="shared" si="55"/>
        <v>0</v>
      </c>
    </row>
    <row r="404" spans="1:19">
      <c r="A404" s="606"/>
      <c r="B404" s="607"/>
      <c r="C404" s="599">
        <f t="shared" si="56"/>
        <v>1</v>
      </c>
      <c r="D404" s="608"/>
      <c r="E404" s="599">
        <f t="shared" si="57"/>
        <v>1</v>
      </c>
      <c r="F404" s="608"/>
      <c r="G404" s="599">
        <f t="shared" si="58"/>
        <v>1</v>
      </c>
      <c r="H404" s="608"/>
      <c r="I404" s="599">
        <f t="shared" si="59"/>
        <v>1</v>
      </c>
      <c r="J404" s="608"/>
      <c r="K404" s="599">
        <f t="shared" si="60"/>
        <v>1</v>
      </c>
      <c r="L404" s="608"/>
      <c r="M404" s="599">
        <f t="shared" si="61"/>
        <v>1</v>
      </c>
      <c r="N404" s="608"/>
      <c r="O404" s="599">
        <f t="shared" si="62"/>
        <v>1</v>
      </c>
      <c r="P404" s="608"/>
      <c r="Q404" s="599">
        <f t="shared" si="63"/>
        <v>1</v>
      </c>
      <c r="R404" s="659">
        <f t="shared" si="64"/>
        <v>0</v>
      </c>
      <c r="S404" s="598">
        <f t="shared" si="55"/>
        <v>0</v>
      </c>
    </row>
    <row r="405" spans="1:19">
      <c r="A405" s="606"/>
      <c r="B405" s="607"/>
      <c r="C405" s="599">
        <f t="shared" si="56"/>
        <v>1</v>
      </c>
      <c r="D405" s="608"/>
      <c r="E405" s="599">
        <f t="shared" si="57"/>
        <v>1</v>
      </c>
      <c r="F405" s="608"/>
      <c r="G405" s="599">
        <f t="shared" si="58"/>
        <v>1</v>
      </c>
      <c r="H405" s="608"/>
      <c r="I405" s="599">
        <f t="shared" si="59"/>
        <v>1</v>
      </c>
      <c r="J405" s="608"/>
      <c r="K405" s="599">
        <f t="shared" si="60"/>
        <v>1</v>
      </c>
      <c r="L405" s="608"/>
      <c r="M405" s="599">
        <f t="shared" si="61"/>
        <v>1</v>
      </c>
      <c r="N405" s="608"/>
      <c r="O405" s="599">
        <f t="shared" si="62"/>
        <v>1</v>
      </c>
      <c r="P405" s="608"/>
      <c r="Q405" s="599">
        <f t="shared" si="63"/>
        <v>1</v>
      </c>
      <c r="R405" s="659">
        <f t="shared" si="64"/>
        <v>0</v>
      </c>
      <c r="S405" s="598">
        <f t="shared" si="55"/>
        <v>0</v>
      </c>
    </row>
    <row r="406" spans="1:19">
      <c r="A406" s="606"/>
      <c r="B406" s="607"/>
      <c r="C406" s="599">
        <f t="shared" si="56"/>
        <v>1</v>
      </c>
      <c r="D406" s="608"/>
      <c r="E406" s="599">
        <f t="shared" si="57"/>
        <v>1</v>
      </c>
      <c r="F406" s="608"/>
      <c r="G406" s="599">
        <f t="shared" si="58"/>
        <v>1</v>
      </c>
      <c r="H406" s="608"/>
      <c r="I406" s="599">
        <f t="shared" si="59"/>
        <v>1</v>
      </c>
      <c r="J406" s="608"/>
      <c r="K406" s="599">
        <f t="shared" si="60"/>
        <v>1</v>
      </c>
      <c r="L406" s="608"/>
      <c r="M406" s="599">
        <f t="shared" si="61"/>
        <v>1</v>
      </c>
      <c r="N406" s="608"/>
      <c r="O406" s="599">
        <f t="shared" si="62"/>
        <v>1</v>
      </c>
      <c r="P406" s="608"/>
      <c r="Q406" s="599">
        <f t="shared" si="63"/>
        <v>1</v>
      </c>
      <c r="R406" s="659">
        <f t="shared" si="64"/>
        <v>0</v>
      </c>
      <c r="S406" s="598">
        <f t="shared" si="55"/>
        <v>0</v>
      </c>
    </row>
    <row r="407" spans="1:19">
      <c r="A407" s="606"/>
      <c r="B407" s="607"/>
      <c r="C407" s="599">
        <f t="shared" si="56"/>
        <v>1</v>
      </c>
      <c r="D407" s="608"/>
      <c r="E407" s="599">
        <f t="shared" si="57"/>
        <v>1</v>
      </c>
      <c r="F407" s="608"/>
      <c r="G407" s="599">
        <f t="shared" si="58"/>
        <v>1</v>
      </c>
      <c r="H407" s="608"/>
      <c r="I407" s="599">
        <f t="shared" si="59"/>
        <v>1</v>
      </c>
      <c r="J407" s="608"/>
      <c r="K407" s="599">
        <f t="shared" si="60"/>
        <v>1</v>
      </c>
      <c r="L407" s="608"/>
      <c r="M407" s="599">
        <f t="shared" si="61"/>
        <v>1</v>
      </c>
      <c r="N407" s="608"/>
      <c r="O407" s="599">
        <f t="shared" si="62"/>
        <v>1</v>
      </c>
      <c r="P407" s="608"/>
      <c r="Q407" s="599">
        <f t="shared" si="63"/>
        <v>1</v>
      </c>
      <c r="R407" s="659">
        <f t="shared" si="64"/>
        <v>0</v>
      </c>
      <c r="S407" s="598">
        <f t="shared" si="55"/>
        <v>0</v>
      </c>
    </row>
    <row r="408" spans="1:19">
      <c r="A408" s="606"/>
      <c r="B408" s="607"/>
      <c r="C408" s="599">
        <f t="shared" si="56"/>
        <v>1</v>
      </c>
      <c r="D408" s="608"/>
      <c r="E408" s="599">
        <f t="shared" si="57"/>
        <v>1</v>
      </c>
      <c r="F408" s="608"/>
      <c r="G408" s="599">
        <f t="shared" si="58"/>
        <v>1</v>
      </c>
      <c r="H408" s="608"/>
      <c r="I408" s="599">
        <f t="shared" si="59"/>
        <v>1</v>
      </c>
      <c r="J408" s="608"/>
      <c r="K408" s="599">
        <f t="shared" si="60"/>
        <v>1</v>
      </c>
      <c r="L408" s="608"/>
      <c r="M408" s="599">
        <f t="shared" si="61"/>
        <v>1</v>
      </c>
      <c r="N408" s="608"/>
      <c r="O408" s="599">
        <f t="shared" si="62"/>
        <v>1</v>
      </c>
      <c r="P408" s="608"/>
      <c r="Q408" s="599">
        <f t="shared" si="63"/>
        <v>1</v>
      </c>
      <c r="R408" s="659">
        <f t="shared" si="64"/>
        <v>0</v>
      </c>
      <c r="S408" s="598">
        <f t="shared" ref="S408:S471" si="65">ROUND(R408*B408/10000,0)</f>
        <v>0</v>
      </c>
    </row>
    <row r="409" spans="1:19">
      <c r="A409" s="606"/>
      <c r="B409" s="607"/>
      <c r="C409" s="599">
        <f t="shared" ref="C409:C472" si="66">IF(B409="",1,(LOOKUP(B409,$3:$3,$4:$4)-LOOKUP($B$24,$3:$3,$4:$4)+100)/100)</f>
        <v>1</v>
      </c>
      <c r="D409" s="608"/>
      <c r="E409" s="599">
        <f t="shared" ref="E409:E472" si="67">(SUMIF($5:$5,D409,$6:$6)-SUMIF($5:$5,$D$24,$6:$6)+100)/100</f>
        <v>1</v>
      </c>
      <c r="F409" s="608"/>
      <c r="G409" s="599">
        <f t="shared" ref="G409:G472" si="68">(SUMIF($7:$7,F409,$8:$8)-SUMIF($7:$7,$F$24,$8:$8)+100)/100</f>
        <v>1</v>
      </c>
      <c r="H409" s="608"/>
      <c r="I409" s="599">
        <f t="shared" ref="I409:I472" si="69">(SUMIF($9:$9,H409,$10:$10)-SUMIF($9:$9,$H$24,$10:$10)+100)/100</f>
        <v>1</v>
      </c>
      <c r="J409" s="608"/>
      <c r="K409" s="599">
        <f t="shared" ref="K409:K472" si="70">(SUMIF($11:$11,J409,$12:$12)-SUMIF($11:$11,$J$24,$12:$12)+100)/100</f>
        <v>1</v>
      </c>
      <c r="L409" s="608"/>
      <c r="M409" s="599">
        <f t="shared" ref="M409:M472" si="71">(SUMIF($13:$13,L409,$14:$14)-SUMIF($13:$13,$L$24,$14:$14)+100)/100</f>
        <v>1</v>
      </c>
      <c r="N409" s="608"/>
      <c r="O409" s="599">
        <f t="shared" ref="O409:O472" si="72">(SUMIF($15:$15,N409,$16:$16)-SUMIF($15:$15,$N$24,$16:$16)+100)/100</f>
        <v>1</v>
      </c>
      <c r="P409" s="608"/>
      <c r="Q409" s="599">
        <f t="shared" ref="Q409:Q472" si="73">(SUMIF($17:$17,P409,$18:$18)-SUMIF($17:$17,$P$24,$18:$18)+100)/100</f>
        <v>1</v>
      </c>
      <c r="R409" s="659">
        <f t="shared" ref="R409:R472" si="74">IF(B409="",0,ROUND($R$24*C409*E409*G409*I409*K409*M409*O409*Q409,0))</f>
        <v>0</v>
      </c>
      <c r="S409" s="598">
        <f t="shared" si="65"/>
        <v>0</v>
      </c>
    </row>
    <row r="410" spans="1:19">
      <c r="A410" s="606"/>
      <c r="B410" s="607"/>
      <c r="C410" s="599">
        <f t="shared" si="66"/>
        <v>1</v>
      </c>
      <c r="D410" s="608"/>
      <c r="E410" s="599">
        <f t="shared" si="67"/>
        <v>1</v>
      </c>
      <c r="F410" s="608"/>
      <c r="G410" s="599">
        <f t="shared" si="68"/>
        <v>1</v>
      </c>
      <c r="H410" s="608"/>
      <c r="I410" s="599">
        <f t="shared" si="69"/>
        <v>1</v>
      </c>
      <c r="J410" s="608"/>
      <c r="K410" s="599">
        <f t="shared" si="70"/>
        <v>1</v>
      </c>
      <c r="L410" s="608"/>
      <c r="M410" s="599">
        <f t="shared" si="71"/>
        <v>1</v>
      </c>
      <c r="N410" s="608"/>
      <c r="O410" s="599">
        <f t="shared" si="72"/>
        <v>1</v>
      </c>
      <c r="P410" s="608"/>
      <c r="Q410" s="599">
        <f t="shared" si="73"/>
        <v>1</v>
      </c>
      <c r="R410" s="659">
        <f t="shared" si="74"/>
        <v>0</v>
      </c>
      <c r="S410" s="598">
        <f t="shared" si="65"/>
        <v>0</v>
      </c>
    </row>
    <row r="411" spans="1:19">
      <c r="A411" s="606"/>
      <c r="B411" s="607"/>
      <c r="C411" s="599">
        <f t="shared" si="66"/>
        <v>1</v>
      </c>
      <c r="D411" s="608"/>
      <c r="E411" s="599">
        <f t="shared" si="67"/>
        <v>1</v>
      </c>
      <c r="F411" s="608"/>
      <c r="G411" s="599">
        <f t="shared" si="68"/>
        <v>1</v>
      </c>
      <c r="H411" s="608"/>
      <c r="I411" s="599">
        <f t="shared" si="69"/>
        <v>1</v>
      </c>
      <c r="J411" s="608"/>
      <c r="K411" s="599">
        <f t="shared" si="70"/>
        <v>1</v>
      </c>
      <c r="L411" s="608"/>
      <c r="M411" s="599">
        <f t="shared" si="71"/>
        <v>1</v>
      </c>
      <c r="N411" s="608"/>
      <c r="O411" s="599">
        <f t="shared" si="72"/>
        <v>1</v>
      </c>
      <c r="P411" s="608"/>
      <c r="Q411" s="599">
        <f t="shared" si="73"/>
        <v>1</v>
      </c>
      <c r="R411" s="659">
        <f t="shared" si="74"/>
        <v>0</v>
      </c>
      <c r="S411" s="598">
        <f t="shared" si="65"/>
        <v>0</v>
      </c>
    </row>
    <row r="412" spans="1:19">
      <c r="A412" s="606"/>
      <c r="B412" s="607"/>
      <c r="C412" s="599">
        <f t="shared" si="66"/>
        <v>1</v>
      </c>
      <c r="D412" s="608"/>
      <c r="E412" s="599">
        <f t="shared" si="67"/>
        <v>1</v>
      </c>
      <c r="F412" s="608"/>
      <c r="G412" s="599">
        <f t="shared" si="68"/>
        <v>1</v>
      </c>
      <c r="H412" s="608"/>
      <c r="I412" s="599">
        <f t="shared" si="69"/>
        <v>1</v>
      </c>
      <c r="J412" s="608"/>
      <c r="K412" s="599">
        <f t="shared" si="70"/>
        <v>1</v>
      </c>
      <c r="L412" s="608"/>
      <c r="M412" s="599">
        <f t="shared" si="71"/>
        <v>1</v>
      </c>
      <c r="N412" s="608"/>
      <c r="O412" s="599">
        <f t="shared" si="72"/>
        <v>1</v>
      </c>
      <c r="P412" s="608"/>
      <c r="Q412" s="599">
        <f t="shared" si="73"/>
        <v>1</v>
      </c>
      <c r="R412" s="659">
        <f t="shared" si="74"/>
        <v>0</v>
      </c>
      <c r="S412" s="598">
        <f t="shared" si="65"/>
        <v>0</v>
      </c>
    </row>
    <row r="413" spans="1:19">
      <c r="A413" s="606"/>
      <c r="B413" s="607"/>
      <c r="C413" s="599">
        <f t="shared" si="66"/>
        <v>1</v>
      </c>
      <c r="D413" s="608"/>
      <c r="E413" s="599">
        <f t="shared" si="67"/>
        <v>1</v>
      </c>
      <c r="F413" s="608"/>
      <c r="G413" s="599">
        <f t="shared" si="68"/>
        <v>1</v>
      </c>
      <c r="H413" s="608"/>
      <c r="I413" s="599">
        <f t="shared" si="69"/>
        <v>1</v>
      </c>
      <c r="J413" s="608"/>
      <c r="K413" s="599">
        <f t="shared" si="70"/>
        <v>1</v>
      </c>
      <c r="L413" s="608"/>
      <c r="M413" s="599">
        <f t="shared" si="71"/>
        <v>1</v>
      </c>
      <c r="N413" s="608"/>
      <c r="O413" s="599">
        <f t="shared" si="72"/>
        <v>1</v>
      </c>
      <c r="P413" s="608"/>
      <c r="Q413" s="599">
        <f t="shared" si="73"/>
        <v>1</v>
      </c>
      <c r="R413" s="659">
        <f t="shared" si="74"/>
        <v>0</v>
      </c>
      <c r="S413" s="598">
        <f t="shared" si="65"/>
        <v>0</v>
      </c>
    </row>
    <row r="414" spans="1:19">
      <c r="A414" s="606"/>
      <c r="B414" s="607"/>
      <c r="C414" s="599">
        <f t="shared" si="66"/>
        <v>1</v>
      </c>
      <c r="D414" s="608"/>
      <c r="E414" s="599">
        <f t="shared" si="67"/>
        <v>1</v>
      </c>
      <c r="F414" s="608"/>
      <c r="G414" s="599">
        <f t="shared" si="68"/>
        <v>1</v>
      </c>
      <c r="H414" s="608"/>
      <c r="I414" s="599">
        <f t="shared" si="69"/>
        <v>1</v>
      </c>
      <c r="J414" s="608"/>
      <c r="K414" s="599">
        <f t="shared" si="70"/>
        <v>1</v>
      </c>
      <c r="L414" s="608"/>
      <c r="M414" s="599">
        <f t="shared" si="71"/>
        <v>1</v>
      </c>
      <c r="N414" s="608"/>
      <c r="O414" s="599">
        <f t="shared" si="72"/>
        <v>1</v>
      </c>
      <c r="P414" s="608"/>
      <c r="Q414" s="599">
        <f t="shared" si="73"/>
        <v>1</v>
      </c>
      <c r="R414" s="659">
        <f t="shared" si="74"/>
        <v>0</v>
      </c>
      <c r="S414" s="598">
        <f t="shared" si="65"/>
        <v>0</v>
      </c>
    </row>
    <row r="415" spans="1:19">
      <c r="A415" s="606"/>
      <c r="B415" s="607"/>
      <c r="C415" s="599">
        <f t="shared" si="66"/>
        <v>1</v>
      </c>
      <c r="D415" s="608"/>
      <c r="E415" s="599">
        <f t="shared" si="67"/>
        <v>1</v>
      </c>
      <c r="F415" s="608"/>
      <c r="G415" s="599">
        <f t="shared" si="68"/>
        <v>1</v>
      </c>
      <c r="H415" s="608"/>
      <c r="I415" s="599">
        <f t="shared" si="69"/>
        <v>1</v>
      </c>
      <c r="J415" s="608"/>
      <c r="K415" s="599">
        <f t="shared" si="70"/>
        <v>1</v>
      </c>
      <c r="L415" s="608"/>
      <c r="M415" s="599">
        <f t="shared" si="71"/>
        <v>1</v>
      </c>
      <c r="N415" s="608"/>
      <c r="O415" s="599">
        <f t="shared" si="72"/>
        <v>1</v>
      </c>
      <c r="P415" s="608"/>
      <c r="Q415" s="599">
        <f t="shared" si="73"/>
        <v>1</v>
      </c>
      <c r="R415" s="659">
        <f t="shared" si="74"/>
        <v>0</v>
      </c>
      <c r="S415" s="598">
        <f t="shared" si="65"/>
        <v>0</v>
      </c>
    </row>
    <row r="416" spans="1:19">
      <c r="A416" s="606"/>
      <c r="B416" s="607"/>
      <c r="C416" s="599">
        <f t="shared" si="66"/>
        <v>1</v>
      </c>
      <c r="D416" s="608"/>
      <c r="E416" s="599">
        <f t="shared" si="67"/>
        <v>1</v>
      </c>
      <c r="F416" s="608"/>
      <c r="G416" s="599">
        <f t="shared" si="68"/>
        <v>1</v>
      </c>
      <c r="H416" s="608"/>
      <c r="I416" s="599">
        <f t="shared" si="69"/>
        <v>1</v>
      </c>
      <c r="J416" s="608"/>
      <c r="K416" s="599">
        <f t="shared" si="70"/>
        <v>1</v>
      </c>
      <c r="L416" s="608"/>
      <c r="M416" s="599">
        <f t="shared" si="71"/>
        <v>1</v>
      </c>
      <c r="N416" s="608"/>
      <c r="O416" s="599">
        <f t="shared" si="72"/>
        <v>1</v>
      </c>
      <c r="P416" s="608"/>
      <c r="Q416" s="599">
        <f t="shared" si="73"/>
        <v>1</v>
      </c>
      <c r="R416" s="659">
        <f t="shared" si="74"/>
        <v>0</v>
      </c>
      <c r="S416" s="598">
        <f t="shared" si="65"/>
        <v>0</v>
      </c>
    </row>
    <row r="417" spans="1:19">
      <c r="A417" s="606"/>
      <c r="B417" s="607"/>
      <c r="C417" s="599">
        <f t="shared" si="66"/>
        <v>1</v>
      </c>
      <c r="D417" s="608"/>
      <c r="E417" s="599">
        <f t="shared" si="67"/>
        <v>1</v>
      </c>
      <c r="F417" s="608"/>
      <c r="G417" s="599">
        <f t="shared" si="68"/>
        <v>1</v>
      </c>
      <c r="H417" s="608"/>
      <c r="I417" s="599">
        <f t="shared" si="69"/>
        <v>1</v>
      </c>
      <c r="J417" s="608"/>
      <c r="K417" s="599">
        <f t="shared" si="70"/>
        <v>1</v>
      </c>
      <c r="L417" s="608"/>
      <c r="M417" s="599">
        <f t="shared" si="71"/>
        <v>1</v>
      </c>
      <c r="N417" s="608"/>
      <c r="O417" s="599">
        <f t="shared" si="72"/>
        <v>1</v>
      </c>
      <c r="P417" s="608"/>
      <c r="Q417" s="599">
        <f t="shared" si="73"/>
        <v>1</v>
      </c>
      <c r="R417" s="659">
        <f t="shared" si="74"/>
        <v>0</v>
      </c>
      <c r="S417" s="598">
        <f t="shared" si="65"/>
        <v>0</v>
      </c>
    </row>
    <row r="418" spans="1:19">
      <c r="A418" s="606"/>
      <c r="B418" s="607"/>
      <c r="C418" s="599">
        <f t="shared" si="66"/>
        <v>1</v>
      </c>
      <c r="D418" s="608"/>
      <c r="E418" s="599">
        <f t="shared" si="67"/>
        <v>1</v>
      </c>
      <c r="F418" s="608"/>
      <c r="G418" s="599">
        <f t="shared" si="68"/>
        <v>1</v>
      </c>
      <c r="H418" s="608"/>
      <c r="I418" s="599">
        <f t="shared" si="69"/>
        <v>1</v>
      </c>
      <c r="J418" s="608"/>
      <c r="K418" s="599">
        <f t="shared" si="70"/>
        <v>1</v>
      </c>
      <c r="L418" s="608"/>
      <c r="M418" s="599">
        <f t="shared" si="71"/>
        <v>1</v>
      </c>
      <c r="N418" s="608"/>
      <c r="O418" s="599">
        <f t="shared" si="72"/>
        <v>1</v>
      </c>
      <c r="P418" s="608"/>
      <c r="Q418" s="599">
        <f t="shared" si="73"/>
        <v>1</v>
      </c>
      <c r="R418" s="659">
        <f t="shared" si="74"/>
        <v>0</v>
      </c>
      <c r="S418" s="598">
        <f t="shared" si="65"/>
        <v>0</v>
      </c>
    </row>
    <row r="419" spans="1:19">
      <c r="A419" s="606"/>
      <c r="B419" s="607"/>
      <c r="C419" s="599">
        <f t="shared" si="66"/>
        <v>1</v>
      </c>
      <c r="D419" s="608"/>
      <c r="E419" s="599">
        <f t="shared" si="67"/>
        <v>1</v>
      </c>
      <c r="F419" s="608"/>
      <c r="G419" s="599">
        <f t="shared" si="68"/>
        <v>1</v>
      </c>
      <c r="H419" s="608"/>
      <c r="I419" s="599">
        <f t="shared" si="69"/>
        <v>1</v>
      </c>
      <c r="J419" s="608"/>
      <c r="K419" s="599">
        <f t="shared" si="70"/>
        <v>1</v>
      </c>
      <c r="L419" s="608"/>
      <c r="M419" s="599">
        <f t="shared" si="71"/>
        <v>1</v>
      </c>
      <c r="N419" s="608"/>
      <c r="O419" s="599">
        <f t="shared" si="72"/>
        <v>1</v>
      </c>
      <c r="P419" s="608"/>
      <c r="Q419" s="599">
        <f t="shared" si="73"/>
        <v>1</v>
      </c>
      <c r="R419" s="659">
        <f t="shared" si="74"/>
        <v>0</v>
      </c>
      <c r="S419" s="598">
        <f t="shared" si="65"/>
        <v>0</v>
      </c>
    </row>
    <row r="420" spans="1:19">
      <c r="A420" s="606"/>
      <c r="B420" s="607"/>
      <c r="C420" s="599">
        <f t="shared" si="66"/>
        <v>1</v>
      </c>
      <c r="D420" s="608"/>
      <c r="E420" s="599">
        <f t="shared" si="67"/>
        <v>1</v>
      </c>
      <c r="F420" s="608"/>
      <c r="G420" s="599">
        <f t="shared" si="68"/>
        <v>1</v>
      </c>
      <c r="H420" s="608"/>
      <c r="I420" s="599">
        <f t="shared" si="69"/>
        <v>1</v>
      </c>
      <c r="J420" s="608"/>
      <c r="K420" s="599">
        <f t="shared" si="70"/>
        <v>1</v>
      </c>
      <c r="L420" s="608"/>
      <c r="M420" s="599">
        <f t="shared" si="71"/>
        <v>1</v>
      </c>
      <c r="N420" s="608"/>
      <c r="O420" s="599">
        <f t="shared" si="72"/>
        <v>1</v>
      </c>
      <c r="P420" s="608"/>
      <c r="Q420" s="599">
        <f t="shared" si="73"/>
        <v>1</v>
      </c>
      <c r="R420" s="659">
        <f t="shared" si="74"/>
        <v>0</v>
      </c>
      <c r="S420" s="598">
        <f t="shared" si="65"/>
        <v>0</v>
      </c>
    </row>
    <row r="421" spans="1:19">
      <c r="A421" s="606"/>
      <c r="B421" s="607"/>
      <c r="C421" s="599">
        <f t="shared" si="66"/>
        <v>1</v>
      </c>
      <c r="D421" s="608"/>
      <c r="E421" s="599">
        <f t="shared" si="67"/>
        <v>1</v>
      </c>
      <c r="F421" s="608"/>
      <c r="G421" s="599">
        <f t="shared" si="68"/>
        <v>1</v>
      </c>
      <c r="H421" s="608"/>
      <c r="I421" s="599">
        <f t="shared" si="69"/>
        <v>1</v>
      </c>
      <c r="J421" s="608"/>
      <c r="K421" s="599">
        <f t="shared" si="70"/>
        <v>1</v>
      </c>
      <c r="L421" s="608"/>
      <c r="M421" s="599">
        <f t="shared" si="71"/>
        <v>1</v>
      </c>
      <c r="N421" s="608"/>
      <c r="O421" s="599">
        <f t="shared" si="72"/>
        <v>1</v>
      </c>
      <c r="P421" s="608"/>
      <c r="Q421" s="599">
        <f t="shared" si="73"/>
        <v>1</v>
      </c>
      <c r="R421" s="659">
        <f t="shared" si="74"/>
        <v>0</v>
      </c>
      <c r="S421" s="598">
        <f t="shared" si="65"/>
        <v>0</v>
      </c>
    </row>
    <row r="422" spans="1:19">
      <c r="A422" s="606"/>
      <c r="B422" s="607"/>
      <c r="C422" s="599">
        <f t="shared" si="66"/>
        <v>1</v>
      </c>
      <c r="D422" s="608"/>
      <c r="E422" s="599">
        <f t="shared" si="67"/>
        <v>1</v>
      </c>
      <c r="F422" s="608"/>
      <c r="G422" s="599">
        <f t="shared" si="68"/>
        <v>1</v>
      </c>
      <c r="H422" s="608"/>
      <c r="I422" s="599">
        <f t="shared" si="69"/>
        <v>1</v>
      </c>
      <c r="J422" s="608"/>
      <c r="K422" s="599">
        <f t="shared" si="70"/>
        <v>1</v>
      </c>
      <c r="L422" s="608"/>
      <c r="M422" s="599">
        <f t="shared" si="71"/>
        <v>1</v>
      </c>
      <c r="N422" s="608"/>
      <c r="O422" s="599">
        <f t="shared" si="72"/>
        <v>1</v>
      </c>
      <c r="P422" s="608"/>
      <c r="Q422" s="599">
        <f t="shared" si="73"/>
        <v>1</v>
      </c>
      <c r="R422" s="659">
        <f t="shared" si="74"/>
        <v>0</v>
      </c>
      <c r="S422" s="598">
        <f t="shared" si="65"/>
        <v>0</v>
      </c>
    </row>
    <row r="423" spans="1:19">
      <c r="A423" s="606"/>
      <c r="B423" s="607"/>
      <c r="C423" s="599">
        <f t="shared" si="66"/>
        <v>1</v>
      </c>
      <c r="D423" s="608"/>
      <c r="E423" s="599">
        <f t="shared" si="67"/>
        <v>1</v>
      </c>
      <c r="F423" s="608"/>
      <c r="G423" s="599">
        <f t="shared" si="68"/>
        <v>1</v>
      </c>
      <c r="H423" s="608"/>
      <c r="I423" s="599">
        <f t="shared" si="69"/>
        <v>1</v>
      </c>
      <c r="J423" s="608"/>
      <c r="K423" s="599">
        <f t="shared" si="70"/>
        <v>1</v>
      </c>
      <c r="L423" s="608"/>
      <c r="M423" s="599">
        <f t="shared" si="71"/>
        <v>1</v>
      </c>
      <c r="N423" s="608"/>
      <c r="O423" s="599">
        <f t="shared" si="72"/>
        <v>1</v>
      </c>
      <c r="P423" s="608"/>
      <c r="Q423" s="599">
        <f t="shared" si="73"/>
        <v>1</v>
      </c>
      <c r="R423" s="659">
        <f t="shared" si="74"/>
        <v>0</v>
      </c>
      <c r="S423" s="598">
        <f t="shared" si="65"/>
        <v>0</v>
      </c>
    </row>
    <row r="424" spans="1:19">
      <c r="A424" s="606"/>
      <c r="B424" s="607"/>
      <c r="C424" s="599">
        <f t="shared" si="66"/>
        <v>1</v>
      </c>
      <c r="D424" s="608"/>
      <c r="E424" s="599">
        <f t="shared" si="67"/>
        <v>1</v>
      </c>
      <c r="F424" s="608"/>
      <c r="G424" s="599">
        <f t="shared" si="68"/>
        <v>1</v>
      </c>
      <c r="H424" s="608"/>
      <c r="I424" s="599">
        <f t="shared" si="69"/>
        <v>1</v>
      </c>
      <c r="J424" s="608"/>
      <c r="K424" s="599">
        <f t="shared" si="70"/>
        <v>1</v>
      </c>
      <c r="L424" s="608"/>
      <c r="M424" s="599">
        <f t="shared" si="71"/>
        <v>1</v>
      </c>
      <c r="N424" s="608"/>
      <c r="O424" s="599">
        <f t="shared" si="72"/>
        <v>1</v>
      </c>
      <c r="P424" s="608"/>
      <c r="Q424" s="599">
        <f t="shared" si="73"/>
        <v>1</v>
      </c>
      <c r="R424" s="659">
        <f t="shared" si="74"/>
        <v>0</v>
      </c>
      <c r="S424" s="598">
        <f t="shared" si="65"/>
        <v>0</v>
      </c>
    </row>
    <row r="425" spans="1:19">
      <c r="A425" s="606"/>
      <c r="B425" s="607"/>
      <c r="C425" s="599">
        <f t="shared" si="66"/>
        <v>1</v>
      </c>
      <c r="D425" s="608"/>
      <c r="E425" s="599">
        <f t="shared" si="67"/>
        <v>1</v>
      </c>
      <c r="F425" s="608"/>
      <c r="G425" s="599">
        <f t="shared" si="68"/>
        <v>1</v>
      </c>
      <c r="H425" s="608"/>
      <c r="I425" s="599">
        <f t="shared" si="69"/>
        <v>1</v>
      </c>
      <c r="J425" s="608"/>
      <c r="K425" s="599">
        <f t="shared" si="70"/>
        <v>1</v>
      </c>
      <c r="L425" s="608"/>
      <c r="M425" s="599">
        <f t="shared" si="71"/>
        <v>1</v>
      </c>
      <c r="N425" s="608"/>
      <c r="O425" s="599">
        <f t="shared" si="72"/>
        <v>1</v>
      </c>
      <c r="P425" s="608"/>
      <c r="Q425" s="599">
        <f t="shared" si="73"/>
        <v>1</v>
      </c>
      <c r="R425" s="659">
        <f t="shared" si="74"/>
        <v>0</v>
      </c>
      <c r="S425" s="598">
        <f t="shared" si="65"/>
        <v>0</v>
      </c>
    </row>
    <row r="426" spans="1:19">
      <c r="A426" s="606"/>
      <c r="B426" s="607"/>
      <c r="C426" s="599">
        <f t="shared" si="66"/>
        <v>1</v>
      </c>
      <c r="D426" s="608"/>
      <c r="E426" s="599">
        <f t="shared" si="67"/>
        <v>1</v>
      </c>
      <c r="F426" s="608"/>
      <c r="G426" s="599">
        <f t="shared" si="68"/>
        <v>1</v>
      </c>
      <c r="H426" s="608"/>
      <c r="I426" s="599">
        <f t="shared" si="69"/>
        <v>1</v>
      </c>
      <c r="J426" s="608"/>
      <c r="K426" s="599">
        <f t="shared" si="70"/>
        <v>1</v>
      </c>
      <c r="L426" s="608"/>
      <c r="M426" s="599">
        <f t="shared" si="71"/>
        <v>1</v>
      </c>
      <c r="N426" s="608"/>
      <c r="O426" s="599">
        <f t="shared" si="72"/>
        <v>1</v>
      </c>
      <c r="P426" s="608"/>
      <c r="Q426" s="599">
        <f t="shared" si="73"/>
        <v>1</v>
      </c>
      <c r="R426" s="659">
        <f t="shared" si="74"/>
        <v>0</v>
      </c>
      <c r="S426" s="598">
        <f t="shared" si="65"/>
        <v>0</v>
      </c>
    </row>
    <row r="427" spans="1:19">
      <c r="A427" s="606"/>
      <c r="B427" s="607"/>
      <c r="C427" s="599">
        <f t="shared" si="66"/>
        <v>1</v>
      </c>
      <c r="D427" s="608"/>
      <c r="E427" s="599">
        <f t="shared" si="67"/>
        <v>1</v>
      </c>
      <c r="F427" s="608"/>
      <c r="G427" s="599">
        <f t="shared" si="68"/>
        <v>1</v>
      </c>
      <c r="H427" s="608"/>
      <c r="I427" s="599">
        <f t="shared" si="69"/>
        <v>1</v>
      </c>
      <c r="J427" s="608"/>
      <c r="K427" s="599">
        <f t="shared" si="70"/>
        <v>1</v>
      </c>
      <c r="L427" s="608"/>
      <c r="M427" s="599">
        <f t="shared" si="71"/>
        <v>1</v>
      </c>
      <c r="N427" s="608"/>
      <c r="O427" s="599">
        <f t="shared" si="72"/>
        <v>1</v>
      </c>
      <c r="P427" s="608"/>
      <c r="Q427" s="599">
        <f t="shared" si="73"/>
        <v>1</v>
      </c>
      <c r="R427" s="659">
        <f t="shared" si="74"/>
        <v>0</v>
      </c>
      <c r="S427" s="598">
        <f t="shared" si="65"/>
        <v>0</v>
      </c>
    </row>
    <row r="428" spans="1:19">
      <c r="A428" s="606"/>
      <c r="B428" s="607"/>
      <c r="C428" s="599">
        <f t="shared" si="66"/>
        <v>1</v>
      </c>
      <c r="D428" s="608"/>
      <c r="E428" s="599">
        <f t="shared" si="67"/>
        <v>1</v>
      </c>
      <c r="F428" s="608"/>
      <c r="G428" s="599">
        <f t="shared" si="68"/>
        <v>1</v>
      </c>
      <c r="H428" s="608"/>
      <c r="I428" s="599">
        <f t="shared" si="69"/>
        <v>1</v>
      </c>
      <c r="J428" s="608"/>
      <c r="K428" s="599">
        <f t="shared" si="70"/>
        <v>1</v>
      </c>
      <c r="L428" s="608"/>
      <c r="M428" s="599">
        <f t="shared" si="71"/>
        <v>1</v>
      </c>
      <c r="N428" s="608"/>
      <c r="O428" s="599">
        <f t="shared" si="72"/>
        <v>1</v>
      </c>
      <c r="P428" s="608"/>
      <c r="Q428" s="599">
        <f t="shared" si="73"/>
        <v>1</v>
      </c>
      <c r="R428" s="659">
        <f t="shared" si="74"/>
        <v>0</v>
      </c>
      <c r="S428" s="598">
        <f t="shared" si="65"/>
        <v>0</v>
      </c>
    </row>
    <row r="429" spans="1:19">
      <c r="A429" s="606"/>
      <c r="B429" s="607"/>
      <c r="C429" s="599">
        <f t="shared" si="66"/>
        <v>1</v>
      </c>
      <c r="D429" s="608"/>
      <c r="E429" s="599">
        <f t="shared" si="67"/>
        <v>1</v>
      </c>
      <c r="F429" s="608"/>
      <c r="G429" s="599">
        <f t="shared" si="68"/>
        <v>1</v>
      </c>
      <c r="H429" s="608"/>
      <c r="I429" s="599">
        <f t="shared" si="69"/>
        <v>1</v>
      </c>
      <c r="J429" s="608"/>
      <c r="K429" s="599">
        <f t="shared" si="70"/>
        <v>1</v>
      </c>
      <c r="L429" s="608"/>
      <c r="M429" s="599">
        <f t="shared" si="71"/>
        <v>1</v>
      </c>
      <c r="N429" s="608"/>
      <c r="O429" s="599">
        <f t="shared" si="72"/>
        <v>1</v>
      </c>
      <c r="P429" s="608"/>
      <c r="Q429" s="599">
        <f t="shared" si="73"/>
        <v>1</v>
      </c>
      <c r="R429" s="659">
        <f t="shared" si="74"/>
        <v>0</v>
      </c>
      <c r="S429" s="598">
        <f t="shared" si="65"/>
        <v>0</v>
      </c>
    </row>
    <row r="430" spans="1:19">
      <c r="A430" s="606"/>
      <c r="B430" s="607"/>
      <c r="C430" s="599">
        <f t="shared" si="66"/>
        <v>1</v>
      </c>
      <c r="D430" s="608"/>
      <c r="E430" s="599">
        <f t="shared" si="67"/>
        <v>1</v>
      </c>
      <c r="F430" s="608"/>
      <c r="G430" s="599">
        <f t="shared" si="68"/>
        <v>1</v>
      </c>
      <c r="H430" s="608"/>
      <c r="I430" s="599">
        <f t="shared" si="69"/>
        <v>1</v>
      </c>
      <c r="J430" s="608"/>
      <c r="K430" s="599">
        <f t="shared" si="70"/>
        <v>1</v>
      </c>
      <c r="L430" s="608"/>
      <c r="M430" s="599">
        <f t="shared" si="71"/>
        <v>1</v>
      </c>
      <c r="N430" s="608"/>
      <c r="O430" s="599">
        <f t="shared" si="72"/>
        <v>1</v>
      </c>
      <c r="P430" s="608"/>
      <c r="Q430" s="599">
        <f t="shared" si="73"/>
        <v>1</v>
      </c>
      <c r="R430" s="659">
        <f t="shared" si="74"/>
        <v>0</v>
      </c>
      <c r="S430" s="598">
        <f t="shared" si="65"/>
        <v>0</v>
      </c>
    </row>
    <row r="431" spans="1:19">
      <c r="A431" s="606"/>
      <c r="B431" s="607"/>
      <c r="C431" s="599">
        <f t="shared" si="66"/>
        <v>1</v>
      </c>
      <c r="D431" s="608"/>
      <c r="E431" s="599">
        <f t="shared" si="67"/>
        <v>1</v>
      </c>
      <c r="F431" s="608"/>
      <c r="G431" s="599">
        <f t="shared" si="68"/>
        <v>1</v>
      </c>
      <c r="H431" s="608"/>
      <c r="I431" s="599">
        <f t="shared" si="69"/>
        <v>1</v>
      </c>
      <c r="J431" s="608"/>
      <c r="K431" s="599">
        <f t="shared" si="70"/>
        <v>1</v>
      </c>
      <c r="L431" s="608"/>
      <c r="M431" s="599">
        <f t="shared" si="71"/>
        <v>1</v>
      </c>
      <c r="N431" s="608"/>
      <c r="O431" s="599">
        <f t="shared" si="72"/>
        <v>1</v>
      </c>
      <c r="P431" s="608"/>
      <c r="Q431" s="599">
        <f t="shared" si="73"/>
        <v>1</v>
      </c>
      <c r="R431" s="659">
        <f t="shared" si="74"/>
        <v>0</v>
      </c>
      <c r="S431" s="598">
        <f t="shared" si="65"/>
        <v>0</v>
      </c>
    </row>
    <row r="432" spans="1:19">
      <c r="A432" s="606"/>
      <c r="B432" s="607"/>
      <c r="C432" s="599">
        <f t="shared" si="66"/>
        <v>1</v>
      </c>
      <c r="D432" s="608"/>
      <c r="E432" s="599">
        <f t="shared" si="67"/>
        <v>1</v>
      </c>
      <c r="F432" s="608"/>
      <c r="G432" s="599">
        <f t="shared" si="68"/>
        <v>1</v>
      </c>
      <c r="H432" s="608"/>
      <c r="I432" s="599">
        <f t="shared" si="69"/>
        <v>1</v>
      </c>
      <c r="J432" s="608"/>
      <c r="K432" s="599">
        <f t="shared" si="70"/>
        <v>1</v>
      </c>
      <c r="L432" s="608"/>
      <c r="M432" s="599">
        <f t="shared" si="71"/>
        <v>1</v>
      </c>
      <c r="N432" s="608"/>
      <c r="O432" s="599">
        <f t="shared" si="72"/>
        <v>1</v>
      </c>
      <c r="P432" s="608"/>
      <c r="Q432" s="599">
        <f t="shared" si="73"/>
        <v>1</v>
      </c>
      <c r="R432" s="659">
        <f t="shared" si="74"/>
        <v>0</v>
      </c>
      <c r="S432" s="598">
        <f t="shared" si="65"/>
        <v>0</v>
      </c>
    </row>
    <row r="433" spans="1:19">
      <c r="A433" s="606"/>
      <c r="B433" s="607"/>
      <c r="C433" s="599">
        <f t="shared" si="66"/>
        <v>1</v>
      </c>
      <c r="D433" s="608"/>
      <c r="E433" s="599">
        <f t="shared" si="67"/>
        <v>1</v>
      </c>
      <c r="F433" s="608"/>
      <c r="G433" s="599">
        <f t="shared" si="68"/>
        <v>1</v>
      </c>
      <c r="H433" s="608"/>
      <c r="I433" s="599">
        <f t="shared" si="69"/>
        <v>1</v>
      </c>
      <c r="J433" s="608"/>
      <c r="K433" s="599">
        <f t="shared" si="70"/>
        <v>1</v>
      </c>
      <c r="L433" s="608"/>
      <c r="M433" s="599">
        <f t="shared" si="71"/>
        <v>1</v>
      </c>
      <c r="N433" s="608"/>
      <c r="O433" s="599">
        <f t="shared" si="72"/>
        <v>1</v>
      </c>
      <c r="P433" s="608"/>
      <c r="Q433" s="599">
        <f t="shared" si="73"/>
        <v>1</v>
      </c>
      <c r="R433" s="659">
        <f t="shared" si="74"/>
        <v>0</v>
      </c>
      <c r="S433" s="598">
        <f t="shared" si="65"/>
        <v>0</v>
      </c>
    </row>
    <row r="434" spans="1:19">
      <c r="A434" s="606"/>
      <c r="B434" s="607"/>
      <c r="C434" s="599">
        <f t="shared" si="66"/>
        <v>1</v>
      </c>
      <c r="D434" s="608"/>
      <c r="E434" s="599">
        <f t="shared" si="67"/>
        <v>1</v>
      </c>
      <c r="F434" s="608"/>
      <c r="G434" s="599">
        <f t="shared" si="68"/>
        <v>1</v>
      </c>
      <c r="H434" s="608"/>
      <c r="I434" s="599">
        <f t="shared" si="69"/>
        <v>1</v>
      </c>
      <c r="J434" s="608"/>
      <c r="K434" s="599">
        <f t="shared" si="70"/>
        <v>1</v>
      </c>
      <c r="L434" s="608"/>
      <c r="M434" s="599">
        <f t="shared" si="71"/>
        <v>1</v>
      </c>
      <c r="N434" s="608"/>
      <c r="O434" s="599">
        <f t="shared" si="72"/>
        <v>1</v>
      </c>
      <c r="P434" s="608"/>
      <c r="Q434" s="599">
        <f t="shared" si="73"/>
        <v>1</v>
      </c>
      <c r="R434" s="659">
        <f t="shared" si="74"/>
        <v>0</v>
      </c>
      <c r="S434" s="598">
        <f t="shared" si="65"/>
        <v>0</v>
      </c>
    </row>
    <row r="435" spans="1:19">
      <c r="A435" s="606"/>
      <c r="B435" s="607"/>
      <c r="C435" s="599">
        <f t="shared" si="66"/>
        <v>1</v>
      </c>
      <c r="D435" s="608"/>
      <c r="E435" s="599">
        <f t="shared" si="67"/>
        <v>1</v>
      </c>
      <c r="F435" s="608"/>
      <c r="G435" s="599">
        <f t="shared" si="68"/>
        <v>1</v>
      </c>
      <c r="H435" s="608"/>
      <c r="I435" s="599">
        <f t="shared" si="69"/>
        <v>1</v>
      </c>
      <c r="J435" s="608"/>
      <c r="K435" s="599">
        <f t="shared" si="70"/>
        <v>1</v>
      </c>
      <c r="L435" s="608"/>
      <c r="M435" s="599">
        <f t="shared" si="71"/>
        <v>1</v>
      </c>
      <c r="N435" s="608"/>
      <c r="O435" s="599">
        <f t="shared" si="72"/>
        <v>1</v>
      </c>
      <c r="P435" s="608"/>
      <c r="Q435" s="599">
        <f t="shared" si="73"/>
        <v>1</v>
      </c>
      <c r="R435" s="659">
        <f t="shared" si="74"/>
        <v>0</v>
      </c>
      <c r="S435" s="598">
        <f t="shared" si="65"/>
        <v>0</v>
      </c>
    </row>
    <row r="436" spans="1:19">
      <c r="A436" s="606"/>
      <c r="B436" s="607"/>
      <c r="C436" s="599">
        <f t="shared" si="66"/>
        <v>1</v>
      </c>
      <c r="D436" s="608"/>
      <c r="E436" s="599">
        <f t="shared" si="67"/>
        <v>1</v>
      </c>
      <c r="F436" s="608"/>
      <c r="G436" s="599">
        <f t="shared" si="68"/>
        <v>1</v>
      </c>
      <c r="H436" s="608"/>
      <c r="I436" s="599">
        <f t="shared" si="69"/>
        <v>1</v>
      </c>
      <c r="J436" s="608"/>
      <c r="K436" s="599">
        <f t="shared" si="70"/>
        <v>1</v>
      </c>
      <c r="L436" s="608"/>
      <c r="M436" s="599">
        <f t="shared" si="71"/>
        <v>1</v>
      </c>
      <c r="N436" s="608"/>
      <c r="O436" s="599">
        <f t="shared" si="72"/>
        <v>1</v>
      </c>
      <c r="P436" s="608"/>
      <c r="Q436" s="599">
        <f t="shared" si="73"/>
        <v>1</v>
      </c>
      <c r="R436" s="659">
        <f t="shared" si="74"/>
        <v>0</v>
      </c>
      <c r="S436" s="598">
        <f t="shared" si="65"/>
        <v>0</v>
      </c>
    </row>
    <row r="437" spans="1:19">
      <c r="A437" s="606"/>
      <c r="B437" s="607"/>
      <c r="C437" s="599">
        <f t="shared" si="66"/>
        <v>1</v>
      </c>
      <c r="D437" s="608"/>
      <c r="E437" s="599">
        <f t="shared" si="67"/>
        <v>1</v>
      </c>
      <c r="F437" s="608"/>
      <c r="G437" s="599">
        <f t="shared" si="68"/>
        <v>1</v>
      </c>
      <c r="H437" s="608"/>
      <c r="I437" s="599">
        <f t="shared" si="69"/>
        <v>1</v>
      </c>
      <c r="J437" s="608"/>
      <c r="K437" s="599">
        <f t="shared" si="70"/>
        <v>1</v>
      </c>
      <c r="L437" s="608"/>
      <c r="M437" s="599">
        <f t="shared" si="71"/>
        <v>1</v>
      </c>
      <c r="N437" s="608"/>
      <c r="O437" s="599">
        <f t="shared" si="72"/>
        <v>1</v>
      </c>
      <c r="P437" s="608"/>
      <c r="Q437" s="599">
        <f t="shared" si="73"/>
        <v>1</v>
      </c>
      <c r="R437" s="659">
        <f t="shared" si="74"/>
        <v>0</v>
      </c>
      <c r="S437" s="598">
        <f t="shared" si="65"/>
        <v>0</v>
      </c>
    </row>
    <row r="438" spans="1:19">
      <c r="A438" s="606"/>
      <c r="B438" s="607"/>
      <c r="C438" s="599">
        <f t="shared" si="66"/>
        <v>1</v>
      </c>
      <c r="D438" s="608"/>
      <c r="E438" s="599">
        <f t="shared" si="67"/>
        <v>1</v>
      </c>
      <c r="F438" s="608"/>
      <c r="G438" s="599">
        <f t="shared" si="68"/>
        <v>1</v>
      </c>
      <c r="H438" s="608"/>
      <c r="I438" s="599">
        <f t="shared" si="69"/>
        <v>1</v>
      </c>
      <c r="J438" s="608"/>
      <c r="K438" s="599">
        <f t="shared" si="70"/>
        <v>1</v>
      </c>
      <c r="L438" s="608"/>
      <c r="M438" s="599">
        <f t="shared" si="71"/>
        <v>1</v>
      </c>
      <c r="N438" s="608"/>
      <c r="O438" s="599">
        <f t="shared" si="72"/>
        <v>1</v>
      </c>
      <c r="P438" s="608"/>
      <c r="Q438" s="599">
        <f t="shared" si="73"/>
        <v>1</v>
      </c>
      <c r="R438" s="659">
        <f t="shared" si="74"/>
        <v>0</v>
      </c>
      <c r="S438" s="598">
        <f t="shared" si="65"/>
        <v>0</v>
      </c>
    </row>
    <row r="439" spans="1:19">
      <c r="A439" s="606"/>
      <c r="B439" s="607"/>
      <c r="C439" s="599">
        <f t="shared" si="66"/>
        <v>1</v>
      </c>
      <c r="D439" s="608"/>
      <c r="E439" s="599">
        <f t="shared" si="67"/>
        <v>1</v>
      </c>
      <c r="F439" s="608"/>
      <c r="G439" s="599">
        <f t="shared" si="68"/>
        <v>1</v>
      </c>
      <c r="H439" s="608"/>
      <c r="I439" s="599">
        <f t="shared" si="69"/>
        <v>1</v>
      </c>
      <c r="J439" s="608"/>
      <c r="K439" s="599">
        <f t="shared" si="70"/>
        <v>1</v>
      </c>
      <c r="L439" s="608"/>
      <c r="M439" s="599">
        <f t="shared" si="71"/>
        <v>1</v>
      </c>
      <c r="N439" s="608"/>
      <c r="O439" s="599">
        <f t="shared" si="72"/>
        <v>1</v>
      </c>
      <c r="P439" s="608"/>
      <c r="Q439" s="599">
        <f t="shared" si="73"/>
        <v>1</v>
      </c>
      <c r="R439" s="659">
        <f t="shared" si="74"/>
        <v>0</v>
      </c>
      <c r="S439" s="598">
        <f t="shared" si="65"/>
        <v>0</v>
      </c>
    </row>
    <row r="440" spans="1:19">
      <c r="A440" s="606"/>
      <c r="B440" s="607"/>
      <c r="C440" s="599">
        <f t="shared" si="66"/>
        <v>1</v>
      </c>
      <c r="D440" s="608"/>
      <c r="E440" s="599">
        <f t="shared" si="67"/>
        <v>1</v>
      </c>
      <c r="F440" s="608"/>
      <c r="G440" s="599">
        <f t="shared" si="68"/>
        <v>1</v>
      </c>
      <c r="H440" s="608"/>
      <c r="I440" s="599">
        <f t="shared" si="69"/>
        <v>1</v>
      </c>
      <c r="J440" s="608"/>
      <c r="K440" s="599">
        <f t="shared" si="70"/>
        <v>1</v>
      </c>
      <c r="L440" s="608"/>
      <c r="M440" s="599">
        <f t="shared" si="71"/>
        <v>1</v>
      </c>
      <c r="N440" s="608"/>
      <c r="O440" s="599">
        <f t="shared" si="72"/>
        <v>1</v>
      </c>
      <c r="P440" s="608"/>
      <c r="Q440" s="599">
        <f t="shared" si="73"/>
        <v>1</v>
      </c>
      <c r="R440" s="659">
        <f t="shared" si="74"/>
        <v>0</v>
      </c>
      <c r="S440" s="598">
        <f t="shared" si="65"/>
        <v>0</v>
      </c>
    </row>
    <row r="441" spans="1:19">
      <c r="A441" s="606"/>
      <c r="B441" s="607"/>
      <c r="C441" s="599">
        <f t="shared" si="66"/>
        <v>1</v>
      </c>
      <c r="D441" s="608"/>
      <c r="E441" s="599">
        <f t="shared" si="67"/>
        <v>1</v>
      </c>
      <c r="F441" s="608"/>
      <c r="G441" s="599">
        <f t="shared" si="68"/>
        <v>1</v>
      </c>
      <c r="H441" s="608"/>
      <c r="I441" s="599">
        <f t="shared" si="69"/>
        <v>1</v>
      </c>
      <c r="J441" s="608"/>
      <c r="K441" s="599">
        <f t="shared" si="70"/>
        <v>1</v>
      </c>
      <c r="L441" s="608"/>
      <c r="M441" s="599">
        <f t="shared" si="71"/>
        <v>1</v>
      </c>
      <c r="N441" s="608"/>
      <c r="O441" s="599">
        <f t="shared" si="72"/>
        <v>1</v>
      </c>
      <c r="P441" s="608"/>
      <c r="Q441" s="599">
        <f t="shared" si="73"/>
        <v>1</v>
      </c>
      <c r="R441" s="659">
        <f t="shared" si="74"/>
        <v>0</v>
      </c>
      <c r="S441" s="598">
        <f t="shared" si="65"/>
        <v>0</v>
      </c>
    </row>
    <row r="442" spans="1:19">
      <c r="A442" s="606"/>
      <c r="B442" s="607"/>
      <c r="C442" s="599">
        <f t="shared" si="66"/>
        <v>1</v>
      </c>
      <c r="D442" s="608"/>
      <c r="E442" s="599">
        <f t="shared" si="67"/>
        <v>1</v>
      </c>
      <c r="F442" s="608"/>
      <c r="G442" s="599">
        <f t="shared" si="68"/>
        <v>1</v>
      </c>
      <c r="H442" s="608"/>
      <c r="I442" s="599">
        <f t="shared" si="69"/>
        <v>1</v>
      </c>
      <c r="J442" s="608"/>
      <c r="K442" s="599">
        <f t="shared" si="70"/>
        <v>1</v>
      </c>
      <c r="L442" s="608"/>
      <c r="M442" s="599">
        <f t="shared" si="71"/>
        <v>1</v>
      </c>
      <c r="N442" s="608"/>
      <c r="O442" s="599">
        <f t="shared" si="72"/>
        <v>1</v>
      </c>
      <c r="P442" s="608"/>
      <c r="Q442" s="599">
        <f t="shared" si="73"/>
        <v>1</v>
      </c>
      <c r="R442" s="659">
        <f t="shared" si="74"/>
        <v>0</v>
      </c>
      <c r="S442" s="598">
        <f t="shared" si="65"/>
        <v>0</v>
      </c>
    </row>
    <row r="443" spans="1:19">
      <c r="A443" s="606"/>
      <c r="B443" s="607"/>
      <c r="C443" s="599">
        <f t="shared" si="66"/>
        <v>1</v>
      </c>
      <c r="D443" s="608"/>
      <c r="E443" s="599">
        <f t="shared" si="67"/>
        <v>1</v>
      </c>
      <c r="F443" s="608"/>
      <c r="G443" s="599">
        <f t="shared" si="68"/>
        <v>1</v>
      </c>
      <c r="H443" s="608"/>
      <c r="I443" s="599">
        <f t="shared" si="69"/>
        <v>1</v>
      </c>
      <c r="J443" s="608"/>
      <c r="K443" s="599">
        <f t="shared" si="70"/>
        <v>1</v>
      </c>
      <c r="L443" s="608"/>
      <c r="M443" s="599">
        <f t="shared" si="71"/>
        <v>1</v>
      </c>
      <c r="N443" s="608"/>
      <c r="O443" s="599">
        <f t="shared" si="72"/>
        <v>1</v>
      </c>
      <c r="P443" s="608"/>
      <c r="Q443" s="599">
        <f t="shared" si="73"/>
        <v>1</v>
      </c>
      <c r="R443" s="659">
        <f t="shared" si="74"/>
        <v>0</v>
      </c>
      <c r="S443" s="598">
        <f t="shared" si="65"/>
        <v>0</v>
      </c>
    </row>
    <row r="444" spans="1:19">
      <c r="A444" s="606"/>
      <c r="B444" s="607"/>
      <c r="C444" s="599">
        <f t="shared" si="66"/>
        <v>1</v>
      </c>
      <c r="D444" s="608"/>
      <c r="E444" s="599">
        <f t="shared" si="67"/>
        <v>1</v>
      </c>
      <c r="F444" s="608"/>
      <c r="G444" s="599">
        <f t="shared" si="68"/>
        <v>1</v>
      </c>
      <c r="H444" s="608"/>
      <c r="I444" s="599">
        <f t="shared" si="69"/>
        <v>1</v>
      </c>
      <c r="J444" s="608"/>
      <c r="K444" s="599">
        <f t="shared" si="70"/>
        <v>1</v>
      </c>
      <c r="L444" s="608"/>
      <c r="M444" s="599">
        <f t="shared" si="71"/>
        <v>1</v>
      </c>
      <c r="N444" s="608"/>
      <c r="O444" s="599">
        <f t="shared" si="72"/>
        <v>1</v>
      </c>
      <c r="P444" s="608"/>
      <c r="Q444" s="599">
        <f t="shared" si="73"/>
        <v>1</v>
      </c>
      <c r="R444" s="659">
        <f t="shared" si="74"/>
        <v>0</v>
      </c>
      <c r="S444" s="598">
        <f t="shared" si="65"/>
        <v>0</v>
      </c>
    </row>
    <row r="445" spans="1:19">
      <c r="A445" s="606"/>
      <c r="B445" s="607"/>
      <c r="C445" s="599">
        <f t="shared" si="66"/>
        <v>1</v>
      </c>
      <c r="D445" s="608"/>
      <c r="E445" s="599">
        <f t="shared" si="67"/>
        <v>1</v>
      </c>
      <c r="F445" s="608"/>
      <c r="G445" s="599">
        <f t="shared" si="68"/>
        <v>1</v>
      </c>
      <c r="H445" s="608"/>
      <c r="I445" s="599">
        <f t="shared" si="69"/>
        <v>1</v>
      </c>
      <c r="J445" s="608"/>
      <c r="K445" s="599">
        <f t="shared" si="70"/>
        <v>1</v>
      </c>
      <c r="L445" s="608"/>
      <c r="M445" s="599">
        <f t="shared" si="71"/>
        <v>1</v>
      </c>
      <c r="N445" s="608"/>
      <c r="O445" s="599">
        <f t="shared" si="72"/>
        <v>1</v>
      </c>
      <c r="P445" s="608"/>
      <c r="Q445" s="599">
        <f t="shared" si="73"/>
        <v>1</v>
      </c>
      <c r="R445" s="659">
        <f t="shared" si="74"/>
        <v>0</v>
      </c>
      <c r="S445" s="598">
        <f t="shared" si="65"/>
        <v>0</v>
      </c>
    </row>
    <row r="446" spans="1:19">
      <c r="A446" s="606"/>
      <c r="B446" s="607"/>
      <c r="C446" s="599">
        <f t="shared" si="66"/>
        <v>1</v>
      </c>
      <c r="D446" s="608"/>
      <c r="E446" s="599">
        <f t="shared" si="67"/>
        <v>1</v>
      </c>
      <c r="F446" s="608"/>
      <c r="G446" s="599">
        <f t="shared" si="68"/>
        <v>1</v>
      </c>
      <c r="H446" s="608"/>
      <c r="I446" s="599">
        <f t="shared" si="69"/>
        <v>1</v>
      </c>
      <c r="J446" s="608"/>
      <c r="K446" s="599">
        <f t="shared" si="70"/>
        <v>1</v>
      </c>
      <c r="L446" s="608"/>
      <c r="M446" s="599">
        <f t="shared" si="71"/>
        <v>1</v>
      </c>
      <c r="N446" s="608"/>
      <c r="O446" s="599">
        <f t="shared" si="72"/>
        <v>1</v>
      </c>
      <c r="P446" s="608"/>
      <c r="Q446" s="599">
        <f t="shared" si="73"/>
        <v>1</v>
      </c>
      <c r="R446" s="659">
        <f t="shared" si="74"/>
        <v>0</v>
      </c>
      <c r="S446" s="598">
        <f t="shared" si="65"/>
        <v>0</v>
      </c>
    </row>
    <row r="447" spans="1:19">
      <c r="A447" s="606"/>
      <c r="B447" s="607"/>
      <c r="C447" s="599">
        <f t="shared" si="66"/>
        <v>1</v>
      </c>
      <c r="D447" s="608"/>
      <c r="E447" s="599">
        <f t="shared" si="67"/>
        <v>1</v>
      </c>
      <c r="F447" s="608"/>
      <c r="G447" s="599">
        <f t="shared" si="68"/>
        <v>1</v>
      </c>
      <c r="H447" s="608"/>
      <c r="I447" s="599">
        <f t="shared" si="69"/>
        <v>1</v>
      </c>
      <c r="J447" s="608"/>
      <c r="K447" s="599">
        <f t="shared" si="70"/>
        <v>1</v>
      </c>
      <c r="L447" s="608"/>
      <c r="M447" s="599">
        <f t="shared" si="71"/>
        <v>1</v>
      </c>
      <c r="N447" s="608"/>
      <c r="O447" s="599">
        <f t="shared" si="72"/>
        <v>1</v>
      </c>
      <c r="P447" s="608"/>
      <c r="Q447" s="599">
        <f t="shared" si="73"/>
        <v>1</v>
      </c>
      <c r="R447" s="659">
        <f t="shared" si="74"/>
        <v>0</v>
      </c>
      <c r="S447" s="598">
        <f t="shared" si="65"/>
        <v>0</v>
      </c>
    </row>
    <row r="448" spans="1:19">
      <c r="A448" s="606"/>
      <c r="B448" s="607"/>
      <c r="C448" s="599">
        <f t="shared" si="66"/>
        <v>1</v>
      </c>
      <c r="D448" s="608"/>
      <c r="E448" s="599">
        <f t="shared" si="67"/>
        <v>1</v>
      </c>
      <c r="F448" s="608"/>
      <c r="G448" s="599">
        <f t="shared" si="68"/>
        <v>1</v>
      </c>
      <c r="H448" s="608"/>
      <c r="I448" s="599">
        <f t="shared" si="69"/>
        <v>1</v>
      </c>
      <c r="J448" s="608"/>
      <c r="K448" s="599">
        <f t="shared" si="70"/>
        <v>1</v>
      </c>
      <c r="L448" s="608"/>
      <c r="M448" s="599">
        <f t="shared" si="71"/>
        <v>1</v>
      </c>
      <c r="N448" s="608"/>
      <c r="O448" s="599">
        <f t="shared" si="72"/>
        <v>1</v>
      </c>
      <c r="P448" s="608"/>
      <c r="Q448" s="599">
        <f t="shared" si="73"/>
        <v>1</v>
      </c>
      <c r="R448" s="659">
        <f t="shared" si="74"/>
        <v>0</v>
      </c>
      <c r="S448" s="598">
        <f t="shared" si="65"/>
        <v>0</v>
      </c>
    </row>
    <row r="449" spans="1:19">
      <c r="A449" s="606"/>
      <c r="B449" s="607"/>
      <c r="C449" s="599">
        <f t="shared" si="66"/>
        <v>1</v>
      </c>
      <c r="D449" s="608"/>
      <c r="E449" s="599">
        <f t="shared" si="67"/>
        <v>1</v>
      </c>
      <c r="F449" s="608"/>
      <c r="G449" s="599">
        <f t="shared" si="68"/>
        <v>1</v>
      </c>
      <c r="H449" s="608"/>
      <c r="I449" s="599">
        <f t="shared" si="69"/>
        <v>1</v>
      </c>
      <c r="J449" s="608"/>
      <c r="K449" s="599">
        <f t="shared" si="70"/>
        <v>1</v>
      </c>
      <c r="L449" s="608"/>
      <c r="M449" s="599">
        <f t="shared" si="71"/>
        <v>1</v>
      </c>
      <c r="N449" s="608"/>
      <c r="O449" s="599">
        <f t="shared" si="72"/>
        <v>1</v>
      </c>
      <c r="P449" s="608"/>
      <c r="Q449" s="599">
        <f t="shared" si="73"/>
        <v>1</v>
      </c>
      <c r="R449" s="659">
        <f t="shared" si="74"/>
        <v>0</v>
      </c>
      <c r="S449" s="598">
        <f t="shared" si="65"/>
        <v>0</v>
      </c>
    </row>
    <row r="450" spans="1:19">
      <c r="A450" s="606"/>
      <c r="B450" s="607"/>
      <c r="C450" s="599">
        <f t="shared" si="66"/>
        <v>1</v>
      </c>
      <c r="D450" s="608"/>
      <c r="E450" s="599">
        <f t="shared" si="67"/>
        <v>1</v>
      </c>
      <c r="F450" s="608"/>
      <c r="G450" s="599">
        <f t="shared" si="68"/>
        <v>1</v>
      </c>
      <c r="H450" s="608"/>
      <c r="I450" s="599">
        <f t="shared" si="69"/>
        <v>1</v>
      </c>
      <c r="J450" s="608"/>
      <c r="K450" s="599">
        <f t="shared" si="70"/>
        <v>1</v>
      </c>
      <c r="L450" s="608"/>
      <c r="M450" s="599">
        <f t="shared" si="71"/>
        <v>1</v>
      </c>
      <c r="N450" s="608"/>
      <c r="O450" s="599">
        <f t="shared" si="72"/>
        <v>1</v>
      </c>
      <c r="P450" s="608"/>
      <c r="Q450" s="599">
        <f t="shared" si="73"/>
        <v>1</v>
      </c>
      <c r="R450" s="659">
        <f t="shared" si="74"/>
        <v>0</v>
      </c>
      <c r="S450" s="598">
        <f t="shared" si="65"/>
        <v>0</v>
      </c>
    </row>
    <row r="451" spans="1:19">
      <c r="A451" s="606"/>
      <c r="B451" s="607"/>
      <c r="C451" s="599">
        <f t="shared" si="66"/>
        <v>1</v>
      </c>
      <c r="D451" s="608"/>
      <c r="E451" s="599">
        <f t="shared" si="67"/>
        <v>1</v>
      </c>
      <c r="F451" s="608"/>
      <c r="G451" s="599">
        <f t="shared" si="68"/>
        <v>1</v>
      </c>
      <c r="H451" s="608"/>
      <c r="I451" s="599">
        <f t="shared" si="69"/>
        <v>1</v>
      </c>
      <c r="J451" s="608"/>
      <c r="K451" s="599">
        <f t="shared" si="70"/>
        <v>1</v>
      </c>
      <c r="L451" s="608"/>
      <c r="M451" s="599">
        <f t="shared" si="71"/>
        <v>1</v>
      </c>
      <c r="N451" s="608"/>
      <c r="O451" s="599">
        <f t="shared" si="72"/>
        <v>1</v>
      </c>
      <c r="P451" s="608"/>
      <c r="Q451" s="599">
        <f t="shared" si="73"/>
        <v>1</v>
      </c>
      <c r="R451" s="659">
        <f t="shared" si="74"/>
        <v>0</v>
      </c>
      <c r="S451" s="598">
        <f t="shared" si="65"/>
        <v>0</v>
      </c>
    </row>
    <row r="452" spans="1:19">
      <c r="A452" s="606"/>
      <c r="B452" s="607"/>
      <c r="C452" s="599">
        <f t="shared" si="66"/>
        <v>1</v>
      </c>
      <c r="D452" s="608"/>
      <c r="E452" s="599">
        <f t="shared" si="67"/>
        <v>1</v>
      </c>
      <c r="F452" s="608"/>
      <c r="G452" s="599">
        <f t="shared" si="68"/>
        <v>1</v>
      </c>
      <c r="H452" s="608"/>
      <c r="I452" s="599">
        <f t="shared" si="69"/>
        <v>1</v>
      </c>
      <c r="J452" s="608"/>
      <c r="K452" s="599">
        <f t="shared" si="70"/>
        <v>1</v>
      </c>
      <c r="L452" s="608"/>
      <c r="M452" s="599">
        <f t="shared" si="71"/>
        <v>1</v>
      </c>
      <c r="N452" s="608"/>
      <c r="O452" s="599">
        <f t="shared" si="72"/>
        <v>1</v>
      </c>
      <c r="P452" s="608"/>
      <c r="Q452" s="599">
        <f t="shared" si="73"/>
        <v>1</v>
      </c>
      <c r="R452" s="659">
        <f t="shared" si="74"/>
        <v>0</v>
      </c>
      <c r="S452" s="598">
        <f t="shared" si="65"/>
        <v>0</v>
      </c>
    </row>
    <row r="453" spans="1:19">
      <c r="A453" s="606"/>
      <c r="B453" s="607"/>
      <c r="C453" s="599">
        <f t="shared" si="66"/>
        <v>1</v>
      </c>
      <c r="D453" s="608"/>
      <c r="E453" s="599">
        <f t="shared" si="67"/>
        <v>1</v>
      </c>
      <c r="F453" s="608"/>
      <c r="G453" s="599">
        <f t="shared" si="68"/>
        <v>1</v>
      </c>
      <c r="H453" s="608"/>
      <c r="I453" s="599">
        <f t="shared" si="69"/>
        <v>1</v>
      </c>
      <c r="J453" s="608"/>
      <c r="K453" s="599">
        <f t="shared" si="70"/>
        <v>1</v>
      </c>
      <c r="L453" s="608"/>
      <c r="M453" s="599">
        <f t="shared" si="71"/>
        <v>1</v>
      </c>
      <c r="N453" s="608"/>
      <c r="O453" s="599">
        <f t="shared" si="72"/>
        <v>1</v>
      </c>
      <c r="P453" s="608"/>
      <c r="Q453" s="599">
        <f t="shared" si="73"/>
        <v>1</v>
      </c>
      <c r="R453" s="659">
        <f t="shared" si="74"/>
        <v>0</v>
      </c>
      <c r="S453" s="598">
        <f t="shared" si="65"/>
        <v>0</v>
      </c>
    </row>
    <row r="454" spans="1:19">
      <c r="A454" s="606"/>
      <c r="B454" s="607"/>
      <c r="C454" s="599">
        <f t="shared" si="66"/>
        <v>1</v>
      </c>
      <c r="D454" s="608"/>
      <c r="E454" s="599">
        <f t="shared" si="67"/>
        <v>1</v>
      </c>
      <c r="F454" s="608"/>
      <c r="G454" s="599">
        <f t="shared" si="68"/>
        <v>1</v>
      </c>
      <c r="H454" s="608"/>
      <c r="I454" s="599">
        <f t="shared" si="69"/>
        <v>1</v>
      </c>
      <c r="J454" s="608"/>
      <c r="K454" s="599">
        <f t="shared" si="70"/>
        <v>1</v>
      </c>
      <c r="L454" s="608"/>
      <c r="M454" s="599">
        <f t="shared" si="71"/>
        <v>1</v>
      </c>
      <c r="N454" s="608"/>
      <c r="O454" s="599">
        <f t="shared" si="72"/>
        <v>1</v>
      </c>
      <c r="P454" s="608"/>
      <c r="Q454" s="599">
        <f t="shared" si="73"/>
        <v>1</v>
      </c>
      <c r="R454" s="659">
        <f t="shared" si="74"/>
        <v>0</v>
      </c>
      <c r="S454" s="598">
        <f t="shared" si="65"/>
        <v>0</v>
      </c>
    </row>
    <row r="455" spans="1:19">
      <c r="A455" s="606"/>
      <c r="B455" s="607"/>
      <c r="C455" s="599">
        <f t="shared" si="66"/>
        <v>1</v>
      </c>
      <c r="D455" s="608"/>
      <c r="E455" s="599">
        <f t="shared" si="67"/>
        <v>1</v>
      </c>
      <c r="F455" s="608"/>
      <c r="G455" s="599">
        <f t="shared" si="68"/>
        <v>1</v>
      </c>
      <c r="H455" s="608"/>
      <c r="I455" s="599">
        <f t="shared" si="69"/>
        <v>1</v>
      </c>
      <c r="J455" s="608"/>
      <c r="K455" s="599">
        <f t="shared" si="70"/>
        <v>1</v>
      </c>
      <c r="L455" s="608"/>
      <c r="M455" s="599">
        <f t="shared" si="71"/>
        <v>1</v>
      </c>
      <c r="N455" s="608"/>
      <c r="O455" s="599">
        <f t="shared" si="72"/>
        <v>1</v>
      </c>
      <c r="P455" s="608"/>
      <c r="Q455" s="599">
        <f t="shared" si="73"/>
        <v>1</v>
      </c>
      <c r="R455" s="659">
        <f t="shared" si="74"/>
        <v>0</v>
      </c>
      <c r="S455" s="598">
        <f t="shared" si="65"/>
        <v>0</v>
      </c>
    </row>
    <row r="456" spans="1:19">
      <c r="A456" s="606"/>
      <c r="B456" s="607"/>
      <c r="C456" s="599">
        <f t="shared" si="66"/>
        <v>1</v>
      </c>
      <c r="D456" s="608"/>
      <c r="E456" s="599">
        <f t="shared" si="67"/>
        <v>1</v>
      </c>
      <c r="F456" s="608"/>
      <c r="G456" s="599">
        <f t="shared" si="68"/>
        <v>1</v>
      </c>
      <c r="H456" s="608"/>
      <c r="I456" s="599">
        <f t="shared" si="69"/>
        <v>1</v>
      </c>
      <c r="J456" s="608"/>
      <c r="K456" s="599">
        <f t="shared" si="70"/>
        <v>1</v>
      </c>
      <c r="L456" s="608"/>
      <c r="M456" s="599">
        <f t="shared" si="71"/>
        <v>1</v>
      </c>
      <c r="N456" s="608"/>
      <c r="O456" s="599">
        <f t="shared" si="72"/>
        <v>1</v>
      </c>
      <c r="P456" s="608"/>
      <c r="Q456" s="599">
        <f t="shared" si="73"/>
        <v>1</v>
      </c>
      <c r="R456" s="659">
        <f t="shared" si="74"/>
        <v>0</v>
      </c>
      <c r="S456" s="598">
        <f t="shared" si="65"/>
        <v>0</v>
      </c>
    </row>
    <row r="457" spans="1:19">
      <c r="A457" s="606"/>
      <c r="B457" s="607"/>
      <c r="C457" s="599">
        <f t="shared" si="66"/>
        <v>1</v>
      </c>
      <c r="D457" s="608"/>
      <c r="E457" s="599">
        <f t="shared" si="67"/>
        <v>1</v>
      </c>
      <c r="F457" s="608"/>
      <c r="G457" s="599">
        <f t="shared" si="68"/>
        <v>1</v>
      </c>
      <c r="H457" s="608"/>
      <c r="I457" s="599">
        <f t="shared" si="69"/>
        <v>1</v>
      </c>
      <c r="J457" s="608"/>
      <c r="K457" s="599">
        <f t="shared" si="70"/>
        <v>1</v>
      </c>
      <c r="L457" s="608"/>
      <c r="M457" s="599">
        <f t="shared" si="71"/>
        <v>1</v>
      </c>
      <c r="N457" s="608"/>
      <c r="O457" s="599">
        <f t="shared" si="72"/>
        <v>1</v>
      </c>
      <c r="P457" s="608"/>
      <c r="Q457" s="599">
        <f t="shared" si="73"/>
        <v>1</v>
      </c>
      <c r="R457" s="659">
        <f t="shared" si="74"/>
        <v>0</v>
      </c>
      <c r="S457" s="598">
        <f t="shared" si="65"/>
        <v>0</v>
      </c>
    </row>
    <row r="458" spans="1:19">
      <c r="A458" s="606"/>
      <c r="B458" s="607"/>
      <c r="C458" s="599">
        <f t="shared" si="66"/>
        <v>1</v>
      </c>
      <c r="D458" s="608"/>
      <c r="E458" s="599">
        <f t="shared" si="67"/>
        <v>1</v>
      </c>
      <c r="F458" s="608"/>
      <c r="G458" s="599">
        <f t="shared" si="68"/>
        <v>1</v>
      </c>
      <c r="H458" s="608"/>
      <c r="I458" s="599">
        <f t="shared" si="69"/>
        <v>1</v>
      </c>
      <c r="J458" s="608"/>
      <c r="K458" s="599">
        <f t="shared" si="70"/>
        <v>1</v>
      </c>
      <c r="L458" s="608"/>
      <c r="M458" s="599">
        <f t="shared" si="71"/>
        <v>1</v>
      </c>
      <c r="N458" s="608"/>
      <c r="O458" s="599">
        <f t="shared" si="72"/>
        <v>1</v>
      </c>
      <c r="P458" s="608"/>
      <c r="Q458" s="599">
        <f t="shared" si="73"/>
        <v>1</v>
      </c>
      <c r="R458" s="659">
        <f t="shared" si="74"/>
        <v>0</v>
      </c>
      <c r="S458" s="598">
        <f t="shared" si="65"/>
        <v>0</v>
      </c>
    </row>
    <row r="459" spans="1:19">
      <c r="A459" s="606"/>
      <c r="B459" s="607"/>
      <c r="C459" s="599">
        <f t="shared" si="66"/>
        <v>1</v>
      </c>
      <c r="D459" s="608"/>
      <c r="E459" s="599">
        <f t="shared" si="67"/>
        <v>1</v>
      </c>
      <c r="F459" s="608"/>
      <c r="G459" s="599">
        <f t="shared" si="68"/>
        <v>1</v>
      </c>
      <c r="H459" s="608"/>
      <c r="I459" s="599">
        <f t="shared" si="69"/>
        <v>1</v>
      </c>
      <c r="J459" s="608"/>
      <c r="K459" s="599">
        <f t="shared" si="70"/>
        <v>1</v>
      </c>
      <c r="L459" s="608"/>
      <c r="M459" s="599">
        <f t="shared" si="71"/>
        <v>1</v>
      </c>
      <c r="N459" s="608"/>
      <c r="O459" s="599">
        <f t="shared" si="72"/>
        <v>1</v>
      </c>
      <c r="P459" s="608"/>
      <c r="Q459" s="599">
        <f t="shared" si="73"/>
        <v>1</v>
      </c>
      <c r="R459" s="659">
        <f t="shared" si="74"/>
        <v>0</v>
      </c>
      <c r="S459" s="598">
        <f t="shared" si="65"/>
        <v>0</v>
      </c>
    </row>
    <row r="460" spans="1:19">
      <c r="A460" s="606"/>
      <c r="B460" s="607"/>
      <c r="C460" s="599">
        <f t="shared" si="66"/>
        <v>1</v>
      </c>
      <c r="D460" s="608"/>
      <c r="E460" s="599">
        <f t="shared" si="67"/>
        <v>1</v>
      </c>
      <c r="F460" s="608"/>
      <c r="G460" s="599">
        <f t="shared" si="68"/>
        <v>1</v>
      </c>
      <c r="H460" s="608"/>
      <c r="I460" s="599">
        <f t="shared" si="69"/>
        <v>1</v>
      </c>
      <c r="J460" s="608"/>
      <c r="K460" s="599">
        <f t="shared" si="70"/>
        <v>1</v>
      </c>
      <c r="L460" s="608"/>
      <c r="M460" s="599">
        <f t="shared" si="71"/>
        <v>1</v>
      </c>
      <c r="N460" s="608"/>
      <c r="O460" s="599">
        <f t="shared" si="72"/>
        <v>1</v>
      </c>
      <c r="P460" s="608"/>
      <c r="Q460" s="599">
        <f t="shared" si="73"/>
        <v>1</v>
      </c>
      <c r="R460" s="659">
        <f t="shared" si="74"/>
        <v>0</v>
      </c>
      <c r="S460" s="598">
        <f t="shared" si="65"/>
        <v>0</v>
      </c>
    </row>
    <row r="461" spans="1:19">
      <c r="A461" s="606"/>
      <c r="B461" s="607"/>
      <c r="C461" s="599">
        <f t="shared" si="66"/>
        <v>1</v>
      </c>
      <c r="D461" s="608"/>
      <c r="E461" s="599">
        <f t="shared" si="67"/>
        <v>1</v>
      </c>
      <c r="F461" s="608"/>
      <c r="G461" s="599">
        <f t="shared" si="68"/>
        <v>1</v>
      </c>
      <c r="H461" s="608"/>
      <c r="I461" s="599">
        <f t="shared" si="69"/>
        <v>1</v>
      </c>
      <c r="J461" s="608"/>
      <c r="K461" s="599">
        <f t="shared" si="70"/>
        <v>1</v>
      </c>
      <c r="L461" s="608"/>
      <c r="M461" s="599">
        <f t="shared" si="71"/>
        <v>1</v>
      </c>
      <c r="N461" s="608"/>
      <c r="O461" s="599">
        <f t="shared" si="72"/>
        <v>1</v>
      </c>
      <c r="P461" s="608"/>
      <c r="Q461" s="599">
        <f t="shared" si="73"/>
        <v>1</v>
      </c>
      <c r="R461" s="659">
        <f t="shared" si="74"/>
        <v>0</v>
      </c>
      <c r="S461" s="598">
        <f t="shared" si="65"/>
        <v>0</v>
      </c>
    </row>
    <row r="462" spans="1:19">
      <c r="A462" s="606"/>
      <c r="B462" s="607"/>
      <c r="C462" s="599">
        <f t="shared" si="66"/>
        <v>1</v>
      </c>
      <c r="D462" s="608"/>
      <c r="E462" s="599">
        <f t="shared" si="67"/>
        <v>1</v>
      </c>
      <c r="F462" s="608"/>
      <c r="G462" s="599">
        <f t="shared" si="68"/>
        <v>1</v>
      </c>
      <c r="H462" s="608"/>
      <c r="I462" s="599">
        <f t="shared" si="69"/>
        <v>1</v>
      </c>
      <c r="J462" s="608"/>
      <c r="K462" s="599">
        <f t="shared" si="70"/>
        <v>1</v>
      </c>
      <c r="L462" s="608"/>
      <c r="M462" s="599">
        <f t="shared" si="71"/>
        <v>1</v>
      </c>
      <c r="N462" s="608"/>
      <c r="O462" s="599">
        <f t="shared" si="72"/>
        <v>1</v>
      </c>
      <c r="P462" s="608"/>
      <c r="Q462" s="599">
        <f t="shared" si="73"/>
        <v>1</v>
      </c>
      <c r="R462" s="659">
        <f t="shared" si="74"/>
        <v>0</v>
      </c>
      <c r="S462" s="598">
        <f t="shared" si="65"/>
        <v>0</v>
      </c>
    </row>
    <row r="463" spans="1:19">
      <c r="A463" s="606"/>
      <c r="B463" s="607"/>
      <c r="C463" s="599">
        <f t="shared" si="66"/>
        <v>1</v>
      </c>
      <c r="D463" s="608"/>
      <c r="E463" s="599">
        <f t="shared" si="67"/>
        <v>1</v>
      </c>
      <c r="F463" s="608"/>
      <c r="G463" s="599">
        <f t="shared" si="68"/>
        <v>1</v>
      </c>
      <c r="H463" s="608"/>
      <c r="I463" s="599">
        <f t="shared" si="69"/>
        <v>1</v>
      </c>
      <c r="J463" s="608"/>
      <c r="K463" s="599">
        <f t="shared" si="70"/>
        <v>1</v>
      </c>
      <c r="L463" s="608"/>
      <c r="M463" s="599">
        <f t="shared" si="71"/>
        <v>1</v>
      </c>
      <c r="N463" s="608"/>
      <c r="O463" s="599">
        <f t="shared" si="72"/>
        <v>1</v>
      </c>
      <c r="P463" s="608"/>
      <c r="Q463" s="599">
        <f t="shared" si="73"/>
        <v>1</v>
      </c>
      <c r="R463" s="659">
        <f t="shared" si="74"/>
        <v>0</v>
      </c>
      <c r="S463" s="598">
        <f t="shared" si="65"/>
        <v>0</v>
      </c>
    </row>
    <row r="464" spans="1:19">
      <c r="A464" s="606"/>
      <c r="B464" s="607"/>
      <c r="C464" s="599">
        <f t="shared" si="66"/>
        <v>1</v>
      </c>
      <c r="D464" s="608"/>
      <c r="E464" s="599">
        <f t="shared" si="67"/>
        <v>1</v>
      </c>
      <c r="F464" s="608"/>
      <c r="G464" s="599">
        <f t="shared" si="68"/>
        <v>1</v>
      </c>
      <c r="H464" s="608"/>
      <c r="I464" s="599">
        <f t="shared" si="69"/>
        <v>1</v>
      </c>
      <c r="J464" s="608"/>
      <c r="K464" s="599">
        <f t="shared" si="70"/>
        <v>1</v>
      </c>
      <c r="L464" s="608"/>
      <c r="M464" s="599">
        <f t="shared" si="71"/>
        <v>1</v>
      </c>
      <c r="N464" s="608"/>
      <c r="O464" s="599">
        <f t="shared" si="72"/>
        <v>1</v>
      </c>
      <c r="P464" s="608"/>
      <c r="Q464" s="599">
        <f t="shared" si="73"/>
        <v>1</v>
      </c>
      <c r="R464" s="659">
        <f t="shared" si="74"/>
        <v>0</v>
      </c>
      <c r="S464" s="598">
        <f t="shared" si="65"/>
        <v>0</v>
      </c>
    </row>
    <row r="465" spans="1:19">
      <c r="A465" s="606"/>
      <c r="B465" s="607"/>
      <c r="C465" s="599">
        <f t="shared" si="66"/>
        <v>1</v>
      </c>
      <c r="D465" s="608"/>
      <c r="E465" s="599">
        <f t="shared" si="67"/>
        <v>1</v>
      </c>
      <c r="F465" s="608"/>
      <c r="G465" s="599">
        <f t="shared" si="68"/>
        <v>1</v>
      </c>
      <c r="H465" s="608"/>
      <c r="I465" s="599">
        <f t="shared" si="69"/>
        <v>1</v>
      </c>
      <c r="J465" s="608"/>
      <c r="K465" s="599">
        <f t="shared" si="70"/>
        <v>1</v>
      </c>
      <c r="L465" s="608"/>
      <c r="M465" s="599">
        <f t="shared" si="71"/>
        <v>1</v>
      </c>
      <c r="N465" s="608"/>
      <c r="O465" s="599">
        <f t="shared" si="72"/>
        <v>1</v>
      </c>
      <c r="P465" s="608"/>
      <c r="Q465" s="599">
        <f t="shared" si="73"/>
        <v>1</v>
      </c>
      <c r="R465" s="659">
        <f t="shared" si="74"/>
        <v>0</v>
      </c>
      <c r="S465" s="598">
        <f t="shared" si="65"/>
        <v>0</v>
      </c>
    </row>
    <row r="466" spans="1:19">
      <c r="A466" s="606"/>
      <c r="B466" s="607"/>
      <c r="C466" s="599">
        <f t="shared" si="66"/>
        <v>1</v>
      </c>
      <c r="D466" s="608"/>
      <c r="E466" s="599">
        <f t="shared" si="67"/>
        <v>1</v>
      </c>
      <c r="F466" s="608"/>
      <c r="G466" s="599">
        <f t="shared" si="68"/>
        <v>1</v>
      </c>
      <c r="H466" s="608"/>
      <c r="I466" s="599">
        <f t="shared" si="69"/>
        <v>1</v>
      </c>
      <c r="J466" s="608"/>
      <c r="K466" s="599">
        <f t="shared" si="70"/>
        <v>1</v>
      </c>
      <c r="L466" s="608"/>
      <c r="M466" s="599">
        <f t="shared" si="71"/>
        <v>1</v>
      </c>
      <c r="N466" s="608"/>
      <c r="O466" s="599">
        <f t="shared" si="72"/>
        <v>1</v>
      </c>
      <c r="P466" s="608"/>
      <c r="Q466" s="599">
        <f t="shared" si="73"/>
        <v>1</v>
      </c>
      <c r="R466" s="659">
        <f t="shared" si="74"/>
        <v>0</v>
      </c>
      <c r="S466" s="598">
        <f t="shared" si="65"/>
        <v>0</v>
      </c>
    </row>
    <row r="467" spans="1:19">
      <c r="A467" s="606"/>
      <c r="B467" s="607"/>
      <c r="C467" s="599">
        <f t="shared" si="66"/>
        <v>1</v>
      </c>
      <c r="D467" s="608"/>
      <c r="E467" s="599">
        <f t="shared" si="67"/>
        <v>1</v>
      </c>
      <c r="F467" s="608"/>
      <c r="G467" s="599">
        <f t="shared" si="68"/>
        <v>1</v>
      </c>
      <c r="H467" s="608"/>
      <c r="I467" s="599">
        <f t="shared" si="69"/>
        <v>1</v>
      </c>
      <c r="J467" s="608"/>
      <c r="K467" s="599">
        <f t="shared" si="70"/>
        <v>1</v>
      </c>
      <c r="L467" s="608"/>
      <c r="M467" s="599">
        <f t="shared" si="71"/>
        <v>1</v>
      </c>
      <c r="N467" s="608"/>
      <c r="O467" s="599">
        <f t="shared" si="72"/>
        <v>1</v>
      </c>
      <c r="P467" s="608"/>
      <c r="Q467" s="599">
        <f t="shared" si="73"/>
        <v>1</v>
      </c>
      <c r="R467" s="659">
        <f t="shared" si="74"/>
        <v>0</v>
      </c>
      <c r="S467" s="598">
        <f t="shared" si="65"/>
        <v>0</v>
      </c>
    </row>
    <row r="468" spans="1:19">
      <c r="A468" s="606"/>
      <c r="B468" s="607"/>
      <c r="C468" s="599">
        <f t="shared" si="66"/>
        <v>1</v>
      </c>
      <c r="D468" s="608"/>
      <c r="E468" s="599">
        <f t="shared" si="67"/>
        <v>1</v>
      </c>
      <c r="F468" s="608"/>
      <c r="G468" s="599">
        <f t="shared" si="68"/>
        <v>1</v>
      </c>
      <c r="H468" s="608"/>
      <c r="I468" s="599">
        <f t="shared" si="69"/>
        <v>1</v>
      </c>
      <c r="J468" s="608"/>
      <c r="K468" s="599">
        <f t="shared" si="70"/>
        <v>1</v>
      </c>
      <c r="L468" s="608"/>
      <c r="M468" s="599">
        <f t="shared" si="71"/>
        <v>1</v>
      </c>
      <c r="N468" s="608"/>
      <c r="O468" s="599">
        <f t="shared" si="72"/>
        <v>1</v>
      </c>
      <c r="P468" s="608"/>
      <c r="Q468" s="599">
        <f t="shared" si="73"/>
        <v>1</v>
      </c>
      <c r="R468" s="659">
        <f t="shared" si="74"/>
        <v>0</v>
      </c>
      <c r="S468" s="598">
        <f t="shared" si="65"/>
        <v>0</v>
      </c>
    </row>
    <row r="469" spans="1:19">
      <c r="A469" s="606"/>
      <c r="B469" s="607"/>
      <c r="C469" s="599">
        <f t="shared" si="66"/>
        <v>1</v>
      </c>
      <c r="D469" s="608"/>
      <c r="E469" s="599">
        <f t="shared" si="67"/>
        <v>1</v>
      </c>
      <c r="F469" s="608"/>
      <c r="G469" s="599">
        <f t="shared" si="68"/>
        <v>1</v>
      </c>
      <c r="H469" s="608"/>
      <c r="I469" s="599">
        <f t="shared" si="69"/>
        <v>1</v>
      </c>
      <c r="J469" s="608"/>
      <c r="K469" s="599">
        <f t="shared" si="70"/>
        <v>1</v>
      </c>
      <c r="L469" s="608"/>
      <c r="M469" s="599">
        <f t="shared" si="71"/>
        <v>1</v>
      </c>
      <c r="N469" s="608"/>
      <c r="O469" s="599">
        <f t="shared" si="72"/>
        <v>1</v>
      </c>
      <c r="P469" s="608"/>
      <c r="Q469" s="599">
        <f t="shared" si="73"/>
        <v>1</v>
      </c>
      <c r="R469" s="659">
        <f t="shared" si="74"/>
        <v>0</v>
      </c>
      <c r="S469" s="598">
        <f t="shared" si="65"/>
        <v>0</v>
      </c>
    </row>
    <row r="470" spans="1:19">
      <c r="A470" s="606"/>
      <c r="B470" s="607"/>
      <c r="C470" s="599">
        <f t="shared" si="66"/>
        <v>1</v>
      </c>
      <c r="D470" s="608"/>
      <c r="E470" s="599">
        <f t="shared" si="67"/>
        <v>1</v>
      </c>
      <c r="F470" s="608"/>
      <c r="G470" s="599">
        <f t="shared" si="68"/>
        <v>1</v>
      </c>
      <c r="H470" s="608"/>
      <c r="I470" s="599">
        <f t="shared" si="69"/>
        <v>1</v>
      </c>
      <c r="J470" s="608"/>
      <c r="K470" s="599">
        <f t="shared" si="70"/>
        <v>1</v>
      </c>
      <c r="L470" s="608"/>
      <c r="M470" s="599">
        <f t="shared" si="71"/>
        <v>1</v>
      </c>
      <c r="N470" s="608"/>
      <c r="O470" s="599">
        <f t="shared" si="72"/>
        <v>1</v>
      </c>
      <c r="P470" s="608"/>
      <c r="Q470" s="599">
        <f t="shared" si="73"/>
        <v>1</v>
      </c>
      <c r="R470" s="659">
        <f t="shared" si="74"/>
        <v>0</v>
      </c>
      <c r="S470" s="598">
        <f t="shared" si="65"/>
        <v>0</v>
      </c>
    </row>
    <row r="471" spans="1:19">
      <c r="A471" s="606"/>
      <c r="B471" s="607"/>
      <c r="C471" s="599">
        <f t="shared" si="66"/>
        <v>1</v>
      </c>
      <c r="D471" s="608"/>
      <c r="E471" s="599">
        <f t="shared" si="67"/>
        <v>1</v>
      </c>
      <c r="F471" s="608"/>
      <c r="G471" s="599">
        <f t="shared" si="68"/>
        <v>1</v>
      </c>
      <c r="H471" s="608"/>
      <c r="I471" s="599">
        <f t="shared" si="69"/>
        <v>1</v>
      </c>
      <c r="J471" s="608"/>
      <c r="K471" s="599">
        <f t="shared" si="70"/>
        <v>1</v>
      </c>
      <c r="L471" s="608"/>
      <c r="M471" s="599">
        <f t="shared" si="71"/>
        <v>1</v>
      </c>
      <c r="N471" s="608"/>
      <c r="O471" s="599">
        <f t="shared" si="72"/>
        <v>1</v>
      </c>
      <c r="P471" s="608"/>
      <c r="Q471" s="599">
        <f t="shared" si="73"/>
        <v>1</v>
      </c>
      <c r="R471" s="659">
        <f t="shared" si="74"/>
        <v>0</v>
      </c>
      <c r="S471" s="598">
        <f t="shared" si="65"/>
        <v>0</v>
      </c>
    </row>
    <row r="472" spans="1:19">
      <c r="A472" s="606"/>
      <c r="B472" s="607"/>
      <c r="C472" s="599">
        <f t="shared" si="66"/>
        <v>1</v>
      </c>
      <c r="D472" s="608"/>
      <c r="E472" s="599">
        <f t="shared" si="67"/>
        <v>1</v>
      </c>
      <c r="F472" s="608"/>
      <c r="G472" s="599">
        <f t="shared" si="68"/>
        <v>1</v>
      </c>
      <c r="H472" s="608"/>
      <c r="I472" s="599">
        <f t="shared" si="69"/>
        <v>1</v>
      </c>
      <c r="J472" s="608"/>
      <c r="K472" s="599">
        <f t="shared" si="70"/>
        <v>1</v>
      </c>
      <c r="L472" s="608"/>
      <c r="M472" s="599">
        <f t="shared" si="71"/>
        <v>1</v>
      </c>
      <c r="N472" s="608"/>
      <c r="O472" s="599">
        <f t="shared" si="72"/>
        <v>1</v>
      </c>
      <c r="P472" s="608"/>
      <c r="Q472" s="599">
        <f t="shared" si="73"/>
        <v>1</v>
      </c>
      <c r="R472" s="659">
        <f t="shared" si="74"/>
        <v>0</v>
      </c>
      <c r="S472" s="598">
        <f t="shared" ref="S472:S524" si="75">ROUND(R472*B472/10000,0)</f>
        <v>0</v>
      </c>
    </row>
    <row r="473" spans="1:19">
      <c r="A473" s="606"/>
      <c r="B473" s="607"/>
      <c r="C473" s="599">
        <f t="shared" ref="C473:C524" si="76">IF(B473="",1,(LOOKUP(B473,$3:$3,$4:$4)-LOOKUP($B$24,$3:$3,$4:$4)+100)/100)</f>
        <v>1</v>
      </c>
      <c r="D473" s="608"/>
      <c r="E473" s="599">
        <f t="shared" ref="E473:E524" si="77">(SUMIF($5:$5,D473,$6:$6)-SUMIF($5:$5,$D$24,$6:$6)+100)/100</f>
        <v>1</v>
      </c>
      <c r="F473" s="608"/>
      <c r="G473" s="599">
        <f t="shared" ref="G473:G524" si="78">(SUMIF($7:$7,F473,$8:$8)-SUMIF($7:$7,$F$24,$8:$8)+100)/100</f>
        <v>1</v>
      </c>
      <c r="H473" s="608"/>
      <c r="I473" s="599">
        <f t="shared" ref="I473:I524" si="79">(SUMIF($9:$9,H473,$10:$10)-SUMIF($9:$9,$H$24,$10:$10)+100)/100</f>
        <v>1</v>
      </c>
      <c r="J473" s="608"/>
      <c r="K473" s="599">
        <f t="shared" ref="K473:K524" si="80">(SUMIF($11:$11,J473,$12:$12)-SUMIF($11:$11,$J$24,$12:$12)+100)/100</f>
        <v>1</v>
      </c>
      <c r="L473" s="608"/>
      <c r="M473" s="599">
        <f t="shared" ref="M473:M524" si="81">(SUMIF($13:$13,L473,$14:$14)-SUMIF($13:$13,$L$24,$14:$14)+100)/100</f>
        <v>1</v>
      </c>
      <c r="N473" s="608"/>
      <c r="O473" s="599">
        <f t="shared" ref="O473:O524" si="82">(SUMIF($15:$15,N473,$16:$16)-SUMIF($15:$15,$N$24,$16:$16)+100)/100</f>
        <v>1</v>
      </c>
      <c r="P473" s="608"/>
      <c r="Q473" s="599">
        <f t="shared" ref="Q473:Q524" si="83">(SUMIF($17:$17,P473,$18:$18)-SUMIF($17:$17,$P$24,$18:$18)+100)/100</f>
        <v>1</v>
      </c>
      <c r="R473" s="659">
        <f t="shared" ref="R473:R524" si="84">IF(B473="",0,ROUND($R$24*C473*E473*G473*I473*K473*M473*O473*Q473,0))</f>
        <v>0</v>
      </c>
      <c r="S473" s="598">
        <f t="shared" si="75"/>
        <v>0</v>
      </c>
    </row>
    <row r="474" spans="1:19">
      <c r="A474" s="606"/>
      <c r="B474" s="607"/>
      <c r="C474" s="599">
        <f t="shared" si="76"/>
        <v>1</v>
      </c>
      <c r="D474" s="608"/>
      <c r="E474" s="599">
        <f t="shared" si="77"/>
        <v>1</v>
      </c>
      <c r="F474" s="608"/>
      <c r="G474" s="599">
        <f t="shared" si="78"/>
        <v>1</v>
      </c>
      <c r="H474" s="608"/>
      <c r="I474" s="599">
        <f t="shared" si="79"/>
        <v>1</v>
      </c>
      <c r="J474" s="608"/>
      <c r="K474" s="599">
        <f t="shared" si="80"/>
        <v>1</v>
      </c>
      <c r="L474" s="608"/>
      <c r="M474" s="599">
        <f t="shared" si="81"/>
        <v>1</v>
      </c>
      <c r="N474" s="608"/>
      <c r="O474" s="599">
        <f t="shared" si="82"/>
        <v>1</v>
      </c>
      <c r="P474" s="608"/>
      <c r="Q474" s="599">
        <f t="shared" si="83"/>
        <v>1</v>
      </c>
      <c r="R474" s="659">
        <f t="shared" si="84"/>
        <v>0</v>
      </c>
      <c r="S474" s="598">
        <f t="shared" si="75"/>
        <v>0</v>
      </c>
    </row>
    <row r="475" spans="1:19">
      <c r="A475" s="606"/>
      <c r="B475" s="607"/>
      <c r="C475" s="599">
        <f t="shared" si="76"/>
        <v>1</v>
      </c>
      <c r="D475" s="608"/>
      <c r="E475" s="599">
        <f t="shared" si="77"/>
        <v>1</v>
      </c>
      <c r="F475" s="608"/>
      <c r="G475" s="599">
        <f t="shared" si="78"/>
        <v>1</v>
      </c>
      <c r="H475" s="608"/>
      <c r="I475" s="599">
        <f t="shared" si="79"/>
        <v>1</v>
      </c>
      <c r="J475" s="608"/>
      <c r="K475" s="599">
        <f t="shared" si="80"/>
        <v>1</v>
      </c>
      <c r="L475" s="608"/>
      <c r="M475" s="599">
        <f t="shared" si="81"/>
        <v>1</v>
      </c>
      <c r="N475" s="608"/>
      <c r="O475" s="599">
        <f t="shared" si="82"/>
        <v>1</v>
      </c>
      <c r="P475" s="608"/>
      <c r="Q475" s="599">
        <f t="shared" si="83"/>
        <v>1</v>
      </c>
      <c r="R475" s="659">
        <f t="shared" si="84"/>
        <v>0</v>
      </c>
      <c r="S475" s="598">
        <f t="shared" si="75"/>
        <v>0</v>
      </c>
    </row>
    <row r="476" spans="1:19">
      <c r="A476" s="606"/>
      <c r="B476" s="607"/>
      <c r="C476" s="599">
        <f t="shared" si="76"/>
        <v>1</v>
      </c>
      <c r="D476" s="608"/>
      <c r="E476" s="599">
        <f t="shared" si="77"/>
        <v>1</v>
      </c>
      <c r="F476" s="608"/>
      <c r="G476" s="599">
        <f t="shared" si="78"/>
        <v>1</v>
      </c>
      <c r="H476" s="608"/>
      <c r="I476" s="599">
        <f t="shared" si="79"/>
        <v>1</v>
      </c>
      <c r="J476" s="608"/>
      <c r="K476" s="599">
        <f t="shared" si="80"/>
        <v>1</v>
      </c>
      <c r="L476" s="608"/>
      <c r="M476" s="599">
        <f t="shared" si="81"/>
        <v>1</v>
      </c>
      <c r="N476" s="608"/>
      <c r="O476" s="599">
        <f t="shared" si="82"/>
        <v>1</v>
      </c>
      <c r="P476" s="608"/>
      <c r="Q476" s="599">
        <f t="shared" si="83"/>
        <v>1</v>
      </c>
      <c r="R476" s="659">
        <f t="shared" si="84"/>
        <v>0</v>
      </c>
      <c r="S476" s="598">
        <f t="shared" si="75"/>
        <v>0</v>
      </c>
    </row>
    <row r="477" spans="1:19">
      <c r="A477" s="606"/>
      <c r="B477" s="607"/>
      <c r="C477" s="599">
        <f t="shared" si="76"/>
        <v>1</v>
      </c>
      <c r="D477" s="608"/>
      <c r="E477" s="599">
        <f t="shared" si="77"/>
        <v>1</v>
      </c>
      <c r="F477" s="608"/>
      <c r="G477" s="599">
        <f t="shared" si="78"/>
        <v>1</v>
      </c>
      <c r="H477" s="608"/>
      <c r="I477" s="599">
        <f t="shared" si="79"/>
        <v>1</v>
      </c>
      <c r="J477" s="608"/>
      <c r="K477" s="599">
        <f t="shared" si="80"/>
        <v>1</v>
      </c>
      <c r="L477" s="608"/>
      <c r="M477" s="599">
        <f t="shared" si="81"/>
        <v>1</v>
      </c>
      <c r="N477" s="608"/>
      <c r="O477" s="599">
        <f t="shared" si="82"/>
        <v>1</v>
      </c>
      <c r="P477" s="608"/>
      <c r="Q477" s="599">
        <f t="shared" si="83"/>
        <v>1</v>
      </c>
      <c r="R477" s="659">
        <f t="shared" si="84"/>
        <v>0</v>
      </c>
      <c r="S477" s="598">
        <f t="shared" si="75"/>
        <v>0</v>
      </c>
    </row>
    <row r="478" spans="1:19">
      <c r="A478" s="606"/>
      <c r="B478" s="607"/>
      <c r="C478" s="599">
        <f t="shared" si="76"/>
        <v>1</v>
      </c>
      <c r="D478" s="608"/>
      <c r="E478" s="599">
        <f t="shared" si="77"/>
        <v>1</v>
      </c>
      <c r="F478" s="608"/>
      <c r="G478" s="599">
        <f t="shared" si="78"/>
        <v>1</v>
      </c>
      <c r="H478" s="608"/>
      <c r="I478" s="599">
        <f t="shared" si="79"/>
        <v>1</v>
      </c>
      <c r="J478" s="608"/>
      <c r="K478" s="599">
        <f t="shared" si="80"/>
        <v>1</v>
      </c>
      <c r="L478" s="608"/>
      <c r="M478" s="599">
        <f t="shared" si="81"/>
        <v>1</v>
      </c>
      <c r="N478" s="608"/>
      <c r="O478" s="599">
        <f t="shared" si="82"/>
        <v>1</v>
      </c>
      <c r="P478" s="608"/>
      <c r="Q478" s="599">
        <f t="shared" si="83"/>
        <v>1</v>
      </c>
      <c r="R478" s="659">
        <f t="shared" si="84"/>
        <v>0</v>
      </c>
      <c r="S478" s="598">
        <f t="shared" si="75"/>
        <v>0</v>
      </c>
    </row>
    <row r="479" spans="1:19">
      <c r="A479" s="606"/>
      <c r="B479" s="607"/>
      <c r="C479" s="599">
        <f t="shared" si="76"/>
        <v>1</v>
      </c>
      <c r="D479" s="608"/>
      <c r="E479" s="599">
        <f t="shared" si="77"/>
        <v>1</v>
      </c>
      <c r="F479" s="608"/>
      <c r="G479" s="599">
        <f t="shared" si="78"/>
        <v>1</v>
      </c>
      <c r="H479" s="608"/>
      <c r="I479" s="599">
        <f t="shared" si="79"/>
        <v>1</v>
      </c>
      <c r="J479" s="608"/>
      <c r="K479" s="599">
        <f t="shared" si="80"/>
        <v>1</v>
      </c>
      <c r="L479" s="608"/>
      <c r="M479" s="599">
        <f t="shared" si="81"/>
        <v>1</v>
      </c>
      <c r="N479" s="608"/>
      <c r="O479" s="599">
        <f t="shared" si="82"/>
        <v>1</v>
      </c>
      <c r="P479" s="608"/>
      <c r="Q479" s="599">
        <f t="shared" si="83"/>
        <v>1</v>
      </c>
      <c r="R479" s="659">
        <f t="shared" si="84"/>
        <v>0</v>
      </c>
      <c r="S479" s="598">
        <f t="shared" si="75"/>
        <v>0</v>
      </c>
    </row>
    <row r="480" spans="1:19">
      <c r="A480" s="606"/>
      <c r="B480" s="607"/>
      <c r="C480" s="599">
        <f t="shared" si="76"/>
        <v>1</v>
      </c>
      <c r="D480" s="608"/>
      <c r="E480" s="599">
        <f t="shared" si="77"/>
        <v>1</v>
      </c>
      <c r="F480" s="608"/>
      <c r="G480" s="599">
        <f t="shared" si="78"/>
        <v>1</v>
      </c>
      <c r="H480" s="608"/>
      <c r="I480" s="599">
        <f t="shared" si="79"/>
        <v>1</v>
      </c>
      <c r="J480" s="608"/>
      <c r="K480" s="599">
        <f t="shared" si="80"/>
        <v>1</v>
      </c>
      <c r="L480" s="608"/>
      <c r="M480" s="599">
        <f t="shared" si="81"/>
        <v>1</v>
      </c>
      <c r="N480" s="608"/>
      <c r="O480" s="599">
        <f t="shared" si="82"/>
        <v>1</v>
      </c>
      <c r="P480" s="608"/>
      <c r="Q480" s="599">
        <f t="shared" si="83"/>
        <v>1</v>
      </c>
      <c r="R480" s="659">
        <f t="shared" si="84"/>
        <v>0</v>
      </c>
      <c r="S480" s="598">
        <f t="shared" si="75"/>
        <v>0</v>
      </c>
    </row>
    <row r="481" spans="1:19">
      <c r="A481" s="606"/>
      <c r="B481" s="607"/>
      <c r="C481" s="599">
        <f t="shared" si="76"/>
        <v>1</v>
      </c>
      <c r="D481" s="608"/>
      <c r="E481" s="599">
        <f t="shared" si="77"/>
        <v>1</v>
      </c>
      <c r="F481" s="608"/>
      <c r="G481" s="599">
        <f t="shared" si="78"/>
        <v>1</v>
      </c>
      <c r="H481" s="608"/>
      <c r="I481" s="599">
        <f t="shared" si="79"/>
        <v>1</v>
      </c>
      <c r="J481" s="608"/>
      <c r="K481" s="599">
        <f t="shared" si="80"/>
        <v>1</v>
      </c>
      <c r="L481" s="608"/>
      <c r="M481" s="599">
        <f t="shared" si="81"/>
        <v>1</v>
      </c>
      <c r="N481" s="608"/>
      <c r="O481" s="599">
        <f t="shared" si="82"/>
        <v>1</v>
      </c>
      <c r="P481" s="608"/>
      <c r="Q481" s="599">
        <f t="shared" si="83"/>
        <v>1</v>
      </c>
      <c r="R481" s="659">
        <f t="shared" si="84"/>
        <v>0</v>
      </c>
      <c r="S481" s="598">
        <f t="shared" si="75"/>
        <v>0</v>
      </c>
    </row>
    <row r="482" spans="1:19">
      <c r="A482" s="606"/>
      <c r="B482" s="607"/>
      <c r="C482" s="599">
        <f t="shared" si="76"/>
        <v>1</v>
      </c>
      <c r="D482" s="608"/>
      <c r="E482" s="599">
        <f t="shared" si="77"/>
        <v>1</v>
      </c>
      <c r="F482" s="608"/>
      <c r="G482" s="599">
        <f t="shared" si="78"/>
        <v>1</v>
      </c>
      <c r="H482" s="608"/>
      <c r="I482" s="599">
        <f t="shared" si="79"/>
        <v>1</v>
      </c>
      <c r="J482" s="608"/>
      <c r="K482" s="599">
        <f t="shared" si="80"/>
        <v>1</v>
      </c>
      <c r="L482" s="608"/>
      <c r="M482" s="599">
        <f t="shared" si="81"/>
        <v>1</v>
      </c>
      <c r="N482" s="608"/>
      <c r="O482" s="599">
        <f t="shared" si="82"/>
        <v>1</v>
      </c>
      <c r="P482" s="608"/>
      <c r="Q482" s="599">
        <f t="shared" si="83"/>
        <v>1</v>
      </c>
      <c r="R482" s="659">
        <f t="shared" si="84"/>
        <v>0</v>
      </c>
      <c r="S482" s="598">
        <f t="shared" si="75"/>
        <v>0</v>
      </c>
    </row>
    <row r="483" spans="1:19">
      <c r="A483" s="606"/>
      <c r="B483" s="607"/>
      <c r="C483" s="599">
        <f t="shared" si="76"/>
        <v>1</v>
      </c>
      <c r="D483" s="608"/>
      <c r="E483" s="599">
        <f t="shared" si="77"/>
        <v>1</v>
      </c>
      <c r="F483" s="608"/>
      <c r="G483" s="599">
        <f t="shared" si="78"/>
        <v>1</v>
      </c>
      <c r="H483" s="608"/>
      <c r="I483" s="599">
        <f t="shared" si="79"/>
        <v>1</v>
      </c>
      <c r="J483" s="608"/>
      <c r="K483" s="599">
        <f t="shared" si="80"/>
        <v>1</v>
      </c>
      <c r="L483" s="608"/>
      <c r="M483" s="599">
        <f t="shared" si="81"/>
        <v>1</v>
      </c>
      <c r="N483" s="608"/>
      <c r="O483" s="599">
        <f t="shared" si="82"/>
        <v>1</v>
      </c>
      <c r="P483" s="608"/>
      <c r="Q483" s="599">
        <f t="shared" si="83"/>
        <v>1</v>
      </c>
      <c r="R483" s="659">
        <f t="shared" si="84"/>
        <v>0</v>
      </c>
      <c r="S483" s="598">
        <f t="shared" si="75"/>
        <v>0</v>
      </c>
    </row>
    <row r="484" spans="1:19">
      <c r="A484" s="606"/>
      <c r="B484" s="607"/>
      <c r="C484" s="599">
        <f t="shared" si="76"/>
        <v>1</v>
      </c>
      <c r="D484" s="608"/>
      <c r="E484" s="599">
        <f t="shared" si="77"/>
        <v>1</v>
      </c>
      <c r="F484" s="608"/>
      <c r="G484" s="599">
        <f t="shared" si="78"/>
        <v>1</v>
      </c>
      <c r="H484" s="608"/>
      <c r="I484" s="599">
        <f t="shared" si="79"/>
        <v>1</v>
      </c>
      <c r="J484" s="608"/>
      <c r="K484" s="599">
        <f t="shared" si="80"/>
        <v>1</v>
      </c>
      <c r="L484" s="608"/>
      <c r="M484" s="599">
        <f t="shared" si="81"/>
        <v>1</v>
      </c>
      <c r="N484" s="608"/>
      <c r="O484" s="599">
        <f t="shared" si="82"/>
        <v>1</v>
      </c>
      <c r="P484" s="608"/>
      <c r="Q484" s="599">
        <f t="shared" si="83"/>
        <v>1</v>
      </c>
      <c r="R484" s="659">
        <f t="shared" si="84"/>
        <v>0</v>
      </c>
      <c r="S484" s="598">
        <f t="shared" si="75"/>
        <v>0</v>
      </c>
    </row>
    <row r="485" spans="1:19">
      <c r="A485" s="606"/>
      <c r="B485" s="607"/>
      <c r="C485" s="599">
        <f t="shared" si="76"/>
        <v>1</v>
      </c>
      <c r="D485" s="608"/>
      <c r="E485" s="599">
        <f t="shared" si="77"/>
        <v>1</v>
      </c>
      <c r="F485" s="608"/>
      <c r="G485" s="599">
        <f t="shared" si="78"/>
        <v>1</v>
      </c>
      <c r="H485" s="608"/>
      <c r="I485" s="599">
        <f t="shared" si="79"/>
        <v>1</v>
      </c>
      <c r="J485" s="608"/>
      <c r="K485" s="599">
        <f t="shared" si="80"/>
        <v>1</v>
      </c>
      <c r="L485" s="608"/>
      <c r="M485" s="599">
        <f t="shared" si="81"/>
        <v>1</v>
      </c>
      <c r="N485" s="608"/>
      <c r="O485" s="599">
        <f t="shared" si="82"/>
        <v>1</v>
      </c>
      <c r="P485" s="608"/>
      <c r="Q485" s="599">
        <f t="shared" si="83"/>
        <v>1</v>
      </c>
      <c r="R485" s="659">
        <f t="shared" si="84"/>
        <v>0</v>
      </c>
      <c r="S485" s="598">
        <f t="shared" si="75"/>
        <v>0</v>
      </c>
    </row>
    <row r="486" spans="1:19">
      <c r="A486" s="606"/>
      <c r="B486" s="607"/>
      <c r="C486" s="599">
        <f t="shared" si="76"/>
        <v>1</v>
      </c>
      <c r="D486" s="608"/>
      <c r="E486" s="599">
        <f t="shared" si="77"/>
        <v>1</v>
      </c>
      <c r="F486" s="608"/>
      <c r="G486" s="599">
        <f t="shared" si="78"/>
        <v>1</v>
      </c>
      <c r="H486" s="608"/>
      <c r="I486" s="599">
        <f t="shared" si="79"/>
        <v>1</v>
      </c>
      <c r="J486" s="608"/>
      <c r="K486" s="599">
        <f t="shared" si="80"/>
        <v>1</v>
      </c>
      <c r="L486" s="608"/>
      <c r="M486" s="599">
        <f t="shared" si="81"/>
        <v>1</v>
      </c>
      <c r="N486" s="608"/>
      <c r="O486" s="599">
        <f t="shared" si="82"/>
        <v>1</v>
      </c>
      <c r="P486" s="608"/>
      <c r="Q486" s="599">
        <f t="shared" si="83"/>
        <v>1</v>
      </c>
      <c r="R486" s="659">
        <f t="shared" si="84"/>
        <v>0</v>
      </c>
      <c r="S486" s="598">
        <f t="shared" si="75"/>
        <v>0</v>
      </c>
    </row>
    <row r="487" spans="1:19">
      <c r="A487" s="606"/>
      <c r="B487" s="607"/>
      <c r="C487" s="599">
        <f t="shared" si="76"/>
        <v>1</v>
      </c>
      <c r="D487" s="608"/>
      <c r="E487" s="599">
        <f t="shared" si="77"/>
        <v>1</v>
      </c>
      <c r="F487" s="608"/>
      <c r="G487" s="599">
        <f t="shared" si="78"/>
        <v>1</v>
      </c>
      <c r="H487" s="608"/>
      <c r="I487" s="599">
        <f t="shared" si="79"/>
        <v>1</v>
      </c>
      <c r="J487" s="608"/>
      <c r="K487" s="599">
        <f t="shared" si="80"/>
        <v>1</v>
      </c>
      <c r="L487" s="608"/>
      <c r="M487" s="599">
        <f t="shared" si="81"/>
        <v>1</v>
      </c>
      <c r="N487" s="608"/>
      <c r="O487" s="599">
        <f t="shared" si="82"/>
        <v>1</v>
      </c>
      <c r="P487" s="608"/>
      <c r="Q487" s="599">
        <f t="shared" si="83"/>
        <v>1</v>
      </c>
      <c r="R487" s="659">
        <f t="shared" si="84"/>
        <v>0</v>
      </c>
      <c r="S487" s="598">
        <f t="shared" si="75"/>
        <v>0</v>
      </c>
    </row>
    <row r="488" spans="1:19">
      <c r="A488" s="606"/>
      <c r="B488" s="607"/>
      <c r="C488" s="599">
        <f t="shared" si="76"/>
        <v>1</v>
      </c>
      <c r="D488" s="608"/>
      <c r="E488" s="599">
        <f t="shared" si="77"/>
        <v>1</v>
      </c>
      <c r="F488" s="608"/>
      <c r="G488" s="599">
        <f t="shared" si="78"/>
        <v>1</v>
      </c>
      <c r="H488" s="608"/>
      <c r="I488" s="599">
        <f t="shared" si="79"/>
        <v>1</v>
      </c>
      <c r="J488" s="608"/>
      <c r="K488" s="599">
        <f t="shared" si="80"/>
        <v>1</v>
      </c>
      <c r="L488" s="608"/>
      <c r="M488" s="599">
        <f t="shared" si="81"/>
        <v>1</v>
      </c>
      <c r="N488" s="608"/>
      <c r="O488" s="599">
        <f t="shared" si="82"/>
        <v>1</v>
      </c>
      <c r="P488" s="608"/>
      <c r="Q488" s="599">
        <f t="shared" si="83"/>
        <v>1</v>
      </c>
      <c r="R488" s="659">
        <f t="shared" si="84"/>
        <v>0</v>
      </c>
      <c r="S488" s="598">
        <f t="shared" si="75"/>
        <v>0</v>
      </c>
    </row>
    <row r="489" spans="1:19">
      <c r="A489" s="606"/>
      <c r="B489" s="607"/>
      <c r="C489" s="599">
        <f t="shared" si="76"/>
        <v>1</v>
      </c>
      <c r="D489" s="608"/>
      <c r="E489" s="599">
        <f t="shared" si="77"/>
        <v>1</v>
      </c>
      <c r="F489" s="608"/>
      <c r="G489" s="599">
        <f t="shared" si="78"/>
        <v>1</v>
      </c>
      <c r="H489" s="608"/>
      <c r="I489" s="599">
        <f t="shared" si="79"/>
        <v>1</v>
      </c>
      <c r="J489" s="608"/>
      <c r="K489" s="599">
        <f t="shared" si="80"/>
        <v>1</v>
      </c>
      <c r="L489" s="608"/>
      <c r="M489" s="599">
        <f t="shared" si="81"/>
        <v>1</v>
      </c>
      <c r="N489" s="608"/>
      <c r="O489" s="599">
        <f t="shared" si="82"/>
        <v>1</v>
      </c>
      <c r="P489" s="608"/>
      <c r="Q489" s="599">
        <f t="shared" si="83"/>
        <v>1</v>
      </c>
      <c r="R489" s="659">
        <f t="shared" si="84"/>
        <v>0</v>
      </c>
      <c r="S489" s="598">
        <f t="shared" si="75"/>
        <v>0</v>
      </c>
    </row>
    <row r="490" spans="1:19">
      <c r="A490" s="606"/>
      <c r="B490" s="607"/>
      <c r="C490" s="599">
        <f t="shared" si="76"/>
        <v>1</v>
      </c>
      <c r="D490" s="608"/>
      <c r="E490" s="599">
        <f t="shared" si="77"/>
        <v>1</v>
      </c>
      <c r="F490" s="608"/>
      <c r="G490" s="599">
        <f t="shared" si="78"/>
        <v>1</v>
      </c>
      <c r="H490" s="608"/>
      <c r="I490" s="599">
        <f t="shared" si="79"/>
        <v>1</v>
      </c>
      <c r="J490" s="608"/>
      <c r="K490" s="599">
        <f t="shared" si="80"/>
        <v>1</v>
      </c>
      <c r="L490" s="608"/>
      <c r="M490" s="599">
        <f t="shared" si="81"/>
        <v>1</v>
      </c>
      <c r="N490" s="608"/>
      <c r="O490" s="599">
        <f t="shared" si="82"/>
        <v>1</v>
      </c>
      <c r="P490" s="608"/>
      <c r="Q490" s="599">
        <f t="shared" si="83"/>
        <v>1</v>
      </c>
      <c r="R490" s="659">
        <f t="shared" si="84"/>
        <v>0</v>
      </c>
      <c r="S490" s="598">
        <f t="shared" si="75"/>
        <v>0</v>
      </c>
    </row>
    <row r="491" spans="1:19">
      <c r="A491" s="606"/>
      <c r="B491" s="607"/>
      <c r="C491" s="599">
        <f t="shared" si="76"/>
        <v>1</v>
      </c>
      <c r="D491" s="608"/>
      <c r="E491" s="599">
        <f t="shared" si="77"/>
        <v>1</v>
      </c>
      <c r="F491" s="608"/>
      <c r="G491" s="599">
        <f t="shared" si="78"/>
        <v>1</v>
      </c>
      <c r="H491" s="608"/>
      <c r="I491" s="599">
        <f t="shared" si="79"/>
        <v>1</v>
      </c>
      <c r="J491" s="608"/>
      <c r="K491" s="599">
        <f t="shared" si="80"/>
        <v>1</v>
      </c>
      <c r="L491" s="608"/>
      <c r="M491" s="599">
        <f t="shared" si="81"/>
        <v>1</v>
      </c>
      <c r="N491" s="608"/>
      <c r="O491" s="599">
        <f t="shared" si="82"/>
        <v>1</v>
      </c>
      <c r="P491" s="608"/>
      <c r="Q491" s="599">
        <f t="shared" si="83"/>
        <v>1</v>
      </c>
      <c r="R491" s="659">
        <f t="shared" si="84"/>
        <v>0</v>
      </c>
      <c r="S491" s="598">
        <f t="shared" si="75"/>
        <v>0</v>
      </c>
    </row>
    <row r="492" spans="1:19">
      <c r="A492" s="606"/>
      <c r="B492" s="607"/>
      <c r="C492" s="599">
        <f t="shared" si="76"/>
        <v>1</v>
      </c>
      <c r="D492" s="608"/>
      <c r="E492" s="599">
        <f t="shared" si="77"/>
        <v>1</v>
      </c>
      <c r="F492" s="608"/>
      <c r="G492" s="599">
        <f t="shared" si="78"/>
        <v>1</v>
      </c>
      <c r="H492" s="608"/>
      <c r="I492" s="599">
        <f t="shared" si="79"/>
        <v>1</v>
      </c>
      <c r="J492" s="608"/>
      <c r="K492" s="599">
        <f t="shared" si="80"/>
        <v>1</v>
      </c>
      <c r="L492" s="608"/>
      <c r="M492" s="599">
        <f t="shared" si="81"/>
        <v>1</v>
      </c>
      <c r="N492" s="608"/>
      <c r="O492" s="599">
        <f t="shared" si="82"/>
        <v>1</v>
      </c>
      <c r="P492" s="608"/>
      <c r="Q492" s="599">
        <f t="shared" si="83"/>
        <v>1</v>
      </c>
      <c r="R492" s="659">
        <f t="shared" si="84"/>
        <v>0</v>
      </c>
      <c r="S492" s="598">
        <f t="shared" si="75"/>
        <v>0</v>
      </c>
    </row>
    <row r="493" spans="1:19">
      <c r="A493" s="606"/>
      <c r="B493" s="607"/>
      <c r="C493" s="599">
        <f t="shared" si="76"/>
        <v>1</v>
      </c>
      <c r="D493" s="608"/>
      <c r="E493" s="599">
        <f t="shared" si="77"/>
        <v>1</v>
      </c>
      <c r="F493" s="608"/>
      <c r="G493" s="599">
        <f t="shared" si="78"/>
        <v>1</v>
      </c>
      <c r="H493" s="608"/>
      <c r="I493" s="599">
        <f t="shared" si="79"/>
        <v>1</v>
      </c>
      <c r="J493" s="608"/>
      <c r="K493" s="599">
        <f t="shared" si="80"/>
        <v>1</v>
      </c>
      <c r="L493" s="608"/>
      <c r="M493" s="599">
        <f t="shared" si="81"/>
        <v>1</v>
      </c>
      <c r="N493" s="608"/>
      <c r="O493" s="599">
        <f t="shared" si="82"/>
        <v>1</v>
      </c>
      <c r="P493" s="608"/>
      <c r="Q493" s="599">
        <f t="shared" si="83"/>
        <v>1</v>
      </c>
      <c r="R493" s="659">
        <f t="shared" si="84"/>
        <v>0</v>
      </c>
      <c r="S493" s="598">
        <f t="shared" si="75"/>
        <v>0</v>
      </c>
    </row>
    <row r="494" spans="1:19">
      <c r="A494" s="606"/>
      <c r="B494" s="607"/>
      <c r="C494" s="599">
        <f t="shared" si="76"/>
        <v>1</v>
      </c>
      <c r="D494" s="608"/>
      <c r="E494" s="599">
        <f t="shared" si="77"/>
        <v>1</v>
      </c>
      <c r="F494" s="608"/>
      <c r="G494" s="599">
        <f t="shared" si="78"/>
        <v>1</v>
      </c>
      <c r="H494" s="608"/>
      <c r="I494" s="599">
        <f t="shared" si="79"/>
        <v>1</v>
      </c>
      <c r="J494" s="608"/>
      <c r="K494" s="599">
        <f t="shared" si="80"/>
        <v>1</v>
      </c>
      <c r="L494" s="608"/>
      <c r="M494" s="599">
        <f t="shared" si="81"/>
        <v>1</v>
      </c>
      <c r="N494" s="608"/>
      <c r="O494" s="599">
        <f t="shared" si="82"/>
        <v>1</v>
      </c>
      <c r="P494" s="608"/>
      <c r="Q494" s="599">
        <f t="shared" si="83"/>
        <v>1</v>
      </c>
      <c r="R494" s="659">
        <f t="shared" si="84"/>
        <v>0</v>
      </c>
      <c r="S494" s="598">
        <f t="shared" si="75"/>
        <v>0</v>
      </c>
    </row>
    <row r="495" spans="1:19">
      <c r="A495" s="606"/>
      <c r="B495" s="607"/>
      <c r="C495" s="599">
        <f t="shared" si="76"/>
        <v>1</v>
      </c>
      <c r="D495" s="608"/>
      <c r="E495" s="599">
        <f t="shared" si="77"/>
        <v>1</v>
      </c>
      <c r="F495" s="608"/>
      <c r="G495" s="599">
        <f t="shared" si="78"/>
        <v>1</v>
      </c>
      <c r="H495" s="608"/>
      <c r="I495" s="599">
        <f t="shared" si="79"/>
        <v>1</v>
      </c>
      <c r="J495" s="608"/>
      <c r="K495" s="599">
        <f t="shared" si="80"/>
        <v>1</v>
      </c>
      <c r="L495" s="608"/>
      <c r="M495" s="599">
        <f t="shared" si="81"/>
        <v>1</v>
      </c>
      <c r="N495" s="608"/>
      <c r="O495" s="599">
        <f t="shared" si="82"/>
        <v>1</v>
      </c>
      <c r="P495" s="608"/>
      <c r="Q495" s="599">
        <f t="shared" si="83"/>
        <v>1</v>
      </c>
      <c r="R495" s="659">
        <f t="shared" si="84"/>
        <v>0</v>
      </c>
      <c r="S495" s="598">
        <f t="shared" si="75"/>
        <v>0</v>
      </c>
    </row>
    <row r="496" spans="1:19">
      <c r="A496" s="606"/>
      <c r="B496" s="607"/>
      <c r="C496" s="599">
        <f t="shared" si="76"/>
        <v>1</v>
      </c>
      <c r="D496" s="608"/>
      <c r="E496" s="599">
        <f t="shared" si="77"/>
        <v>1</v>
      </c>
      <c r="F496" s="608"/>
      <c r="G496" s="599">
        <f t="shared" si="78"/>
        <v>1</v>
      </c>
      <c r="H496" s="608"/>
      <c r="I496" s="599">
        <f t="shared" si="79"/>
        <v>1</v>
      </c>
      <c r="J496" s="608"/>
      <c r="K496" s="599">
        <f t="shared" si="80"/>
        <v>1</v>
      </c>
      <c r="L496" s="608"/>
      <c r="M496" s="599">
        <f t="shared" si="81"/>
        <v>1</v>
      </c>
      <c r="N496" s="608"/>
      <c r="O496" s="599">
        <f t="shared" si="82"/>
        <v>1</v>
      </c>
      <c r="P496" s="608"/>
      <c r="Q496" s="599">
        <f t="shared" si="83"/>
        <v>1</v>
      </c>
      <c r="R496" s="659">
        <f t="shared" si="84"/>
        <v>0</v>
      </c>
      <c r="S496" s="598">
        <f t="shared" si="75"/>
        <v>0</v>
      </c>
    </row>
    <row r="497" spans="1:19">
      <c r="A497" s="606"/>
      <c r="B497" s="607"/>
      <c r="C497" s="599">
        <f t="shared" si="76"/>
        <v>1</v>
      </c>
      <c r="D497" s="608"/>
      <c r="E497" s="599">
        <f t="shared" si="77"/>
        <v>1</v>
      </c>
      <c r="F497" s="608"/>
      <c r="G497" s="599">
        <f t="shared" si="78"/>
        <v>1</v>
      </c>
      <c r="H497" s="608"/>
      <c r="I497" s="599">
        <f t="shared" si="79"/>
        <v>1</v>
      </c>
      <c r="J497" s="608"/>
      <c r="K497" s="599">
        <f t="shared" si="80"/>
        <v>1</v>
      </c>
      <c r="L497" s="608"/>
      <c r="M497" s="599">
        <f t="shared" si="81"/>
        <v>1</v>
      </c>
      <c r="N497" s="608"/>
      <c r="O497" s="599">
        <f t="shared" si="82"/>
        <v>1</v>
      </c>
      <c r="P497" s="608"/>
      <c r="Q497" s="599">
        <f t="shared" si="83"/>
        <v>1</v>
      </c>
      <c r="R497" s="659">
        <f t="shared" si="84"/>
        <v>0</v>
      </c>
      <c r="S497" s="598">
        <f t="shared" si="75"/>
        <v>0</v>
      </c>
    </row>
    <row r="498" spans="1:19">
      <c r="A498" s="606"/>
      <c r="B498" s="607"/>
      <c r="C498" s="599">
        <f t="shared" si="76"/>
        <v>1</v>
      </c>
      <c r="D498" s="608"/>
      <c r="E498" s="599">
        <f t="shared" si="77"/>
        <v>1</v>
      </c>
      <c r="F498" s="608"/>
      <c r="G498" s="599">
        <f t="shared" si="78"/>
        <v>1</v>
      </c>
      <c r="H498" s="608"/>
      <c r="I498" s="599">
        <f t="shared" si="79"/>
        <v>1</v>
      </c>
      <c r="J498" s="608"/>
      <c r="K498" s="599">
        <f t="shared" si="80"/>
        <v>1</v>
      </c>
      <c r="L498" s="608"/>
      <c r="M498" s="599">
        <f t="shared" si="81"/>
        <v>1</v>
      </c>
      <c r="N498" s="608"/>
      <c r="O498" s="599">
        <f t="shared" si="82"/>
        <v>1</v>
      </c>
      <c r="P498" s="608"/>
      <c r="Q498" s="599">
        <f t="shared" si="83"/>
        <v>1</v>
      </c>
      <c r="R498" s="659">
        <f t="shared" si="84"/>
        <v>0</v>
      </c>
      <c r="S498" s="598">
        <f t="shared" si="75"/>
        <v>0</v>
      </c>
    </row>
    <row r="499" spans="1:19">
      <c r="A499" s="606"/>
      <c r="B499" s="607"/>
      <c r="C499" s="599">
        <f t="shared" si="76"/>
        <v>1</v>
      </c>
      <c r="D499" s="608"/>
      <c r="E499" s="599">
        <f t="shared" si="77"/>
        <v>1</v>
      </c>
      <c r="F499" s="608"/>
      <c r="G499" s="599">
        <f t="shared" si="78"/>
        <v>1</v>
      </c>
      <c r="H499" s="608"/>
      <c r="I499" s="599">
        <f t="shared" si="79"/>
        <v>1</v>
      </c>
      <c r="J499" s="608"/>
      <c r="K499" s="599">
        <f t="shared" si="80"/>
        <v>1</v>
      </c>
      <c r="L499" s="608"/>
      <c r="M499" s="599">
        <f t="shared" si="81"/>
        <v>1</v>
      </c>
      <c r="N499" s="608"/>
      <c r="O499" s="599">
        <f t="shared" si="82"/>
        <v>1</v>
      </c>
      <c r="P499" s="608"/>
      <c r="Q499" s="599">
        <f t="shared" si="83"/>
        <v>1</v>
      </c>
      <c r="R499" s="659">
        <f t="shared" si="84"/>
        <v>0</v>
      </c>
      <c r="S499" s="598">
        <f t="shared" si="75"/>
        <v>0</v>
      </c>
    </row>
    <row r="500" spans="1:19">
      <c r="A500" s="606"/>
      <c r="B500" s="607"/>
      <c r="C500" s="599">
        <f t="shared" si="76"/>
        <v>1</v>
      </c>
      <c r="D500" s="608"/>
      <c r="E500" s="599">
        <f t="shared" si="77"/>
        <v>1</v>
      </c>
      <c r="F500" s="608"/>
      <c r="G500" s="599">
        <f t="shared" si="78"/>
        <v>1</v>
      </c>
      <c r="H500" s="608"/>
      <c r="I500" s="599">
        <f t="shared" si="79"/>
        <v>1</v>
      </c>
      <c r="J500" s="608"/>
      <c r="K500" s="599">
        <f t="shared" si="80"/>
        <v>1</v>
      </c>
      <c r="L500" s="608"/>
      <c r="M500" s="599">
        <f t="shared" si="81"/>
        <v>1</v>
      </c>
      <c r="N500" s="608"/>
      <c r="O500" s="599">
        <f t="shared" si="82"/>
        <v>1</v>
      </c>
      <c r="P500" s="608"/>
      <c r="Q500" s="599">
        <f t="shared" si="83"/>
        <v>1</v>
      </c>
      <c r="R500" s="659">
        <f t="shared" si="84"/>
        <v>0</v>
      </c>
      <c r="S500" s="598">
        <f t="shared" si="75"/>
        <v>0</v>
      </c>
    </row>
    <row r="501" spans="1:19">
      <c r="A501" s="606"/>
      <c r="B501" s="607"/>
      <c r="C501" s="599">
        <f t="shared" si="76"/>
        <v>1</v>
      </c>
      <c r="D501" s="608"/>
      <c r="E501" s="599">
        <f t="shared" si="77"/>
        <v>1</v>
      </c>
      <c r="F501" s="608"/>
      <c r="G501" s="599">
        <f t="shared" si="78"/>
        <v>1</v>
      </c>
      <c r="H501" s="608"/>
      <c r="I501" s="599">
        <f t="shared" si="79"/>
        <v>1</v>
      </c>
      <c r="J501" s="608"/>
      <c r="K501" s="599">
        <f t="shared" si="80"/>
        <v>1</v>
      </c>
      <c r="L501" s="608"/>
      <c r="M501" s="599">
        <f t="shared" si="81"/>
        <v>1</v>
      </c>
      <c r="N501" s="608"/>
      <c r="O501" s="599">
        <f t="shared" si="82"/>
        <v>1</v>
      </c>
      <c r="P501" s="608"/>
      <c r="Q501" s="599">
        <f t="shared" si="83"/>
        <v>1</v>
      </c>
      <c r="R501" s="659">
        <f t="shared" si="84"/>
        <v>0</v>
      </c>
      <c r="S501" s="598">
        <f t="shared" si="75"/>
        <v>0</v>
      </c>
    </row>
    <row r="502" spans="1:19">
      <c r="A502" s="606"/>
      <c r="B502" s="607"/>
      <c r="C502" s="599">
        <f t="shared" si="76"/>
        <v>1</v>
      </c>
      <c r="D502" s="608"/>
      <c r="E502" s="599">
        <f t="shared" si="77"/>
        <v>1</v>
      </c>
      <c r="F502" s="608"/>
      <c r="G502" s="599">
        <f t="shared" si="78"/>
        <v>1</v>
      </c>
      <c r="H502" s="608"/>
      <c r="I502" s="599">
        <f t="shared" si="79"/>
        <v>1</v>
      </c>
      <c r="J502" s="608"/>
      <c r="K502" s="599">
        <f t="shared" si="80"/>
        <v>1</v>
      </c>
      <c r="L502" s="608"/>
      <c r="M502" s="599">
        <f t="shared" si="81"/>
        <v>1</v>
      </c>
      <c r="N502" s="608"/>
      <c r="O502" s="599">
        <f t="shared" si="82"/>
        <v>1</v>
      </c>
      <c r="P502" s="608"/>
      <c r="Q502" s="599">
        <f t="shared" si="83"/>
        <v>1</v>
      </c>
      <c r="R502" s="659">
        <f t="shared" si="84"/>
        <v>0</v>
      </c>
      <c r="S502" s="598">
        <f t="shared" si="75"/>
        <v>0</v>
      </c>
    </row>
    <row r="503" spans="1:19">
      <c r="A503" s="606"/>
      <c r="B503" s="607"/>
      <c r="C503" s="599">
        <f t="shared" si="76"/>
        <v>1</v>
      </c>
      <c r="D503" s="608"/>
      <c r="E503" s="599">
        <f t="shared" si="77"/>
        <v>1</v>
      </c>
      <c r="F503" s="608"/>
      <c r="G503" s="599">
        <f t="shared" si="78"/>
        <v>1</v>
      </c>
      <c r="H503" s="608"/>
      <c r="I503" s="599">
        <f t="shared" si="79"/>
        <v>1</v>
      </c>
      <c r="J503" s="608"/>
      <c r="K503" s="599">
        <f t="shared" si="80"/>
        <v>1</v>
      </c>
      <c r="L503" s="608"/>
      <c r="M503" s="599">
        <f t="shared" si="81"/>
        <v>1</v>
      </c>
      <c r="N503" s="608"/>
      <c r="O503" s="599">
        <f t="shared" si="82"/>
        <v>1</v>
      </c>
      <c r="P503" s="608"/>
      <c r="Q503" s="599">
        <f t="shared" si="83"/>
        <v>1</v>
      </c>
      <c r="R503" s="659">
        <f t="shared" si="84"/>
        <v>0</v>
      </c>
      <c r="S503" s="598">
        <f t="shared" si="75"/>
        <v>0</v>
      </c>
    </row>
    <row r="504" spans="1:19">
      <c r="A504" s="606"/>
      <c r="B504" s="607"/>
      <c r="C504" s="599">
        <f t="shared" si="76"/>
        <v>1</v>
      </c>
      <c r="D504" s="608"/>
      <c r="E504" s="599">
        <f t="shared" si="77"/>
        <v>1</v>
      </c>
      <c r="F504" s="608"/>
      <c r="G504" s="599">
        <f t="shared" si="78"/>
        <v>1</v>
      </c>
      <c r="H504" s="608"/>
      <c r="I504" s="599">
        <f t="shared" si="79"/>
        <v>1</v>
      </c>
      <c r="J504" s="608"/>
      <c r="K504" s="599">
        <f t="shared" si="80"/>
        <v>1</v>
      </c>
      <c r="L504" s="608"/>
      <c r="M504" s="599">
        <f t="shared" si="81"/>
        <v>1</v>
      </c>
      <c r="N504" s="608"/>
      <c r="O504" s="599">
        <f t="shared" si="82"/>
        <v>1</v>
      </c>
      <c r="P504" s="608"/>
      <c r="Q504" s="599">
        <f t="shared" si="83"/>
        <v>1</v>
      </c>
      <c r="R504" s="659">
        <f t="shared" si="84"/>
        <v>0</v>
      </c>
      <c r="S504" s="598">
        <f t="shared" si="75"/>
        <v>0</v>
      </c>
    </row>
    <row r="505" spans="1:19">
      <c r="A505" s="606"/>
      <c r="B505" s="607"/>
      <c r="C505" s="599">
        <f t="shared" si="76"/>
        <v>1</v>
      </c>
      <c r="D505" s="608"/>
      <c r="E505" s="599">
        <f t="shared" si="77"/>
        <v>1</v>
      </c>
      <c r="F505" s="608"/>
      <c r="G505" s="599">
        <f t="shared" si="78"/>
        <v>1</v>
      </c>
      <c r="H505" s="608"/>
      <c r="I505" s="599">
        <f t="shared" si="79"/>
        <v>1</v>
      </c>
      <c r="J505" s="608"/>
      <c r="K505" s="599">
        <f t="shared" si="80"/>
        <v>1</v>
      </c>
      <c r="L505" s="608"/>
      <c r="M505" s="599">
        <f t="shared" si="81"/>
        <v>1</v>
      </c>
      <c r="N505" s="608"/>
      <c r="O505" s="599">
        <f t="shared" si="82"/>
        <v>1</v>
      </c>
      <c r="P505" s="608"/>
      <c r="Q505" s="599">
        <f t="shared" si="83"/>
        <v>1</v>
      </c>
      <c r="R505" s="659">
        <f t="shared" si="84"/>
        <v>0</v>
      </c>
      <c r="S505" s="598">
        <f t="shared" si="75"/>
        <v>0</v>
      </c>
    </row>
    <row r="506" spans="1:19">
      <c r="A506" s="606"/>
      <c r="B506" s="607"/>
      <c r="C506" s="599">
        <f t="shared" si="76"/>
        <v>1</v>
      </c>
      <c r="D506" s="608"/>
      <c r="E506" s="599">
        <f t="shared" si="77"/>
        <v>1</v>
      </c>
      <c r="F506" s="608"/>
      <c r="G506" s="599">
        <f t="shared" si="78"/>
        <v>1</v>
      </c>
      <c r="H506" s="608"/>
      <c r="I506" s="599">
        <f t="shared" si="79"/>
        <v>1</v>
      </c>
      <c r="J506" s="608"/>
      <c r="K506" s="599">
        <f t="shared" si="80"/>
        <v>1</v>
      </c>
      <c r="L506" s="608"/>
      <c r="M506" s="599">
        <f t="shared" si="81"/>
        <v>1</v>
      </c>
      <c r="N506" s="608"/>
      <c r="O506" s="599">
        <f t="shared" si="82"/>
        <v>1</v>
      </c>
      <c r="P506" s="608"/>
      <c r="Q506" s="599">
        <f t="shared" si="83"/>
        <v>1</v>
      </c>
      <c r="R506" s="659">
        <f t="shared" si="84"/>
        <v>0</v>
      </c>
      <c r="S506" s="598">
        <f t="shared" si="75"/>
        <v>0</v>
      </c>
    </row>
    <row r="507" spans="1:19">
      <c r="A507" s="606"/>
      <c r="B507" s="607"/>
      <c r="C507" s="599">
        <f t="shared" si="76"/>
        <v>1</v>
      </c>
      <c r="D507" s="608"/>
      <c r="E507" s="599">
        <f t="shared" si="77"/>
        <v>1</v>
      </c>
      <c r="F507" s="608"/>
      <c r="G507" s="599">
        <f t="shared" si="78"/>
        <v>1</v>
      </c>
      <c r="H507" s="608"/>
      <c r="I507" s="599">
        <f t="shared" si="79"/>
        <v>1</v>
      </c>
      <c r="J507" s="608"/>
      <c r="K507" s="599">
        <f t="shared" si="80"/>
        <v>1</v>
      </c>
      <c r="L507" s="608"/>
      <c r="M507" s="599">
        <f t="shared" si="81"/>
        <v>1</v>
      </c>
      <c r="N507" s="608"/>
      <c r="O507" s="599">
        <f t="shared" si="82"/>
        <v>1</v>
      </c>
      <c r="P507" s="608"/>
      <c r="Q507" s="599">
        <f t="shared" si="83"/>
        <v>1</v>
      </c>
      <c r="R507" s="659">
        <f t="shared" si="84"/>
        <v>0</v>
      </c>
      <c r="S507" s="598">
        <f t="shared" si="75"/>
        <v>0</v>
      </c>
    </row>
    <row r="508" spans="1:19">
      <c r="A508" s="606"/>
      <c r="B508" s="607"/>
      <c r="C508" s="599">
        <f t="shared" si="76"/>
        <v>1</v>
      </c>
      <c r="D508" s="608"/>
      <c r="E508" s="599">
        <f t="shared" si="77"/>
        <v>1</v>
      </c>
      <c r="F508" s="608"/>
      <c r="G508" s="599">
        <f t="shared" si="78"/>
        <v>1</v>
      </c>
      <c r="H508" s="608"/>
      <c r="I508" s="599">
        <f t="shared" si="79"/>
        <v>1</v>
      </c>
      <c r="J508" s="608"/>
      <c r="K508" s="599">
        <f t="shared" si="80"/>
        <v>1</v>
      </c>
      <c r="L508" s="608"/>
      <c r="M508" s="599">
        <f t="shared" si="81"/>
        <v>1</v>
      </c>
      <c r="N508" s="608"/>
      <c r="O508" s="599">
        <f t="shared" si="82"/>
        <v>1</v>
      </c>
      <c r="P508" s="608"/>
      <c r="Q508" s="599">
        <f t="shared" si="83"/>
        <v>1</v>
      </c>
      <c r="R508" s="659">
        <f t="shared" si="84"/>
        <v>0</v>
      </c>
      <c r="S508" s="598">
        <f t="shared" si="75"/>
        <v>0</v>
      </c>
    </row>
    <row r="509" spans="1:19">
      <c r="A509" s="606"/>
      <c r="B509" s="607"/>
      <c r="C509" s="599">
        <f t="shared" si="76"/>
        <v>1</v>
      </c>
      <c r="D509" s="608"/>
      <c r="E509" s="599">
        <f t="shared" si="77"/>
        <v>1</v>
      </c>
      <c r="F509" s="608"/>
      <c r="G509" s="599">
        <f t="shared" si="78"/>
        <v>1</v>
      </c>
      <c r="H509" s="608"/>
      <c r="I509" s="599">
        <f t="shared" si="79"/>
        <v>1</v>
      </c>
      <c r="J509" s="608"/>
      <c r="K509" s="599">
        <f t="shared" si="80"/>
        <v>1</v>
      </c>
      <c r="L509" s="608"/>
      <c r="M509" s="599">
        <f t="shared" si="81"/>
        <v>1</v>
      </c>
      <c r="N509" s="608"/>
      <c r="O509" s="599">
        <f t="shared" si="82"/>
        <v>1</v>
      </c>
      <c r="P509" s="608"/>
      <c r="Q509" s="599">
        <f t="shared" si="83"/>
        <v>1</v>
      </c>
      <c r="R509" s="659">
        <f t="shared" si="84"/>
        <v>0</v>
      </c>
      <c r="S509" s="598">
        <f t="shared" si="75"/>
        <v>0</v>
      </c>
    </row>
    <row r="510" spans="1:19">
      <c r="A510" s="606"/>
      <c r="B510" s="607"/>
      <c r="C510" s="599">
        <f t="shared" si="76"/>
        <v>1</v>
      </c>
      <c r="D510" s="608"/>
      <c r="E510" s="599">
        <f t="shared" si="77"/>
        <v>1</v>
      </c>
      <c r="F510" s="608"/>
      <c r="G510" s="599">
        <f t="shared" si="78"/>
        <v>1</v>
      </c>
      <c r="H510" s="608"/>
      <c r="I510" s="599">
        <f t="shared" si="79"/>
        <v>1</v>
      </c>
      <c r="J510" s="608"/>
      <c r="K510" s="599">
        <f t="shared" si="80"/>
        <v>1</v>
      </c>
      <c r="L510" s="608"/>
      <c r="M510" s="599">
        <f t="shared" si="81"/>
        <v>1</v>
      </c>
      <c r="N510" s="608"/>
      <c r="O510" s="599">
        <f t="shared" si="82"/>
        <v>1</v>
      </c>
      <c r="P510" s="608"/>
      <c r="Q510" s="599">
        <f t="shared" si="83"/>
        <v>1</v>
      </c>
      <c r="R510" s="659">
        <f t="shared" si="84"/>
        <v>0</v>
      </c>
      <c r="S510" s="598">
        <f t="shared" si="75"/>
        <v>0</v>
      </c>
    </row>
    <row r="511" spans="1:19">
      <c r="A511" s="606"/>
      <c r="B511" s="607"/>
      <c r="C511" s="599">
        <f t="shared" si="76"/>
        <v>1</v>
      </c>
      <c r="D511" s="608"/>
      <c r="E511" s="599">
        <f t="shared" si="77"/>
        <v>1</v>
      </c>
      <c r="F511" s="608"/>
      <c r="G511" s="599">
        <f t="shared" si="78"/>
        <v>1</v>
      </c>
      <c r="H511" s="608"/>
      <c r="I511" s="599">
        <f t="shared" si="79"/>
        <v>1</v>
      </c>
      <c r="J511" s="608"/>
      <c r="K511" s="599">
        <f t="shared" si="80"/>
        <v>1</v>
      </c>
      <c r="L511" s="608"/>
      <c r="M511" s="599">
        <f t="shared" si="81"/>
        <v>1</v>
      </c>
      <c r="N511" s="608"/>
      <c r="O511" s="599">
        <f t="shared" si="82"/>
        <v>1</v>
      </c>
      <c r="P511" s="608"/>
      <c r="Q511" s="599">
        <f t="shared" si="83"/>
        <v>1</v>
      </c>
      <c r="R511" s="659">
        <f t="shared" si="84"/>
        <v>0</v>
      </c>
      <c r="S511" s="598">
        <f t="shared" si="75"/>
        <v>0</v>
      </c>
    </row>
    <row r="512" spans="1:19">
      <c r="A512" s="606"/>
      <c r="B512" s="607"/>
      <c r="C512" s="599">
        <f t="shared" si="76"/>
        <v>1</v>
      </c>
      <c r="D512" s="608"/>
      <c r="E512" s="599">
        <f t="shared" si="77"/>
        <v>1</v>
      </c>
      <c r="F512" s="608"/>
      <c r="G512" s="599">
        <f t="shared" si="78"/>
        <v>1</v>
      </c>
      <c r="H512" s="608"/>
      <c r="I512" s="599">
        <f t="shared" si="79"/>
        <v>1</v>
      </c>
      <c r="J512" s="608"/>
      <c r="K512" s="599">
        <f t="shared" si="80"/>
        <v>1</v>
      </c>
      <c r="L512" s="608"/>
      <c r="M512" s="599">
        <f t="shared" si="81"/>
        <v>1</v>
      </c>
      <c r="N512" s="608"/>
      <c r="O512" s="599">
        <f t="shared" si="82"/>
        <v>1</v>
      </c>
      <c r="P512" s="608"/>
      <c r="Q512" s="599">
        <f t="shared" si="83"/>
        <v>1</v>
      </c>
      <c r="R512" s="659">
        <f t="shared" si="84"/>
        <v>0</v>
      </c>
      <c r="S512" s="598">
        <f t="shared" si="75"/>
        <v>0</v>
      </c>
    </row>
    <row r="513" spans="1:19">
      <c r="A513" s="606"/>
      <c r="B513" s="607"/>
      <c r="C513" s="599">
        <f t="shared" si="76"/>
        <v>1</v>
      </c>
      <c r="D513" s="608"/>
      <c r="E513" s="599">
        <f t="shared" si="77"/>
        <v>1</v>
      </c>
      <c r="F513" s="608"/>
      <c r="G513" s="599">
        <f t="shared" si="78"/>
        <v>1</v>
      </c>
      <c r="H513" s="608"/>
      <c r="I513" s="599">
        <f t="shared" si="79"/>
        <v>1</v>
      </c>
      <c r="J513" s="608"/>
      <c r="K513" s="599">
        <f t="shared" si="80"/>
        <v>1</v>
      </c>
      <c r="L513" s="608"/>
      <c r="M513" s="599">
        <f t="shared" si="81"/>
        <v>1</v>
      </c>
      <c r="N513" s="608"/>
      <c r="O513" s="599">
        <f t="shared" si="82"/>
        <v>1</v>
      </c>
      <c r="P513" s="608"/>
      <c r="Q513" s="599">
        <f t="shared" si="83"/>
        <v>1</v>
      </c>
      <c r="R513" s="659">
        <f t="shared" si="84"/>
        <v>0</v>
      </c>
      <c r="S513" s="598">
        <f t="shared" si="75"/>
        <v>0</v>
      </c>
    </row>
    <row r="514" spans="1:19">
      <c r="A514" s="606"/>
      <c r="B514" s="607"/>
      <c r="C514" s="599">
        <f t="shared" si="76"/>
        <v>1</v>
      </c>
      <c r="D514" s="608"/>
      <c r="E514" s="599">
        <f t="shared" si="77"/>
        <v>1</v>
      </c>
      <c r="F514" s="608"/>
      <c r="G514" s="599">
        <f t="shared" si="78"/>
        <v>1</v>
      </c>
      <c r="H514" s="608"/>
      <c r="I514" s="599">
        <f t="shared" si="79"/>
        <v>1</v>
      </c>
      <c r="J514" s="608"/>
      <c r="K514" s="599">
        <f t="shared" si="80"/>
        <v>1</v>
      </c>
      <c r="L514" s="608"/>
      <c r="M514" s="599">
        <f t="shared" si="81"/>
        <v>1</v>
      </c>
      <c r="N514" s="608"/>
      <c r="O514" s="599">
        <f t="shared" si="82"/>
        <v>1</v>
      </c>
      <c r="P514" s="608"/>
      <c r="Q514" s="599">
        <f t="shared" si="83"/>
        <v>1</v>
      </c>
      <c r="R514" s="659">
        <f t="shared" si="84"/>
        <v>0</v>
      </c>
      <c r="S514" s="598">
        <f t="shared" si="75"/>
        <v>0</v>
      </c>
    </row>
    <row r="515" spans="1:19">
      <c r="A515" s="606"/>
      <c r="B515" s="607"/>
      <c r="C515" s="599">
        <f t="shared" si="76"/>
        <v>1</v>
      </c>
      <c r="D515" s="608"/>
      <c r="E515" s="599">
        <f t="shared" si="77"/>
        <v>1</v>
      </c>
      <c r="F515" s="608"/>
      <c r="G515" s="599">
        <f t="shared" si="78"/>
        <v>1</v>
      </c>
      <c r="H515" s="608"/>
      <c r="I515" s="599">
        <f t="shared" si="79"/>
        <v>1</v>
      </c>
      <c r="J515" s="608"/>
      <c r="K515" s="599">
        <f t="shared" si="80"/>
        <v>1</v>
      </c>
      <c r="L515" s="608"/>
      <c r="M515" s="599">
        <f t="shared" si="81"/>
        <v>1</v>
      </c>
      <c r="N515" s="608"/>
      <c r="O515" s="599">
        <f t="shared" si="82"/>
        <v>1</v>
      </c>
      <c r="P515" s="608"/>
      <c r="Q515" s="599">
        <f t="shared" si="83"/>
        <v>1</v>
      </c>
      <c r="R515" s="659">
        <f t="shared" si="84"/>
        <v>0</v>
      </c>
      <c r="S515" s="598">
        <f t="shared" si="75"/>
        <v>0</v>
      </c>
    </row>
    <row r="516" spans="1:19">
      <c r="A516" s="606"/>
      <c r="B516" s="607"/>
      <c r="C516" s="599">
        <f t="shared" si="76"/>
        <v>1</v>
      </c>
      <c r="D516" s="608"/>
      <c r="E516" s="599">
        <f t="shared" si="77"/>
        <v>1</v>
      </c>
      <c r="F516" s="608"/>
      <c r="G516" s="599">
        <f t="shared" si="78"/>
        <v>1</v>
      </c>
      <c r="H516" s="608"/>
      <c r="I516" s="599">
        <f t="shared" si="79"/>
        <v>1</v>
      </c>
      <c r="J516" s="608"/>
      <c r="K516" s="599">
        <f t="shared" si="80"/>
        <v>1</v>
      </c>
      <c r="L516" s="608"/>
      <c r="M516" s="599">
        <f t="shared" si="81"/>
        <v>1</v>
      </c>
      <c r="N516" s="608"/>
      <c r="O516" s="599">
        <f t="shared" si="82"/>
        <v>1</v>
      </c>
      <c r="P516" s="608"/>
      <c r="Q516" s="599">
        <f t="shared" si="83"/>
        <v>1</v>
      </c>
      <c r="R516" s="659">
        <f t="shared" si="84"/>
        <v>0</v>
      </c>
      <c r="S516" s="598">
        <f t="shared" si="75"/>
        <v>0</v>
      </c>
    </row>
    <row r="517" spans="1:19">
      <c r="A517" s="606"/>
      <c r="B517" s="607"/>
      <c r="C517" s="599">
        <f t="shared" si="76"/>
        <v>1</v>
      </c>
      <c r="D517" s="608"/>
      <c r="E517" s="599">
        <f t="shared" si="77"/>
        <v>1</v>
      </c>
      <c r="F517" s="608"/>
      <c r="G517" s="599">
        <f t="shared" si="78"/>
        <v>1</v>
      </c>
      <c r="H517" s="608"/>
      <c r="I517" s="599">
        <f t="shared" si="79"/>
        <v>1</v>
      </c>
      <c r="J517" s="608"/>
      <c r="K517" s="599">
        <f t="shared" si="80"/>
        <v>1</v>
      </c>
      <c r="L517" s="608"/>
      <c r="M517" s="599">
        <f t="shared" si="81"/>
        <v>1</v>
      </c>
      <c r="N517" s="608"/>
      <c r="O517" s="599">
        <f t="shared" si="82"/>
        <v>1</v>
      </c>
      <c r="P517" s="608"/>
      <c r="Q517" s="599">
        <f t="shared" si="83"/>
        <v>1</v>
      </c>
      <c r="R517" s="659">
        <f t="shared" si="84"/>
        <v>0</v>
      </c>
      <c r="S517" s="598">
        <f t="shared" si="75"/>
        <v>0</v>
      </c>
    </row>
    <row r="518" spans="1:19">
      <c r="A518" s="606"/>
      <c r="B518" s="607"/>
      <c r="C518" s="599">
        <f t="shared" si="76"/>
        <v>1</v>
      </c>
      <c r="D518" s="608"/>
      <c r="E518" s="599">
        <f t="shared" si="77"/>
        <v>1</v>
      </c>
      <c r="F518" s="608"/>
      <c r="G518" s="599">
        <f t="shared" si="78"/>
        <v>1</v>
      </c>
      <c r="H518" s="608"/>
      <c r="I518" s="599">
        <f t="shared" si="79"/>
        <v>1</v>
      </c>
      <c r="J518" s="608"/>
      <c r="K518" s="599">
        <f t="shared" si="80"/>
        <v>1</v>
      </c>
      <c r="L518" s="608"/>
      <c r="M518" s="599">
        <f t="shared" si="81"/>
        <v>1</v>
      </c>
      <c r="N518" s="608"/>
      <c r="O518" s="599">
        <f t="shared" si="82"/>
        <v>1</v>
      </c>
      <c r="P518" s="608"/>
      <c r="Q518" s="599">
        <f t="shared" si="83"/>
        <v>1</v>
      </c>
      <c r="R518" s="659">
        <f t="shared" si="84"/>
        <v>0</v>
      </c>
      <c r="S518" s="598">
        <f t="shared" si="75"/>
        <v>0</v>
      </c>
    </row>
    <row r="519" spans="1:19">
      <c r="A519" s="606"/>
      <c r="B519" s="607"/>
      <c r="C519" s="599">
        <f t="shared" si="76"/>
        <v>1</v>
      </c>
      <c r="D519" s="608"/>
      <c r="E519" s="599">
        <f t="shared" si="77"/>
        <v>1</v>
      </c>
      <c r="F519" s="608"/>
      <c r="G519" s="599">
        <f t="shared" si="78"/>
        <v>1</v>
      </c>
      <c r="H519" s="608"/>
      <c r="I519" s="599">
        <f t="shared" si="79"/>
        <v>1</v>
      </c>
      <c r="J519" s="608"/>
      <c r="K519" s="599">
        <f t="shared" si="80"/>
        <v>1</v>
      </c>
      <c r="L519" s="608"/>
      <c r="M519" s="599">
        <f t="shared" si="81"/>
        <v>1</v>
      </c>
      <c r="N519" s="608"/>
      <c r="O519" s="599">
        <f t="shared" si="82"/>
        <v>1</v>
      </c>
      <c r="P519" s="608"/>
      <c r="Q519" s="599">
        <f t="shared" si="83"/>
        <v>1</v>
      </c>
      <c r="R519" s="659">
        <f t="shared" si="84"/>
        <v>0</v>
      </c>
      <c r="S519" s="598">
        <f t="shared" si="75"/>
        <v>0</v>
      </c>
    </row>
    <row r="520" spans="1:19">
      <c r="A520" s="606"/>
      <c r="B520" s="607"/>
      <c r="C520" s="599">
        <f t="shared" si="76"/>
        <v>1</v>
      </c>
      <c r="D520" s="608"/>
      <c r="E520" s="599">
        <f t="shared" si="77"/>
        <v>1</v>
      </c>
      <c r="F520" s="608"/>
      <c r="G520" s="599">
        <f t="shared" si="78"/>
        <v>1</v>
      </c>
      <c r="H520" s="608"/>
      <c r="I520" s="599">
        <f t="shared" si="79"/>
        <v>1</v>
      </c>
      <c r="J520" s="608"/>
      <c r="K520" s="599">
        <f t="shared" si="80"/>
        <v>1</v>
      </c>
      <c r="L520" s="608"/>
      <c r="M520" s="599">
        <f t="shared" si="81"/>
        <v>1</v>
      </c>
      <c r="N520" s="608"/>
      <c r="O520" s="599">
        <f t="shared" si="82"/>
        <v>1</v>
      </c>
      <c r="P520" s="608"/>
      <c r="Q520" s="599">
        <f t="shared" si="83"/>
        <v>1</v>
      </c>
      <c r="R520" s="659">
        <f t="shared" si="84"/>
        <v>0</v>
      </c>
      <c r="S520" s="598">
        <f t="shared" si="75"/>
        <v>0</v>
      </c>
    </row>
    <row r="521" spans="1:19">
      <c r="A521" s="606"/>
      <c r="B521" s="607"/>
      <c r="C521" s="599">
        <f t="shared" si="76"/>
        <v>1</v>
      </c>
      <c r="D521" s="608"/>
      <c r="E521" s="599">
        <f t="shared" si="77"/>
        <v>1</v>
      </c>
      <c r="F521" s="608"/>
      <c r="G521" s="599">
        <f t="shared" si="78"/>
        <v>1</v>
      </c>
      <c r="H521" s="608"/>
      <c r="I521" s="599">
        <f t="shared" si="79"/>
        <v>1</v>
      </c>
      <c r="J521" s="608"/>
      <c r="K521" s="599">
        <f t="shared" si="80"/>
        <v>1</v>
      </c>
      <c r="L521" s="608"/>
      <c r="M521" s="599">
        <f t="shared" si="81"/>
        <v>1</v>
      </c>
      <c r="N521" s="608"/>
      <c r="O521" s="599">
        <f t="shared" si="82"/>
        <v>1</v>
      </c>
      <c r="P521" s="608"/>
      <c r="Q521" s="599">
        <f t="shared" si="83"/>
        <v>1</v>
      </c>
      <c r="R521" s="659">
        <f t="shared" si="84"/>
        <v>0</v>
      </c>
      <c r="S521" s="598">
        <f t="shared" si="75"/>
        <v>0</v>
      </c>
    </row>
    <row r="522" spans="1:19">
      <c r="A522" s="606"/>
      <c r="B522" s="607"/>
      <c r="C522" s="599">
        <f t="shared" si="76"/>
        <v>1</v>
      </c>
      <c r="D522" s="608"/>
      <c r="E522" s="599">
        <f t="shared" si="77"/>
        <v>1</v>
      </c>
      <c r="F522" s="608"/>
      <c r="G522" s="599">
        <f t="shared" si="78"/>
        <v>1</v>
      </c>
      <c r="H522" s="608"/>
      <c r="I522" s="599">
        <f t="shared" si="79"/>
        <v>1</v>
      </c>
      <c r="J522" s="608"/>
      <c r="K522" s="599">
        <f t="shared" si="80"/>
        <v>1</v>
      </c>
      <c r="L522" s="608"/>
      <c r="M522" s="599">
        <f t="shared" si="81"/>
        <v>1</v>
      </c>
      <c r="N522" s="608"/>
      <c r="O522" s="599">
        <f t="shared" si="82"/>
        <v>1</v>
      </c>
      <c r="P522" s="608"/>
      <c r="Q522" s="599">
        <f t="shared" si="83"/>
        <v>1</v>
      </c>
      <c r="R522" s="659">
        <f t="shared" si="84"/>
        <v>0</v>
      </c>
      <c r="S522" s="598">
        <f t="shared" si="75"/>
        <v>0</v>
      </c>
    </row>
    <row r="523" spans="1:19">
      <c r="A523" s="606"/>
      <c r="B523" s="607"/>
      <c r="C523" s="599">
        <f t="shared" si="76"/>
        <v>1</v>
      </c>
      <c r="D523" s="608"/>
      <c r="E523" s="599">
        <f t="shared" si="77"/>
        <v>1</v>
      </c>
      <c r="F523" s="608"/>
      <c r="G523" s="599">
        <f t="shared" si="78"/>
        <v>1</v>
      </c>
      <c r="H523" s="608"/>
      <c r="I523" s="599">
        <f t="shared" si="79"/>
        <v>1</v>
      </c>
      <c r="J523" s="608"/>
      <c r="K523" s="599">
        <f t="shared" si="80"/>
        <v>1</v>
      </c>
      <c r="L523" s="608"/>
      <c r="M523" s="599">
        <f t="shared" si="81"/>
        <v>1</v>
      </c>
      <c r="N523" s="608"/>
      <c r="O523" s="599">
        <f t="shared" si="82"/>
        <v>1</v>
      </c>
      <c r="P523" s="608"/>
      <c r="Q523" s="599">
        <f t="shared" si="83"/>
        <v>1</v>
      </c>
      <c r="R523" s="659">
        <f t="shared" si="84"/>
        <v>0</v>
      </c>
      <c r="S523" s="598">
        <f t="shared" si="75"/>
        <v>0</v>
      </c>
    </row>
    <row r="524" spans="1:19">
      <c r="A524" s="606"/>
      <c r="B524" s="607"/>
      <c r="C524" s="599">
        <f t="shared" si="76"/>
        <v>1</v>
      </c>
      <c r="D524" s="608"/>
      <c r="E524" s="599">
        <f t="shared" si="77"/>
        <v>1</v>
      </c>
      <c r="F524" s="608"/>
      <c r="G524" s="599">
        <f t="shared" si="78"/>
        <v>1</v>
      </c>
      <c r="H524" s="608"/>
      <c r="I524" s="599">
        <f t="shared" si="79"/>
        <v>1</v>
      </c>
      <c r="J524" s="608"/>
      <c r="K524" s="599">
        <f t="shared" si="80"/>
        <v>1</v>
      </c>
      <c r="L524" s="608"/>
      <c r="M524" s="599">
        <f t="shared" si="81"/>
        <v>1</v>
      </c>
      <c r="N524" s="608"/>
      <c r="O524" s="599">
        <f t="shared" si="82"/>
        <v>1</v>
      </c>
      <c r="P524" s="608"/>
      <c r="Q524" s="599">
        <f t="shared" si="83"/>
        <v>1</v>
      </c>
      <c r="R524" s="659">
        <f t="shared" si="84"/>
        <v>0</v>
      </c>
      <c r="S524" s="598">
        <f t="shared" si="75"/>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'典型户型修正 (2)'!一修多修正项2</formula1>
    </dataValidation>
    <dataValidation type="list" allowBlank="1" showInputMessage="1" showErrorMessage="1" sqref="F24:F524">
      <formula1>'典型户型修正 (2)'!一修多修正项3</formula1>
    </dataValidation>
    <dataValidation type="list" allowBlank="1" showInputMessage="1" showErrorMessage="1" sqref="H24:H524">
      <formula1>'典型户型修正 (2)'!一修多修正项4</formula1>
    </dataValidation>
    <dataValidation type="list" allowBlank="1" showInputMessage="1" showErrorMessage="1" sqref="J24:J524">
      <formula1>'典型户型修正 (2)'!一修多修正项5</formula1>
    </dataValidation>
    <dataValidation type="list" allowBlank="1" showInputMessage="1" showErrorMessage="1" sqref="L24:L524">
      <formula1>'典型户型修正 (2)'!一修多修正项6</formula1>
    </dataValidation>
    <dataValidation type="list" allowBlank="1" showInputMessage="1" showErrorMessage="1" sqref="N24:N524">
      <formula1>'典型户型修正 (2)'!一修多修正项7</formula1>
    </dataValidation>
    <dataValidation type="list" allowBlank="1" showInputMessage="1" showErrorMessage="1" sqref="P24:P524">
      <formula1>'典型户型修正 (2)'!一修多修正项8</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8" customWidth="1"/>
    <col min="14" max="14" width="10" style="478" customWidth="1"/>
    <col min="15" max="16" width="8.21875" style="478"/>
    <col min="17" max="17" width="34.109375" style="478" customWidth="1"/>
    <col min="18" max="18" width="8.21875" style="478" customWidth="1"/>
    <col min="19" max="19" width="8.21875" style="478"/>
    <col min="20" max="20" width="11.6640625" style="478" customWidth="1"/>
    <col min="21" max="16384" width="8.2187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552</v>
      </c>
      <c r="B2" s="482">
        <v>3.5</v>
      </c>
      <c r="C2" s="482">
        <v>3.5</v>
      </c>
      <c r="D2" s="483">
        <v>2.5</v>
      </c>
      <c r="E2" s="483">
        <v>2.5</v>
      </c>
      <c r="F2" s="483">
        <v>2.5</v>
      </c>
      <c r="G2" s="483">
        <v>2.5</v>
      </c>
      <c r="H2" s="483">
        <v>2.5</v>
      </c>
      <c r="I2" s="482">
        <v>2</v>
      </c>
      <c r="J2" s="482">
        <v>2</v>
      </c>
      <c r="K2" s="482">
        <v>2</v>
      </c>
      <c r="L2" s="482">
        <v>2</v>
      </c>
      <c r="M2" s="526">
        <v>2</v>
      </c>
    </row>
    <row r="3" spans="1:13" ht="19.5" customHeight="1">
      <c r="A3" s="484" t="s">
        <v>3812</v>
      </c>
      <c r="B3" s="485">
        <v>3.5</v>
      </c>
      <c r="C3" s="485">
        <v>3.5</v>
      </c>
      <c r="D3" s="486">
        <v>2.5</v>
      </c>
      <c r="E3" s="486">
        <v>2.5</v>
      </c>
      <c r="F3" s="486">
        <v>2.5</v>
      </c>
      <c r="G3" s="486">
        <v>2.5</v>
      </c>
      <c r="H3" s="486">
        <v>2.5</v>
      </c>
      <c r="I3" s="485">
        <v>2</v>
      </c>
      <c r="J3" s="485">
        <v>2</v>
      </c>
      <c r="K3" s="485">
        <v>2</v>
      </c>
      <c r="L3" s="485">
        <v>2</v>
      </c>
      <c r="M3" s="527">
        <v>2</v>
      </c>
    </row>
    <row r="4" spans="1:13" ht="19.5" customHeight="1">
      <c r="A4" s="484" t="s">
        <v>414</v>
      </c>
      <c r="B4" s="486">
        <v>2.5</v>
      </c>
      <c r="C4" s="486">
        <v>2.5</v>
      </c>
      <c r="D4" s="486">
        <v>2.5</v>
      </c>
      <c r="E4" s="486">
        <v>2.5</v>
      </c>
      <c r="F4" s="486">
        <v>2.5</v>
      </c>
      <c r="G4" s="486">
        <v>2.5</v>
      </c>
      <c r="H4" s="486">
        <v>2.5</v>
      </c>
      <c r="I4" s="485">
        <v>1.5</v>
      </c>
      <c r="J4" s="485">
        <v>1.5</v>
      </c>
      <c r="K4" s="485">
        <v>1.5</v>
      </c>
      <c r="L4" s="485">
        <v>1.5</v>
      </c>
      <c r="M4" s="527">
        <v>1.5</v>
      </c>
    </row>
    <row r="5" spans="1:13" ht="19.5" customHeight="1">
      <c r="A5" s="487" t="s">
        <v>410</v>
      </c>
      <c r="B5" s="485">
        <v>1.5</v>
      </c>
      <c r="C5" s="485">
        <v>1.5</v>
      </c>
      <c r="D5" s="485">
        <v>1.5</v>
      </c>
      <c r="E5" s="485">
        <v>1.5</v>
      </c>
      <c r="F5" s="485">
        <v>1.5</v>
      </c>
      <c r="G5" s="485">
        <v>1.2</v>
      </c>
      <c r="H5" s="485">
        <v>1.2</v>
      </c>
      <c r="I5" s="485">
        <v>1</v>
      </c>
      <c r="J5" s="485">
        <v>1</v>
      </c>
      <c r="K5" s="485">
        <v>1</v>
      </c>
      <c r="L5" s="485">
        <v>1</v>
      </c>
      <c r="M5" s="527">
        <v>1</v>
      </c>
    </row>
    <row r="6" spans="1:13" ht="19.5" customHeight="1">
      <c r="A6" s="488" t="s">
        <v>3813</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344</v>
      </c>
      <c r="B8" s="493">
        <v>80</v>
      </c>
      <c r="C8" s="493">
        <v>80</v>
      </c>
      <c r="D8" s="493">
        <v>70</v>
      </c>
      <c r="E8" s="493">
        <v>70</v>
      </c>
      <c r="F8" s="493">
        <v>70</v>
      </c>
      <c r="G8" s="493">
        <v>70</v>
      </c>
      <c r="H8" s="493">
        <v>70</v>
      </c>
      <c r="I8" s="493">
        <v>60</v>
      </c>
      <c r="J8" s="493">
        <v>60</v>
      </c>
      <c r="K8" s="493">
        <v>60</v>
      </c>
      <c r="L8" s="493">
        <v>60</v>
      </c>
      <c r="M8" s="532">
        <v>60</v>
      </c>
    </row>
    <row r="9" spans="1:13" ht="19.5" customHeight="1">
      <c r="A9" s="494" t="s">
        <v>345</v>
      </c>
      <c r="B9" s="495">
        <v>70</v>
      </c>
      <c r="C9" s="495">
        <v>70</v>
      </c>
      <c r="D9" s="495">
        <v>60</v>
      </c>
      <c r="E9" s="495">
        <v>60</v>
      </c>
      <c r="F9" s="495">
        <v>60</v>
      </c>
      <c r="G9" s="495">
        <v>60</v>
      </c>
      <c r="H9" s="495">
        <v>60</v>
      </c>
      <c r="I9" s="495">
        <v>50</v>
      </c>
      <c r="J9" s="495">
        <v>50</v>
      </c>
      <c r="K9" s="495">
        <v>50</v>
      </c>
      <c r="L9" s="495">
        <v>50</v>
      </c>
      <c r="M9" s="533">
        <v>50</v>
      </c>
    </row>
    <row r="10" spans="1:13" ht="19.5" customHeight="1">
      <c r="A10" s="494" t="s">
        <v>346</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347</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348</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349</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3814</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351</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3815</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3816</v>
      </c>
      <c r="B18" s="498"/>
      <c r="C18" s="499"/>
      <c r="D18" s="499"/>
      <c r="E18" s="498"/>
      <c r="F18" s="499"/>
      <c r="G18" s="499"/>
    </row>
    <row r="19" spans="1:13" ht="19.5" customHeight="1">
      <c r="A19" s="497" t="s">
        <v>3817</v>
      </c>
      <c r="B19" s="500" t="s">
        <v>3818</v>
      </c>
      <c r="C19" s="500" t="s">
        <v>3819</v>
      </c>
      <c r="D19" s="501"/>
      <c r="E19" s="497" t="s">
        <v>3820</v>
      </c>
      <c r="F19" s="502"/>
      <c r="G19" s="502"/>
    </row>
    <row r="20" spans="1:13" ht="19.5" customHeight="1">
      <c r="A20" s="3779" t="s">
        <v>552</v>
      </c>
      <c r="B20" s="3785" t="s">
        <v>3821</v>
      </c>
      <c r="C20" s="503" t="s">
        <v>3822</v>
      </c>
      <c r="D20" s="504"/>
      <c r="E20" s="505">
        <v>1</v>
      </c>
      <c r="F20" s="506" t="s">
        <v>3823</v>
      </c>
      <c r="G20" s="506"/>
    </row>
    <row r="21" spans="1:13" ht="19.5" customHeight="1">
      <c r="A21" s="3780"/>
      <c r="B21" s="3778"/>
      <c r="C21" s="507" t="s">
        <v>3824</v>
      </c>
      <c r="D21" s="508"/>
      <c r="E21" s="509">
        <v>1</v>
      </c>
      <c r="F21" s="506" t="s">
        <v>3825</v>
      </c>
      <c r="G21" s="506"/>
    </row>
    <row r="22" spans="1:13" ht="19.5" customHeight="1">
      <c r="A22" s="3780"/>
      <c r="B22" s="3778"/>
      <c r="C22" s="507" t="s">
        <v>3826</v>
      </c>
      <c r="D22" s="508"/>
      <c r="E22" s="509">
        <v>0.9</v>
      </c>
      <c r="F22" s="506" t="s">
        <v>3827</v>
      </c>
      <c r="G22" s="506"/>
    </row>
    <row r="23" spans="1:13" ht="19.5" customHeight="1">
      <c r="A23" s="3780"/>
      <c r="B23" s="3778"/>
      <c r="C23" s="507" t="s">
        <v>3828</v>
      </c>
      <c r="D23" s="508"/>
      <c r="E23" s="509">
        <v>0.9</v>
      </c>
      <c r="F23" s="506" t="s">
        <v>3829</v>
      </c>
      <c r="G23" s="506"/>
    </row>
    <row r="24" spans="1:13" ht="19.5" customHeight="1">
      <c r="A24" s="3780"/>
      <c r="B24" s="3778"/>
      <c r="C24" s="507" t="s">
        <v>3830</v>
      </c>
      <c r="D24" s="508"/>
      <c r="E24" s="509">
        <v>0.8</v>
      </c>
      <c r="F24" s="506" t="s">
        <v>3831</v>
      </c>
      <c r="G24" s="506"/>
    </row>
    <row r="25" spans="1:13" ht="19.5" customHeight="1">
      <c r="A25" s="3781"/>
      <c r="B25" s="3786"/>
      <c r="C25" s="510" t="s">
        <v>3797</v>
      </c>
      <c r="D25" s="511"/>
      <c r="E25" s="512">
        <v>0.8</v>
      </c>
      <c r="F25" s="506" t="s">
        <v>3832</v>
      </c>
      <c r="G25" s="506"/>
    </row>
    <row r="26" spans="1:13" ht="19.5" customHeight="1">
      <c r="A26" s="513" t="s">
        <v>3812</v>
      </c>
      <c r="B26" s="514" t="s">
        <v>3821</v>
      </c>
      <c r="C26" s="515" t="s">
        <v>3833</v>
      </c>
      <c r="D26" s="516"/>
      <c r="E26" s="517">
        <v>1</v>
      </c>
      <c r="F26" s="506" t="s">
        <v>3834</v>
      </c>
      <c r="G26" s="506"/>
    </row>
    <row r="27" spans="1:13" ht="19.5" customHeight="1">
      <c r="A27" s="3782" t="s">
        <v>280</v>
      </c>
      <c r="B27" s="3785" t="s">
        <v>280</v>
      </c>
      <c r="C27" s="503" t="s">
        <v>3835</v>
      </c>
      <c r="D27" s="504"/>
      <c r="E27" s="505">
        <v>1</v>
      </c>
      <c r="F27" s="506" t="s">
        <v>3836</v>
      </c>
      <c r="G27" s="506"/>
    </row>
    <row r="28" spans="1:13" ht="19.5" customHeight="1">
      <c r="A28" s="3783"/>
      <c r="B28" s="3778"/>
      <c r="C28" s="507" t="s">
        <v>3837</v>
      </c>
      <c r="D28" s="508"/>
      <c r="E28" s="509">
        <v>1</v>
      </c>
      <c r="F28" s="506" t="s">
        <v>3838</v>
      </c>
      <c r="G28" s="506"/>
    </row>
    <row r="29" spans="1:13" ht="19.5" customHeight="1">
      <c r="A29" s="3783"/>
      <c r="B29" s="3778"/>
      <c r="C29" s="507" t="s">
        <v>3839</v>
      </c>
      <c r="D29" s="508"/>
      <c r="E29" s="509">
        <v>0.8</v>
      </c>
      <c r="F29" s="506" t="s">
        <v>3840</v>
      </c>
      <c r="G29" s="506"/>
    </row>
    <row r="30" spans="1:13" ht="19.5" customHeight="1">
      <c r="A30" s="3783"/>
      <c r="B30" s="3778"/>
      <c r="C30" s="507" t="s">
        <v>3841</v>
      </c>
      <c r="D30" s="508"/>
      <c r="E30" s="509">
        <v>0.8</v>
      </c>
      <c r="F30" s="506" t="s">
        <v>3842</v>
      </c>
      <c r="G30" s="506"/>
    </row>
    <row r="31" spans="1:13" ht="19.5" customHeight="1">
      <c r="A31" s="3783"/>
      <c r="B31" s="3778"/>
      <c r="C31" s="507" t="s">
        <v>3843</v>
      </c>
      <c r="D31" s="508"/>
      <c r="E31" s="509">
        <v>0.8</v>
      </c>
      <c r="F31" s="506" t="s">
        <v>3844</v>
      </c>
      <c r="G31" s="506"/>
    </row>
    <row r="32" spans="1:13" ht="19.5" customHeight="1">
      <c r="A32" s="3783"/>
      <c r="B32" s="3778"/>
      <c r="C32" s="507" t="s">
        <v>3845</v>
      </c>
      <c r="D32" s="508"/>
      <c r="E32" s="509">
        <v>0.7</v>
      </c>
      <c r="F32" s="506" t="s">
        <v>3846</v>
      </c>
      <c r="G32" s="506"/>
    </row>
    <row r="33" spans="1:7" ht="19.5" customHeight="1">
      <c r="A33" s="3783"/>
      <c r="B33" s="3778"/>
      <c r="C33" s="507" t="s">
        <v>3847</v>
      </c>
      <c r="D33" s="508"/>
      <c r="E33" s="509">
        <v>0.8</v>
      </c>
      <c r="F33" s="506" t="s">
        <v>3848</v>
      </c>
      <c r="G33" s="506"/>
    </row>
    <row r="34" spans="1:7" ht="19.5" customHeight="1">
      <c r="A34" s="3783"/>
      <c r="B34" s="3778"/>
      <c r="C34" s="507" t="s">
        <v>3849</v>
      </c>
      <c r="D34" s="508"/>
      <c r="E34" s="509">
        <v>0.6</v>
      </c>
      <c r="F34" s="506" t="s">
        <v>3850</v>
      </c>
      <c r="G34" s="506"/>
    </row>
    <row r="35" spans="1:7" ht="19.5" customHeight="1">
      <c r="A35" s="3783"/>
      <c r="B35" s="3778"/>
      <c r="C35" s="507" t="s">
        <v>3851</v>
      </c>
      <c r="D35" s="508"/>
      <c r="E35" s="509">
        <v>0.2</v>
      </c>
      <c r="F35" s="506" t="s">
        <v>3852</v>
      </c>
      <c r="G35" s="506"/>
    </row>
    <row r="36" spans="1:7" ht="19.5" customHeight="1">
      <c r="A36" s="3783"/>
      <c r="B36" s="3778"/>
      <c r="C36" s="507" t="s">
        <v>3853</v>
      </c>
      <c r="D36" s="508"/>
      <c r="E36" s="509">
        <v>0.2</v>
      </c>
      <c r="F36" s="506" t="s">
        <v>3854</v>
      </c>
      <c r="G36" s="506"/>
    </row>
    <row r="37" spans="1:7" ht="19.5" customHeight="1">
      <c r="A37" s="3783"/>
      <c r="B37" s="3776" t="s">
        <v>3855</v>
      </c>
      <c r="C37" s="507" t="s">
        <v>3856</v>
      </c>
      <c r="D37" s="508"/>
      <c r="E37" s="509">
        <v>0.6</v>
      </c>
      <c r="F37" s="506" t="s">
        <v>3857</v>
      </c>
      <c r="G37" s="506"/>
    </row>
    <row r="38" spans="1:7" ht="19.5" customHeight="1">
      <c r="A38" s="3783"/>
      <c r="B38" s="3778"/>
      <c r="C38" s="507" t="s">
        <v>3858</v>
      </c>
      <c r="D38" s="508"/>
      <c r="E38" s="509">
        <v>0.6</v>
      </c>
      <c r="F38" s="506" t="s">
        <v>3859</v>
      </c>
      <c r="G38" s="506"/>
    </row>
    <row r="39" spans="1:7" ht="19.5" customHeight="1">
      <c r="A39" s="3784"/>
      <c r="B39" s="3786"/>
      <c r="C39" s="510" t="s">
        <v>3860</v>
      </c>
      <c r="D39" s="511"/>
      <c r="E39" s="512">
        <v>0.6</v>
      </c>
      <c r="F39" s="506" t="s">
        <v>3861</v>
      </c>
      <c r="G39" s="506"/>
    </row>
    <row r="40" spans="1:7" ht="19.5" customHeight="1">
      <c r="A40" s="513" t="s">
        <v>414</v>
      </c>
      <c r="B40" s="514" t="s">
        <v>414</v>
      </c>
      <c r="C40" s="515" t="s">
        <v>3575</v>
      </c>
      <c r="D40" s="516"/>
      <c r="E40" s="517">
        <v>1</v>
      </c>
      <c r="F40" s="506" t="s">
        <v>3862</v>
      </c>
      <c r="G40" s="506"/>
    </row>
    <row r="41" spans="1:7" ht="19.5" customHeight="1">
      <c r="A41" s="3779" t="s">
        <v>410</v>
      </c>
      <c r="B41" s="3785" t="s">
        <v>3863</v>
      </c>
      <c r="C41" s="503" t="s">
        <v>3864</v>
      </c>
      <c r="D41" s="504"/>
      <c r="E41" s="505">
        <v>1</v>
      </c>
      <c r="F41" s="506" t="s">
        <v>3865</v>
      </c>
      <c r="G41" s="506"/>
    </row>
    <row r="42" spans="1:7" ht="19.5" customHeight="1">
      <c r="A42" s="3780"/>
      <c r="B42" s="3778"/>
      <c r="C42" s="507" t="s">
        <v>3866</v>
      </c>
      <c r="D42" s="508"/>
      <c r="E42" s="509">
        <v>1</v>
      </c>
      <c r="F42" s="506" t="s">
        <v>3867</v>
      </c>
      <c r="G42" s="506"/>
    </row>
    <row r="43" spans="1:7" ht="19.5" customHeight="1">
      <c r="A43" s="3780"/>
      <c r="B43" s="3777"/>
      <c r="C43" s="507" t="s">
        <v>3868</v>
      </c>
      <c r="D43" s="508"/>
      <c r="E43" s="509">
        <v>1.5</v>
      </c>
      <c r="F43" s="506" t="s">
        <v>3869</v>
      </c>
      <c r="G43" s="506"/>
    </row>
    <row r="44" spans="1:7" ht="19.5" customHeight="1">
      <c r="A44" s="3780"/>
      <c r="B44" s="519" t="s">
        <v>280</v>
      </c>
      <c r="C44" s="507" t="s">
        <v>3813</v>
      </c>
      <c r="D44" s="508"/>
      <c r="E44" s="509">
        <v>2</v>
      </c>
      <c r="F44" s="506" t="s">
        <v>3870</v>
      </c>
      <c r="G44" s="506"/>
    </row>
    <row r="45" spans="1:7" ht="19.5" customHeight="1">
      <c r="A45" s="3780"/>
      <c r="B45" s="3776" t="s">
        <v>3871</v>
      </c>
      <c r="C45" s="507" t="s">
        <v>3872</v>
      </c>
      <c r="D45" s="508"/>
      <c r="E45" s="509">
        <v>1</v>
      </c>
      <c r="F45" s="506" t="s">
        <v>3873</v>
      </c>
      <c r="G45" s="506"/>
    </row>
    <row r="46" spans="1:7" ht="19.5" customHeight="1">
      <c r="A46" s="3780"/>
      <c r="B46" s="3778"/>
      <c r="C46" s="507" t="s">
        <v>3874</v>
      </c>
      <c r="D46" s="508"/>
      <c r="E46" s="509">
        <v>1</v>
      </c>
      <c r="F46" s="506" t="s">
        <v>3875</v>
      </c>
      <c r="G46" s="506"/>
    </row>
    <row r="47" spans="1:7" ht="19.5" customHeight="1">
      <c r="A47" s="3780"/>
      <c r="B47" s="3778"/>
      <c r="C47" s="507" t="s">
        <v>3876</v>
      </c>
      <c r="D47" s="508"/>
      <c r="E47" s="509">
        <v>1</v>
      </c>
      <c r="F47" s="506" t="s">
        <v>3877</v>
      </c>
      <c r="G47" s="506"/>
    </row>
    <row r="48" spans="1:7" ht="19.5" customHeight="1">
      <c r="A48" s="3780"/>
      <c r="B48" s="3778"/>
      <c r="C48" s="507" t="s">
        <v>3878</v>
      </c>
      <c r="D48" s="508"/>
      <c r="E48" s="509">
        <v>1</v>
      </c>
      <c r="F48" s="506" t="s">
        <v>3879</v>
      </c>
      <c r="G48" s="506"/>
    </row>
    <row r="49" spans="1:7" ht="19.5" customHeight="1">
      <c r="A49" s="3780"/>
      <c r="B49" s="3778"/>
      <c r="C49" s="507" t="s">
        <v>3880</v>
      </c>
      <c r="D49" s="508"/>
      <c r="E49" s="509">
        <v>1</v>
      </c>
      <c r="F49" s="506" t="s">
        <v>3881</v>
      </c>
      <c r="G49" s="506"/>
    </row>
    <row r="50" spans="1:7" ht="19.5" customHeight="1">
      <c r="A50" s="3780"/>
      <c r="B50" s="3778"/>
      <c r="C50" s="507" t="s">
        <v>3882</v>
      </c>
      <c r="D50" s="508"/>
      <c r="E50" s="509">
        <v>1</v>
      </c>
      <c r="F50" s="506" t="s">
        <v>3883</v>
      </c>
      <c r="G50" s="506"/>
    </row>
    <row r="51" spans="1:7" ht="19.5" customHeight="1">
      <c r="A51" s="3781"/>
      <c r="B51" s="3786"/>
      <c r="C51" s="510" t="s">
        <v>3884</v>
      </c>
      <c r="D51" s="511"/>
      <c r="E51" s="512">
        <v>1</v>
      </c>
      <c r="F51" s="506" t="s">
        <v>3885</v>
      </c>
      <c r="G51" s="506"/>
    </row>
    <row r="52" spans="1:7" ht="19.5" customHeight="1">
      <c r="A52" s="520"/>
      <c r="B52" s="520"/>
      <c r="C52" s="520"/>
      <c r="D52" s="520"/>
      <c r="E52" s="520"/>
      <c r="F52" s="520"/>
      <c r="G52" s="520"/>
    </row>
    <row r="54" spans="1:7" ht="19.5" customHeight="1">
      <c r="A54" s="521"/>
      <c r="B54" s="495" t="s">
        <v>544</v>
      </c>
      <c r="C54" s="495" t="s">
        <v>544</v>
      </c>
      <c r="D54" s="495" t="s">
        <v>544</v>
      </c>
      <c r="E54" s="497" t="s">
        <v>544</v>
      </c>
      <c r="F54" s="497" t="s">
        <v>3886</v>
      </c>
      <c r="G54" s="497" t="s">
        <v>544</v>
      </c>
    </row>
    <row r="55" spans="1:7" ht="19.5" customHeight="1">
      <c r="A55" s="522"/>
      <c r="B55" s="497" t="s">
        <v>552</v>
      </c>
      <c r="C55" s="497" t="s">
        <v>552</v>
      </c>
      <c r="D55" s="497" t="s">
        <v>552</v>
      </c>
      <c r="E55" s="495" t="s">
        <v>3812</v>
      </c>
      <c r="F55" s="495" t="s">
        <v>410</v>
      </c>
      <c r="G55" s="495" t="s">
        <v>550</v>
      </c>
    </row>
    <row r="56" spans="1:7" ht="19.5" customHeight="1">
      <c r="A56" s="523"/>
      <c r="B56" s="495">
        <v>1</v>
      </c>
      <c r="C56" s="495">
        <v>2</v>
      </c>
      <c r="D56" s="495">
        <v>3</v>
      </c>
      <c r="E56" s="524" t="s">
        <v>3887</v>
      </c>
      <c r="F56" s="524" t="s">
        <v>3887</v>
      </c>
      <c r="G56" s="524" t="s">
        <v>3887</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3888</v>
      </c>
      <c r="E70" s="536"/>
      <c r="F70" s="536"/>
    </row>
    <row r="71" spans="1:7" ht="19.5" customHeight="1">
      <c r="A71" s="519" t="s">
        <v>613</v>
      </c>
      <c r="B71" s="519" t="s">
        <v>3889</v>
      </c>
      <c r="C71" s="519" t="s">
        <v>3890</v>
      </c>
      <c r="D71" s="519" t="s">
        <v>3891</v>
      </c>
      <c r="E71" s="519" t="s">
        <v>3892</v>
      </c>
      <c r="F71" s="519" t="s">
        <v>3893</v>
      </c>
    </row>
    <row r="72" spans="1:7" ht="14.4">
      <c r="A72" s="519"/>
      <c r="B72" s="519"/>
      <c r="C72" s="519" t="s">
        <v>3592</v>
      </c>
      <c r="D72" s="519"/>
      <c r="E72" s="519" t="s">
        <v>124</v>
      </c>
      <c r="F72" s="519" t="s">
        <v>124</v>
      </c>
    </row>
    <row r="73" spans="1:7" ht="14.4">
      <c r="A73" s="519">
        <v>1</v>
      </c>
      <c r="B73" s="3776" t="s">
        <v>3894</v>
      </c>
      <c r="C73" s="495" t="s">
        <v>3895</v>
      </c>
      <c r="D73" s="495" t="s">
        <v>3896</v>
      </c>
      <c r="E73" s="519">
        <v>0.2</v>
      </c>
      <c r="F73" s="519">
        <v>25</v>
      </c>
    </row>
    <row r="74" spans="1:7" ht="24">
      <c r="A74" s="519">
        <v>2</v>
      </c>
      <c r="B74" s="3778"/>
      <c r="C74" s="495" t="s">
        <v>3897</v>
      </c>
      <c r="D74" s="495" t="s">
        <v>3898</v>
      </c>
      <c r="E74" s="519">
        <v>0.2</v>
      </c>
      <c r="F74" s="519">
        <v>25</v>
      </c>
    </row>
    <row r="75" spans="1:7" ht="24">
      <c r="A75" s="519">
        <v>3</v>
      </c>
      <c r="B75" s="3778"/>
      <c r="C75" s="495" t="s">
        <v>3899</v>
      </c>
      <c r="D75" s="495" t="s">
        <v>3900</v>
      </c>
      <c r="E75" s="519">
        <v>0.2</v>
      </c>
      <c r="F75" s="519">
        <v>25</v>
      </c>
    </row>
    <row r="76" spans="1:7" ht="14.4">
      <c r="A76" s="519">
        <v>4</v>
      </c>
      <c r="B76" s="3778"/>
      <c r="C76" s="495" t="s">
        <v>3901</v>
      </c>
      <c r="D76" s="495" t="s">
        <v>3902</v>
      </c>
      <c r="E76" s="519">
        <v>0.15</v>
      </c>
      <c r="F76" s="519">
        <v>20</v>
      </c>
    </row>
    <row r="77" spans="1:7" ht="24">
      <c r="A77" s="519">
        <v>5</v>
      </c>
      <c r="B77" s="3778"/>
      <c r="C77" s="495" t="s">
        <v>3903</v>
      </c>
      <c r="D77" s="495" t="s">
        <v>3904</v>
      </c>
      <c r="E77" s="519">
        <v>0.15</v>
      </c>
      <c r="F77" s="519">
        <v>20</v>
      </c>
    </row>
    <row r="78" spans="1:7" ht="24">
      <c r="A78" s="519">
        <v>6</v>
      </c>
      <c r="B78" s="3778"/>
      <c r="C78" s="495" t="s">
        <v>3905</v>
      </c>
      <c r="D78" s="495" t="s">
        <v>3906</v>
      </c>
      <c r="E78" s="519">
        <v>0.15</v>
      </c>
      <c r="F78" s="519">
        <v>20</v>
      </c>
    </row>
    <row r="79" spans="1:7" ht="24">
      <c r="A79" s="519">
        <v>7</v>
      </c>
      <c r="B79" s="3778"/>
      <c r="C79" s="495" t="s">
        <v>3907</v>
      </c>
      <c r="D79" s="495" t="s">
        <v>3908</v>
      </c>
      <c r="E79" s="519">
        <v>0.15</v>
      </c>
      <c r="F79" s="519">
        <v>20</v>
      </c>
    </row>
    <row r="80" spans="1:7" ht="24">
      <c r="A80" s="519">
        <v>8</v>
      </c>
      <c r="B80" s="3778"/>
      <c r="C80" s="495" t="s">
        <v>3909</v>
      </c>
      <c r="D80" s="495" t="s">
        <v>3910</v>
      </c>
      <c r="E80" s="519">
        <v>0.1</v>
      </c>
      <c r="F80" s="519">
        <v>15</v>
      </c>
    </row>
    <row r="81" spans="1:6" ht="24">
      <c r="A81" s="519">
        <v>9</v>
      </c>
      <c r="B81" s="3778"/>
      <c r="C81" s="495" t="s">
        <v>3911</v>
      </c>
      <c r="D81" s="495" t="s">
        <v>3912</v>
      </c>
      <c r="E81" s="519">
        <v>0.1</v>
      </c>
      <c r="F81" s="519">
        <v>15</v>
      </c>
    </row>
    <row r="82" spans="1:6" ht="24">
      <c r="A82" s="519">
        <v>10</v>
      </c>
      <c r="B82" s="3778"/>
      <c r="C82" s="495" t="s">
        <v>3913</v>
      </c>
      <c r="D82" s="495" t="s">
        <v>3914</v>
      </c>
      <c r="E82" s="519">
        <v>0.1</v>
      </c>
      <c r="F82" s="519">
        <v>15</v>
      </c>
    </row>
    <row r="83" spans="1:6" ht="24">
      <c r="A83" s="519">
        <v>11</v>
      </c>
      <c r="B83" s="3778"/>
      <c r="C83" s="495" t="s">
        <v>3915</v>
      </c>
      <c r="D83" s="495" t="s">
        <v>3916</v>
      </c>
      <c r="E83" s="519">
        <v>0.1</v>
      </c>
      <c r="F83" s="519">
        <v>15</v>
      </c>
    </row>
    <row r="84" spans="1:6" ht="24">
      <c r="A84" s="519">
        <v>12</v>
      </c>
      <c r="B84" s="3778"/>
      <c r="C84" s="495" t="s">
        <v>3917</v>
      </c>
      <c r="D84" s="495" t="s">
        <v>3918</v>
      </c>
      <c r="E84" s="519">
        <v>0.1</v>
      </c>
      <c r="F84" s="519">
        <v>15</v>
      </c>
    </row>
    <row r="85" spans="1:6" ht="24">
      <c r="A85" s="519">
        <v>13</v>
      </c>
      <c r="B85" s="3778"/>
      <c r="C85" s="495" t="s">
        <v>3919</v>
      </c>
      <c r="D85" s="495" t="s">
        <v>3920</v>
      </c>
      <c r="E85" s="519">
        <v>0.1</v>
      </c>
      <c r="F85" s="519">
        <v>15</v>
      </c>
    </row>
    <row r="86" spans="1:6" ht="24">
      <c r="A86" s="519">
        <v>14</v>
      </c>
      <c r="B86" s="3778"/>
      <c r="C86" s="495" t="s">
        <v>3921</v>
      </c>
      <c r="D86" s="495" t="s">
        <v>3922</v>
      </c>
      <c r="E86" s="519">
        <v>0.1</v>
      </c>
      <c r="F86" s="519">
        <v>15</v>
      </c>
    </row>
    <row r="87" spans="1:6" ht="24">
      <c r="A87" s="519">
        <v>15</v>
      </c>
      <c r="B87" s="3778"/>
      <c r="C87" s="495" t="s">
        <v>3923</v>
      </c>
      <c r="D87" s="495" t="s">
        <v>3924</v>
      </c>
      <c r="E87" s="519">
        <v>0.1</v>
      </c>
      <c r="F87" s="519">
        <v>15</v>
      </c>
    </row>
    <row r="88" spans="1:6" ht="24">
      <c r="A88" s="519">
        <v>16</v>
      </c>
      <c r="B88" s="3778"/>
      <c r="C88" s="495" t="s">
        <v>3925</v>
      </c>
      <c r="D88" s="495" t="s">
        <v>3926</v>
      </c>
      <c r="E88" s="519">
        <v>0.1</v>
      </c>
      <c r="F88" s="519">
        <v>15</v>
      </c>
    </row>
    <row r="89" spans="1:6" ht="24">
      <c r="A89" s="519">
        <v>17</v>
      </c>
      <c r="B89" s="3777"/>
      <c r="C89" s="495" t="s">
        <v>3927</v>
      </c>
      <c r="D89" s="495" t="s">
        <v>3928</v>
      </c>
      <c r="E89" s="519">
        <v>0.1</v>
      </c>
      <c r="F89" s="519">
        <v>15</v>
      </c>
    </row>
    <row r="90" spans="1:6" ht="14.4">
      <c r="A90" s="519">
        <v>18</v>
      </c>
      <c r="B90" s="3776" t="s">
        <v>3929</v>
      </c>
      <c r="C90" s="495" t="s">
        <v>3930</v>
      </c>
      <c r="D90" s="495" t="s">
        <v>3931</v>
      </c>
      <c r="E90" s="519">
        <v>0.2</v>
      </c>
      <c r="F90" s="519">
        <v>25</v>
      </c>
    </row>
    <row r="91" spans="1:6" ht="24">
      <c r="A91" s="519">
        <v>19</v>
      </c>
      <c r="B91" s="3778"/>
      <c r="C91" s="495" t="s">
        <v>3932</v>
      </c>
      <c r="D91" s="495" t="s">
        <v>3933</v>
      </c>
      <c r="E91" s="519">
        <v>0.2</v>
      </c>
      <c r="F91" s="519">
        <v>25</v>
      </c>
    </row>
    <row r="92" spans="1:6" ht="14.4">
      <c r="A92" s="519">
        <v>20</v>
      </c>
      <c r="B92" s="3778"/>
      <c r="C92" s="495" t="s">
        <v>3934</v>
      </c>
      <c r="D92" s="495" t="s">
        <v>3935</v>
      </c>
      <c r="E92" s="519">
        <v>0.15</v>
      </c>
      <c r="F92" s="519">
        <v>20</v>
      </c>
    </row>
    <row r="93" spans="1:6" ht="24">
      <c r="A93" s="519">
        <v>21</v>
      </c>
      <c r="B93" s="3778"/>
      <c r="C93" s="495" t="s">
        <v>3936</v>
      </c>
      <c r="D93" s="495" t="s">
        <v>3937</v>
      </c>
      <c r="E93" s="519">
        <v>0.15</v>
      </c>
      <c r="F93" s="519">
        <v>20</v>
      </c>
    </row>
    <row r="94" spans="1:6" ht="24">
      <c r="A94" s="519">
        <v>22</v>
      </c>
      <c r="B94" s="3778"/>
      <c r="C94" s="495" t="s">
        <v>3938</v>
      </c>
      <c r="D94" s="495" t="s">
        <v>3939</v>
      </c>
      <c r="E94" s="519">
        <v>0.15</v>
      </c>
      <c r="F94" s="519">
        <v>20</v>
      </c>
    </row>
    <row r="95" spans="1:6" ht="36">
      <c r="A95" s="519">
        <v>23</v>
      </c>
      <c r="B95" s="3778"/>
      <c r="C95" s="495" t="s">
        <v>3940</v>
      </c>
      <c r="D95" s="495" t="s">
        <v>3941</v>
      </c>
      <c r="E95" s="519">
        <v>0.15</v>
      </c>
      <c r="F95" s="519">
        <v>20</v>
      </c>
    </row>
    <row r="96" spans="1:6" ht="24">
      <c r="A96" s="519">
        <v>24</v>
      </c>
      <c r="B96" s="3778"/>
      <c r="C96" s="495" t="s">
        <v>3942</v>
      </c>
      <c r="D96" s="495" t="s">
        <v>3943</v>
      </c>
      <c r="E96" s="519">
        <v>0.1</v>
      </c>
      <c r="F96" s="519">
        <v>15</v>
      </c>
    </row>
    <row r="97" spans="1:6" ht="24">
      <c r="A97" s="519">
        <v>25</v>
      </c>
      <c r="B97" s="3778"/>
      <c r="C97" s="495" t="s">
        <v>3944</v>
      </c>
      <c r="D97" s="495" t="s">
        <v>3945</v>
      </c>
      <c r="E97" s="519">
        <v>0.1</v>
      </c>
      <c r="F97" s="519">
        <v>15</v>
      </c>
    </row>
    <row r="98" spans="1:6" ht="24">
      <c r="A98" s="519">
        <v>26</v>
      </c>
      <c r="B98" s="3778"/>
      <c r="C98" s="495" t="s">
        <v>3946</v>
      </c>
      <c r="D98" s="495" t="s">
        <v>3947</v>
      </c>
      <c r="E98" s="519">
        <v>0.1</v>
      </c>
      <c r="F98" s="519">
        <v>15</v>
      </c>
    </row>
    <row r="99" spans="1:6" ht="24">
      <c r="A99" s="519">
        <v>27</v>
      </c>
      <c r="B99" s="3778"/>
      <c r="C99" s="495" t="s">
        <v>3948</v>
      </c>
      <c r="D99" s="495" t="s">
        <v>3949</v>
      </c>
      <c r="E99" s="519">
        <v>0.1</v>
      </c>
      <c r="F99" s="519">
        <v>15</v>
      </c>
    </row>
    <row r="100" spans="1:6" ht="24">
      <c r="A100" s="519">
        <v>28</v>
      </c>
      <c r="B100" s="3778"/>
      <c r="C100" s="495" t="s">
        <v>3950</v>
      </c>
      <c r="D100" s="495" t="s">
        <v>3951</v>
      </c>
      <c r="E100" s="519">
        <v>0.1</v>
      </c>
      <c r="F100" s="519">
        <v>15</v>
      </c>
    </row>
    <row r="101" spans="1:6" ht="24">
      <c r="A101" s="519">
        <v>29</v>
      </c>
      <c r="B101" s="3778"/>
      <c r="C101" s="495" t="s">
        <v>3952</v>
      </c>
      <c r="D101" s="495" t="s">
        <v>3953</v>
      </c>
      <c r="E101" s="519">
        <v>0.1</v>
      </c>
      <c r="F101" s="519">
        <v>15</v>
      </c>
    </row>
    <row r="102" spans="1:6" ht="24">
      <c r="A102" s="519">
        <v>30</v>
      </c>
      <c r="B102" s="3778"/>
      <c r="C102" s="495" t="s">
        <v>3954</v>
      </c>
      <c r="D102" s="495" t="s">
        <v>3955</v>
      </c>
      <c r="E102" s="519">
        <v>0.1</v>
      </c>
      <c r="F102" s="519">
        <v>15</v>
      </c>
    </row>
    <row r="103" spans="1:6" ht="24">
      <c r="A103" s="519">
        <v>31</v>
      </c>
      <c r="B103" s="3778"/>
      <c r="C103" s="495" t="s">
        <v>3956</v>
      </c>
      <c r="D103" s="495" t="s">
        <v>3957</v>
      </c>
      <c r="E103" s="519">
        <v>0.1</v>
      </c>
      <c r="F103" s="519">
        <v>15</v>
      </c>
    </row>
    <row r="104" spans="1:6" ht="24">
      <c r="A104" s="519">
        <v>32</v>
      </c>
      <c r="B104" s="3778"/>
      <c r="C104" s="495" t="s">
        <v>3958</v>
      </c>
      <c r="D104" s="495" t="s">
        <v>3959</v>
      </c>
      <c r="E104" s="519">
        <v>0.1</v>
      </c>
      <c r="F104" s="519">
        <v>15</v>
      </c>
    </row>
    <row r="105" spans="1:6" ht="24">
      <c r="A105" s="519">
        <v>33</v>
      </c>
      <c r="B105" s="3778"/>
      <c r="C105" s="495" t="s">
        <v>3960</v>
      </c>
      <c r="D105" s="495" t="s">
        <v>3961</v>
      </c>
      <c r="E105" s="519">
        <v>0.1</v>
      </c>
      <c r="F105" s="519">
        <v>15</v>
      </c>
    </row>
    <row r="106" spans="1:6" ht="24">
      <c r="A106" s="519">
        <v>34</v>
      </c>
      <c r="B106" s="3777"/>
      <c r="C106" s="495" t="s">
        <v>3962</v>
      </c>
      <c r="D106" s="495" t="s">
        <v>3963</v>
      </c>
      <c r="E106" s="519">
        <v>0.1</v>
      </c>
      <c r="F106" s="519">
        <v>15</v>
      </c>
    </row>
    <row r="107" spans="1:6" ht="36">
      <c r="A107" s="519">
        <v>35</v>
      </c>
      <c r="B107" s="3776" t="s">
        <v>3964</v>
      </c>
      <c r="C107" s="519" t="s">
        <v>3965</v>
      </c>
      <c r="D107" s="495" t="s">
        <v>3966</v>
      </c>
      <c r="E107" s="519">
        <v>0.15</v>
      </c>
      <c r="F107" s="519">
        <v>20</v>
      </c>
    </row>
    <row r="108" spans="1:6" ht="24">
      <c r="A108" s="519">
        <v>36</v>
      </c>
      <c r="B108" s="3778"/>
      <c r="C108" s="519" t="s">
        <v>3967</v>
      </c>
      <c r="D108" s="495" t="s">
        <v>3968</v>
      </c>
      <c r="E108" s="519">
        <v>0.15</v>
      </c>
      <c r="F108" s="519">
        <v>20</v>
      </c>
    </row>
    <row r="109" spans="1:6" ht="24">
      <c r="A109" s="519">
        <v>37</v>
      </c>
      <c r="B109" s="3778"/>
      <c r="C109" s="519" t="s">
        <v>3969</v>
      </c>
      <c r="D109" s="495" t="s">
        <v>3970</v>
      </c>
      <c r="E109" s="519">
        <v>0.15</v>
      </c>
      <c r="F109" s="519">
        <v>20</v>
      </c>
    </row>
    <row r="110" spans="1:6" ht="24">
      <c r="A110" s="519">
        <v>38</v>
      </c>
      <c r="B110" s="3778"/>
      <c r="C110" s="519" t="s">
        <v>3971</v>
      </c>
      <c r="D110" s="495" t="s">
        <v>3972</v>
      </c>
      <c r="E110" s="519">
        <v>0.1</v>
      </c>
      <c r="F110" s="519">
        <v>15</v>
      </c>
    </row>
    <row r="111" spans="1:6" ht="24">
      <c r="A111" s="519">
        <v>39</v>
      </c>
      <c r="B111" s="3778"/>
      <c r="C111" s="519" t="s">
        <v>3973</v>
      </c>
      <c r="D111" s="495" t="s">
        <v>3974</v>
      </c>
      <c r="E111" s="519">
        <v>0.1</v>
      </c>
      <c r="F111" s="519">
        <v>15</v>
      </c>
    </row>
    <row r="112" spans="1:6" ht="24">
      <c r="A112" s="519">
        <v>40</v>
      </c>
      <c r="B112" s="3777"/>
      <c r="C112" s="519" t="s">
        <v>3975</v>
      </c>
      <c r="D112" s="495" t="s">
        <v>3976</v>
      </c>
      <c r="E112" s="519">
        <v>0.1</v>
      </c>
      <c r="F112" s="519">
        <v>15</v>
      </c>
    </row>
    <row r="113" spans="1:6" ht="24">
      <c r="A113" s="519">
        <v>41</v>
      </c>
      <c r="B113" s="3775" t="s">
        <v>3977</v>
      </c>
      <c r="C113" s="519" t="s">
        <v>3978</v>
      </c>
      <c r="D113" s="495" t="s">
        <v>3979</v>
      </c>
      <c r="E113" s="519">
        <v>0.1</v>
      </c>
      <c r="F113" s="519">
        <v>15</v>
      </c>
    </row>
    <row r="114" spans="1:6" ht="24">
      <c r="A114" s="519">
        <v>42</v>
      </c>
      <c r="B114" s="3775"/>
      <c r="C114" s="519" t="s">
        <v>3980</v>
      </c>
      <c r="D114" s="495" t="s">
        <v>3981</v>
      </c>
      <c r="E114" s="519">
        <v>0.1</v>
      </c>
      <c r="F114" s="519">
        <v>15</v>
      </c>
    </row>
    <row r="115" spans="1:6" ht="24">
      <c r="A115" s="519">
        <v>43</v>
      </c>
      <c r="B115" s="3775"/>
      <c r="C115" s="519" t="s">
        <v>3982</v>
      </c>
      <c r="D115" s="495" t="s">
        <v>3983</v>
      </c>
      <c r="E115" s="519">
        <v>0.1</v>
      </c>
      <c r="F115" s="519">
        <v>15</v>
      </c>
    </row>
    <row r="116" spans="1:6" ht="24">
      <c r="A116" s="519">
        <v>44</v>
      </c>
      <c r="B116" s="3776" t="s">
        <v>3984</v>
      </c>
      <c r="C116" s="519" t="s">
        <v>3985</v>
      </c>
      <c r="D116" s="495" t="s">
        <v>3986</v>
      </c>
      <c r="E116" s="519">
        <v>0.1</v>
      </c>
      <c r="F116" s="519">
        <v>15</v>
      </c>
    </row>
    <row r="117" spans="1:6" ht="24">
      <c r="A117" s="519">
        <v>45</v>
      </c>
      <c r="B117" s="3777"/>
      <c r="C117" s="495" t="s">
        <v>3987</v>
      </c>
      <c r="D117" s="495" t="s">
        <v>3988</v>
      </c>
      <c r="E117" s="519">
        <v>0.1</v>
      </c>
      <c r="F117" s="519">
        <v>15</v>
      </c>
    </row>
    <row r="118" spans="1:6" ht="24">
      <c r="A118" s="519">
        <v>46</v>
      </c>
      <c r="B118" s="3776" t="s">
        <v>3989</v>
      </c>
      <c r="C118" s="519" t="s">
        <v>3990</v>
      </c>
      <c r="D118" s="495" t="s">
        <v>3991</v>
      </c>
      <c r="E118" s="519">
        <v>0.1</v>
      </c>
      <c r="F118" s="519">
        <v>15</v>
      </c>
    </row>
    <row r="119" spans="1:6" ht="24">
      <c r="A119" s="519">
        <v>47</v>
      </c>
      <c r="B119" s="3777"/>
      <c r="C119" s="519" t="s">
        <v>3992</v>
      </c>
      <c r="D119" s="495" t="s">
        <v>3993</v>
      </c>
      <c r="E119" s="519">
        <v>0.1</v>
      </c>
      <c r="F119" s="519">
        <v>15</v>
      </c>
    </row>
    <row r="120" spans="1:6" ht="24">
      <c r="A120" s="519">
        <v>48</v>
      </c>
      <c r="B120" s="3776" t="s">
        <v>3994</v>
      </c>
      <c r="C120" s="519" t="s">
        <v>3995</v>
      </c>
      <c r="D120" s="495" t="s">
        <v>3996</v>
      </c>
      <c r="E120" s="519">
        <v>0.1</v>
      </c>
      <c r="F120" s="519">
        <v>15</v>
      </c>
    </row>
    <row r="121" spans="1:6" ht="24">
      <c r="A121" s="519">
        <v>49</v>
      </c>
      <c r="B121" s="3777"/>
      <c r="C121" s="519" t="s">
        <v>3997</v>
      </c>
      <c r="D121" s="495" t="s">
        <v>3998</v>
      </c>
      <c r="E121" s="519">
        <v>0.1</v>
      </c>
      <c r="F121" s="519">
        <v>15</v>
      </c>
    </row>
    <row r="122" spans="1:6" ht="24">
      <c r="A122" s="519">
        <v>50</v>
      </c>
      <c r="B122" s="3775" t="s">
        <v>3999</v>
      </c>
      <c r="C122" s="519" t="s">
        <v>4000</v>
      </c>
      <c r="D122" s="495" t="s">
        <v>4001</v>
      </c>
      <c r="E122" s="519">
        <v>0.1</v>
      </c>
      <c r="F122" s="519">
        <v>15</v>
      </c>
    </row>
    <row r="123" spans="1:6" ht="24">
      <c r="A123" s="519">
        <v>51</v>
      </c>
      <c r="B123" s="3775"/>
      <c r="C123" s="519" t="s">
        <v>4002</v>
      </c>
      <c r="D123" s="495" t="s">
        <v>4003</v>
      </c>
      <c r="E123" s="519">
        <v>0.1</v>
      </c>
      <c r="F123" s="519">
        <v>15</v>
      </c>
    </row>
    <row r="124" spans="1:6" ht="24">
      <c r="A124" s="519">
        <v>52</v>
      </c>
      <c r="B124" s="3775" t="s">
        <v>4004</v>
      </c>
      <c r="C124" s="519" t="s">
        <v>4005</v>
      </c>
      <c r="D124" s="495" t="s">
        <v>4006</v>
      </c>
      <c r="E124" s="519">
        <v>0.1</v>
      </c>
      <c r="F124" s="519">
        <v>15</v>
      </c>
    </row>
    <row r="125" spans="1:6" ht="24">
      <c r="A125" s="519">
        <v>53</v>
      </c>
      <c r="B125" s="3775"/>
      <c r="C125" s="519" t="s">
        <v>4007</v>
      </c>
      <c r="D125" s="495" t="s">
        <v>4008</v>
      </c>
      <c r="E125" s="519">
        <v>0.1</v>
      </c>
      <c r="F125" s="519">
        <v>15</v>
      </c>
    </row>
    <row r="126" spans="1:6" ht="24">
      <c r="A126" s="519">
        <v>54</v>
      </c>
      <c r="B126" s="519" t="s">
        <v>4009</v>
      </c>
      <c r="C126" s="519" t="s">
        <v>4010</v>
      </c>
      <c r="D126" s="495" t="s">
        <v>4011</v>
      </c>
      <c r="E126" s="519">
        <v>0.1</v>
      </c>
      <c r="F126" s="519">
        <v>15</v>
      </c>
    </row>
    <row r="127" spans="1:6" ht="24">
      <c r="A127" s="519">
        <v>55</v>
      </c>
      <c r="B127" s="3775" t="s">
        <v>4012</v>
      </c>
      <c r="C127" s="519" t="s">
        <v>4013</v>
      </c>
      <c r="D127" s="495" t="s">
        <v>4014</v>
      </c>
      <c r="E127" s="519">
        <v>0.1</v>
      </c>
      <c r="F127" s="519">
        <v>15</v>
      </c>
    </row>
    <row r="128" spans="1:6" ht="24">
      <c r="A128" s="519">
        <v>56</v>
      </c>
      <c r="B128" s="3775"/>
      <c r="C128" s="519" t="s">
        <v>4015</v>
      </c>
      <c r="D128" s="495" t="s">
        <v>4016</v>
      </c>
      <c r="E128" s="519">
        <v>0.1</v>
      </c>
      <c r="F128" s="519">
        <v>15</v>
      </c>
    </row>
    <row r="129" spans="1:6" ht="24">
      <c r="A129" s="519">
        <v>57</v>
      </c>
      <c r="B129" s="3775"/>
      <c r="C129" s="519" t="s">
        <v>4017</v>
      </c>
      <c r="D129" s="495" t="s">
        <v>4018</v>
      </c>
      <c r="E129" s="519">
        <v>0.1</v>
      </c>
      <c r="F129" s="519">
        <v>15</v>
      </c>
    </row>
    <row r="130" spans="1:6" ht="24">
      <c r="A130" s="519">
        <v>58</v>
      </c>
      <c r="B130" s="3775" t="s">
        <v>4019</v>
      </c>
      <c r="C130" s="519" t="s">
        <v>4020</v>
      </c>
      <c r="D130" s="495" t="s">
        <v>4021</v>
      </c>
      <c r="E130" s="519">
        <v>0.1</v>
      </c>
      <c r="F130" s="519">
        <v>15</v>
      </c>
    </row>
    <row r="131" spans="1:6" ht="24">
      <c r="A131" s="519">
        <v>59</v>
      </c>
      <c r="B131" s="3775"/>
      <c r="C131" s="519" t="s">
        <v>4022</v>
      </c>
      <c r="D131" s="495" t="s">
        <v>4023</v>
      </c>
      <c r="E131" s="519">
        <v>0.1</v>
      </c>
      <c r="F131" s="519">
        <v>15</v>
      </c>
    </row>
    <row r="132" spans="1:6" ht="24">
      <c r="A132" s="519">
        <v>60</v>
      </c>
      <c r="B132" s="3776" t="s">
        <v>4024</v>
      </c>
      <c r="C132" s="519" t="s">
        <v>3789</v>
      </c>
      <c r="D132" s="495" t="s">
        <v>4025</v>
      </c>
      <c r="E132" s="519">
        <v>0.1</v>
      </c>
      <c r="F132" s="519">
        <v>15</v>
      </c>
    </row>
    <row r="133" spans="1:6" ht="24">
      <c r="A133" s="519">
        <v>61</v>
      </c>
      <c r="B133" s="3777"/>
      <c r="C133" s="519" t="s">
        <v>4026</v>
      </c>
      <c r="D133" s="495" t="s">
        <v>4027</v>
      </c>
      <c r="E133" s="519">
        <v>0.1</v>
      </c>
      <c r="F133" s="519">
        <v>15</v>
      </c>
    </row>
    <row r="134" spans="1:6" ht="24">
      <c r="A134" s="519">
        <v>62</v>
      </c>
      <c r="B134" s="519" t="s">
        <v>4028</v>
      </c>
      <c r="C134" s="519" t="s">
        <v>4029</v>
      </c>
      <c r="D134" s="495" t="s">
        <v>4030</v>
      </c>
      <c r="E134" s="519">
        <v>0.1</v>
      </c>
      <c r="F134" s="519">
        <v>15</v>
      </c>
    </row>
    <row r="135" spans="1:6" ht="24">
      <c r="A135" s="519">
        <v>63</v>
      </c>
      <c r="B135" s="3775" t="s">
        <v>4031</v>
      </c>
      <c r="C135" s="519" t="s">
        <v>4032</v>
      </c>
      <c r="D135" s="495" t="s">
        <v>4033</v>
      </c>
      <c r="E135" s="519">
        <v>0.1</v>
      </c>
      <c r="F135" s="519">
        <v>15</v>
      </c>
    </row>
    <row r="136" spans="1:6" ht="24">
      <c r="A136" s="519">
        <v>64</v>
      </c>
      <c r="B136" s="3775"/>
      <c r="C136" s="519" t="s">
        <v>4034</v>
      </c>
      <c r="D136" s="495" t="s">
        <v>4035</v>
      </c>
      <c r="E136" s="519">
        <v>0.1</v>
      </c>
      <c r="F136" s="519">
        <v>15</v>
      </c>
    </row>
    <row r="137" spans="1:6" ht="24">
      <c r="A137" s="519">
        <v>65</v>
      </c>
      <c r="B137" s="519" t="s">
        <v>4036</v>
      </c>
      <c r="C137" s="519" t="s">
        <v>4037</v>
      </c>
      <c r="D137" s="495" t="s">
        <v>4038</v>
      </c>
      <c r="E137" s="519">
        <v>0.1</v>
      </c>
      <c r="F137" s="519">
        <v>15</v>
      </c>
    </row>
    <row r="138" spans="1:6" ht="14.4">
      <c r="A138" s="519"/>
      <c r="B138" s="519"/>
      <c r="C138" s="519"/>
      <c r="D138" s="519"/>
      <c r="E138" s="519" t="s">
        <v>124</v>
      </c>
      <c r="F138" s="519"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9"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458"/>
    <col min="14" max="16384" width="9" style="459"/>
  </cols>
  <sheetData>
    <row r="1" spans="1:20" ht="15.6">
      <c r="A1" s="460" t="s">
        <v>4039</v>
      </c>
      <c r="B1" s="460"/>
      <c r="C1" s="460"/>
      <c r="D1" s="460"/>
      <c r="E1" s="460"/>
      <c r="F1" s="460"/>
      <c r="G1" s="460"/>
      <c r="H1" s="460"/>
      <c r="I1" s="460"/>
      <c r="J1" s="460"/>
      <c r="K1" s="460"/>
      <c r="L1" s="460"/>
      <c r="M1" s="460"/>
      <c r="N1" s="467"/>
    </row>
    <row r="2" spans="1:20">
      <c r="A2" s="461" t="s">
        <v>4040</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4041</v>
      </c>
      <c r="R2" s="472" t="s">
        <v>4042</v>
      </c>
      <c r="S2" s="472" t="s">
        <v>4043</v>
      </c>
      <c r="T2" s="472" t="s">
        <v>4044</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5.6">
      <c r="A93" s="460" t="s">
        <v>4045</v>
      </c>
      <c r="B93" s="460"/>
      <c r="C93" s="460"/>
      <c r="D93" s="460"/>
      <c r="E93" s="460"/>
      <c r="F93" s="460"/>
      <c r="G93" s="460"/>
      <c r="H93" s="460"/>
      <c r="I93" s="460"/>
      <c r="J93" s="460"/>
      <c r="K93" s="460"/>
      <c r="L93" s="460"/>
      <c r="M93" s="460"/>
    </row>
    <row r="94" spans="1:20">
      <c r="A94" s="461" t="s">
        <v>4040</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0.97640000000000005</v>
      </c>
      <c r="Q94" s="472" t="s">
        <v>4041</v>
      </c>
      <c r="R94" s="472" t="s">
        <v>4042</v>
      </c>
      <c r="S94" s="472" t="s">
        <v>4043</v>
      </c>
      <c r="T94" s="472" t="s">
        <v>4044</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5.6">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5.6">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5.6">
      <c r="A185" s="460" t="s">
        <v>4046</v>
      </c>
      <c r="B185" s="460"/>
      <c r="C185" s="460"/>
      <c r="D185" s="460"/>
      <c r="E185" s="460"/>
      <c r="F185" s="460"/>
      <c r="G185" s="460"/>
      <c r="H185" s="460"/>
      <c r="I185" s="460"/>
      <c r="J185" s="460"/>
      <c r="K185" s="460"/>
      <c r="L185" s="460"/>
      <c r="M185" s="460"/>
    </row>
    <row r="186" spans="1:20">
      <c r="A186" s="461" t="s">
        <v>4040</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4041</v>
      </c>
      <c r="R186" s="472" t="s">
        <v>4042</v>
      </c>
      <c r="S186" s="472" t="s">
        <v>4043</v>
      </c>
      <c r="T186" s="472" t="s">
        <v>4044</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5.6">
      <c r="A277" s="460" t="s">
        <v>4047</v>
      </c>
      <c r="B277" s="460"/>
      <c r="C277" s="460"/>
      <c r="D277" s="460"/>
      <c r="E277" s="460"/>
      <c r="F277" s="460"/>
      <c r="G277" s="460"/>
      <c r="H277" s="460"/>
      <c r="I277" s="460"/>
      <c r="J277" s="460"/>
      <c r="K277" s="460"/>
      <c r="L277" s="460"/>
      <c r="M277" s="460"/>
    </row>
    <row r="278" spans="1:21">
      <c r="A278" s="461" t="s">
        <v>4040</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4041</v>
      </c>
      <c r="R278" s="472" t="s">
        <v>4042</v>
      </c>
      <c r="S278" s="472" t="s">
        <v>4048</v>
      </c>
      <c r="T278" s="472" t="s">
        <v>4049</v>
      </c>
      <c r="U278" s="472" t="s">
        <v>4044</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5.6">
      <c r="A369" s="460" t="s">
        <v>4050</v>
      </c>
      <c r="B369" s="476"/>
      <c r="C369" s="476"/>
      <c r="D369" s="476"/>
      <c r="E369" s="476"/>
      <c r="F369" s="476"/>
      <c r="G369" s="476"/>
      <c r="H369" s="476"/>
      <c r="I369" s="476"/>
      <c r="J369" s="476"/>
      <c r="K369" s="476"/>
      <c r="L369" s="476"/>
      <c r="M369" s="476"/>
    </row>
    <row r="370" spans="1:20">
      <c r="A370" s="461" t="s">
        <v>4040</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0.92879999999999996</v>
      </c>
      <c r="Q370" s="472" t="s">
        <v>4041</v>
      </c>
      <c r="R370" s="472" t="s">
        <v>4042</v>
      </c>
      <c r="S370" s="472" t="s">
        <v>4043</v>
      </c>
      <c r="T370" s="472" t="s">
        <v>4044</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9"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254" width="9" style="371" customWidth="1"/>
    <col min="255" max="16384" width="8.33203125" style="371"/>
  </cols>
  <sheetData>
    <row r="1" spans="1:7" s="365" customFormat="1" ht="21">
      <c r="A1" s="373" t="s">
        <v>4051</v>
      </c>
      <c r="B1" s="374"/>
      <c r="C1" s="375"/>
      <c r="D1" s="375"/>
      <c r="E1" s="375"/>
      <c r="F1" s="375"/>
      <c r="G1" s="376"/>
    </row>
    <row r="2" spans="1:7" s="365" customFormat="1" ht="18" customHeight="1">
      <c r="A2" s="377" t="s">
        <v>4052</v>
      </c>
      <c r="B2" s="378">
        <f ca="1">C52</f>
        <v>31235</v>
      </c>
      <c r="C2" s="379" t="s">
        <v>3806</v>
      </c>
      <c r="D2" s="376"/>
      <c r="E2" s="376"/>
      <c r="F2" s="376"/>
      <c r="G2" s="376"/>
    </row>
    <row r="3" spans="1:7" s="365" customFormat="1" ht="18" customHeight="1">
      <c r="A3" s="380" t="s">
        <v>4053</v>
      </c>
      <c r="B3" s="381">
        <f ca="1">ROUND(B2*10000/'数据-汇总表'!E3,0)</f>
        <v>36962</v>
      </c>
      <c r="C3" s="379" t="s">
        <v>4054</v>
      </c>
      <c r="D3" s="376"/>
      <c r="E3" s="376"/>
      <c r="F3" s="376"/>
      <c r="G3" s="376"/>
    </row>
    <row r="4" spans="1:7" s="366" customFormat="1" ht="16.2">
      <c r="A4" s="382" t="s">
        <v>4055</v>
      </c>
      <c r="B4" s="383"/>
      <c r="C4" s="383"/>
      <c r="D4" s="383"/>
      <c r="E4" s="383"/>
      <c r="F4" s="383"/>
      <c r="G4" s="384"/>
    </row>
    <row r="5" spans="1:7" s="367" customFormat="1" ht="13.5" customHeight="1">
      <c r="A5" s="385" t="s">
        <v>2980</v>
      </c>
      <c r="B5" s="386" t="s">
        <v>4056</v>
      </c>
      <c r="C5" s="387">
        <f>C6+C7+C8</f>
        <v>20610</v>
      </c>
      <c r="D5" s="387" t="s">
        <v>4057</v>
      </c>
      <c r="E5" s="388" t="s">
        <v>4058</v>
      </c>
      <c r="F5" s="388" t="s">
        <v>4059</v>
      </c>
      <c r="G5" s="389"/>
    </row>
    <row r="6" spans="1:7" s="367" customFormat="1" ht="13.5" customHeight="1">
      <c r="A6" s="390" t="s">
        <v>2984</v>
      </c>
      <c r="B6" s="391" t="s">
        <v>4060</v>
      </c>
      <c r="C6" s="392">
        <v>20000</v>
      </c>
      <c r="D6" s="393"/>
      <c r="E6" s="394"/>
      <c r="F6" s="394"/>
      <c r="G6" s="395"/>
    </row>
    <row r="7" spans="1:7" s="367" customFormat="1" ht="13.5" customHeight="1">
      <c r="A7" s="390" t="s">
        <v>2986</v>
      </c>
      <c r="B7" s="391" t="s">
        <v>4061</v>
      </c>
      <c r="C7" s="396">
        <f>ROUND(C6*F7,0)</f>
        <v>610</v>
      </c>
      <c r="D7" s="396"/>
      <c r="E7" s="394"/>
      <c r="F7" s="397">
        <f>'数据-取费表'!B48+'数据-取费表'!B49</f>
        <v>3.0499999999999999E-2</v>
      </c>
      <c r="G7" s="395"/>
    </row>
    <row r="8" spans="1:7" s="368" customFormat="1">
      <c r="A8" s="390" t="s">
        <v>2988</v>
      </c>
      <c r="B8" s="391" t="s">
        <v>4062</v>
      </c>
      <c r="C8" s="396" t="str">
        <f>IF(G8="已包含在土地购买价格中","0",'数据-取费表'!B29)</f>
        <v>0</v>
      </c>
      <c r="D8" s="398"/>
      <c r="E8" s="396"/>
      <c r="F8" s="397"/>
      <c r="G8" s="399" t="s">
        <v>4063</v>
      </c>
    </row>
    <row r="9" spans="1:7" s="367" customFormat="1" ht="13.5" customHeight="1">
      <c r="A9" s="400" t="s">
        <v>2991</v>
      </c>
      <c r="B9" s="401" t="s">
        <v>4064</v>
      </c>
      <c r="C9" s="402">
        <f>ROUND(D9*E9/10000,0)</f>
        <v>0</v>
      </c>
      <c r="D9" s="403">
        <f>'数据-汇总表'!E5</f>
        <v>0</v>
      </c>
      <c r="E9" s="402">
        <f>'数据-取费表'!B27</f>
        <v>160</v>
      </c>
      <c r="F9" s="397"/>
      <c r="G9" s="404"/>
    </row>
    <row r="10" spans="1:7" s="367" customFormat="1" ht="13.5" customHeight="1">
      <c r="A10" s="400" t="s">
        <v>2995</v>
      </c>
      <c r="B10" s="401" t="s">
        <v>4065</v>
      </c>
      <c r="C10" s="402">
        <f>ROUND(D10*E10/10000,0)</f>
        <v>169</v>
      </c>
      <c r="D10" s="403">
        <f>'数据-汇总表'!E6</f>
        <v>8450.66</v>
      </c>
      <c r="E10" s="402">
        <f>'数据-取费表'!B28</f>
        <v>200</v>
      </c>
      <c r="F10" s="397"/>
      <c r="G10" s="404"/>
    </row>
    <row r="11" spans="1:7" s="367" customFormat="1" ht="13.5" hidden="1" customHeight="1">
      <c r="A11" s="405" t="s">
        <v>2997</v>
      </c>
      <c r="B11" s="391" t="s">
        <v>4066</v>
      </c>
      <c r="C11" s="387"/>
      <c r="D11" s="406"/>
      <c r="E11" s="394"/>
      <c r="F11" s="394"/>
      <c r="G11" s="395"/>
    </row>
    <row r="12" spans="1:7" s="367" customFormat="1" ht="13.5" hidden="1" customHeight="1">
      <c r="A12" s="405" t="s">
        <v>2999</v>
      </c>
      <c r="B12" s="391" t="s">
        <v>4067</v>
      </c>
      <c r="C12" s="387">
        <v>0</v>
      </c>
      <c r="D12" s="406"/>
      <c r="E12" s="407"/>
      <c r="F12" s="397">
        <v>3.0499999999999999E-2</v>
      </c>
      <c r="G12" s="395"/>
    </row>
    <row r="13" spans="1:7" s="367" customFormat="1" ht="13.5" hidden="1" customHeight="1">
      <c r="A13" s="405" t="s">
        <v>3000</v>
      </c>
      <c r="B13" s="391" t="s">
        <v>4068</v>
      </c>
      <c r="C13" s="387"/>
      <c r="D13" s="406"/>
      <c r="E13" s="394"/>
      <c r="F13" s="394"/>
      <c r="G13" s="395"/>
    </row>
    <row r="14" spans="1:7" s="367" customFormat="1" ht="13.5" hidden="1" customHeight="1">
      <c r="A14" s="405" t="s">
        <v>3002</v>
      </c>
      <c r="B14" s="391" t="s">
        <v>4062</v>
      </c>
      <c r="C14" s="387"/>
      <c r="D14" s="406"/>
      <c r="E14" s="394"/>
      <c r="F14" s="394"/>
      <c r="G14" s="395" t="s">
        <v>4069</v>
      </c>
    </row>
    <row r="15" spans="1:7" s="367" customFormat="1" ht="13.5" hidden="1" customHeight="1">
      <c r="A15" s="405" t="s">
        <v>3004</v>
      </c>
      <c r="B15" s="391" t="s">
        <v>4070</v>
      </c>
      <c r="C15" s="396"/>
      <c r="D15" s="406"/>
      <c r="E15" s="394"/>
      <c r="F15" s="394"/>
      <c r="G15" s="395" t="s">
        <v>4071</v>
      </c>
    </row>
    <row r="16" spans="1:7" s="367" customFormat="1" ht="13.5" hidden="1" customHeight="1">
      <c r="A16" s="405" t="s">
        <v>3007</v>
      </c>
      <c r="B16" s="391" t="s">
        <v>4062</v>
      </c>
      <c r="C16" s="396"/>
      <c r="D16" s="406"/>
      <c r="E16" s="394"/>
      <c r="F16" s="394"/>
      <c r="G16" s="395"/>
    </row>
    <row r="17" spans="1:7" s="367" customFormat="1" ht="13.5" hidden="1" customHeight="1">
      <c r="A17" s="405" t="s">
        <v>3008</v>
      </c>
      <c r="B17" s="391" t="s">
        <v>4072</v>
      </c>
      <c r="C17" s="408"/>
      <c r="D17" s="409"/>
      <c r="E17" s="408"/>
      <c r="F17" s="408"/>
      <c r="G17" s="395" t="s">
        <v>4071</v>
      </c>
    </row>
    <row r="18" spans="1:7" s="367" customFormat="1" ht="13.5" hidden="1" customHeight="1">
      <c r="A18" s="405" t="s">
        <v>3010</v>
      </c>
      <c r="B18" s="391" t="s">
        <v>4073</v>
      </c>
      <c r="C18" s="396">
        <v>0</v>
      </c>
      <c r="D18" s="406"/>
      <c r="E18" s="394"/>
      <c r="F18" s="397">
        <v>3.0499999999999999E-2</v>
      </c>
      <c r="G18" s="395" t="s">
        <v>4074</v>
      </c>
    </row>
    <row r="19" spans="1:7" s="368" customFormat="1" ht="13.5" customHeight="1">
      <c r="A19" s="410" t="s">
        <v>3585</v>
      </c>
      <c r="B19" s="386" t="s">
        <v>4075</v>
      </c>
      <c r="C19" s="387">
        <f>IF(G19="已包含在土地取得成本中","0",ROUND(D19*E19/10000,0))</f>
        <v>169</v>
      </c>
      <c r="D19" s="411">
        <f>'数据-汇总表'!E3</f>
        <v>8450.66</v>
      </c>
      <c r="E19" s="387">
        <f>'数据-取费表'!B31</f>
        <v>200</v>
      </c>
      <c r="F19" s="412"/>
      <c r="G19" s="399" t="s">
        <v>4076</v>
      </c>
    </row>
    <row r="20" spans="1:7" s="367" customFormat="1" ht="13.5" customHeight="1">
      <c r="A20" s="410" t="s">
        <v>3622</v>
      </c>
      <c r="B20" s="386" t="s">
        <v>4077</v>
      </c>
      <c r="C20" s="413">
        <f>ROUND((C5+C19)*F20,0)</f>
        <v>416</v>
      </c>
      <c r="D20" s="413"/>
      <c r="E20" s="413"/>
      <c r="F20" s="414">
        <f>'数据-取费表'!B37</f>
        <v>0.02</v>
      </c>
      <c r="G20" s="415" t="s">
        <v>4078</v>
      </c>
    </row>
    <row r="21" spans="1:7" s="367" customFormat="1" ht="13.5" customHeight="1">
      <c r="A21" s="410" t="s">
        <v>3627</v>
      </c>
      <c r="B21" s="386" t="s">
        <v>4079</v>
      </c>
      <c r="C21" s="416">
        <f>F21</f>
        <v>0.02</v>
      </c>
      <c r="D21" s="417" t="s">
        <v>4080</v>
      </c>
      <c r="E21" s="413"/>
      <c r="F21" s="414">
        <f>'数据-取费表'!B38</f>
        <v>0.02</v>
      </c>
      <c r="G21" s="418" t="s">
        <v>4081</v>
      </c>
    </row>
    <row r="22" spans="1:7" s="367" customFormat="1" ht="13.5" customHeight="1">
      <c r="A22" s="410" t="s">
        <v>3636</v>
      </c>
      <c r="B22" s="386" t="s">
        <v>4082</v>
      </c>
      <c r="C22" s="419">
        <f ca="1">ROUND(SUM(C23:C25),0)</f>
        <v>1473</v>
      </c>
      <c r="D22" s="416">
        <f ca="1">C26</f>
        <v>6.9999999999999999E-4</v>
      </c>
      <c r="E22" s="417" t="s">
        <v>4080</v>
      </c>
      <c r="F22" s="420">
        <f ca="1">'数据-取费表'!B40</f>
        <v>3.4500000000000003E-2</v>
      </c>
      <c r="G22" s="415" t="str">
        <f>IF('数据-取费表'!B22&lt;=1,"单利计息","复利计息")</f>
        <v>复利计息</v>
      </c>
    </row>
    <row r="23" spans="1:7" s="367" customFormat="1" ht="13.5" customHeight="1">
      <c r="A23" s="421" t="s">
        <v>2984</v>
      </c>
      <c r="B23" s="391" t="s">
        <v>4083</v>
      </c>
      <c r="C23" s="422">
        <f ca="1">ROUND(IF('数据-取费表'!B22&lt;=1,C5*F22*'数据-取费表'!B23,C5*(POWER((1+F22),'数据-取费表'!B23)-1)),0)</f>
        <v>1447</v>
      </c>
      <c r="D23" s="423"/>
      <c r="E23" s="423"/>
      <c r="F23" s="424"/>
      <c r="G23" s="425" t="s">
        <v>4084</v>
      </c>
    </row>
    <row r="24" spans="1:7" s="367" customFormat="1" ht="13.5" customHeight="1">
      <c r="A24" s="421" t="s">
        <v>2986</v>
      </c>
      <c r="B24" s="391" t="s">
        <v>4085</v>
      </c>
      <c r="C24" s="422">
        <f ca="1">ROUND(IF('数据-取费表'!B22&lt;=1,C19*F22*('数据-取费表'!B19/2+'数据-取费表'!B21),C19*(POWER((1+F22),('数据-取费表'!B19/2+'数据-取费表'!B21))-1)),0)</f>
        <v>12</v>
      </c>
      <c r="D24" s="423"/>
      <c r="E24" s="423"/>
      <c r="F24" s="424"/>
      <c r="G24" s="425" t="s">
        <v>4086</v>
      </c>
    </row>
    <row r="25" spans="1:7" s="367" customFormat="1" ht="24">
      <c r="A25" s="421" t="s">
        <v>2988</v>
      </c>
      <c r="B25" s="391" t="s">
        <v>4087</v>
      </c>
      <c r="C25" s="422">
        <f ca="1">ROUND(IF('数据-取费表'!B22&lt;=1,C20*F22*'数据-取费表'!B23/2,C20*(POWER((1+F22),'数据-取费表'!B23/2)-1)),0)</f>
        <v>14</v>
      </c>
      <c r="D25" s="423"/>
      <c r="E25" s="426"/>
      <c r="F25" s="424"/>
      <c r="G25" s="427" t="s">
        <v>4088</v>
      </c>
    </row>
    <row r="26" spans="1:7" s="367" customFormat="1">
      <c r="A26" s="421" t="s">
        <v>3031</v>
      </c>
      <c r="B26" s="391" t="s">
        <v>4089</v>
      </c>
      <c r="C26" s="423">
        <f ca="1">ROUND(IF('数据-取费表'!B22&lt;=1,F21*F22*'数据-取费表'!B23/2,F21*(POWER((1+F22),'数据-取费表'!B23/2)-1)),4)</f>
        <v>6.9999999999999999E-4</v>
      </c>
      <c r="D26" s="423"/>
      <c r="E26" s="426"/>
      <c r="F26" s="424"/>
      <c r="G26" s="428"/>
    </row>
    <row r="27" spans="1:7" s="367" customFormat="1" ht="26.4">
      <c r="A27" s="410" t="s">
        <v>3645</v>
      </c>
      <c r="B27" s="429" t="s">
        <v>4090</v>
      </c>
      <c r="C27" s="430">
        <f>C28</f>
        <v>1060</v>
      </c>
      <c r="D27" s="416">
        <f>C29</f>
        <v>1E-3</v>
      </c>
      <c r="E27" s="417" t="s">
        <v>4080</v>
      </c>
      <c r="F27" s="431">
        <f>'数据-取费表'!Q16</f>
        <v>0.05</v>
      </c>
      <c r="G27" s="432" t="s">
        <v>4091</v>
      </c>
    </row>
    <row r="28" spans="1:7" s="367" customFormat="1" ht="13.5" customHeight="1">
      <c r="A28" s="421" t="s">
        <v>2984</v>
      </c>
      <c r="B28" s="433" t="s">
        <v>4092</v>
      </c>
      <c r="C28" s="434">
        <f>ROUND((C5+C19+C20)*F27*'数据-取费表'!B21/'数据-取费表'!B20,0)</f>
        <v>1060</v>
      </c>
      <c r="D28" s="416"/>
      <c r="E28" s="417"/>
      <c r="F28" s="431"/>
      <c r="G28" s="432"/>
    </row>
    <row r="29" spans="1:7" s="367" customFormat="1" ht="13.5" customHeight="1">
      <c r="A29" s="421" t="s">
        <v>2986</v>
      </c>
      <c r="B29" s="433" t="s">
        <v>4093</v>
      </c>
      <c r="C29" s="423">
        <f>ROUND(C21*F27*'数据-取费表'!B21/'数据-取费表'!B20,4)</f>
        <v>1E-3</v>
      </c>
      <c r="D29" s="416"/>
      <c r="E29" s="417"/>
      <c r="F29" s="431"/>
      <c r="G29" s="432"/>
    </row>
    <row r="30" spans="1:7" s="367" customFormat="1" ht="13.5" customHeight="1">
      <c r="A30" s="410" t="s">
        <v>4094</v>
      </c>
      <c r="B30" s="386" t="s">
        <v>4095</v>
      </c>
      <c r="C30" s="416">
        <f>F30</f>
        <v>5.6000000000000001E-2</v>
      </c>
      <c r="D30" s="417" t="s">
        <v>4096</v>
      </c>
      <c r="E30" s="426"/>
      <c r="F30" s="420">
        <f>'数据-取费表'!B41</f>
        <v>5.6000000000000001E-2</v>
      </c>
      <c r="G30" s="418" t="s">
        <v>4097</v>
      </c>
    </row>
    <row r="31" spans="1:7" ht="16.5" customHeight="1">
      <c r="A31" s="435">
        <v>1</v>
      </c>
      <c r="B31" s="386" t="s">
        <v>4098</v>
      </c>
      <c r="C31" s="387">
        <f ca="1">ROUND((C5+C19+C20+C22+C27)/(1-C21-D22-D27-C30/(1+'数据-取费表'!B42)),0)</f>
        <v>25653</v>
      </c>
      <c r="D31" s="436"/>
      <c r="E31" s="387"/>
      <c r="F31" s="437"/>
      <c r="G31" s="418" t="s">
        <v>4099</v>
      </c>
    </row>
    <row r="32" spans="1:7" s="366" customFormat="1" ht="16.2">
      <c r="A32" s="438" t="s">
        <v>4100</v>
      </c>
      <c r="B32" s="439"/>
      <c r="C32" s="439"/>
      <c r="D32" s="439"/>
      <c r="E32" s="439"/>
      <c r="F32" s="439"/>
      <c r="G32" s="440"/>
    </row>
    <row r="33" spans="1:7" s="367" customFormat="1" ht="13.5" customHeight="1">
      <c r="A33" s="385" t="s">
        <v>2980</v>
      </c>
      <c r="B33" s="386" t="s">
        <v>4101</v>
      </c>
      <c r="C33" s="441">
        <f>SUM(C34:C38)</f>
        <v>4668</v>
      </c>
      <c r="D33" s="413"/>
      <c r="E33" s="388"/>
      <c r="F33" s="426"/>
      <c r="G33" s="418"/>
    </row>
    <row r="34" spans="1:7" s="369" customFormat="1" ht="13.5" customHeight="1">
      <c r="A34" s="421" t="s">
        <v>2984</v>
      </c>
      <c r="B34" s="391" t="s">
        <v>4102</v>
      </c>
      <c r="C34" s="396">
        <f>IF(F34=100%,'数据-取费表'!M16-SUMIF('数据-取费表'!C:C,"公共配套",'数据-取费表'!M:M),'数据-取费表'!O16-SUMIF('数据-取费表'!C:C,"公共配套",'数据-取费表'!O:O))</f>
        <v>4225</v>
      </c>
      <c r="D34" s="393"/>
      <c r="E34" s="396"/>
      <c r="F34" s="442">
        <f>IF('数据-取费表'!B24=0,1,'数据-取费表'!N16)</f>
        <v>1</v>
      </c>
      <c r="G34" s="395" t="s">
        <v>4103</v>
      </c>
    </row>
    <row r="35" spans="1:7" ht="13.5" customHeight="1">
      <c r="A35" s="421" t="s">
        <v>2986</v>
      </c>
      <c r="B35" s="391" t="s">
        <v>4104</v>
      </c>
      <c r="C35" s="396">
        <f>ROUND(C34*F35,0)</f>
        <v>211</v>
      </c>
      <c r="D35" s="396"/>
      <c r="E35" s="396"/>
      <c r="F35" s="443">
        <f>'数据-取费表'!B33</f>
        <v>0.05</v>
      </c>
      <c r="G35" s="395" t="s">
        <v>4105</v>
      </c>
    </row>
    <row r="36" spans="1:7" ht="24">
      <c r="A36" s="421" t="s">
        <v>2988</v>
      </c>
      <c r="B36" s="391" t="s">
        <v>4106</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4107</v>
      </c>
    </row>
    <row r="37" spans="1:7" s="369" customFormat="1" ht="13.5" customHeight="1">
      <c r="A37" s="421" t="s">
        <v>3031</v>
      </c>
      <c r="B37" s="391" t="s">
        <v>4108</v>
      </c>
      <c r="C37" s="434">
        <f>ROUND(E37*D37*F34/10000,0)</f>
        <v>169</v>
      </c>
      <c r="D37" s="393">
        <f>'数据-汇总表'!E3</f>
        <v>8450.66</v>
      </c>
      <c r="E37" s="434">
        <f>'数据-取费表'!B35</f>
        <v>200</v>
      </c>
      <c r="F37" s="443"/>
      <c r="G37" s="445" t="s">
        <v>4109</v>
      </c>
    </row>
    <row r="38" spans="1:7" ht="13.5" customHeight="1">
      <c r="A38" s="421" t="s">
        <v>3053</v>
      </c>
      <c r="B38" s="391" t="s">
        <v>4067</v>
      </c>
      <c r="C38" s="396">
        <f>ROUND(C34*F38,0)</f>
        <v>63</v>
      </c>
      <c r="D38" s="396"/>
      <c r="E38" s="396"/>
      <c r="F38" s="443">
        <f>'数据-取费表'!B36</f>
        <v>1.4999999999999999E-2</v>
      </c>
      <c r="G38" s="395" t="s">
        <v>4105</v>
      </c>
    </row>
    <row r="39" spans="1:7" s="367" customFormat="1" ht="13.5" customHeight="1">
      <c r="A39" s="410" t="s">
        <v>3585</v>
      </c>
      <c r="B39" s="386" t="s">
        <v>4077</v>
      </c>
      <c r="C39" s="413">
        <f>ROUND(C33*F20,0)</f>
        <v>93</v>
      </c>
      <c r="D39" s="413"/>
      <c r="E39" s="413"/>
      <c r="F39" s="414"/>
      <c r="G39" s="415" t="s">
        <v>4110</v>
      </c>
    </row>
    <row r="40" spans="1:7" s="367" customFormat="1" ht="13.5" customHeight="1">
      <c r="A40" s="410" t="s">
        <v>3622</v>
      </c>
      <c r="B40" s="386" t="s">
        <v>4079</v>
      </c>
      <c r="C40" s="446">
        <f>F21</f>
        <v>0.02</v>
      </c>
      <c r="D40" s="417" t="s">
        <v>4111</v>
      </c>
      <c r="E40" s="413"/>
      <c r="F40" s="414"/>
      <c r="G40" s="418" t="s">
        <v>4112</v>
      </c>
    </row>
    <row r="41" spans="1:7" s="367" customFormat="1" ht="13.5" customHeight="1">
      <c r="A41" s="410" t="s">
        <v>3627</v>
      </c>
      <c r="B41" s="386" t="s">
        <v>4082</v>
      </c>
      <c r="C41" s="413">
        <f ca="1">ROUND(SUM(C42:C43),0)</f>
        <v>164</v>
      </c>
      <c r="D41" s="416">
        <f ca="1">C44</f>
        <v>6.9999999999999999E-4</v>
      </c>
      <c r="E41" s="417" t="s">
        <v>4111</v>
      </c>
      <c r="F41" s="420"/>
      <c r="G41" s="415" t="str">
        <f>IF('数据-取费表'!B22&lt;=1,"单利计息","复利计息")</f>
        <v>复利计息</v>
      </c>
    </row>
    <row r="42" spans="1:7" ht="13.5" customHeight="1">
      <c r="A42" s="421" t="s">
        <v>2984</v>
      </c>
      <c r="B42" s="391" t="s">
        <v>4083</v>
      </c>
      <c r="C42" s="423">
        <f ca="1">ROUND(IF('数据-取费表'!B22&lt;=1,C33*F22*'数据-取费表'!B21/2,C33*(POWER((1+F22),'数据-取费表'!B21/2)-1)),0)</f>
        <v>161</v>
      </c>
      <c r="D42" s="423"/>
      <c r="E42" s="423"/>
      <c r="F42" s="424"/>
      <c r="G42" s="3696" t="s">
        <v>4113</v>
      </c>
    </row>
    <row r="43" spans="1:7" ht="13.5" customHeight="1">
      <c r="A43" s="421" t="s">
        <v>2986</v>
      </c>
      <c r="B43" s="391" t="s">
        <v>4085</v>
      </c>
      <c r="C43" s="423">
        <f ca="1">ROUND(IF('数据-取费表'!B22&lt;=1,C39*F22*'数据-取费表'!B21/2,C39*(POWER((1+F22),'数据-取费表'!B21/2)-1)),0)</f>
        <v>3</v>
      </c>
      <c r="D43" s="423"/>
      <c r="E43" s="423"/>
      <c r="F43" s="424"/>
      <c r="G43" s="3697"/>
    </row>
    <row r="44" spans="1:7" ht="13.5" customHeight="1">
      <c r="A44" s="421" t="s">
        <v>2988</v>
      </c>
      <c r="B44" s="391" t="s">
        <v>4087</v>
      </c>
      <c r="C44" s="423">
        <f ca="1">ROUND(IF('数据-取费表'!B22&lt;=1,C40*F22*'数据-取费表'!B21/2,C40*(POWER((1+F22),'数据-取费表'!B21/2)-1)),4)</f>
        <v>6.9999999999999999E-4</v>
      </c>
      <c r="D44" s="423"/>
      <c r="E44" s="423"/>
      <c r="F44" s="424"/>
      <c r="G44" s="3698"/>
    </row>
    <row r="45" spans="1:7" s="367" customFormat="1" ht="13.5" customHeight="1">
      <c r="A45" s="410" t="s">
        <v>3636</v>
      </c>
      <c r="B45" s="429" t="s">
        <v>4090</v>
      </c>
      <c r="C45" s="430">
        <f>C46</f>
        <v>238</v>
      </c>
      <c r="D45" s="416">
        <f>C47</f>
        <v>1E-3</v>
      </c>
      <c r="E45" s="417" t="s">
        <v>4111</v>
      </c>
      <c r="F45" s="431"/>
      <c r="G45" s="432" t="s">
        <v>4114</v>
      </c>
    </row>
    <row r="46" spans="1:7" s="367" customFormat="1" ht="13.5" customHeight="1">
      <c r="A46" s="421" t="s">
        <v>2984</v>
      </c>
      <c r="B46" s="433" t="s">
        <v>4115</v>
      </c>
      <c r="C46" s="434">
        <f>ROUND((C33+C39)*F27,0)</f>
        <v>238</v>
      </c>
      <c r="D46" s="447"/>
      <c r="E46" s="417"/>
      <c r="F46" s="431"/>
      <c r="G46" s="432"/>
    </row>
    <row r="47" spans="1:7" s="367" customFormat="1" ht="13.5" customHeight="1">
      <c r="A47" s="421" t="s">
        <v>2986</v>
      </c>
      <c r="B47" s="433" t="s">
        <v>4116</v>
      </c>
      <c r="C47" s="423">
        <f>ROUND(C40*F27,4)</f>
        <v>1E-3</v>
      </c>
      <c r="D47" s="447"/>
      <c r="E47" s="417"/>
      <c r="F47" s="431"/>
      <c r="G47" s="432"/>
    </row>
    <row r="48" spans="1:7" s="367" customFormat="1" ht="13.5" customHeight="1">
      <c r="A48" s="410" t="s">
        <v>3645</v>
      </c>
      <c r="B48" s="386" t="s">
        <v>4095</v>
      </c>
      <c r="C48" s="446">
        <f>F30</f>
        <v>5.6000000000000001E-2</v>
      </c>
      <c r="D48" s="417" t="s">
        <v>4117</v>
      </c>
      <c r="E48" s="413"/>
      <c r="F48" s="420"/>
      <c r="G48" s="418" t="s">
        <v>4118</v>
      </c>
    </row>
    <row r="49" spans="1:7" ht="16.5" customHeight="1">
      <c r="A49" s="410" t="s">
        <v>4094</v>
      </c>
      <c r="B49" s="386" t="s">
        <v>4119</v>
      </c>
      <c r="C49" s="413">
        <f ca="1">ROUND((C33+C39+C41+C45)/(1-C40-D41-D45-C48/(1+'数据-取费表'!B42)),0)</f>
        <v>5582</v>
      </c>
      <c r="D49" s="413"/>
      <c r="E49" s="413"/>
      <c r="F49" s="448"/>
      <c r="G49" s="418" t="s">
        <v>4120</v>
      </c>
    </row>
    <row r="50" spans="1:7" s="369" customFormat="1" ht="24">
      <c r="A50" s="410" t="s">
        <v>4121</v>
      </c>
      <c r="B50" s="386" t="s">
        <v>4122</v>
      </c>
      <c r="C50" s="413"/>
      <c r="D50" s="413"/>
      <c r="E50" s="413"/>
      <c r="F50" s="448">
        <f>IF('数据-取费表'!B24=0,'数据-取费表'!N16,1)</f>
        <v>1</v>
      </c>
      <c r="G50" s="432" t="s">
        <v>4123</v>
      </c>
    </row>
    <row r="51" spans="1:7" ht="16.5" customHeight="1">
      <c r="A51" s="410" t="s">
        <v>4124</v>
      </c>
      <c r="B51" s="386" t="s">
        <v>4125</v>
      </c>
      <c r="C51" s="413">
        <f ca="1">ROUND(C49*F50,0)</f>
        <v>5582</v>
      </c>
      <c r="D51" s="413"/>
      <c r="E51" s="413"/>
      <c r="F51" s="448"/>
      <c r="G51" s="418" t="s">
        <v>4126</v>
      </c>
    </row>
    <row r="52" spans="1:7" s="366" customFormat="1" ht="16.2">
      <c r="A52" s="449" t="s">
        <v>4127</v>
      </c>
      <c r="B52" s="450"/>
      <c r="C52" s="451">
        <f ca="1">C31+C51</f>
        <v>31235</v>
      </c>
      <c r="D52" s="450"/>
      <c r="E52" s="450"/>
      <c r="F52" s="450"/>
      <c r="G52" s="452"/>
    </row>
    <row r="55" spans="1:7" ht="15">
      <c r="B55" s="453" t="s">
        <v>4128</v>
      </c>
      <c r="C55" s="454"/>
    </row>
    <row r="56" spans="1:7">
      <c r="B56" s="455" t="s">
        <v>4129</v>
      </c>
      <c r="C56" s="456">
        <f ca="1">ROUND(C51/C52,3)</f>
        <v>0.17899999999999999</v>
      </c>
    </row>
    <row r="57" spans="1:7">
      <c r="B57" s="455" t="s">
        <v>4130</v>
      </c>
      <c r="C57" s="457">
        <f ca="1">1-C56</f>
        <v>0.82099999999999995</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6" customWidth="1"/>
    <col min="2" max="2" width="18.6640625" style="336" customWidth="1"/>
    <col min="3" max="6" width="10.21875" style="336" customWidth="1"/>
    <col min="7" max="7" width="10.44140625" style="336" customWidth="1"/>
    <col min="8" max="8" width="8.88671875" style="335"/>
    <col min="9" max="9" width="13.33203125" style="335" customWidth="1"/>
    <col min="10" max="13" width="13.33203125" style="336" customWidth="1"/>
    <col min="14" max="14" width="18.21875" style="336" customWidth="1"/>
    <col min="15" max="17" width="15.109375" style="336" customWidth="1"/>
    <col min="18" max="20" width="11.44140625" style="336" customWidth="1"/>
    <col min="21" max="16384" width="8.88671875" style="336"/>
  </cols>
  <sheetData>
    <row r="1" spans="1:20">
      <c r="A1" s="3787" t="s">
        <v>4131</v>
      </c>
      <c r="B1" s="3787"/>
      <c r="C1" s="3787"/>
      <c r="D1" s="3787"/>
      <c r="E1" s="3787"/>
      <c r="F1" s="3787"/>
      <c r="G1" s="3788"/>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4132</v>
      </c>
      <c r="B2" s="337"/>
      <c r="C2" s="337"/>
      <c r="D2" s="337"/>
      <c r="E2" s="337"/>
      <c r="F2" s="337"/>
      <c r="G2" s="338" t="s">
        <v>4133</v>
      </c>
      <c r="I2" s="345" t="s">
        <v>4134</v>
      </c>
      <c r="J2" s="345" t="s">
        <v>4135</v>
      </c>
      <c r="K2" s="345" t="s">
        <v>4136</v>
      </c>
      <c r="L2" s="345" t="s">
        <v>4137</v>
      </c>
      <c r="M2" s="345" t="s">
        <v>4138</v>
      </c>
      <c r="N2" s="345" t="s">
        <v>4139</v>
      </c>
      <c r="O2" s="345" t="s">
        <v>4140</v>
      </c>
      <c r="P2" s="345" t="s">
        <v>4141</v>
      </c>
      <c r="Q2" s="345" t="s">
        <v>4142</v>
      </c>
      <c r="R2" s="345" t="s">
        <v>4143</v>
      </c>
      <c r="S2" s="345" t="s">
        <v>4144</v>
      </c>
      <c r="T2" s="345" t="s">
        <v>4145</v>
      </c>
    </row>
    <row r="3" spans="1:20" s="334" customFormat="1">
      <c r="A3" s="3789" t="s">
        <v>4146</v>
      </c>
      <c r="B3" s="339"/>
      <c r="C3" s="340" t="s">
        <v>552</v>
      </c>
      <c r="D3" s="340" t="s">
        <v>3812</v>
      </c>
      <c r="E3" s="340" t="s">
        <v>414</v>
      </c>
      <c r="F3" s="340" t="s">
        <v>410</v>
      </c>
      <c r="G3" s="340" t="s">
        <v>280</v>
      </c>
      <c r="H3" s="341"/>
      <c r="I3" s="346" t="s">
        <v>4147</v>
      </c>
      <c r="J3" s="347" t="s">
        <v>4148</v>
      </c>
      <c r="K3" s="347" t="s">
        <v>4149</v>
      </c>
      <c r="L3" s="346" t="s">
        <v>4150</v>
      </c>
      <c r="M3" s="346" t="s">
        <v>4151</v>
      </c>
      <c r="N3" s="346" t="s">
        <v>4152</v>
      </c>
      <c r="O3" s="346" t="s">
        <v>4153</v>
      </c>
      <c r="P3" s="346" t="s">
        <v>4154</v>
      </c>
      <c r="Q3" s="346" t="s">
        <v>4155</v>
      </c>
      <c r="R3" s="346" t="s">
        <v>4156</v>
      </c>
      <c r="S3" s="346" t="s">
        <v>4157</v>
      </c>
      <c r="T3" s="346" t="s">
        <v>4158</v>
      </c>
    </row>
    <row r="4" spans="1:20" s="334" customFormat="1">
      <c r="A4" s="3790"/>
      <c r="B4" s="342" t="s">
        <v>4159</v>
      </c>
      <c r="C4" s="342" t="s">
        <v>4160</v>
      </c>
      <c r="D4" s="342" t="s">
        <v>4160</v>
      </c>
      <c r="E4" s="342" t="s">
        <v>4160</v>
      </c>
      <c r="F4" s="343" t="s">
        <v>4160</v>
      </c>
      <c r="G4" s="343" t="s">
        <v>4160</v>
      </c>
      <c r="H4" s="341"/>
      <c r="I4" s="347" t="s">
        <v>4161</v>
      </c>
      <c r="J4" s="347" t="s">
        <v>4162</v>
      </c>
      <c r="K4" s="347" t="s">
        <v>4163</v>
      </c>
      <c r="L4" s="346" t="s">
        <v>4164</v>
      </c>
      <c r="M4" s="346" t="s">
        <v>4165</v>
      </c>
      <c r="N4" s="346" t="s">
        <v>4166</v>
      </c>
      <c r="O4" s="346" t="s">
        <v>4167</v>
      </c>
      <c r="P4" s="346" t="s">
        <v>4168</v>
      </c>
      <c r="Q4" s="346" t="s">
        <v>4169</v>
      </c>
      <c r="R4" s="346" t="s">
        <v>4170</v>
      </c>
      <c r="S4" s="346" t="s">
        <v>4171</v>
      </c>
      <c r="T4" s="346" t="s">
        <v>4172</v>
      </c>
    </row>
    <row r="5" spans="1:20">
      <c r="A5" s="344" t="s">
        <v>230</v>
      </c>
      <c r="B5" s="345" t="s">
        <v>4134</v>
      </c>
      <c r="C5" s="345">
        <v>34550</v>
      </c>
      <c r="D5" s="345">
        <v>34470</v>
      </c>
      <c r="E5" s="345">
        <v>34330</v>
      </c>
      <c r="F5" s="345">
        <v>13400</v>
      </c>
      <c r="G5" s="345">
        <v>25450</v>
      </c>
      <c r="H5" s="341"/>
      <c r="I5" s="346" t="s">
        <v>4173</v>
      </c>
      <c r="J5" s="347" t="s">
        <v>4174</v>
      </c>
      <c r="K5" s="347" t="s">
        <v>4175</v>
      </c>
      <c r="L5" s="346" t="s">
        <v>4176</v>
      </c>
      <c r="M5" s="346" t="s">
        <v>4177</v>
      </c>
      <c r="N5" s="346" t="s">
        <v>4178</v>
      </c>
      <c r="O5" s="346" t="s">
        <v>4179</v>
      </c>
      <c r="P5" s="346" t="s">
        <v>4180</v>
      </c>
      <c r="Q5" s="346" t="s">
        <v>4181</v>
      </c>
      <c r="R5" s="346" t="s">
        <v>4182</v>
      </c>
      <c r="S5" s="346" t="s">
        <v>4183</v>
      </c>
      <c r="T5" s="346" t="s">
        <v>4184</v>
      </c>
    </row>
    <row r="6" spans="1:20">
      <c r="A6" s="346" t="s">
        <v>230</v>
      </c>
      <c r="B6" s="346" t="s">
        <v>4147</v>
      </c>
      <c r="C6" s="346">
        <v>36990</v>
      </c>
      <c r="D6" s="346">
        <v>36850</v>
      </c>
      <c r="E6" s="346">
        <v>36700</v>
      </c>
      <c r="F6" s="346">
        <v>14590</v>
      </c>
      <c r="G6" s="346">
        <v>27450</v>
      </c>
      <c r="H6" s="341"/>
      <c r="I6" s="349" t="s">
        <v>4185</v>
      </c>
      <c r="J6" s="347" t="s">
        <v>4186</v>
      </c>
      <c r="K6" s="347" t="s">
        <v>4187</v>
      </c>
      <c r="L6" s="346" t="s">
        <v>4188</v>
      </c>
      <c r="M6" s="346" t="s">
        <v>4189</v>
      </c>
      <c r="N6" s="346" t="s">
        <v>4190</v>
      </c>
      <c r="O6" s="346" t="s">
        <v>4191</v>
      </c>
      <c r="P6" s="346" t="s">
        <v>4192</v>
      </c>
      <c r="Q6" s="346" t="s">
        <v>4193</v>
      </c>
      <c r="R6" s="346" t="s">
        <v>4194</v>
      </c>
      <c r="S6" s="346" t="s">
        <v>4195</v>
      </c>
      <c r="T6" s="346" t="s">
        <v>4196</v>
      </c>
    </row>
    <row r="7" spans="1:20">
      <c r="A7" s="346" t="s">
        <v>230</v>
      </c>
      <c r="B7" s="347" t="s">
        <v>4161</v>
      </c>
      <c r="C7" s="346">
        <v>34850</v>
      </c>
      <c r="D7" s="346">
        <v>34690</v>
      </c>
      <c r="E7" s="346">
        <v>34550</v>
      </c>
      <c r="F7" s="346">
        <v>14360</v>
      </c>
      <c r="G7" s="346">
        <v>25620</v>
      </c>
      <c r="H7" s="341"/>
      <c r="J7" s="347" t="s">
        <v>4197</v>
      </c>
      <c r="K7" s="347" t="s">
        <v>4198</v>
      </c>
      <c r="L7" s="346" t="s">
        <v>4199</v>
      </c>
      <c r="M7" s="346" t="s">
        <v>4200</v>
      </c>
      <c r="N7" s="346" t="s">
        <v>4201</v>
      </c>
      <c r="O7" s="346" t="s">
        <v>4202</v>
      </c>
      <c r="P7" s="346" t="s">
        <v>4203</v>
      </c>
      <c r="Q7" s="346" t="s">
        <v>4204</v>
      </c>
      <c r="R7" s="346" t="s">
        <v>4205</v>
      </c>
      <c r="S7" s="346" t="s">
        <v>4206</v>
      </c>
      <c r="T7" s="346" t="s">
        <v>4207</v>
      </c>
    </row>
    <row r="8" spans="1:20">
      <c r="A8" s="346" t="s">
        <v>230</v>
      </c>
      <c r="B8" s="346" t="s">
        <v>4173</v>
      </c>
      <c r="C8" s="346">
        <v>32630</v>
      </c>
      <c r="D8" s="346">
        <v>32510</v>
      </c>
      <c r="E8" s="346">
        <v>32420</v>
      </c>
      <c r="F8" s="346">
        <v>13300</v>
      </c>
      <c r="G8" s="346">
        <v>24010</v>
      </c>
      <c r="H8" s="341"/>
      <c r="J8" s="347" t="s">
        <v>4208</v>
      </c>
      <c r="K8" s="347" t="s">
        <v>4209</v>
      </c>
      <c r="L8" s="346" t="s">
        <v>4210</v>
      </c>
      <c r="M8" s="346" t="s">
        <v>4211</v>
      </c>
      <c r="N8" s="346" t="s">
        <v>4212</v>
      </c>
      <c r="O8" s="346" t="s">
        <v>4213</v>
      </c>
      <c r="P8" s="346" t="s">
        <v>4214</v>
      </c>
      <c r="Q8" s="346" t="s">
        <v>4215</v>
      </c>
      <c r="R8" s="346" t="s">
        <v>4216</v>
      </c>
      <c r="S8" s="346" t="s">
        <v>4217</v>
      </c>
      <c r="T8" s="350" t="s">
        <v>4218</v>
      </c>
    </row>
    <row r="9" spans="1:20">
      <c r="A9" s="348" t="s">
        <v>230</v>
      </c>
      <c r="B9" s="349" t="s">
        <v>4185</v>
      </c>
      <c r="C9" s="350">
        <v>36370</v>
      </c>
      <c r="D9" s="350">
        <v>36210</v>
      </c>
      <c r="E9" s="350">
        <v>36050</v>
      </c>
      <c r="F9" s="350"/>
      <c r="G9" s="350">
        <v>26740</v>
      </c>
      <c r="H9" s="341"/>
      <c r="J9" s="347" t="s">
        <v>4219</v>
      </c>
      <c r="K9" s="347" t="s">
        <v>4220</v>
      </c>
      <c r="L9" s="346" t="s">
        <v>4221</v>
      </c>
      <c r="M9" s="346" t="s">
        <v>4222</v>
      </c>
      <c r="N9" s="346" t="s">
        <v>4223</v>
      </c>
      <c r="O9" s="346" t="s">
        <v>4224</v>
      </c>
      <c r="P9" s="346" t="s">
        <v>4225</v>
      </c>
      <c r="Q9" s="346" t="s">
        <v>4226</v>
      </c>
      <c r="R9" s="346" t="s">
        <v>4227</v>
      </c>
      <c r="S9" s="346" t="s">
        <v>4228</v>
      </c>
    </row>
    <row r="10" spans="1:20">
      <c r="A10" s="344" t="s">
        <v>241</v>
      </c>
      <c r="B10" s="345" t="s">
        <v>4135</v>
      </c>
      <c r="C10" s="346">
        <v>32350</v>
      </c>
      <c r="D10" s="346">
        <v>31430</v>
      </c>
      <c r="E10" s="346">
        <v>31320</v>
      </c>
      <c r="F10" s="346">
        <v>10850</v>
      </c>
      <c r="G10" s="346">
        <v>22860</v>
      </c>
      <c r="H10" s="341"/>
      <c r="J10" s="347" t="s">
        <v>4229</v>
      </c>
      <c r="K10" s="347" t="s">
        <v>4230</v>
      </c>
      <c r="L10" s="346" t="s">
        <v>4231</v>
      </c>
      <c r="M10" s="346" t="s">
        <v>4232</v>
      </c>
      <c r="N10" s="346" t="s">
        <v>4233</v>
      </c>
      <c r="O10" s="346" t="s">
        <v>4234</v>
      </c>
      <c r="P10" s="346" t="s">
        <v>4235</v>
      </c>
      <c r="Q10" s="346" t="s">
        <v>4236</v>
      </c>
      <c r="R10" s="346" t="s">
        <v>4237</v>
      </c>
      <c r="S10" s="346" t="s">
        <v>4238</v>
      </c>
    </row>
    <row r="11" spans="1:20">
      <c r="A11" s="346" t="s">
        <v>241</v>
      </c>
      <c r="B11" s="347" t="s">
        <v>4148</v>
      </c>
      <c r="C11" s="346">
        <v>31590</v>
      </c>
      <c r="D11" s="346">
        <v>29490</v>
      </c>
      <c r="E11" s="346">
        <v>28700</v>
      </c>
      <c r="F11" s="346">
        <v>10410</v>
      </c>
      <c r="G11" s="346">
        <v>21460</v>
      </c>
      <c r="H11" s="341"/>
      <c r="J11" s="347" t="s">
        <v>4239</v>
      </c>
      <c r="K11" s="347" t="s">
        <v>4240</v>
      </c>
      <c r="L11" s="346" t="s">
        <v>4241</v>
      </c>
      <c r="M11" s="346" t="s">
        <v>4242</v>
      </c>
      <c r="N11" s="346" t="s">
        <v>4243</v>
      </c>
      <c r="O11" s="346" t="s">
        <v>4244</v>
      </c>
      <c r="P11" s="346" t="s">
        <v>4245</v>
      </c>
      <c r="Q11" s="346" t="s">
        <v>4246</v>
      </c>
      <c r="R11" s="346" t="s">
        <v>4247</v>
      </c>
      <c r="S11" s="346" t="s">
        <v>4248</v>
      </c>
    </row>
    <row r="12" spans="1:20">
      <c r="A12" s="346" t="s">
        <v>241</v>
      </c>
      <c r="B12" s="347" t="s">
        <v>4162</v>
      </c>
      <c r="C12" s="346">
        <v>29640</v>
      </c>
      <c r="D12" s="346">
        <v>27550</v>
      </c>
      <c r="E12" s="346">
        <v>28010</v>
      </c>
      <c r="F12" s="346">
        <v>8730</v>
      </c>
      <c r="G12" s="346">
        <v>20050</v>
      </c>
      <c r="H12" s="341"/>
      <c r="J12" s="347" t="s">
        <v>4249</v>
      </c>
      <c r="K12" s="347" t="s">
        <v>4250</v>
      </c>
      <c r="L12" s="346" t="s">
        <v>4251</v>
      </c>
      <c r="M12" s="346" t="s">
        <v>4252</v>
      </c>
      <c r="N12" s="346" t="s">
        <v>4253</v>
      </c>
      <c r="O12" s="346" t="s">
        <v>4254</v>
      </c>
      <c r="P12" s="346" t="s">
        <v>4255</v>
      </c>
      <c r="Q12" s="346" t="s">
        <v>4256</v>
      </c>
      <c r="R12" s="346" t="s">
        <v>4257</v>
      </c>
      <c r="S12" s="346" t="s">
        <v>4258</v>
      </c>
    </row>
    <row r="13" spans="1:20">
      <c r="A13" s="346" t="s">
        <v>241</v>
      </c>
      <c r="B13" s="347" t="s">
        <v>4174</v>
      </c>
      <c r="C13" s="346">
        <v>29680</v>
      </c>
      <c r="D13" s="346">
        <v>27660</v>
      </c>
      <c r="E13" s="346">
        <v>28210</v>
      </c>
      <c r="F13" s="346">
        <v>9590</v>
      </c>
      <c r="G13" s="346">
        <v>20120</v>
      </c>
      <c r="H13" s="341"/>
      <c r="J13" s="347" t="s">
        <v>4259</v>
      </c>
      <c r="K13" s="347" t="s">
        <v>4260</v>
      </c>
      <c r="L13" s="346" t="s">
        <v>4261</v>
      </c>
      <c r="M13" s="346" t="s">
        <v>4262</v>
      </c>
      <c r="N13" s="346" t="s">
        <v>4263</v>
      </c>
      <c r="O13" s="346" t="s">
        <v>4264</v>
      </c>
      <c r="P13" s="346" t="s">
        <v>4265</v>
      </c>
      <c r="Q13" s="346" t="s">
        <v>4266</v>
      </c>
      <c r="R13" s="346" t="s">
        <v>4267</v>
      </c>
      <c r="S13" s="346" t="s">
        <v>4268</v>
      </c>
    </row>
    <row r="14" spans="1:20">
      <c r="A14" s="346" t="s">
        <v>241</v>
      </c>
      <c r="B14" s="347" t="s">
        <v>4186</v>
      </c>
      <c r="C14" s="346">
        <v>30520</v>
      </c>
      <c r="D14" s="346">
        <v>29510</v>
      </c>
      <c r="E14" s="346">
        <v>29400</v>
      </c>
      <c r="F14" s="346">
        <v>9630</v>
      </c>
      <c r="G14" s="346">
        <v>21480</v>
      </c>
      <c r="H14" s="341"/>
      <c r="J14" s="347" t="s">
        <v>4269</v>
      </c>
      <c r="K14" s="347" t="s">
        <v>4270</v>
      </c>
      <c r="L14" s="346" t="s">
        <v>4271</v>
      </c>
      <c r="M14" s="346" t="s">
        <v>4272</v>
      </c>
      <c r="N14" s="346" t="s">
        <v>4273</v>
      </c>
      <c r="O14" s="346" t="s">
        <v>4274</v>
      </c>
      <c r="P14" s="346" t="s">
        <v>4275</v>
      </c>
      <c r="Q14" s="346" t="s">
        <v>4276</v>
      </c>
      <c r="R14" s="346" t="s">
        <v>4277</v>
      </c>
      <c r="S14" s="346" t="s">
        <v>4278</v>
      </c>
    </row>
    <row r="15" spans="1:20">
      <c r="A15" s="346" t="s">
        <v>241</v>
      </c>
      <c r="B15" s="347" t="s">
        <v>4197</v>
      </c>
      <c r="C15" s="346">
        <v>29090</v>
      </c>
      <c r="D15" s="346">
        <v>27590</v>
      </c>
      <c r="E15" s="346">
        <v>28120</v>
      </c>
      <c r="F15" s="346">
        <v>9110</v>
      </c>
      <c r="G15" s="346">
        <v>20070</v>
      </c>
      <c r="H15" s="341"/>
      <c r="J15" s="347" t="s">
        <v>4279</v>
      </c>
      <c r="K15" s="347" t="s">
        <v>4280</v>
      </c>
      <c r="L15" s="346" t="s">
        <v>4281</v>
      </c>
      <c r="M15" s="346" t="s">
        <v>4282</v>
      </c>
      <c r="N15" s="346" t="s">
        <v>4283</v>
      </c>
      <c r="O15" s="346" t="s">
        <v>4284</v>
      </c>
      <c r="P15" s="346" t="s">
        <v>4285</v>
      </c>
      <c r="Q15" s="346" t="s">
        <v>4286</v>
      </c>
      <c r="R15" s="346" t="s">
        <v>4287</v>
      </c>
      <c r="S15" s="346" t="s">
        <v>4288</v>
      </c>
    </row>
    <row r="16" spans="1:20">
      <c r="A16" s="346" t="s">
        <v>241</v>
      </c>
      <c r="B16" s="347" t="s">
        <v>4208</v>
      </c>
      <c r="C16" s="346">
        <v>26790</v>
      </c>
      <c r="D16" s="346">
        <v>30370</v>
      </c>
      <c r="E16" s="346">
        <v>30240</v>
      </c>
      <c r="F16" s="346">
        <v>11590</v>
      </c>
      <c r="G16" s="346">
        <v>22090</v>
      </c>
      <c r="H16" s="341"/>
      <c r="J16" s="347" t="s">
        <v>4289</v>
      </c>
      <c r="K16" s="347" t="s">
        <v>4290</v>
      </c>
      <c r="L16" s="346" t="s">
        <v>500</v>
      </c>
      <c r="M16" s="346" t="s">
        <v>4291</v>
      </c>
      <c r="N16" s="346" t="s">
        <v>4292</v>
      </c>
      <c r="O16" s="346" t="s">
        <v>4293</v>
      </c>
      <c r="P16" s="346" t="s">
        <v>4294</v>
      </c>
      <c r="Q16" s="346" t="s">
        <v>4295</v>
      </c>
      <c r="R16" s="346" t="s">
        <v>4296</v>
      </c>
      <c r="S16" s="346" t="s">
        <v>4297</v>
      </c>
    </row>
    <row r="17" spans="1:19" ht="14.25" customHeight="1">
      <c r="A17" s="346" t="s">
        <v>241</v>
      </c>
      <c r="B17" s="347" t="s">
        <v>4219</v>
      </c>
      <c r="C17" s="346">
        <v>29180</v>
      </c>
      <c r="D17" s="346">
        <v>27620</v>
      </c>
      <c r="E17" s="346">
        <v>28180</v>
      </c>
      <c r="F17" s="346">
        <v>10790</v>
      </c>
      <c r="G17" s="346">
        <v>20090</v>
      </c>
      <c r="H17" s="341"/>
      <c r="J17" s="347" t="s">
        <v>4298</v>
      </c>
      <c r="K17" s="347" t="s">
        <v>4299</v>
      </c>
      <c r="L17" s="346" t="s">
        <v>501</v>
      </c>
      <c r="M17" s="346" t="s">
        <v>4300</v>
      </c>
      <c r="N17" s="346" t="s">
        <v>4301</v>
      </c>
      <c r="O17" s="346" t="s">
        <v>4302</v>
      </c>
      <c r="P17" s="346" t="s">
        <v>4303</v>
      </c>
      <c r="Q17" s="346" t="s">
        <v>4304</v>
      </c>
      <c r="R17" s="346" t="s">
        <v>4305</v>
      </c>
      <c r="S17" s="346" t="s">
        <v>4306</v>
      </c>
    </row>
    <row r="18" spans="1:19" ht="14.25" customHeight="1">
      <c r="A18" s="346" t="s">
        <v>241</v>
      </c>
      <c r="B18" s="347" t="s">
        <v>4229</v>
      </c>
      <c r="C18" s="346">
        <v>26840</v>
      </c>
      <c r="D18" s="346">
        <v>28930</v>
      </c>
      <c r="E18" s="346">
        <v>28820</v>
      </c>
      <c r="F18" s="346"/>
      <c r="G18" s="346">
        <v>21050</v>
      </c>
      <c r="H18" s="341"/>
      <c r="J18" s="347" t="s">
        <v>4307</v>
      </c>
      <c r="K18" s="347" t="s">
        <v>4308</v>
      </c>
      <c r="L18" s="346" t="s">
        <v>4309</v>
      </c>
      <c r="M18" s="346" t="s">
        <v>4310</v>
      </c>
      <c r="N18" s="346" t="s">
        <v>4311</v>
      </c>
      <c r="O18" s="346" t="s">
        <v>4312</v>
      </c>
      <c r="P18" s="346" t="s">
        <v>4313</v>
      </c>
      <c r="Q18" s="346" t="s">
        <v>4314</v>
      </c>
      <c r="R18" s="346" t="s">
        <v>4315</v>
      </c>
      <c r="S18" s="346" t="s">
        <v>4316</v>
      </c>
    </row>
    <row r="19" spans="1:19" ht="14.25" customHeight="1">
      <c r="A19" s="346" t="s">
        <v>241</v>
      </c>
      <c r="B19" s="347" t="s">
        <v>4239</v>
      </c>
      <c r="C19" s="346">
        <v>27750</v>
      </c>
      <c r="D19" s="346">
        <v>26680</v>
      </c>
      <c r="E19" s="346">
        <v>26590</v>
      </c>
      <c r="F19" s="346"/>
      <c r="G19" s="346">
        <v>19420</v>
      </c>
      <c r="H19" s="341"/>
      <c r="J19" s="347" t="s">
        <v>4317</v>
      </c>
      <c r="K19" s="347" t="s">
        <v>4318</v>
      </c>
      <c r="L19" s="346" t="s">
        <v>4319</v>
      </c>
      <c r="M19" s="346" t="s">
        <v>4320</v>
      </c>
      <c r="N19" s="346" t="s">
        <v>4321</v>
      </c>
      <c r="O19" s="346" t="s">
        <v>4322</v>
      </c>
      <c r="P19" s="346" t="s">
        <v>4323</v>
      </c>
      <c r="Q19" s="346" t="s">
        <v>4324</v>
      </c>
      <c r="R19" s="346" t="s">
        <v>4325</v>
      </c>
      <c r="S19" s="346" t="s">
        <v>4326</v>
      </c>
    </row>
    <row r="20" spans="1:19" ht="14.25" customHeight="1">
      <c r="A20" s="346" t="s">
        <v>241</v>
      </c>
      <c r="B20" s="347" t="s">
        <v>4249</v>
      </c>
      <c r="C20" s="346">
        <v>27050</v>
      </c>
      <c r="D20" s="346">
        <v>29010</v>
      </c>
      <c r="E20" s="346">
        <v>28910</v>
      </c>
      <c r="F20" s="346"/>
      <c r="G20" s="346">
        <v>21110</v>
      </c>
      <c r="J20" s="347" t="s">
        <v>4327</v>
      </c>
      <c r="K20" s="347" t="s">
        <v>4328</v>
      </c>
      <c r="L20" s="346" t="s">
        <v>4329</v>
      </c>
      <c r="M20" s="346" t="s">
        <v>4330</v>
      </c>
      <c r="N20" s="346" t="s">
        <v>4331</v>
      </c>
      <c r="O20" s="346" t="s">
        <v>4332</v>
      </c>
      <c r="P20" s="346" t="s">
        <v>4333</v>
      </c>
      <c r="Q20" s="346" t="s">
        <v>4334</v>
      </c>
      <c r="R20" s="346" t="s">
        <v>4335</v>
      </c>
      <c r="S20" s="346" t="s">
        <v>4336</v>
      </c>
    </row>
    <row r="21" spans="1:19" ht="14.25" customHeight="1">
      <c r="A21" s="346" t="s">
        <v>241</v>
      </c>
      <c r="B21" s="347" t="s">
        <v>4259</v>
      </c>
      <c r="C21" s="346">
        <v>32370</v>
      </c>
      <c r="D21" s="346">
        <v>26730</v>
      </c>
      <c r="E21" s="346">
        <v>26640</v>
      </c>
      <c r="F21" s="346"/>
      <c r="G21" s="346">
        <v>19440</v>
      </c>
      <c r="J21" s="350" t="s">
        <v>4337</v>
      </c>
      <c r="K21" s="347" t="s">
        <v>4338</v>
      </c>
      <c r="L21" s="346" t="s">
        <v>4339</v>
      </c>
      <c r="M21" s="346" t="s">
        <v>4340</v>
      </c>
      <c r="N21" s="346" t="s">
        <v>4341</v>
      </c>
      <c r="O21" s="346" t="s">
        <v>4342</v>
      </c>
      <c r="P21" s="346" t="s">
        <v>4343</v>
      </c>
      <c r="Q21" s="346" t="s">
        <v>4344</v>
      </c>
      <c r="R21" s="346" t="s">
        <v>4345</v>
      </c>
      <c r="S21" s="350" t="s">
        <v>4346</v>
      </c>
    </row>
    <row r="22" spans="1:19" ht="14.25" customHeight="1">
      <c r="A22" s="346" t="s">
        <v>241</v>
      </c>
      <c r="B22" s="347" t="s">
        <v>4269</v>
      </c>
      <c r="C22" s="346">
        <v>29830</v>
      </c>
      <c r="D22" s="346">
        <v>27600</v>
      </c>
      <c r="E22" s="346">
        <v>28150</v>
      </c>
      <c r="F22" s="346"/>
      <c r="G22" s="346">
        <v>20080</v>
      </c>
      <c r="K22" s="347" t="s">
        <v>4347</v>
      </c>
      <c r="L22" s="346" t="s">
        <v>4348</v>
      </c>
      <c r="M22" s="346" t="s">
        <v>4349</v>
      </c>
      <c r="N22" s="346" t="s">
        <v>4350</v>
      </c>
      <c r="O22" s="346" t="s">
        <v>4351</v>
      </c>
      <c r="P22" s="346" t="s">
        <v>4352</v>
      </c>
      <c r="Q22" s="346" t="s">
        <v>4353</v>
      </c>
      <c r="R22" s="346" t="s">
        <v>4354</v>
      </c>
    </row>
    <row r="23" spans="1:19" ht="14.25" customHeight="1">
      <c r="A23" s="346" t="s">
        <v>241</v>
      </c>
      <c r="B23" s="347" t="s">
        <v>4279</v>
      </c>
      <c r="C23" s="346">
        <v>27800</v>
      </c>
      <c r="D23" s="346">
        <v>26900</v>
      </c>
      <c r="E23" s="346">
        <v>27170</v>
      </c>
      <c r="F23" s="346"/>
      <c r="G23" s="346">
        <v>19570</v>
      </c>
      <c r="K23" s="347" t="s">
        <v>4355</v>
      </c>
      <c r="L23" s="346" t="s">
        <v>4356</v>
      </c>
      <c r="M23" s="346" t="s">
        <v>4357</v>
      </c>
      <c r="N23" s="346" t="s">
        <v>4358</v>
      </c>
      <c r="O23" s="346" t="s">
        <v>4359</v>
      </c>
      <c r="P23" s="346" t="s">
        <v>4360</v>
      </c>
      <c r="Q23" s="346" t="s">
        <v>4361</v>
      </c>
      <c r="R23" s="346" t="s">
        <v>4362</v>
      </c>
    </row>
    <row r="24" spans="1:19" ht="14.25" customHeight="1">
      <c r="A24" s="346" t="s">
        <v>241</v>
      </c>
      <c r="B24" s="347" t="s">
        <v>4289</v>
      </c>
      <c r="C24" s="346">
        <v>27930</v>
      </c>
      <c r="D24" s="346">
        <v>32260</v>
      </c>
      <c r="E24" s="346">
        <v>32120</v>
      </c>
      <c r="F24" s="346"/>
      <c r="G24" s="346">
        <v>23470</v>
      </c>
      <c r="K24" s="347" t="s">
        <v>4363</v>
      </c>
      <c r="L24" s="346" t="s">
        <v>4364</v>
      </c>
      <c r="M24" s="346" t="s">
        <v>4365</v>
      </c>
      <c r="N24" s="346" t="s">
        <v>4366</v>
      </c>
      <c r="O24" s="346" t="s">
        <v>4367</v>
      </c>
      <c r="P24" s="346" t="s">
        <v>4368</v>
      </c>
      <c r="Q24" s="360" t="s">
        <v>4369</v>
      </c>
      <c r="R24" s="346" t="s">
        <v>4370</v>
      </c>
    </row>
    <row r="25" spans="1:19" ht="14.25" customHeight="1">
      <c r="A25" s="346" t="s">
        <v>241</v>
      </c>
      <c r="B25" s="347" t="s">
        <v>4298</v>
      </c>
      <c r="C25" s="346">
        <v>32230</v>
      </c>
      <c r="D25" s="346">
        <v>29640</v>
      </c>
      <c r="E25" s="346">
        <v>29510</v>
      </c>
      <c r="F25" s="346"/>
      <c r="G25" s="346">
        <v>21560</v>
      </c>
      <c r="K25" s="347" t="s">
        <v>4371</v>
      </c>
      <c r="L25" s="346" t="s">
        <v>4372</v>
      </c>
      <c r="M25" s="346" t="s">
        <v>4373</v>
      </c>
      <c r="N25" s="346" t="s">
        <v>4374</v>
      </c>
      <c r="O25" s="346" t="s">
        <v>4375</v>
      </c>
      <c r="P25" s="346" t="s">
        <v>4376</v>
      </c>
      <c r="Q25" s="360" t="s">
        <v>4377</v>
      </c>
      <c r="R25" s="346" t="s">
        <v>4378</v>
      </c>
    </row>
    <row r="26" spans="1:19" ht="14.25" customHeight="1">
      <c r="A26" s="346" t="s">
        <v>241</v>
      </c>
      <c r="B26" s="347" t="s">
        <v>4307</v>
      </c>
      <c r="C26" s="346">
        <v>31690</v>
      </c>
      <c r="D26" s="346">
        <v>27650</v>
      </c>
      <c r="E26" s="346">
        <v>28200</v>
      </c>
      <c r="F26" s="346"/>
      <c r="G26" s="346">
        <v>20110</v>
      </c>
      <c r="K26" s="349" t="s">
        <v>4379</v>
      </c>
      <c r="L26" s="346" t="s">
        <v>4380</v>
      </c>
      <c r="M26" s="346" t="s">
        <v>4381</v>
      </c>
      <c r="N26" s="346" t="s">
        <v>4382</v>
      </c>
      <c r="O26" s="346" t="s">
        <v>4383</v>
      </c>
      <c r="P26" s="346" t="s">
        <v>4384</v>
      </c>
      <c r="Q26" s="360" t="s">
        <v>4385</v>
      </c>
      <c r="R26" s="346" t="s">
        <v>4386</v>
      </c>
    </row>
    <row r="27" spans="1:19" ht="14.25" customHeight="1">
      <c r="A27" s="346" t="s">
        <v>241</v>
      </c>
      <c r="B27" s="347" t="s">
        <v>4317</v>
      </c>
      <c r="C27" s="346">
        <v>29610</v>
      </c>
      <c r="D27" s="346">
        <v>27770</v>
      </c>
      <c r="E27" s="346">
        <v>28300</v>
      </c>
      <c r="F27" s="346"/>
      <c r="G27" s="346">
        <v>20210</v>
      </c>
      <c r="L27" s="346" t="s">
        <v>4387</v>
      </c>
      <c r="M27" s="346" t="s">
        <v>4388</v>
      </c>
      <c r="N27" s="346" t="s">
        <v>4389</v>
      </c>
      <c r="O27" s="346" t="s">
        <v>4390</v>
      </c>
      <c r="P27" s="346" t="s">
        <v>4391</v>
      </c>
      <c r="Q27" s="346" t="s">
        <v>4392</v>
      </c>
      <c r="R27" s="346" t="s">
        <v>4393</v>
      </c>
    </row>
    <row r="28" spans="1:19" ht="14.25" customHeight="1">
      <c r="A28" s="346" t="s">
        <v>241</v>
      </c>
      <c r="B28" s="347" t="s">
        <v>4327</v>
      </c>
      <c r="C28" s="346"/>
      <c r="D28" s="346">
        <v>31520</v>
      </c>
      <c r="E28" s="346">
        <v>31410</v>
      </c>
      <c r="F28" s="346"/>
      <c r="G28" s="346">
        <v>22940</v>
      </c>
      <c r="L28" s="346" t="s">
        <v>4394</v>
      </c>
      <c r="M28" s="346" t="s">
        <v>4395</v>
      </c>
      <c r="N28" s="346" t="s">
        <v>4396</v>
      </c>
      <c r="O28" s="346" t="s">
        <v>4397</v>
      </c>
      <c r="P28" s="346" t="s">
        <v>4398</v>
      </c>
      <c r="Q28" s="346" t="s">
        <v>4399</v>
      </c>
      <c r="R28" s="346" t="s">
        <v>4400</v>
      </c>
    </row>
    <row r="29" spans="1:19" ht="14.25" customHeight="1">
      <c r="A29" s="348" t="s">
        <v>241</v>
      </c>
      <c r="B29" s="351" t="s">
        <v>4337</v>
      </c>
      <c r="C29" s="352"/>
      <c r="D29" s="352">
        <v>29460</v>
      </c>
      <c r="E29" s="352">
        <v>28640</v>
      </c>
      <c r="F29" s="352"/>
      <c r="G29" s="352">
        <v>21430</v>
      </c>
      <c r="L29" s="346" t="s">
        <v>4401</v>
      </c>
      <c r="M29" s="346" t="s">
        <v>4402</v>
      </c>
      <c r="N29" s="346" t="s">
        <v>4403</v>
      </c>
      <c r="O29" s="346" t="s">
        <v>4404</v>
      </c>
      <c r="P29" s="346" t="s">
        <v>4405</v>
      </c>
      <c r="Q29" s="346" t="s">
        <v>4406</v>
      </c>
      <c r="R29" s="346" t="s">
        <v>4407</v>
      </c>
    </row>
    <row r="30" spans="1:19" ht="14.25" customHeight="1">
      <c r="A30" s="344" t="s">
        <v>251</v>
      </c>
      <c r="B30" s="345" t="s">
        <v>4136</v>
      </c>
      <c r="C30" s="345">
        <v>26890</v>
      </c>
      <c r="D30" s="345">
        <v>26770</v>
      </c>
      <c r="E30" s="345">
        <v>25700</v>
      </c>
      <c r="F30" s="345">
        <v>8180</v>
      </c>
      <c r="G30" s="353">
        <v>18740</v>
      </c>
      <c r="L30" s="346" t="s">
        <v>4408</v>
      </c>
      <c r="M30" s="346" t="s">
        <v>4409</v>
      </c>
      <c r="N30" s="346" t="s">
        <v>4410</v>
      </c>
      <c r="O30" s="346" t="s">
        <v>4411</v>
      </c>
      <c r="P30" s="346" t="s">
        <v>4412</v>
      </c>
      <c r="Q30" s="346" t="s">
        <v>4413</v>
      </c>
      <c r="R30" s="346" t="s">
        <v>4414</v>
      </c>
    </row>
    <row r="31" spans="1:19" ht="14.25" customHeight="1">
      <c r="A31" s="346" t="s">
        <v>251</v>
      </c>
      <c r="B31" s="347" t="s">
        <v>4149</v>
      </c>
      <c r="C31" s="346">
        <v>24550</v>
      </c>
      <c r="D31" s="346">
        <v>23990</v>
      </c>
      <c r="E31" s="346">
        <v>22930</v>
      </c>
      <c r="F31" s="346">
        <v>7470</v>
      </c>
      <c r="G31" s="354">
        <v>16790</v>
      </c>
      <c r="L31" s="346" t="s">
        <v>4415</v>
      </c>
      <c r="M31" s="346" t="s">
        <v>4416</v>
      </c>
      <c r="N31" s="346" t="s">
        <v>4417</v>
      </c>
      <c r="O31" s="346" t="s">
        <v>4418</v>
      </c>
      <c r="P31" s="346" t="s">
        <v>4419</v>
      </c>
      <c r="Q31" s="346" t="s">
        <v>4420</v>
      </c>
      <c r="R31" s="346" t="s">
        <v>4421</v>
      </c>
    </row>
    <row r="32" spans="1:19" ht="14.25" customHeight="1">
      <c r="A32" s="346" t="s">
        <v>251</v>
      </c>
      <c r="B32" s="347" t="s">
        <v>4163</v>
      </c>
      <c r="C32" s="346">
        <v>27210</v>
      </c>
      <c r="D32" s="346">
        <v>23240</v>
      </c>
      <c r="E32" s="346">
        <v>23260</v>
      </c>
      <c r="F32" s="346">
        <v>7130</v>
      </c>
      <c r="G32" s="354">
        <v>16270</v>
      </c>
      <c r="L32" s="346" t="s">
        <v>4422</v>
      </c>
      <c r="M32" s="346" t="s">
        <v>4423</v>
      </c>
      <c r="N32" s="346" t="s">
        <v>4424</v>
      </c>
      <c r="O32" s="346" t="s">
        <v>4425</v>
      </c>
      <c r="P32" s="346" t="s">
        <v>4426</v>
      </c>
      <c r="Q32" s="346" t="s">
        <v>4427</v>
      </c>
      <c r="R32" s="350" t="s">
        <v>4428</v>
      </c>
    </row>
    <row r="33" spans="1:17" ht="14.25" customHeight="1">
      <c r="A33" s="346" t="s">
        <v>251</v>
      </c>
      <c r="B33" s="347" t="s">
        <v>4175</v>
      </c>
      <c r="C33" s="346">
        <v>27300</v>
      </c>
      <c r="D33" s="346">
        <v>22980</v>
      </c>
      <c r="E33" s="346">
        <v>24260</v>
      </c>
      <c r="F33" s="346">
        <v>5860</v>
      </c>
      <c r="G33" s="354">
        <v>16090</v>
      </c>
      <c r="L33" s="350" t="s">
        <v>4429</v>
      </c>
      <c r="M33" s="346" t="s">
        <v>4430</v>
      </c>
      <c r="N33" s="346" t="s">
        <v>4431</v>
      </c>
      <c r="O33" s="346" t="s">
        <v>4432</v>
      </c>
      <c r="P33" s="346" t="s">
        <v>4433</v>
      </c>
      <c r="Q33" s="346" t="s">
        <v>4434</v>
      </c>
    </row>
    <row r="34" spans="1:17" ht="14.25" customHeight="1">
      <c r="A34" s="346" t="s">
        <v>251</v>
      </c>
      <c r="B34" s="347" t="s">
        <v>4187</v>
      </c>
      <c r="C34" s="346">
        <v>23090</v>
      </c>
      <c r="D34" s="346">
        <v>23390</v>
      </c>
      <c r="E34" s="346">
        <v>23510</v>
      </c>
      <c r="F34" s="346">
        <v>6700</v>
      </c>
      <c r="G34" s="354">
        <v>16370</v>
      </c>
      <c r="M34" s="346" t="s">
        <v>4435</v>
      </c>
      <c r="N34" s="346" t="s">
        <v>4436</v>
      </c>
      <c r="O34" s="346" t="s">
        <v>4437</v>
      </c>
      <c r="P34" s="346" t="s">
        <v>4438</v>
      </c>
      <c r="Q34" s="346" t="s">
        <v>4439</v>
      </c>
    </row>
    <row r="35" spans="1:17" ht="14.25" customHeight="1">
      <c r="A35" s="346" t="s">
        <v>251</v>
      </c>
      <c r="B35" s="347" t="s">
        <v>4198</v>
      </c>
      <c r="C35" s="346">
        <v>27270</v>
      </c>
      <c r="D35" s="346">
        <v>24270</v>
      </c>
      <c r="E35" s="346">
        <v>24950</v>
      </c>
      <c r="F35" s="346">
        <v>6600</v>
      </c>
      <c r="G35" s="354">
        <v>16990</v>
      </c>
      <c r="M35" s="346" t="s">
        <v>4440</v>
      </c>
      <c r="N35" s="346" t="s">
        <v>4441</v>
      </c>
      <c r="O35" s="346" t="s">
        <v>4442</v>
      </c>
      <c r="P35" s="346" t="s">
        <v>4443</v>
      </c>
      <c r="Q35" s="346" t="s">
        <v>4444</v>
      </c>
    </row>
    <row r="36" spans="1:17" ht="14.25" customHeight="1">
      <c r="A36" s="346" t="s">
        <v>251</v>
      </c>
      <c r="B36" s="347" t="s">
        <v>4209</v>
      </c>
      <c r="C36" s="346">
        <v>23490</v>
      </c>
      <c r="D36" s="346">
        <v>23020</v>
      </c>
      <c r="E36" s="346">
        <v>25230</v>
      </c>
      <c r="F36" s="346">
        <v>6780</v>
      </c>
      <c r="G36" s="354">
        <v>16120</v>
      </c>
      <c r="M36" s="346" t="s">
        <v>4445</v>
      </c>
      <c r="N36" s="346" t="s">
        <v>4446</v>
      </c>
      <c r="O36" s="346" t="s">
        <v>4447</v>
      </c>
      <c r="P36" s="346" t="s">
        <v>4448</v>
      </c>
      <c r="Q36" s="346" t="s">
        <v>4449</v>
      </c>
    </row>
    <row r="37" spans="1:17" ht="14.25" customHeight="1">
      <c r="A37" s="346" t="s">
        <v>251</v>
      </c>
      <c r="B37" s="347" t="s">
        <v>4220</v>
      </c>
      <c r="C37" s="346">
        <v>24380</v>
      </c>
      <c r="D37" s="346">
        <v>22240</v>
      </c>
      <c r="E37" s="346">
        <v>25980</v>
      </c>
      <c r="F37" s="346">
        <v>8160</v>
      </c>
      <c r="G37" s="354">
        <v>15570</v>
      </c>
      <c r="M37" s="346" t="s">
        <v>4450</v>
      </c>
      <c r="N37" s="346" t="s">
        <v>4451</v>
      </c>
      <c r="O37" s="346" t="s">
        <v>4452</v>
      </c>
      <c r="P37" s="346" t="s">
        <v>4453</v>
      </c>
      <c r="Q37" s="346" t="s">
        <v>4454</v>
      </c>
    </row>
    <row r="38" spans="1:17" ht="14.25" customHeight="1">
      <c r="A38" s="346" t="s">
        <v>251</v>
      </c>
      <c r="B38" s="347" t="s">
        <v>4230</v>
      </c>
      <c r="C38" s="346">
        <v>23120</v>
      </c>
      <c r="D38" s="346">
        <v>24630</v>
      </c>
      <c r="E38" s="346">
        <v>25030</v>
      </c>
      <c r="F38" s="346">
        <v>7710</v>
      </c>
      <c r="G38" s="354">
        <v>17240</v>
      </c>
      <c r="M38" s="346" t="s">
        <v>4455</v>
      </c>
      <c r="N38" s="346" t="s">
        <v>4456</v>
      </c>
      <c r="O38" s="346" t="s">
        <v>4457</v>
      </c>
      <c r="P38" s="346" t="s">
        <v>4458</v>
      </c>
      <c r="Q38" s="346" t="s">
        <v>4459</v>
      </c>
    </row>
    <row r="39" spans="1:17" ht="14.25" customHeight="1">
      <c r="A39" s="346" t="s">
        <v>251</v>
      </c>
      <c r="B39" s="347" t="s">
        <v>4240</v>
      </c>
      <c r="C39" s="346">
        <v>22330</v>
      </c>
      <c r="D39" s="346">
        <v>21140</v>
      </c>
      <c r="E39" s="346">
        <v>23970</v>
      </c>
      <c r="F39" s="346">
        <v>7940</v>
      </c>
      <c r="G39" s="354">
        <v>14790</v>
      </c>
      <c r="M39" s="346" t="s">
        <v>4460</v>
      </c>
      <c r="N39" s="346" t="s">
        <v>4461</v>
      </c>
      <c r="O39" s="346" t="s">
        <v>4462</v>
      </c>
      <c r="P39" s="346" t="s">
        <v>4463</v>
      </c>
      <c r="Q39" s="346" t="s">
        <v>4464</v>
      </c>
    </row>
    <row r="40" spans="1:17" ht="14.25" customHeight="1">
      <c r="A40" s="346" t="s">
        <v>251</v>
      </c>
      <c r="B40" s="347" t="s">
        <v>4250</v>
      </c>
      <c r="C40" s="346">
        <v>24740</v>
      </c>
      <c r="D40" s="346">
        <v>24690</v>
      </c>
      <c r="E40" s="346">
        <v>22610</v>
      </c>
      <c r="F40" s="346"/>
      <c r="G40" s="354">
        <v>17280</v>
      </c>
      <c r="M40" s="346" t="s">
        <v>4465</v>
      </c>
      <c r="N40" s="346" t="s">
        <v>4466</v>
      </c>
      <c r="O40" s="346" t="s">
        <v>4467</v>
      </c>
      <c r="P40" s="346" t="s">
        <v>4468</v>
      </c>
      <c r="Q40" s="346" t="s">
        <v>4469</v>
      </c>
    </row>
    <row r="41" spans="1:17" ht="14.25" customHeight="1">
      <c r="A41" s="346" t="s">
        <v>251</v>
      </c>
      <c r="B41" s="347" t="s">
        <v>4260</v>
      </c>
      <c r="C41" s="346">
        <v>21220</v>
      </c>
      <c r="D41" s="346">
        <v>21120</v>
      </c>
      <c r="E41" s="346">
        <v>22590</v>
      </c>
      <c r="F41" s="346"/>
      <c r="G41" s="354">
        <v>14780</v>
      </c>
      <c r="M41" s="350" t="s">
        <v>4470</v>
      </c>
      <c r="N41" s="346" t="s">
        <v>4471</v>
      </c>
      <c r="O41" s="346" t="s">
        <v>4472</v>
      </c>
      <c r="P41" s="346" t="s">
        <v>4473</v>
      </c>
      <c r="Q41" s="346" t="s">
        <v>4474</v>
      </c>
    </row>
    <row r="42" spans="1:17" ht="14.25" customHeight="1">
      <c r="A42" s="346" t="s">
        <v>251</v>
      </c>
      <c r="B42" s="347" t="s">
        <v>4270</v>
      </c>
      <c r="C42" s="346">
        <v>24800</v>
      </c>
      <c r="D42" s="346">
        <v>22280</v>
      </c>
      <c r="E42" s="346">
        <v>24350</v>
      </c>
      <c r="F42" s="346"/>
      <c r="G42" s="354">
        <v>15590</v>
      </c>
      <c r="N42" s="346" t="s">
        <v>4475</v>
      </c>
      <c r="O42" s="346" t="s">
        <v>4476</v>
      </c>
      <c r="P42" s="346" t="s">
        <v>4477</v>
      </c>
      <c r="Q42" s="346" t="s">
        <v>4478</v>
      </c>
    </row>
    <row r="43" spans="1:17" ht="14.25" customHeight="1">
      <c r="A43" s="346" t="s">
        <v>251</v>
      </c>
      <c r="B43" s="347" t="s">
        <v>4280</v>
      </c>
      <c r="C43" s="346">
        <v>21210</v>
      </c>
      <c r="D43" s="346">
        <v>21160</v>
      </c>
      <c r="E43" s="346">
        <v>22650</v>
      </c>
      <c r="F43" s="346"/>
      <c r="G43" s="354">
        <v>14800</v>
      </c>
      <c r="N43" s="346" t="s">
        <v>4479</v>
      </c>
      <c r="O43" s="346" t="s">
        <v>4480</v>
      </c>
      <c r="P43" s="346" t="s">
        <v>4481</v>
      </c>
      <c r="Q43" s="346" t="s">
        <v>4482</v>
      </c>
    </row>
    <row r="44" spans="1:17" ht="14.25" customHeight="1">
      <c r="A44" s="346" t="s">
        <v>251</v>
      </c>
      <c r="B44" s="347" t="s">
        <v>4290</v>
      </c>
      <c r="C44" s="346">
        <v>22370</v>
      </c>
      <c r="D44" s="346">
        <v>23140</v>
      </c>
      <c r="E44" s="346">
        <v>25090</v>
      </c>
      <c r="F44" s="346"/>
      <c r="G44" s="354">
        <v>16190</v>
      </c>
      <c r="N44" s="346" t="s">
        <v>4483</v>
      </c>
      <c r="O44" s="346" t="s">
        <v>4484</v>
      </c>
      <c r="P44" s="350" t="s">
        <v>4485</v>
      </c>
      <c r="Q44" s="346" t="s">
        <v>4486</v>
      </c>
    </row>
    <row r="45" spans="1:17" ht="14.25" customHeight="1">
      <c r="A45" s="346" t="s">
        <v>251</v>
      </c>
      <c r="B45" s="347" t="s">
        <v>4299</v>
      </c>
      <c r="C45" s="346">
        <v>21240</v>
      </c>
      <c r="D45" s="346">
        <v>27050</v>
      </c>
      <c r="E45" s="346">
        <v>28000</v>
      </c>
      <c r="F45" s="346"/>
      <c r="G45" s="354">
        <v>18940</v>
      </c>
      <c r="N45" s="346" t="s">
        <v>4487</v>
      </c>
      <c r="O45" s="350" t="s">
        <v>4488</v>
      </c>
      <c r="Q45" s="346" t="s">
        <v>4489</v>
      </c>
    </row>
    <row r="46" spans="1:17" ht="14.25" customHeight="1">
      <c r="A46" s="346" t="s">
        <v>251</v>
      </c>
      <c r="B46" s="347" t="s">
        <v>4308</v>
      </c>
      <c r="C46" s="346">
        <v>23240</v>
      </c>
      <c r="D46" s="346">
        <v>23000</v>
      </c>
      <c r="E46" s="346">
        <v>24980</v>
      </c>
      <c r="F46" s="346"/>
      <c r="G46" s="354">
        <v>16100</v>
      </c>
      <c r="N46" s="346" t="s">
        <v>4490</v>
      </c>
      <c r="Q46" s="346" t="s">
        <v>4491</v>
      </c>
    </row>
    <row r="47" spans="1:17" ht="14.25" customHeight="1">
      <c r="A47" s="346" t="s">
        <v>251</v>
      </c>
      <c r="B47" s="347" t="s">
        <v>4318</v>
      </c>
      <c r="C47" s="346">
        <v>27150</v>
      </c>
      <c r="D47" s="346">
        <v>23310</v>
      </c>
      <c r="E47" s="346">
        <v>25150</v>
      </c>
      <c r="F47" s="346"/>
      <c r="G47" s="354">
        <v>16310</v>
      </c>
      <c r="N47" s="346" t="s">
        <v>4492</v>
      </c>
      <c r="Q47" s="346" t="s">
        <v>4493</v>
      </c>
    </row>
    <row r="48" spans="1:17" ht="14.25" customHeight="1">
      <c r="A48" s="346" t="s">
        <v>251</v>
      </c>
      <c r="B48" s="347" t="s">
        <v>4328</v>
      </c>
      <c r="C48" s="346">
        <v>23100</v>
      </c>
      <c r="D48" s="346">
        <v>21110</v>
      </c>
      <c r="E48" s="346">
        <v>23080</v>
      </c>
      <c r="F48" s="346"/>
      <c r="G48" s="354">
        <v>14780</v>
      </c>
      <c r="N48" s="346" t="s">
        <v>4494</v>
      </c>
      <c r="Q48" s="346" t="s">
        <v>4495</v>
      </c>
    </row>
    <row r="49" spans="1:17" ht="14.25" customHeight="1">
      <c r="A49" s="346" t="s">
        <v>251</v>
      </c>
      <c r="B49" s="347" t="s">
        <v>4338</v>
      </c>
      <c r="C49" s="346">
        <v>23400</v>
      </c>
      <c r="D49" s="346">
        <v>22920</v>
      </c>
      <c r="E49" s="346">
        <v>24900</v>
      </c>
      <c r="F49" s="346"/>
      <c r="G49" s="354">
        <v>16040</v>
      </c>
      <c r="N49" s="346" t="s">
        <v>4496</v>
      </c>
      <c r="Q49" s="346" t="s">
        <v>4497</v>
      </c>
    </row>
    <row r="50" spans="1:17" ht="14.25" customHeight="1">
      <c r="A50" s="346" t="s">
        <v>251</v>
      </c>
      <c r="B50" s="347" t="s">
        <v>4347</v>
      </c>
      <c r="C50" s="346">
        <v>21200</v>
      </c>
      <c r="D50" s="346">
        <v>26540</v>
      </c>
      <c r="E50" s="346">
        <v>23200</v>
      </c>
      <c r="F50" s="346"/>
      <c r="G50" s="354">
        <v>18580</v>
      </c>
      <c r="N50" s="346" t="s">
        <v>4498</v>
      </c>
      <c r="Q50" s="347" t="s">
        <v>4499</v>
      </c>
    </row>
    <row r="51" spans="1:17" ht="14.25" customHeight="1">
      <c r="A51" s="346" t="s">
        <v>251</v>
      </c>
      <c r="B51" s="347" t="s">
        <v>4355</v>
      </c>
      <c r="C51" s="346">
        <v>23000</v>
      </c>
      <c r="D51" s="346">
        <v>23460</v>
      </c>
      <c r="E51" s="346">
        <v>25290</v>
      </c>
      <c r="F51" s="346"/>
      <c r="G51" s="354">
        <v>16420</v>
      </c>
      <c r="N51" s="346" t="s">
        <v>4500</v>
      </c>
      <c r="Q51" s="350" t="s">
        <v>4501</v>
      </c>
    </row>
    <row r="52" spans="1:17" ht="14.25" customHeight="1">
      <c r="A52" s="346" t="s">
        <v>251</v>
      </c>
      <c r="B52" s="347" t="s">
        <v>4363</v>
      </c>
      <c r="C52" s="346">
        <v>26660</v>
      </c>
      <c r="D52" s="346">
        <v>22350</v>
      </c>
      <c r="E52" s="346">
        <v>22920</v>
      </c>
      <c r="F52" s="346"/>
      <c r="G52" s="354">
        <v>15640</v>
      </c>
      <c r="N52" s="346" t="s">
        <v>4502</v>
      </c>
    </row>
    <row r="53" spans="1:17" ht="14.25" customHeight="1">
      <c r="A53" s="346" t="s">
        <v>251</v>
      </c>
      <c r="B53" s="347" t="s">
        <v>4371</v>
      </c>
      <c r="C53" s="346">
        <v>23580</v>
      </c>
      <c r="D53" s="346"/>
      <c r="E53" s="346">
        <v>24280</v>
      </c>
      <c r="F53" s="346"/>
      <c r="G53" s="354"/>
      <c r="N53" s="346" t="s">
        <v>4503</v>
      </c>
    </row>
    <row r="54" spans="1:17" ht="14.25" customHeight="1">
      <c r="A54" s="355" t="s">
        <v>251</v>
      </c>
      <c r="B54" s="349" t="s">
        <v>4379</v>
      </c>
      <c r="C54" s="350">
        <v>22460</v>
      </c>
      <c r="D54" s="350"/>
      <c r="E54" s="350"/>
      <c r="F54" s="350"/>
      <c r="G54" s="356"/>
      <c r="N54" s="346" t="s">
        <v>4504</v>
      </c>
    </row>
    <row r="55" spans="1:17" ht="14.25" customHeight="1">
      <c r="A55" s="344" t="s">
        <v>259</v>
      </c>
      <c r="B55" s="345" t="s">
        <v>4137</v>
      </c>
      <c r="C55" s="346">
        <v>21970</v>
      </c>
      <c r="D55" s="346">
        <v>20370</v>
      </c>
      <c r="E55" s="346">
        <v>20180</v>
      </c>
      <c r="F55" s="346">
        <v>5730</v>
      </c>
      <c r="G55" s="346">
        <v>13820</v>
      </c>
      <c r="N55" s="346" t="s">
        <v>4505</v>
      </c>
    </row>
    <row r="56" spans="1:17" ht="14.25" customHeight="1">
      <c r="A56" s="346" t="s">
        <v>259</v>
      </c>
      <c r="B56" s="346" t="s">
        <v>4150</v>
      </c>
      <c r="C56" s="346">
        <v>20470</v>
      </c>
      <c r="D56" s="346">
        <v>20700</v>
      </c>
      <c r="E56" s="346">
        <v>20380</v>
      </c>
      <c r="F56" s="346">
        <v>4760</v>
      </c>
      <c r="G56" s="346">
        <v>14050</v>
      </c>
      <c r="N56" s="346" t="s">
        <v>4506</v>
      </c>
    </row>
    <row r="57" spans="1:17" ht="14.25" customHeight="1">
      <c r="A57" s="346" t="s">
        <v>259</v>
      </c>
      <c r="B57" s="346" t="s">
        <v>4164</v>
      </c>
      <c r="C57" s="346">
        <v>20790</v>
      </c>
      <c r="D57" s="346">
        <v>21370</v>
      </c>
      <c r="E57" s="346">
        <v>20890</v>
      </c>
      <c r="F57" s="346">
        <v>4910</v>
      </c>
      <c r="G57" s="346">
        <v>14510</v>
      </c>
      <c r="N57" s="346" t="s">
        <v>4507</v>
      </c>
    </row>
    <row r="58" spans="1:17" ht="14.25" customHeight="1">
      <c r="A58" s="346" t="s">
        <v>259</v>
      </c>
      <c r="B58" s="346" t="s">
        <v>4176</v>
      </c>
      <c r="C58" s="346">
        <v>21460</v>
      </c>
      <c r="D58" s="346">
        <v>20920</v>
      </c>
      <c r="E58" s="346">
        <v>23410</v>
      </c>
      <c r="F58" s="346">
        <v>5100</v>
      </c>
      <c r="G58" s="346">
        <v>14200</v>
      </c>
      <c r="N58" s="346" t="s">
        <v>4508</v>
      </c>
    </row>
    <row r="59" spans="1:17" ht="14.25" customHeight="1">
      <c r="A59" s="346" t="s">
        <v>259</v>
      </c>
      <c r="B59" s="346" t="s">
        <v>4188</v>
      </c>
      <c r="C59" s="346">
        <v>21000</v>
      </c>
      <c r="D59" s="346">
        <v>21550</v>
      </c>
      <c r="E59" s="346">
        <v>21150</v>
      </c>
      <c r="F59" s="346">
        <v>5250</v>
      </c>
      <c r="G59" s="346">
        <v>14630</v>
      </c>
      <c r="N59" s="346" t="s">
        <v>4509</v>
      </c>
    </row>
    <row r="60" spans="1:17" ht="14.25" customHeight="1">
      <c r="A60" s="346" t="s">
        <v>259</v>
      </c>
      <c r="B60" s="346" t="s">
        <v>4199</v>
      </c>
      <c r="C60" s="346">
        <v>21640</v>
      </c>
      <c r="D60" s="346">
        <v>21260</v>
      </c>
      <c r="E60" s="346">
        <v>24040</v>
      </c>
      <c r="F60" s="346">
        <v>4470</v>
      </c>
      <c r="G60" s="346">
        <v>14430</v>
      </c>
      <c r="N60" s="346" t="s">
        <v>4510</v>
      </c>
    </row>
    <row r="61" spans="1:17" ht="14.25" customHeight="1">
      <c r="A61" s="346" t="s">
        <v>259</v>
      </c>
      <c r="B61" s="346" t="s">
        <v>4210</v>
      </c>
      <c r="C61" s="346">
        <v>21330</v>
      </c>
      <c r="D61" s="346">
        <v>18640</v>
      </c>
      <c r="E61" s="346">
        <v>21190</v>
      </c>
      <c r="F61" s="346">
        <v>4180</v>
      </c>
      <c r="G61" s="346">
        <v>12650</v>
      </c>
      <c r="N61" s="346" t="s">
        <v>4511</v>
      </c>
    </row>
    <row r="62" spans="1:17" ht="14.25" customHeight="1">
      <c r="A62" s="346" t="s">
        <v>259</v>
      </c>
      <c r="B62" s="346" t="s">
        <v>4221</v>
      </c>
      <c r="C62" s="346">
        <v>18710</v>
      </c>
      <c r="D62" s="346">
        <v>19400</v>
      </c>
      <c r="E62" s="346">
        <v>23750</v>
      </c>
      <c r="F62" s="346">
        <v>4860</v>
      </c>
      <c r="G62" s="346">
        <v>13170</v>
      </c>
      <c r="N62" s="346" t="s">
        <v>4512</v>
      </c>
    </row>
    <row r="63" spans="1:17" ht="14.25" customHeight="1">
      <c r="A63" s="346" t="s">
        <v>259</v>
      </c>
      <c r="B63" s="346" t="s">
        <v>4231</v>
      </c>
      <c r="C63" s="346">
        <v>19480</v>
      </c>
      <c r="D63" s="346">
        <v>16830</v>
      </c>
      <c r="E63" s="346">
        <v>21590</v>
      </c>
      <c r="F63" s="346">
        <v>4560</v>
      </c>
      <c r="G63" s="346">
        <v>11420</v>
      </c>
      <c r="N63" s="346" t="s">
        <v>4513</v>
      </c>
    </row>
    <row r="64" spans="1:17" ht="14.25" customHeight="1">
      <c r="A64" s="346" t="s">
        <v>259</v>
      </c>
      <c r="B64" s="346" t="s">
        <v>4241</v>
      </c>
      <c r="C64" s="346">
        <v>16920</v>
      </c>
      <c r="D64" s="346">
        <v>19190</v>
      </c>
      <c r="E64" s="346">
        <v>22200</v>
      </c>
      <c r="F64" s="346">
        <v>4390</v>
      </c>
      <c r="G64" s="346">
        <v>13030</v>
      </c>
      <c r="N64" s="350" t="s">
        <v>4514</v>
      </c>
    </row>
    <row r="65" spans="1:7" s="335" customFormat="1" ht="14.25" customHeight="1">
      <c r="A65" s="346" t="s">
        <v>259</v>
      </c>
      <c r="B65" s="346" t="s">
        <v>4251</v>
      </c>
      <c r="C65" s="346">
        <v>19290</v>
      </c>
      <c r="D65" s="346">
        <v>17020</v>
      </c>
      <c r="E65" s="346">
        <v>19880</v>
      </c>
      <c r="F65" s="346">
        <v>4070</v>
      </c>
      <c r="G65" s="346">
        <v>11550</v>
      </c>
    </row>
    <row r="66" spans="1:7" s="335" customFormat="1" ht="14.25" customHeight="1">
      <c r="A66" s="346" t="s">
        <v>259</v>
      </c>
      <c r="B66" s="346" t="s">
        <v>4261</v>
      </c>
      <c r="C66" s="346">
        <v>17090</v>
      </c>
      <c r="D66" s="346">
        <v>18340</v>
      </c>
      <c r="E66" s="346">
        <v>21830</v>
      </c>
      <c r="F66" s="346">
        <v>4690</v>
      </c>
      <c r="G66" s="346">
        <v>12450</v>
      </c>
    </row>
    <row r="67" spans="1:7" s="335" customFormat="1" ht="14.25" customHeight="1">
      <c r="A67" s="346" t="s">
        <v>259</v>
      </c>
      <c r="B67" s="346" t="s">
        <v>4271</v>
      </c>
      <c r="C67" s="346">
        <v>18420</v>
      </c>
      <c r="D67" s="346">
        <v>16360</v>
      </c>
      <c r="E67" s="346">
        <v>20020</v>
      </c>
      <c r="F67" s="346">
        <v>5150</v>
      </c>
      <c r="G67" s="346">
        <v>11110</v>
      </c>
    </row>
    <row r="68" spans="1:7" s="335" customFormat="1" ht="14.25" customHeight="1">
      <c r="A68" s="346" t="s">
        <v>259</v>
      </c>
      <c r="B68" s="346" t="s">
        <v>4281</v>
      </c>
      <c r="C68" s="346">
        <v>16450</v>
      </c>
      <c r="D68" s="346">
        <v>18430</v>
      </c>
      <c r="E68" s="346">
        <v>21010</v>
      </c>
      <c r="F68" s="346">
        <v>4720</v>
      </c>
      <c r="G68" s="346">
        <v>12510</v>
      </c>
    </row>
    <row r="69" spans="1:7" s="335" customFormat="1" ht="14.25" customHeight="1">
      <c r="A69" s="346" t="s">
        <v>259</v>
      </c>
      <c r="B69" s="346" t="s">
        <v>500</v>
      </c>
      <c r="C69" s="346">
        <v>18510</v>
      </c>
      <c r="D69" s="346">
        <v>16300</v>
      </c>
      <c r="E69" s="346">
        <v>18830</v>
      </c>
      <c r="F69" s="346">
        <v>5400</v>
      </c>
      <c r="G69" s="346">
        <v>11070</v>
      </c>
    </row>
    <row r="70" spans="1:7" s="335" customFormat="1" ht="14.25" customHeight="1">
      <c r="A70" s="346" t="s">
        <v>259</v>
      </c>
      <c r="B70" s="346" t="s">
        <v>501</v>
      </c>
      <c r="C70" s="346">
        <v>16370</v>
      </c>
      <c r="D70" s="346">
        <v>18620</v>
      </c>
      <c r="E70" s="346">
        <v>21100</v>
      </c>
      <c r="F70" s="346">
        <v>5700</v>
      </c>
      <c r="G70" s="346">
        <v>12640</v>
      </c>
    </row>
    <row r="71" spans="1:7" s="335" customFormat="1" ht="14.25" customHeight="1">
      <c r="A71" s="346" t="s">
        <v>259</v>
      </c>
      <c r="B71" s="346" t="s">
        <v>4309</v>
      </c>
      <c r="C71" s="346">
        <v>18700</v>
      </c>
      <c r="D71" s="346">
        <v>16290</v>
      </c>
      <c r="E71" s="346">
        <v>18760</v>
      </c>
      <c r="F71" s="346">
        <v>4780</v>
      </c>
      <c r="G71" s="346">
        <v>11050</v>
      </c>
    </row>
    <row r="72" spans="1:7" s="335" customFormat="1" ht="14.25" customHeight="1">
      <c r="A72" s="346" t="s">
        <v>259</v>
      </c>
      <c r="B72" s="346" t="s">
        <v>4319</v>
      </c>
      <c r="C72" s="346">
        <v>16340</v>
      </c>
      <c r="D72" s="346">
        <v>17520</v>
      </c>
      <c r="E72" s="346">
        <v>21170</v>
      </c>
      <c r="F72" s="346"/>
      <c r="G72" s="346">
        <v>11900</v>
      </c>
    </row>
    <row r="73" spans="1:7" s="335" customFormat="1" ht="14.25" customHeight="1">
      <c r="A73" s="346" t="s">
        <v>259</v>
      </c>
      <c r="B73" s="346" t="s">
        <v>4329</v>
      </c>
      <c r="C73" s="346">
        <v>17610</v>
      </c>
      <c r="D73" s="346">
        <v>18520</v>
      </c>
      <c r="E73" s="346">
        <v>18720</v>
      </c>
      <c r="F73" s="346"/>
      <c r="G73" s="346">
        <v>12570</v>
      </c>
    </row>
    <row r="74" spans="1:7" s="335" customFormat="1" ht="14.25" customHeight="1">
      <c r="A74" s="346" t="s">
        <v>259</v>
      </c>
      <c r="B74" s="346" t="s">
        <v>4339</v>
      </c>
      <c r="C74" s="346">
        <v>18600</v>
      </c>
      <c r="D74" s="346">
        <v>16480</v>
      </c>
      <c r="E74" s="346">
        <v>20100</v>
      </c>
      <c r="F74" s="346"/>
      <c r="G74" s="346">
        <v>11190</v>
      </c>
    </row>
    <row r="75" spans="1:7" s="335" customFormat="1" ht="14.25" customHeight="1">
      <c r="A75" s="346" t="s">
        <v>259</v>
      </c>
      <c r="B75" s="346" t="s">
        <v>4348</v>
      </c>
      <c r="C75" s="346">
        <v>16570</v>
      </c>
      <c r="D75" s="346">
        <v>17530</v>
      </c>
      <c r="E75" s="346">
        <v>21030</v>
      </c>
      <c r="F75" s="346"/>
      <c r="G75" s="346">
        <v>11900</v>
      </c>
    </row>
    <row r="76" spans="1:7" s="335" customFormat="1" ht="14.25" customHeight="1">
      <c r="A76" s="346" t="s">
        <v>259</v>
      </c>
      <c r="B76" s="346" t="s">
        <v>4356</v>
      </c>
      <c r="C76" s="346">
        <v>17610</v>
      </c>
      <c r="D76" s="346">
        <v>20800</v>
      </c>
      <c r="E76" s="346">
        <v>18920</v>
      </c>
      <c r="F76" s="346"/>
      <c r="G76" s="346">
        <v>14120</v>
      </c>
    </row>
    <row r="77" spans="1:7" s="335" customFormat="1" ht="14.25" customHeight="1">
      <c r="A77" s="346" t="s">
        <v>259</v>
      </c>
      <c r="B77" s="346" t="s">
        <v>4364</v>
      </c>
      <c r="C77" s="346">
        <v>20890</v>
      </c>
      <c r="D77" s="346">
        <v>19740</v>
      </c>
      <c r="E77" s="346">
        <v>20110</v>
      </c>
      <c r="F77" s="346"/>
      <c r="G77" s="346">
        <v>13400</v>
      </c>
    </row>
    <row r="78" spans="1:7" s="335" customFormat="1" ht="14.25" customHeight="1">
      <c r="A78" s="346" t="s">
        <v>259</v>
      </c>
      <c r="B78" s="346" t="s">
        <v>4372</v>
      </c>
      <c r="C78" s="346">
        <v>19820</v>
      </c>
      <c r="D78" s="346">
        <v>19780</v>
      </c>
      <c r="E78" s="346">
        <v>18560</v>
      </c>
      <c r="F78" s="346"/>
      <c r="G78" s="346">
        <v>13430</v>
      </c>
    </row>
    <row r="79" spans="1:7" s="335" customFormat="1" ht="14.25" customHeight="1">
      <c r="A79" s="346" t="s">
        <v>259</v>
      </c>
      <c r="B79" s="346" t="s">
        <v>4380</v>
      </c>
      <c r="C79" s="346">
        <v>21660</v>
      </c>
      <c r="D79" s="346">
        <v>18000</v>
      </c>
      <c r="E79" s="346">
        <v>22570</v>
      </c>
      <c r="F79" s="346"/>
      <c r="G79" s="346">
        <v>12220</v>
      </c>
    </row>
    <row r="80" spans="1:7" s="335" customFormat="1" ht="14.25" customHeight="1">
      <c r="A80" s="346" t="s">
        <v>259</v>
      </c>
      <c r="B80" s="346" t="s">
        <v>4387</v>
      </c>
      <c r="C80" s="346">
        <v>19850</v>
      </c>
      <c r="D80" s="346"/>
      <c r="E80" s="346">
        <v>21700</v>
      </c>
      <c r="F80" s="346"/>
      <c r="G80" s="346"/>
    </row>
    <row r="81" spans="1:7" s="335" customFormat="1" ht="14.25" customHeight="1">
      <c r="A81" s="346" t="s">
        <v>259</v>
      </c>
      <c r="B81" s="346" t="s">
        <v>4394</v>
      </c>
      <c r="C81" s="346">
        <v>18080</v>
      </c>
      <c r="D81" s="346"/>
      <c r="E81" s="346">
        <v>20900</v>
      </c>
      <c r="F81" s="346"/>
      <c r="G81" s="346"/>
    </row>
    <row r="82" spans="1:7" s="335" customFormat="1" ht="14.25" customHeight="1">
      <c r="A82" s="346" t="s">
        <v>259</v>
      </c>
      <c r="B82" s="346" t="s">
        <v>4401</v>
      </c>
      <c r="C82" s="346"/>
      <c r="D82" s="346"/>
      <c r="E82" s="346">
        <v>20840</v>
      </c>
      <c r="F82" s="346"/>
      <c r="G82" s="346"/>
    </row>
    <row r="83" spans="1:7" s="335" customFormat="1" ht="14.25" customHeight="1">
      <c r="A83" s="346" t="s">
        <v>259</v>
      </c>
      <c r="B83" s="346" t="s">
        <v>4408</v>
      </c>
      <c r="C83" s="346"/>
      <c r="D83" s="346"/>
      <c r="E83" s="346"/>
      <c r="F83" s="346">
        <v>4770</v>
      </c>
      <c r="G83" s="346"/>
    </row>
    <row r="84" spans="1:7" s="335" customFormat="1" ht="14.25" customHeight="1">
      <c r="A84" s="346" t="s">
        <v>259</v>
      </c>
      <c r="B84" s="346" t="s">
        <v>4415</v>
      </c>
      <c r="C84" s="346"/>
      <c r="D84" s="346"/>
      <c r="E84" s="346"/>
      <c r="F84" s="346">
        <v>4600</v>
      </c>
      <c r="G84" s="346"/>
    </row>
    <row r="85" spans="1:7" s="335" customFormat="1" ht="14.25" customHeight="1">
      <c r="A85" s="346" t="s">
        <v>259</v>
      </c>
      <c r="B85" s="346" t="s">
        <v>4422</v>
      </c>
      <c r="C85" s="346"/>
      <c r="D85" s="346"/>
      <c r="E85" s="346"/>
      <c r="F85" s="346">
        <v>4680</v>
      </c>
      <c r="G85" s="346"/>
    </row>
    <row r="86" spans="1:7" s="335" customFormat="1" ht="14.25" customHeight="1">
      <c r="A86" s="348" t="s">
        <v>259</v>
      </c>
      <c r="B86" s="351" t="s">
        <v>4429</v>
      </c>
      <c r="C86" s="352">
        <v>16610</v>
      </c>
      <c r="D86" s="352">
        <v>16540</v>
      </c>
      <c r="E86" s="352">
        <v>18850</v>
      </c>
      <c r="F86" s="352"/>
      <c r="G86" s="352">
        <v>11220</v>
      </c>
    </row>
    <row r="87" spans="1:7" s="335" customFormat="1" ht="14.25" customHeight="1">
      <c r="A87" s="344" t="s">
        <v>267</v>
      </c>
      <c r="B87" s="345" t="s">
        <v>4138</v>
      </c>
      <c r="C87" s="345">
        <v>15240</v>
      </c>
      <c r="D87" s="345">
        <v>15170</v>
      </c>
      <c r="E87" s="345">
        <v>18260</v>
      </c>
      <c r="F87" s="345">
        <v>3830</v>
      </c>
      <c r="G87" s="353">
        <v>10020</v>
      </c>
    </row>
    <row r="88" spans="1:7" s="335" customFormat="1" ht="14.25" customHeight="1">
      <c r="A88" s="346" t="s">
        <v>267</v>
      </c>
      <c r="B88" s="346" t="s">
        <v>4151</v>
      </c>
      <c r="C88" s="346">
        <v>17310</v>
      </c>
      <c r="D88" s="346">
        <v>17220</v>
      </c>
      <c r="E88" s="346">
        <v>18610</v>
      </c>
      <c r="F88" s="346">
        <v>3990</v>
      </c>
      <c r="G88" s="354">
        <v>11380</v>
      </c>
    </row>
    <row r="89" spans="1:7" s="335" customFormat="1" ht="14.25" customHeight="1">
      <c r="A89" s="346" t="s">
        <v>267</v>
      </c>
      <c r="B89" s="346" t="s">
        <v>4165</v>
      </c>
      <c r="C89" s="346">
        <v>15600</v>
      </c>
      <c r="D89" s="346">
        <v>15550</v>
      </c>
      <c r="E89" s="346">
        <v>19200</v>
      </c>
      <c r="F89" s="346">
        <v>4110</v>
      </c>
      <c r="G89" s="354">
        <v>10270</v>
      </c>
    </row>
    <row r="90" spans="1:7" s="335" customFormat="1" ht="14.25" customHeight="1">
      <c r="A90" s="346" t="s">
        <v>267</v>
      </c>
      <c r="B90" s="346" t="s">
        <v>4177</v>
      </c>
      <c r="C90" s="346">
        <v>17330</v>
      </c>
      <c r="D90" s="346">
        <v>17240</v>
      </c>
      <c r="E90" s="346">
        <v>18570</v>
      </c>
      <c r="F90" s="346">
        <v>4070</v>
      </c>
      <c r="G90" s="354">
        <v>11390</v>
      </c>
    </row>
    <row r="91" spans="1:7" s="335" customFormat="1" ht="14.25" customHeight="1">
      <c r="A91" s="346" t="s">
        <v>267</v>
      </c>
      <c r="B91" s="346" t="s">
        <v>4189</v>
      </c>
      <c r="C91" s="346">
        <v>16330</v>
      </c>
      <c r="D91" s="346">
        <v>16260</v>
      </c>
      <c r="E91" s="346">
        <v>16800</v>
      </c>
      <c r="F91" s="346">
        <v>3410</v>
      </c>
      <c r="G91" s="354">
        <v>10740</v>
      </c>
    </row>
    <row r="92" spans="1:7" s="335" customFormat="1" ht="14.25" customHeight="1">
      <c r="A92" s="346" t="s">
        <v>267</v>
      </c>
      <c r="B92" s="346" t="s">
        <v>4200</v>
      </c>
      <c r="C92" s="346">
        <v>15570</v>
      </c>
      <c r="D92" s="346">
        <v>15500</v>
      </c>
      <c r="E92" s="346">
        <v>17360</v>
      </c>
      <c r="F92" s="346">
        <v>3510</v>
      </c>
      <c r="G92" s="354">
        <v>10240</v>
      </c>
    </row>
    <row r="93" spans="1:7" s="335" customFormat="1" ht="14.25" customHeight="1">
      <c r="A93" s="346" t="s">
        <v>267</v>
      </c>
      <c r="B93" s="346" t="s">
        <v>4211</v>
      </c>
      <c r="C93" s="346">
        <v>14000</v>
      </c>
      <c r="D93" s="346">
        <v>13930</v>
      </c>
      <c r="E93" s="346">
        <v>18200</v>
      </c>
      <c r="F93" s="346">
        <v>3640</v>
      </c>
      <c r="G93" s="354">
        <v>9210</v>
      </c>
    </row>
    <row r="94" spans="1:7" s="335" customFormat="1" ht="14.25" customHeight="1">
      <c r="A94" s="346" t="s">
        <v>267</v>
      </c>
      <c r="B94" s="346" t="s">
        <v>4222</v>
      </c>
      <c r="C94" s="346">
        <v>14530</v>
      </c>
      <c r="D94" s="346">
        <v>14470</v>
      </c>
      <c r="E94" s="346">
        <v>18240</v>
      </c>
      <c r="F94" s="346">
        <v>3180</v>
      </c>
      <c r="G94" s="354">
        <v>9560</v>
      </c>
    </row>
    <row r="95" spans="1:7" s="335" customFormat="1" ht="14.25" customHeight="1">
      <c r="A95" s="346" t="s">
        <v>267</v>
      </c>
      <c r="B95" s="346" t="s">
        <v>4232</v>
      </c>
      <c r="C95" s="346">
        <v>17330</v>
      </c>
      <c r="D95" s="346">
        <v>17260</v>
      </c>
      <c r="E95" s="346">
        <v>18420</v>
      </c>
      <c r="F95" s="346">
        <v>3060</v>
      </c>
      <c r="G95" s="354">
        <v>11410</v>
      </c>
    </row>
    <row r="96" spans="1:7" s="335" customFormat="1" ht="14.25" customHeight="1">
      <c r="A96" s="346" t="s">
        <v>267</v>
      </c>
      <c r="B96" s="346" t="s">
        <v>4242</v>
      </c>
      <c r="C96" s="346">
        <v>15030</v>
      </c>
      <c r="D96" s="346">
        <v>14970</v>
      </c>
      <c r="E96" s="346">
        <v>17580</v>
      </c>
      <c r="F96" s="346">
        <v>2970</v>
      </c>
      <c r="G96" s="354">
        <v>9890</v>
      </c>
    </row>
    <row r="97" spans="1:7" s="335" customFormat="1" ht="14.25" customHeight="1">
      <c r="A97" s="346" t="s">
        <v>267</v>
      </c>
      <c r="B97" s="346" t="s">
        <v>4252</v>
      </c>
      <c r="C97" s="346">
        <v>17400</v>
      </c>
      <c r="D97" s="346">
        <v>17330</v>
      </c>
      <c r="E97" s="346">
        <v>16430</v>
      </c>
      <c r="F97" s="346">
        <v>2950</v>
      </c>
      <c r="G97" s="354">
        <v>11450</v>
      </c>
    </row>
    <row r="98" spans="1:7" s="335" customFormat="1" ht="14.25" customHeight="1">
      <c r="A98" s="346" t="s">
        <v>267</v>
      </c>
      <c r="B98" s="346" t="s">
        <v>4262</v>
      </c>
      <c r="C98" s="346">
        <v>15200</v>
      </c>
      <c r="D98" s="346">
        <v>15120</v>
      </c>
      <c r="E98" s="346">
        <v>17550</v>
      </c>
      <c r="F98" s="346">
        <v>3080</v>
      </c>
      <c r="G98" s="354">
        <v>9990</v>
      </c>
    </row>
    <row r="99" spans="1:7" s="335" customFormat="1" ht="14.25" customHeight="1">
      <c r="A99" s="346" t="s">
        <v>267</v>
      </c>
      <c r="B99" s="346" t="s">
        <v>4272</v>
      </c>
      <c r="C99" s="346">
        <v>17520</v>
      </c>
      <c r="D99" s="346">
        <v>17430</v>
      </c>
      <c r="E99" s="346">
        <v>16350</v>
      </c>
      <c r="F99" s="346">
        <v>3260</v>
      </c>
      <c r="G99" s="354">
        <v>11510</v>
      </c>
    </row>
    <row r="100" spans="1:7" s="335" customFormat="1" ht="14.25" customHeight="1">
      <c r="A100" s="346" t="s">
        <v>267</v>
      </c>
      <c r="B100" s="346" t="s">
        <v>4282</v>
      </c>
      <c r="C100" s="346">
        <v>15340</v>
      </c>
      <c r="D100" s="346">
        <v>15260</v>
      </c>
      <c r="E100" s="346">
        <v>15930</v>
      </c>
      <c r="F100" s="346">
        <v>2740</v>
      </c>
      <c r="G100" s="354">
        <v>10080</v>
      </c>
    </row>
    <row r="101" spans="1:7" s="335" customFormat="1" ht="14.25" customHeight="1">
      <c r="A101" s="346" t="s">
        <v>267</v>
      </c>
      <c r="B101" s="346" t="s">
        <v>4291</v>
      </c>
      <c r="C101" s="346">
        <v>14620</v>
      </c>
      <c r="D101" s="346">
        <v>14560</v>
      </c>
      <c r="E101" s="346">
        <v>15570</v>
      </c>
      <c r="F101" s="346">
        <v>3500</v>
      </c>
      <c r="G101" s="354">
        <v>9630</v>
      </c>
    </row>
    <row r="102" spans="1:7" s="335" customFormat="1" ht="14.25" customHeight="1">
      <c r="A102" s="346" t="s">
        <v>267</v>
      </c>
      <c r="B102" s="346" t="s">
        <v>4300</v>
      </c>
      <c r="C102" s="346">
        <v>13680</v>
      </c>
      <c r="D102" s="346">
        <v>13610</v>
      </c>
      <c r="E102" s="346">
        <v>15690</v>
      </c>
      <c r="F102" s="346">
        <v>2870</v>
      </c>
      <c r="G102" s="354">
        <v>8990</v>
      </c>
    </row>
    <row r="103" spans="1:7" s="335" customFormat="1" ht="14.25" customHeight="1">
      <c r="A103" s="346" t="s">
        <v>267</v>
      </c>
      <c r="B103" s="346" t="s">
        <v>4310</v>
      </c>
      <c r="C103" s="346">
        <v>14620</v>
      </c>
      <c r="D103" s="346">
        <v>14540</v>
      </c>
      <c r="E103" s="346">
        <v>15240</v>
      </c>
      <c r="F103" s="346">
        <v>2840</v>
      </c>
      <c r="G103" s="354">
        <v>9610</v>
      </c>
    </row>
    <row r="104" spans="1:7" s="335" customFormat="1" ht="14.25" customHeight="1">
      <c r="A104" s="346" t="s">
        <v>267</v>
      </c>
      <c r="B104" s="346" t="s">
        <v>4320</v>
      </c>
      <c r="C104" s="346">
        <v>13610</v>
      </c>
      <c r="D104" s="346">
        <v>13540</v>
      </c>
      <c r="E104" s="346">
        <v>15750</v>
      </c>
      <c r="F104" s="346">
        <v>2770</v>
      </c>
      <c r="G104" s="354">
        <v>8940</v>
      </c>
    </row>
    <row r="105" spans="1:7" s="335" customFormat="1" ht="14.25" customHeight="1">
      <c r="A105" s="346" t="s">
        <v>267</v>
      </c>
      <c r="B105" s="346" t="s">
        <v>4330</v>
      </c>
      <c r="C105" s="346">
        <v>13310</v>
      </c>
      <c r="D105" s="346">
        <v>13240</v>
      </c>
      <c r="E105" s="346">
        <v>16280</v>
      </c>
      <c r="F105" s="346">
        <v>3210</v>
      </c>
      <c r="G105" s="354">
        <v>8750</v>
      </c>
    </row>
    <row r="106" spans="1:7" s="335" customFormat="1" ht="14.25" customHeight="1">
      <c r="A106" s="346" t="s">
        <v>267</v>
      </c>
      <c r="B106" s="346" t="s">
        <v>4340</v>
      </c>
      <c r="C106" s="346">
        <v>13010</v>
      </c>
      <c r="D106" s="346">
        <v>12930</v>
      </c>
      <c r="E106" s="346">
        <v>14960</v>
      </c>
      <c r="F106" s="346">
        <v>3530</v>
      </c>
      <c r="G106" s="354">
        <v>8550</v>
      </c>
    </row>
    <row r="107" spans="1:7" s="335" customFormat="1" ht="14.25" customHeight="1">
      <c r="A107" s="346" t="s">
        <v>267</v>
      </c>
      <c r="B107" s="346" t="s">
        <v>4349</v>
      </c>
      <c r="C107" s="346">
        <v>13070</v>
      </c>
      <c r="D107" s="346">
        <v>13000</v>
      </c>
      <c r="E107" s="346">
        <v>15910</v>
      </c>
      <c r="F107" s="346">
        <v>3990</v>
      </c>
      <c r="G107" s="354">
        <v>8580</v>
      </c>
    </row>
    <row r="108" spans="1:7" s="335" customFormat="1" ht="14.25" customHeight="1">
      <c r="A108" s="346" t="s">
        <v>267</v>
      </c>
      <c r="B108" s="346" t="s">
        <v>4357</v>
      </c>
      <c r="C108" s="346">
        <v>12640</v>
      </c>
      <c r="D108" s="346">
        <v>12580</v>
      </c>
      <c r="E108" s="346">
        <v>15730</v>
      </c>
      <c r="F108" s="346"/>
      <c r="G108" s="354">
        <v>8310</v>
      </c>
    </row>
    <row r="109" spans="1:7" s="335" customFormat="1" ht="14.25" customHeight="1">
      <c r="A109" s="346" t="s">
        <v>267</v>
      </c>
      <c r="B109" s="346" t="s">
        <v>4365</v>
      </c>
      <c r="C109" s="346">
        <v>13130</v>
      </c>
      <c r="D109" s="346">
        <v>13070</v>
      </c>
      <c r="E109" s="346">
        <v>15000</v>
      </c>
      <c r="F109" s="346"/>
      <c r="G109" s="354">
        <v>8630</v>
      </c>
    </row>
    <row r="110" spans="1:7" s="335" customFormat="1" ht="14.25" customHeight="1">
      <c r="A110" s="346" t="s">
        <v>267</v>
      </c>
      <c r="B110" s="346" t="s">
        <v>4373</v>
      </c>
      <c r="C110" s="346">
        <v>13560</v>
      </c>
      <c r="D110" s="346">
        <v>13490</v>
      </c>
      <c r="E110" s="346">
        <v>16300</v>
      </c>
      <c r="F110" s="346"/>
      <c r="G110" s="354">
        <v>8920</v>
      </c>
    </row>
    <row r="111" spans="1:7" s="335" customFormat="1" ht="14.25" customHeight="1">
      <c r="A111" s="346" t="s">
        <v>267</v>
      </c>
      <c r="B111" s="346" t="s">
        <v>4381</v>
      </c>
      <c r="C111" s="346">
        <v>12440</v>
      </c>
      <c r="D111" s="346">
        <v>12380</v>
      </c>
      <c r="E111" s="346">
        <v>17850</v>
      </c>
      <c r="F111" s="346"/>
      <c r="G111" s="354">
        <v>8180</v>
      </c>
    </row>
    <row r="112" spans="1:7" s="335" customFormat="1" ht="14.25" customHeight="1">
      <c r="A112" s="346" t="s">
        <v>267</v>
      </c>
      <c r="B112" s="346" t="s">
        <v>4388</v>
      </c>
      <c r="C112" s="346">
        <v>13260</v>
      </c>
      <c r="D112" s="346">
        <v>13180</v>
      </c>
      <c r="E112" s="346">
        <v>19740</v>
      </c>
      <c r="F112" s="346"/>
      <c r="G112" s="354">
        <v>8710</v>
      </c>
    </row>
    <row r="113" spans="1:7" s="335" customFormat="1" ht="14.25" customHeight="1">
      <c r="A113" s="346" t="s">
        <v>267</v>
      </c>
      <c r="B113" s="346" t="s">
        <v>4395</v>
      </c>
      <c r="C113" s="346">
        <v>15520</v>
      </c>
      <c r="D113" s="346">
        <v>15450</v>
      </c>
      <c r="E113" s="346"/>
      <c r="F113" s="346"/>
      <c r="G113" s="354">
        <v>10210</v>
      </c>
    </row>
    <row r="114" spans="1:7" s="335" customFormat="1" ht="14.25" customHeight="1">
      <c r="A114" s="346" t="s">
        <v>267</v>
      </c>
      <c r="B114" s="346" t="s">
        <v>4402</v>
      </c>
      <c r="C114" s="346">
        <v>13110</v>
      </c>
      <c r="D114" s="346">
        <v>13050</v>
      </c>
      <c r="E114" s="346"/>
      <c r="F114" s="346"/>
      <c r="G114" s="354">
        <v>8620</v>
      </c>
    </row>
    <row r="115" spans="1:7" s="335" customFormat="1" ht="14.25" customHeight="1">
      <c r="A115" s="346" t="s">
        <v>267</v>
      </c>
      <c r="B115" s="346" t="s">
        <v>4409</v>
      </c>
      <c r="C115" s="346">
        <v>12460</v>
      </c>
      <c r="D115" s="346">
        <v>12390</v>
      </c>
      <c r="E115" s="346"/>
      <c r="F115" s="346"/>
      <c r="G115" s="354">
        <v>8190</v>
      </c>
    </row>
    <row r="116" spans="1:7" s="335" customFormat="1" ht="14.25" customHeight="1">
      <c r="A116" s="346" t="s">
        <v>267</v>
      </c>
      <c r="B116" s="346" t="s">
        <v>4416</v>
      </c>
      <c r="C116" s="346">
        <v>13580</v>
      </c>
      <c r="D116" s="346">
        <v>13520</v>
      </c>
      <c r="E116" s="346"/>
      <c r="F116" s="346"/>
      <c r="G116" s="354">
        <v>8930</v>
      </c>
    </row>
    <row r="117" spans="1:7" s="335" customFormat="1" ht="14.25" customHeight="1">
      <c r="A117" s="346" t="s">
        <v>267</v>
      </c>
      <c r="B117" s="346" t="s">
        <v>4423</v>
      </c>
      <c r="C117" s="346">
        <v>17120</v>
      </c>
      <c r="D117" s="346">
        <v>17040</v>
      </c>
      <c r="E117" s="346"/>
      <c r="F117" s="346"/>
      <c r="G117" s="354">
        <v>11260</v>
      </c>
    </row>
    <row r="118" spans="1:7" s="335" customFormat="1" ht="14.25" customHeight="1">
      <c r="A118" s="346" t="s">
        <v>267</v>
      </c>
      <c r="B118" s="346" t="s">
        <v>4430</v>
      </c>
      <c r="C118" s="346">
        <v>14860</v>
      </c>
      <c r="D118" s="346">
        <v>14790</v>
      </c>
      <c r="E118" s="346"/>
      <c r="F118" s="346"/>
      <c r="G118" s="354">
        <v>9780</v>
      </c>
    </row>
    <row r="119" spans="1:7" s="335" customFormat="1" ht="14.25" customHeight="1">
      <c r="A119" s="346" t="s">
        <v>267</v>
      </c>
      <c r="B119" s="346" t="s">
        <v>4435</v>
      </c>
      <c r="C119" s="346">
        <v>16470</v>
      </c>
      <c r="D119" s="346">
        <v>16400</v>
      </c>
      <c r="E119" s="346"/>
      <c r="F119" s="346"/>
      <c r="G119" s="354">
        <v>10840</v>
      </c>
    </row>
    <row r="120" spans="1:7" s="335" customFormat="1" ht="14.25" customHeight="1">
      <c r="A120" s="346" t="s">
        <v>267</v>
      </c>
      <c r="B120" s="346" t="s">
        <v>4440</v>
      </c>
      <c r="C120" s="346"/>
      <c r="D120" s="346"/>
      <c r="E120" s="346"/>
      <c r="F120" s="346">
        <v>4160</v>
      </c>
      <c r="G120" s="354"/>
    </row>
    <row r="121" spans="1:7" s="335" customFormat="1" ht="14.25" customHeight="1">
      <c r="A121" s="346" t="s">
        <v>267</v>
      </c>
      <c r="B121" s="346" t="s">
        <v>4445</v>
      </c>
      <c r="C121" s="346"/>
      <c r="D121" s="346"/>
      <c r="E121" s="346"/>
      <c r="F121" s="346">
        <v>3880</v>
      </c>
      <c r="G121" s="354"/>
    </row>
    <row r="122" spans="1:7" s="335" customFormat="1" ht="14.25" customHeight="1">
      <c r="A122" s="346" t="s">
        <v>267</v>
      </c>
      <c r="B122" s="346" t="s">
        <v>4450</v>
      </c>
      <c r="C122" s="346">
        <v>13750</v>
      </c>
      <c r="D122" s="346">
        <v>13680</v>
      </c>
      <c r="E122" s="346">
        <v>16460</v>
      </c>
      <c r="F122" s="346">
        <v>2880</v>
      </c>
      <c r="G122" s="354">
        <v>9040</v>
      </c>
    </row>
    <row r="123" spans="1:7" s="335" customFormat="1" ht="14.25" customHeight="1">
      <c r="A123" s="346" t="s">
        <v>267</v>
      </c>
      <c r="B123" s="346" t="s">
        <v>4455</v>
      </c>
      <c r="C123" s="346">
        <v>13590</v>
      </c>
      <c r="D123" s="346">
        <v>13520</v>
      </c>
      <c r="E123" s="346">
        <v>16290</v>
      </c>
      <c r="F123" s="346">
        <v>2790</v>
      </c>
      <c r="G123" s="354">
        <v>8930</v>
      </c>
    </row>
    <row r="124" spans="1:7" s="335" customFormat="1" ht="14.25" customHeight="1">
      <c r="A124" s="346" t="s">
        <v>267</v>
      </c>
      <c r="B124" s="346" t="s">
        <v>4460</v>
      </c>
      <c r="C124" s="346">
        <v>13400</v>
      </c>
      <c r="D124" s="346">
        <v>13320</v>
      </c>
      <c r="E124" s="346">
        <v>16100</v>
      </c>
      <c r="F124" s="346">
        <v>2320</v>
      </c>
      <c r="G124" s="354">
        <v>8800</v>
      </c>
    </row>
    <row r="125" spans="1:7" s="335" customFormat="1" ht="14.25" customHeight="1">
      <c r="A125" s="346" t="s">
        <v>267</v>
      </c>
      <c r="B125" s="346" t="s">
        <v>4465</v>
      </c>
      <c r="C125" s="346">
        <v>12860</v>
      </c>
      <c r="D125" s="346">
        <v>12790</v>
      </c>
      <c r="E125" s="346">
        <v>15370</v>
      </c>
      <c r="F125" s="346">
        <v>2280</v>
      </c>
      <c r="G125" s="354">
        <v>8450</v>
      </c>
    </row>
    <row r="126" spans="1:7" s="335" customFormat="1" ht="14.25" customHeight="1">
      <c r="A126" s="355" t="s">
        <v>267</v>
      </c>
      <c r="B126" s="350" t="s">
        <v>4470</v>
      </c>
      <c r="C126" s="350">
        <v>12960</v>
      </c>
      <c r="D126" s="350">
        <v>12890</v>
      </c>
      <c r="E126" s="350">
        <v>15530</v>
      </c>
      <c r="F126" s="350">
        <v>2910</v>
      </c>
      <c r="G126" s="356">
        <v>8520</v>
      </c>
    </row>
    <row r="127" spans="1:7" s="335" customFormat="1" ht="14.25" customHeight="1">
      <c r="A127" s="344" t="s">
        <v>273</v>
      </c>
      <c r="B127" s="345" t="s">
        <v>4139</v>
      </c>
      <c r="C127" s="346">
        <v>12280</v>
      </c>
      <c r="D127" s="346">
        <v>12250</v>
      </c>
      <c r="E127" s="346">
        <v>15130</v>
      </c>
      <c r="F127" s="346">
        <v>2710</v>
      </c>
      <c r="G127" s="346">
        <v>7870</v>
      </c>
    </row>
    <row r="128" spans="1:7" s="335" customFormat="1" ht="14.25" customHeight="1">
      <c r="A128" s="346" t="s">
        <v>273</v>
      </c>
      <c r="B128" s="346" t="s">
        <v>4152</v>
      </c>
      <c r="C128" s="346">
        <v>13180</v>
      </c>
      <c r="D128" s="346">
        <v>13150</v>
      </c>
      <c r="E128" s="346">
        <v>16190</v>
      </c>
      <c r="F128" s="346">
        <v>2820</v>
      </c>
      <c r="G128" s="346">
        <v>8460</v>
      </c>
    </row>
    <row r="129" spans="1:7" s="335" customFormat="1" ht="14.25" customHeight="1">
      <c r="A129" s="346" t="s">
        <v>273</v>
      </c>
      <c r="B129" s="346" t="s">
        <v>4166</v>
      </c>
      <c r="C129" s="346">
        <v>10950</v>
      </c>
      <c r="D129" s="346">
        <v>10920</v>
      </c>
      <c r="E129" s="346">
        <v>13820</v>
      </c>
      <c r="F129" s="346">
        <v>2500</v>
      </c>
      <c r="G129" s="346">
        <v>7020</v>
      </c>
    </row>
    <row r="130" spans="1:7" s="335" customFormat="1" ht="14.25" customHeight="1">
      <c r="A130" s="346" t="s">
        <v>273</v>
      </c>
      <c r="B130" s="346" t="s">
        <v>4178</v>
      </c>
      <c r="C130" s="346">
        <v>10910</v>
      </c>
      <c r="D130" s="346">
        <v>10860</v>
      </c>
      <c r="E130" s="346">
        <v>13730</v>
      </c>
      <c r="F130" s="346">
        <v>2760</v>
      </c>
      <c r="G130" s="346">
        <v>6990</v>
      </c>
    </row>
    <row r="131" spans="1:7" s="335" customFormat="1" ht="14.25" customHeight="1">
      <c r="A131" s="346" t="s">
        <v>273</v>
      </c>
      <c r="B131" s="346" t="s">
        <v>4190</v>
      </c>
      <c r="C131" s="346">
        <v>12910</v>
      </c>
      <c r="D131" s="346">
        <v>12870</v>
      </c>
      <c r="E131" s="346">
        <v>15720</v>
      </c>
      <c r="F131" s="346">
        <v>2750</v>
      </c>
      <c r="G131" s="346">
        <v>8280</v>
      </c>
    </row>
    <row r="132" spans="1:7" s="335" customFormat="1" ht="14.25" customHeight="1">
      <c r="A132" s="346" t="s">
        <v>273</v>
      </c>
      <c r="B132" s="346" t="s">
        <v>4201</v>
      </c>
      <c r="C132" s="346">
        <v>11910</v>
      </c>
      <c r="D132" s="346">
        <v>11860</v>
      </c>
      <c r="E132" s="346">
        <v>14730</v>
      </c>
      <c r="F132" s="346">
        <v>2360</v>
      </c>
      <c r="G132" s="346">
        <v>7630</v>
      </c>
    </row>
    <row r="133" spans="1:7" s="335" customFormat="1" ht="14.25" customHeight="1">
      <c r="A133" s="346" t="s">
        <v>273</v>
      </c>
      <c r="B133" s="346" t="s">
        <v>4212</v>
      </c>
      <c r="C133" s="346">
        <v>12270</v>
      </c>
      <c r="D133" s="346">
        <v>12210</v>
      </c>
      <c r="E133" s="346">
        <v>15010</v>
      </c>
      <c r="F133" s="346">
        <v>2580</v>
      </c>
      <c r="G133" s="346">
        <v>7860</v>
      </c>
    </row>
    <row r="134" spans="1:7" s="335" customFormat="1" ht="14.25" customHeight="1">
      <c r="A134" s="346" t="s">
        <v>273</v>
      </c>
      <c r="B134" s="346" t="s">
        <v>4223</v>
      </c>
      <c r="C134" s="346">
        <v>10800</v>
      </c>
      <c r="D134" s="346">
        <v>10780</v>
      </c>
      <c r="E134" s="346">
        <v>13640</v>
      </c>
      <c r="F134" s="346">
        <v>2110</v>
      </c>
      <c r="G134" s="346">
        <v>6930</v>
      </c>
    </row>
    <row r="135" spans="1:7" s="335" customFormat="1" ht="14.25" customHeight="1">
      <c r="A135" s="346" t="s">
        <v>273</v>
      </c>
      <c r="B135" s="346" t="s">
        <v>4233</v>
      </c>
      <c r="C135" s="346">
        <v>10430</v>
      </c>
      <c r="D135" s="346">
        <v>10390</v>
      </c>
      <c r="E135" s="346">
        <v>13140</v>
      </c>
      <c r="F135" s="346">
        <v>2240</v>
      </c>
      <c r="G135" s="346">
        <v>6680</v>
      </c>
    </row>
    <row r="136" spans="1:7" s="335" customFormat="1" ht="14.25" customHeight="1">
      <c r="A136" s="346" t="s">
        <v>273</v>
      </c>
      <c r="B136" s="346" t="s">
        <v>4243</v>
      </c>
      <c r="C136" s="346">
        <v>11930</v>
      </c>
      <c r="D136" s="346">
        <v>11880</v>
      </c>
      <c r="E136" s="346">
        <v>14770</v>
      </c>
      <c r="F136" s="346">
        <v>1970</v>
      </c>
      <c r="G136" s="346">
        <v>7640</v>
      </c>
    </row>
    <row r="137" spans="1:7" s="335" customFormat="1" ht="14.25" customHeight="1">
      <c r="A137" s="346" t="s">
        <v>273</v>
      </c>
      <c r="B137" s="346" t="s">
        <v>4253</v>
      </c>
      <c r="C137" s="346">
        <v>10470</v>
      </c>
      <c r="D137" s="346">
        <v>10430</v>
      </c>
      <c r="E137" s="346">
        <v>13190</v>
      </c>
      <c r="F137" s="346">
        <v>1990</v>
      </c>
      <c r="G137" s="346">
        <v>6710</v>
      </c>
    </row>
    <row r="138" spans="1:7" s="335" customFormat="1" ht="14.25" customHeight="1">
      <c r="A138" s="346" t="s">
        <v>273</v>
      </c>
      <c r="B138" s="346" t="s">
        <v>4263</v>
      </c>
      <c r="C138" s="346">
        <v>10410</v>
      </c>
      <c r="D138" s="346">
        <v>10380</v>
      </c>
      <c r="E138" s="346">
        <v>13130</v>
      </c>
      <c r="F138" s="346">
        <v>2030</v>
      </c>
      <c r="G138" s="346">
        <v>6680</v>
      </c>
    </row>
    <row r="139" spans="1:7" s="335" customFormat="1" ht="14.25" customHeight="1">
      <c r="A139" s="346" t="s">
        <v>273</v>
      </c>
      <c r="B139" s="346" t="s">
        <v>4273</v>
      </c>
      <c r="C139" s="346">
        <v>9460</v>
      </c>
      <c r="D139" s="346">
        <v>9410</v>
      </c>
      <c r="E139" s="346">
        <v>12050</v>
      </c>
      <c r="F139" s="346">
        <v>2140</v>
      </c>
      <c r="G139" s="346">
        <v>6050</v>
      </c>
    </row>
    <row r="140" spans="1:7" s="335" customFormat="1" ht="14.25" customHeight="1">
      <c r="A140" s="346" t="s">
        <v>273</v>
      </c>
      <c r="B140" s="346" t="s">
        <v>4283</v>
      </c>
      <c r="C140" s="346">
        <v>11030</v>
      </c>
      <c r="D140" s="346">
        <v>10980</v>
      </c>
      <c r="E140" s="346">
        <v>13880</v>
      </c>
      <c r="F140" s="346">
        <v>2210</v>
      </c>
      <c r="G140" s="346">
        <v>7060</v>
      </c>
    </row>
    <row r="141" spans="1:7" s="335" customFormat="1" ht="14.25" customHeight="1">
      <c r="A141" s="346" t="s">
        <v>273</v>
      </c>
      <c r="B141" s="346" t="s">
        <v>4292</v>
      </c>
      <c r="C141" s="346">
        <v>11200</v>
      </c>
      <c r="D141" s="346">
        <v>11150</v>
      </c>
      <c r="E141" s="346">
        <v>14100</v>
      </c>
      <c r="F141" s="346">
        <v>2470</v>
      </c>
      <c r="G141" s="346">
        <v>7170</v>
      </c>
    </row>
    <row r="142" spans="1:7" s="335" customFormat="1" ht="14.25" customHeight="1">
      <c r="A142" s="346" t="s">
        <v>273</v>
      </c>
      <c r="B142" s="346" t="s">
        <v>4301</v>
      </c>
      <c r="C142" s="346">
        <v>10780</v>
      </c>
      <c r="D142" s="346">
        <v>10730</v>
      </c>
      <c r="E142" s="346">
        <v>13540</v>
      </c>
      <c r="F142" s="346">
        <v>2280</v>
      </c>
      <c r="G142" s="346">
        <v>6900</v>
      </c>
    </row>
    <row r="143" spans="1:7" s="335" customFormat="1" ht="14.25" customHeight="1">
      <c r="A143" s="346" t="s">
        <v>273</v>
      </c>
      <c r="B143" s="346" t="s">
        <v>4311</v>
      </c>
      <c r="C143" s="346">
        <v>11550</v>
      </c>
      <c r="D143" s="346">
        <v>11490</v>
      </c>
      <c r="E143" s="346">
        <v>14480</v>
      </c>
      <c r="F143" s="346">
        <v>2070</v>
      </c>
      <c r="G143" s="346">
        <v>7390</v>
      </c>
    </row>
    <row r="144" spans="1:7" s="335" customFormat="1" ht="14.25" customHeight="1">
      <c r="A144" s="346" t="s">
        <v>273</v>
      </c>
      <c r="B144" s="346" t="s">
        <v>4321</v>
      </c>
      <c r="C144" s="346">
        <v>10720</v>
      </c>
      <c r="D144" s="346">
        <v>10680</v>
      </c>
      <c r="E144" s="346">
        <v>13480</v>
      </c>
      <c r="F144" s="346">
        <v>2440</v>
      </c>
      <c r="G144" s="346">
        <v>6870</v>
      </c>
    </row>
    <row r="145" spans="1:7" s="335" customFormat="1" ht="14.25" customHeight="1">
      <c r="A145" s="346" t="s">
        <v>273</v>
      </c>
      <c r="B145" s="346" t="s">
        <v>4331</v>
      </c>
      <c r="C145" s="346">
        <v>10340</v>
      </c>
      <c r="D145" s="346">
        <v>10290</v>
      </c>
      <c r="E145" s="346">
        <v>12880</v>
      </c>
      <c r="F145" s="346">
        <v>2650</v>
      </c>
      <c r="G145" s="346">
        <v>6620</v>
      </c>
    </row>
    <row r="146" spans="1:7" s="335" customFormat="1" ht="14.25" customHeight="1">
      <c r="A146" s="346" t="s">
        <v>273</v>
      </c>
      <c r="B146" s="346" t="s">
        <v>4341</v>
      </c>
      <c r="C146" s="346">
        <v>11890</v>
      </c>
      <c r="D146" s="346">
        <v>11830</v>
      </c>
      <c r="E146" s="346">
        <v>14670</v>
      </c>
      <c r="F146" s="346"/>
      <c r="G146" s="346">
        <v>7610</v>
      </c>
    </row>
    <row r="147" spans="1:7" s="335" customFormat="1" ht="14.25" customHeight="1">
      <c r="A147" s="346" t="s">
        <v>273</v>
      </c>
      <c r="B147" s="346" t="s">
        <v>4350</v>
      </c>
      <c r="C147" s="346">
        <v>12650</v>
      </c>
      <c r="D147" s="346">
        <v>12600</v>
      </c>
      <c r="E147" s="346">
        <v>15440</v>
      </c>
      <c r="F147" s="346"/>
      <c r="G147" s="346">
        <v>8110</v>
      </c>
    </row>
    <row r="148" spans="1:7" s="335" customFormat="1" ht="14.25" customHeight="1">
      <c r="A148" s="346" t="s">
        <v>273</v>
      </c>
      <c r="B148" s="346" t="s">
        <v>4358</v>
      </c>
      <c r="C148" s="346">
        <v>10370</v>
      </c>
      <c r="D148" s="346">
        <v>10310</v>
      </c>
      <c r="E148" s="346">
        <v>12970</v>
      </c>
      <c r="F148" s="346"/>
      <c r="G148" s="346">
        <v>6630</v>
      </c>
    </row>
    <row r="149" spans="1:7" s="335" customFormat="1" ht="14.25" customHeight="1">
      <c r="A149" s="346" t="s">
        <v>273</v>
      </c>
      <c r="B149" s="346" t="s">
        <v>4366</v>
      </c>
      <c r="C149" s="346">
        <v>11600</v>
      </c>
      <c r="D149" s="346">
        <v>11560</v>
      </c>
      <c r="E149" s="346">
        <v>14540</v>
      </c>
      <c r="F149" s="346">
        <v>2390</v>
      </c>
      <c r="G149" s="346">
        <v>7430</v>
      </c>
    </row>
    <row r="150" spans="1:7" s="335" customFormat="1" ht="14.25" customHeight="1">
      <c r="A150" s="346" t="s">
        <v>273</v>
      </c>
      <c r="B150" s="346" t="s">
        <v>4374</v>
      </c>
      <c r="C150" s="346">
        <v>9950</v>
      </c>
      <c r="D150" s="346">
        <v>9890</v>
      </c>
      <c r="E150" s="346">
        <v>12590</v>
      </c>
      <c r="F150" s="346">
        <v>1970</v>
      </c>
      <c r="G150" s="346">
        <v>6360</v>
      </c>
    </row>
    <row r="151" spans="1:7" s="335" customFormat="1" ht="14.25" customHeight="1">
      <c r="A151" s="346" t="s">
        <v>273</v>
      </c>
      <c r="B151" s="346" t="s">
        <v>4382</v>
      </c>
      <c r="C151" s="346">
        <v>10700</v>
      </c>
      <c r="D151" s="346">
        <v>10650</v>
      </c>
      <c r="E151" s="346">
        <v>13420</v>
      </c>
      <c r="F151" s="346">
        <v>2020</v>
      </c>
      <c r="G151" s="346">
        <v>6850</v>
      </c>
    </row>
    <row r="152" spans="1:7" s="335" customFormat="1" ht="14.25" customHeight="1">
      <c r="A152" s="346" t="s">
        <v>273</v>
      </c>
      <c r="B152" s="346" t="s">
        <v>4389</v>
      </c>
      <c r="C152" s="346">
        <v>10310</v>
      </c>
      <c r="D152" s="346">
        <v>10260</v>
      </c>
      <c r="E152" s="346">
        <v>12820</v>
      </c>
      <c r="F152" s="346">
        <v>1980</v>
      </c>
      <c r="G152" s="346">
        <v>6600</v>
      </c>
    </row>
    <row r="153" spans="1:7" s="335" customFormat="1" ht="14.25" customHeight="1">
      <c r="A153" s="346" t="s">
        <v>273</v>
      </c>
      <c r="B153" s="346" t="s">
        <v>4396</v>
      </c>
      <c r="C153" s="346">
        <v>10880</v>
      </c>
      <c r="D153" s="346">
        <v>10820</v>
      </c>
      <c r="E153" s="346">
        <v>13660</v>
      </c>
      <c r="F153" s="346">
        <v>2260</v>
      </c>
      <c r="G153" s="346">
        <v>6970</v>
      </c>
    </row>
    <row r="154" spans="1:7" s="335" customFormat="1" ht="14.25" customHeight="1">
      <c r="A154" s="346" t="s">
        <v>273</v>
      </c>
      <c r="B154" s="346" t="s">
        <v>4403</v>
      </c>
      <c r="C154" s="346">
        <v>11220</v>
      </c>
      <c r="D154" s="346">
        <v>11160</v>
      </c>
      <c r="E154" s="346">
        <v>14130</v>
      </c>
      <c r="F154" s="346">
        <v>2230</v>
      </c>
      <c r="G154" s="346">
        <v>7180</v>
      </c>
    </row>
    <row r="155" spans="1:7" s="335" customFormat="1" ht="14.25" customHeight="1">
      <c r="A155" s="346" t="s">
        <v>273</v>
      </c>
      <c r="B155" s="346" t="s">
        <v>4410</v>
      </c>
      <c r="C155" s="346">
        <v>10430</v>
      </c>
      <c r="D155" s="346">
        <v>10380</v>
      </c>
      <c r="E155" s="346">
        <v>13140</v>
      </c>
      <c r="F155" s="346">
        <v>2080</v>
      </c>
      <c r="G155" s="346">
        <v>6650</v>
      </c>
    </row>
    <row r="156" spans="1:7" s="335" customFormat="1" ht="14.25" customHeight="1">
      <c r="A156" s="346" t="s">
        <v>273</v>
      </c>
      <c r="B156" s="346" t="s">
        <v>4417</v>
      </c>
      <c r="C156" s="346">
        <v>10440</v>
      </c>
      <c r="D156" s="346">
        <v>10400</v>
      </c>
      <c r="E156" s="346">
        <v>13150</v>
      </c>
      <c r="F156" s="346">
        <v>2490</v>
      </c>
      <c r="G156" s="346">
        <v>6690</v>
      </c>
    </row>
    <row r="157" spans="1:7" s="335" customFormat="1" ht="14.25" customHeight="1">
      <c r="A157" s="346" t="s">
        <v>273</v>
      </c>
      <c r="B157" s="346" t="s">
        <v>4424</v>
      </c>
      <c r="C157" s="346">
        <v>10970</v>
      </c>
      <c r="D157" s="346">
        <v>10920</v>
      </c>
      <c r="E157" s="346">
        <v>13840</v>
      </c>
      <c r="F157" s="346">
        <v>2420</v>
      </c>
      <c r="G157" s="346">
        <v>7020</v>
      </c>
    </row>
    <row r="158" spans="1:7" s="335" customFormat="1" ht="14.25" customHeight="1">
      <c r="A158" s="346" t="s">
        <v>273</v>
      </c>
      <c r="B158" s="346" t="s">
        <v>4431</v>
      </c>
      <c r="C158" s="346">
        <v>9590</v>
      </c>
      <c r="D158" s="346">
        <v>9540</v>
      </c>
      <c r="E158" s="346">
        <v>12210</v>
      </c>
      <c r="F158" s="346">
        <v>2100</v>
      </c>
      <c r="G158" s="346">
        <v>6130</v>
      </c>
    </row>
    <row r="159" spans="1:7" s="335" customFormat="1" ht="14.25" customHeight="1">
      <c r="A159" s="346" t="s">
        <v>273</v>
      </c>
      <c r="B159" s="346" t="s">
        <v>4436</v>
      </c>
      <c r="C159" s="346">
        <v>11190</v>
      </c>
      <c r="D159" s="346">
        <v>11140</v>
      </c>
      <c r="E159" s="346">
        <v>14090</v>
      </c>
      <c r="F159" s="346">
        <v>2470</v>
      </c>
      <c r="G159" s="346">
        <v>7170</v>
      </c>
    </row>
    <row r="160" spans="1:7" s="335" customFormat="1" ht="14.25" customHeight="1">
      <c r="A160" s="346" t="s">
        <v>273</v>
      </c>
      <c r="B160" s="346" t="s">
        <v>4441</v>
      </c>
      <c r="C160" s="346">
        <v>11180</v>
      </c>
      <c r="D160" s="346">
        <v>11140</v>
      </c>
      <c r="E160" s="346">
        <v>14050</v>
      </c>
      <c r="F160" s="346">
        <v>2270</v>
      </c>
      <c r="G160" s="346">
        <v>7170</v>
      </c>
    </row>
    <row r="161" spans="1:7" s="335" customFormat="1" ht="14.25" customHeight="1">
      <c r="A161" s="346" t="s">
        <v>273</v>
      </c>
      <c r="B161" s="346" t="s">
        <v>4446</v>
      </c>
      <c r="C161" s="346">
        <v>11160</v>
      </c>
      <c r="D161" s="346">
        <v>11120</v>
      </c>
      <c r="E161" s="346">
        <v>14020</v>
      </c>
      <c r="F161" s="346">
        <v>2150</v>
      </c>
      <c r="G161" s="346">
        <v>7160</v>
      </c>
    </row>
    <row r="162" spans="1:7" s="335" customFormat="1" ht="14.25" customHeight="1">
      <c r="A162" s="346" t="s">
        <v>273</v>
      </c>
      <c r="B162" s="346" t="s">
        <v>4451</v>
      </c>
      <c r="C162" s="346">
        <v>9620</v>
      </c>
      <c r="D162" s="346">
        <v>9570</v>
      </c>
      <c r="E162" s="346">
        <v>12320</v>
      </c>
      <c r="F162" s="346">
        <v>2010</v>
      </c>
      <c r="G162" s="346">
        <v>6160</v>
      </c>
    </row>
    <row r="163" spans="1:7" s="335" customFormat="1" ht="14.25" customHeight="1">
      <c r="A163" s="346" t="s">
        <v>273</v>
      </c>
      <c r="B163" s="346" t="s">
        <v>4456</v>
      </c>
      <c r="C163" s="346">
        <v>9320</v>
      </c>
      <c r="D163" s="346">
        <v>9270</v>
      </c>
      <c r="E163" s="346">
        <v>11790</v>
      </c>
      <c r="F163" s="346">
        <v>1920</v>
      </c>
      <c r="G163" s="346">
        <v>5960</v>
      </c>
    </row>
    <row r="164" spans="1:7" s="335" customFormat="1" ht="14.25" customHeight="1">
      <c r="A164" s="346" t="s">
        <v>273</v>
      </c>
      <c r="B164" s="346" t="s">
        <v>4461</v>
      </c>
      <c r="C164" s="346"/>
      <c r="D164" s="346"/>
      <c r="E164" s="346"/>
      <c r="F164" s="346">
        <v>1980</v>
      </c>
      <c r="G164" s="346"/>
    </row>
    <row r="165" spans="1:7" s="335" customFormat="1" ht="14.25" customHeight="1">
      <c r="A165" s="346" t="s">
        <v>273</v>
      </c>
      <c r="B165" s="346" t="s">
        <v>4466</v>
      </c>
      <c r="C165" s="346">
        <v>11060</v>
      </c>
      <c r="D165" s="346">
        <v>11030</v>
      </c>
      <c r="E165" s="346">
        <v>13850</v>
      </c>
      <c r="F165" s="346">
        <v>2170</v>
      </c>
      <c r="G165" s="346">
        <v>7090</v>
      </c>
    </row>
    <row r="166" spans="1:7" s="335" customFormat="1" ht="14.25" customHeight="1">
      <c r="A166" s="346" t="s">
        <v>273</v>
      </c>
      <c r="B166" s="346" t="s">
        <v>4471</v>
      </c>
      <c r="C166" s="346">
        <v>11050</v>
      </c>
      <c r="D166" s="346">
        <v>11010</v>
      </c>
      <c r="E166" s="346">
        <v>13920</v>
      </c>
      <c r="F166" s="346">
        <v>2140</v>
      </c>
      <c r="G166" s="346">
        <v>7080</v>
      </c>
    </row>
    <row r="167" spans="1:7" s="335" customFormat="1" ht="14.25" customHeight="1">
      <c r="A167" s="346" t="s">
        <v>273</v>
      </c>
      <c r="B167" s="346" t="s">
        <v>4475</v>
      </c>
      <c r="C167" s="346">
        <v>10930</v>
      </c>
      <c r="D167" s="346">
        <v>10890</v>
      </c>
      <c r="E167" s="346">
        <v>13790</v>
      </c>
      <c r="F167" s="346">
        <v>2010</v>
      </c>
      <c r="G167" s="346">
        <v>7000</v>
      </c>
    </row>
    <row r="168" spans="1:7" s="335" customFormat="1" ht="14.25" customHeight="1">
      <c r="A168" s="346" t="s">
        <v>273</v>
      </c>
      <c r="B168" s="346" t="s">
        <v>4479</v>
      </c>
      <c r="C168" s="346">
        <v>9420</v>
      </c>
      <c r="D168" s="346">
        <v>9380</v>
      </c>
      <c r="E168" s="346">
        <v>11970</v>
      </c>
      <c r="F168" s="346"/>
      <c r="G168" s="346">
        <v>6040</v>
      </c>
    </row>
    <row r="169" spans="1:7" s="335" customFormat="1" ht="14.25" customHeight="1">
      <c r="A169" s="346" t="s">
        <v>273</v>
      </c>
      <c r="B169" s="346" t="s">
        <v>4483</v>
      </c>
      <c r="C169" s="346"/>
      <c r="D169" s="346"/>
      <c r="E169" s="346"/>
      <c r="F169" s="346">
        <v>2880</v>
      </c>
      <c r="G169" s="346"/>
    </row>
    <row r="170" spans="1:7" s="335" customFormat="1" ht="14.25" customHeight="1">
      <c r="A170" s="346" t="s">
        <v>273</v>
      </c>
      <c r="B170" s="346" t="s">
        <v>4487</v>
      </c>
      <c r="C170" s="346"/>
      <c r="D170" s="346"/>
      <c r="E170" s="346"/>
      <c r="F170" s="346">
        <v>2880</v>
      </c>
      <c r="G170" s="346"/>
    </row>
    <row r="171" spans="1:7" s="335" customFormat="1" ht="14.25" customHeight="1">
      <c r="A171" s="346" t="s">
        <v>273</v>
      </c>
      <c r="B171" s="346" t="s">
        <v>4490</v>
      </c>
      <c r="C171" s="346"/>
      <c r="D171" s="346"/>
      <c r="E171" s="346"/>
      <c r="F171" s="346">
        <v>2880</v>
      </c>
      <c r="G171" s="346"/>
    </row>
    <row r="172" spans="1:7" s="335" customFormat="1" ht="14.25" customHeight="1">
      <c r="A172" s="346" t="s">
        <v>273</v>
      </c>
      <c r="B172" s="346" t="s">
        <v>4492</v>
      </c>
      <c r="C172" s="346"/>
      <c r="D172" s="346"/>
      <c r="E172" s="346"/>
      <c r="F172" s="346">
        <v>2880</v>
      </c>
      <c r="G172" s="346"/>
    </row>
    <row r="173" spans="1:7" s="335" customFormat="1" ht="14.25" customHeight="1">
      <c r="A173" s="346" t="s">
        <v>273</v>
      </c>
      <c r="B173" s="346" t="s">
        <v>4494</v>
      </c>
      <c r="C173" s="346"/>
      <c r="D173" s="346"/>
      <c r="E173" s="346"/>
      <c r="F173" s="346">
        <v>2150</v>
      </c>
      <c r="G173" s="346"/>
    </row>
    <row r="174" spans="1:7" s="335" customFormat="1" ht="14.25" customHeight="1">
      <c r="A174" s="346" t="s">
        <v>273</v>
      </c>
      <c r="B174" s="346" t="s">
        <v>4496</v>
      </c>
      <c r="C174" s="346"/>
      <c r="D174" s="346"/>
      <c r="E174" s="346"/>
      <c r="F174" s="346">
        <v>2030</v>
      </c>
      <c r="G174" s="346"/>
    </row>
    <row r="175" spans="1:7" s="335" customFormat="1" ht="14.25" customHeight="1">
      <c r="A175" s="346" t="s">
        <v>273</v>
      </c>
      <c r="B175" s="346" t="s">
        <v>4498</v>
      </c>
      <c r="C175" s="346"/>
      <c r="D175" s="346"/>
      <c r="E175" s="346"/>
      <c r="F175" s="346">
        <v>2780</v>
      </c>
      <c r="G175" s="346"/>
    </row>
    <row r="176" spans="1:7" s="335" customFormat="1" ht="14.25" customHeight="1">
      <c r="A176" s="346" t="s">
        <v>273</v>
      </c>
      <c r="B176" s="346" t="s">
        <v>4500</v>
      </c>
      <c r="C176" s="346"/>
      <c r="D176" s="346"/>
      <c r="E176" s="346"/>
      <c r="F176" s="346">
        <v>2780</v>
      </c>
      <c r="G176" s="346"/>
    </row>
    <row r="177" spans="1:7" s="335" customFormat="1" ht="14.25" customHeight="1">
      <c r="A177" s="346" t="s">
        <v>273</v>
      </c>
      <c r="B177" s="346" t="s">
        <v>4502</v>
      </c>
      <c r="C177" s="346"/>
      <c r="D177" s="346"/>
      <c r="E177" s="346"/>
      <c r="F177" s="346">
        <v>2780</v>
      </c>
      <c r="G177" s="346"/>
    </row>
    <row r="178" spans="1:7" s="335" customFormat="1" ht="14.25" customHeight="1">
      <c r="A178" s="346" t="s">
        <v>273</v>
      </c>
      <c r="B178" s="346" t="s">
        <v>4503</v>
      </c>
      <c r="C178" s="346"/>
      <c r="D178" s="346"/>
      <c r="E178" s="346"/>
      <c r="F178" s="346">
        <v>2060</v>
      </c>
      <c r="G178" s="346"/>
    </row>
    <row r="179" spans="1:7" s="335" customFormat="1" ht="14.25" customHeight="1">
      <c r="A179" s="346" t="s">
        <v>273</v>
      </c>
      <c r="B179" s="346" t="s">
        <v>4504</v>
      </c>
      <c r="C179" s="346"/>
      <c r="D179" s="346"/>
      <c r="E179" s="346"/>
      <c r="F179" s="346">
        <v>2120</v>
      </c>
      <c r="G179" s="346"/>
    </row>
    <row r="180" spans="1:7" s="335" customFormat="1" ht="14.25" customHeight="1">
      <c r="A180" s="346" t="s">
        <v>273</v>
      </c>
      <c r="B180" s="346" t="s">
        <v>4505</v>
      </c>
      <c r="C180" s="346"/>
      <c r="D180" s="346"/>
      <c r="E180" s="346"/>
      <c r="F180" s="346">
        <v>2340</v>
      </c>
      <c r="G180" s="346"/>
    </row>
    <row r="181" spans="1:7" s="335" customFormat="1" ht="14.25" customHeight="1">
      <c r="A181" s="346" t="s">
        <v>273</v>
      </c>
      <c r="B181" s="346" t="s">
        <v>4506</v>
      </c>
      <c r="C181" s="346"/>
      <c r="D181" s="346"/>
      <c r="E181" s="346"/>
      <c r="F181" s="346">
        <v>2340</v>
      </c>
      <c r="G181" s="346"/>
    </row>
    <row r="182" spans="1:7" s="335" customFormat="1" ht="14.25" customHeight="1">
      <c r="A182" s="346" t="s">
        <v>273</v>
      </c>
      <c r="B182" s="346" t="s">
        <v>4507</v>
      </c>
      <c r="C182" s="346"/>
      <c r="D182" s="346"/>
      <c r="E182" s="346"/>
      <c r="F182" s="346">
        <v>2340</v>
      </c>
      <c r="G182" s="346"/>
    </row>
    <row r="183" spans="1:7" s="335" customFormat="1" ht="14.25" customHeight="1">
      <c r="A183" s="346" t="s">
        <v>273</v>
      </c>
      <c r="B183" s="346" t="s">
        <v>4508</v>
      </c>
      <c r="C183" s="346"/>
      <c r="D183" s="346"/>
      <c r="E183" s="346"/>
      <c r="F183" s="346">
        <v>2340</v>
      </c>
      <c r="G183" s="346"/>
    </row>
    <row r="184" spans="1:7" s="335" customFormat="1" ht="14.25" customHeight="1">
      <c r="A184" s="346" t="s">
        <v>273</v>
      </c>
      <c r="B184" s="346" t="s">
        <v>4509</v>
      </c>
      <c r="C184" s="346"/>
      <c r="D184" s="346"/>
      <c r="E184" s="346"/>
      <c r="F184" s="346">
        <v>2340</v>
      </c>
      <c r="G184" s="346"/>
    </row>
    <row r="185" spans="1:7" s="335" customFormat="1" ht="14.25" customHeight="1">
      <c r="A185" s="346" t="s">
        <v>273</v>
      </c>
      <c r="B185" s="346" t="s">
        <v>4510</v>
      </c>
      <c r="C185" s="346"/>
      <c r="D185" s="346"/>
      <c r="E185" s="346"/>
      <c r="F185" s="346">
        <v>2530</v>
      </c>
      <c r="G185" s="346"/>
    </row>
    <row r="186" spans="1:7" s="335" customFormat="1" ht="14.25" customHeight="1">
      <c r="A186" s="346" t="s">
        <v>273</v>
      </c>
      <c r="B186" s="346" t="s">
        <v>4511</v>
      </c>
      <c r="C186" s="346"/>
      <c r="D186" s="346"/>
      <c r="E186" s="346"/>
      <c r="F186" s="346">
        <v>2550</v>
      </c>
      <c r="G186" s="346"/>
    </row>
    <row r="187" spans="1:7" s="335" customFormat="1" ht="14.25" customHeight="1">
      <c r="A187" s="346" t="s">
        <v>273</v>
      </c>
      <c r="B187" s="346" t="s">
        <v>4512</v>
      </c>
      <c r="C187" s="346"/>
      <c r="D187" s="346"/>
      <c r="E187" s="346"/>
      <c r="F187" s="346">
        <v>2070</v>
      </c>
      <c r="G187" s="346"/>
    </row>
    <row r="188" spans="1:7" s="335" customFormat="1" ht="14.25" customHeight="1">
      <c r="A188" s="346" t="s">
        <v>273</v>
      </c>
      <c r="B188" s="346" t="s">
        <v>4513</v>
      </c>
      <c r="C188" s="346"/>
      <c r="D188" s="346"/>
      <c r="E188" s="346"/>
      <c r="F188" s="346">
        <v>2340</v>
      </c>
      <c r="G188" s="346"/>
    </row>
    <row r="189" spans="1:7" s="335" customFormat="1" ht="14.25" customHeight="1">
      <c r="A189" s="348" t="s">
        <v>273</v>
      </c>
      <c r="B189" s="352" t="s">
        <v>4514</v>
      </c>
      <c r="C189" s="352"/>
      <c r="D189" s="352"/>
      <c r="E189" s="352"/>
      <c r="F189" s="352">
        <v>2050</v>
      </c>
      <c r="G189" s="352"/>
    </row>
    <row r="190" spans="1:7" s="335" customFormat="1" ht="14.25" customHeight="1">
      <c r="A190" s="344" t="s">
        <v>278</v>
      </c>
      <c r="B190" s="345" t="s">
        <v>4140</v>
      </c>
      <c r="C190" s="345">
        <v>8830</v>
      </c>
      <c r="D190" s="345">
        <v>8790</v>
      </c>
      <c r="E190" s="345">
        <v>11630</v>
      </c>
      <c r="F190" s="345">
        <v>1790</v>
      </c>
      <c r="G190" s="353">
        <v>5550</v>
      </c>
    </row>
    <row r="191" spans="1:7" s="335" customFormat="1" ht="14.25" customHeight="1">
      <c r="A191" s="346" t="s">
        <v>278</v>
      </c>
      <c r="B191" s="346" t="s">
        <v>4153</v>
      </c>
      <c r="C191" s="346">
        <v>9780</v>
      </c>
      <c r="D191" s="346">
        <v>9710</v>
      </c>
      <c r="E191" s="346">
        <v>12550</v>
      </c>
      <c r="F191" s="346">
        <v>1980</v>
      </c>
      <c r="G191" s="354">
        <v>6130</v>
      </c>
    </row>
    <row r="192" spans="1:7" s="335" customFormat="1" ht="14.25" customHeight="1">
      <c r="A192" s="346" t="s">
        <v>278</v>
      </c>
      <c r="B192" s="346" t="s">
        <v>4167</v>
      </c>
      <c r="C192" s="346">
        <v>8180</v>
      </c>
      <c r="D192" s="346">
        <v>8140</v>
      </c>
      <c r="E192" s="346">
        <v>10870</v>
      </c>
      <c r="F192" s="346">
        <v>1690</v>
      </c>
      <c r="G192" s="354">
        <v>5140</v>
      </c>
    </row>
    <row r="193" spans="1:7" s="335" customFormat="1" ht="14.25" customHeight="1">
      <c r="A193" s="346" t="s">
        <v>278</v>
      </c>
      <c r="B193" s="346" t="s">
        <v>4179</v>
      </c>
      <c r="C193" s="346">
        <v>8440</v>
      </c>
      <c r="D193" s="346">
        <v>8390</v>
      </c>
      <c r="E193" s="346">
        <v>11210</v>
      </c>
      <c r="F193" s="346">
        <v>1600</v>
      </c>
      <c r="G193" s="354">
        <v>5300</v>
      </c>
    </row>
    <row r="194" spans="1:7" s="335" customFormat="1" ht="14.25" customHeight="1">
      <c r="A194" s="346" t="s">
        <v>278</v>
      </c>
      <c r="B194" s="346" t="s">
        <v>4191</v>
      </c>
      <c r="C194" s="346">
        <v>8780</v>
      </c>
      <c r="D194" s="346">
        <v>8730</v>
      </c>
      <c r="E194" s="346">
        <v>11550</v>
      </c>
      <c r="F194" s="346">
        <v>1660</v>
      </c>
      <c r="G194" s="354">
        <v>5520</v>
      </c>
    </row>
    <row r="195" spans="1:7" s="335" customFormat="1" ht="14.25" customHeight="1">
      <c r="A195" s="346" t="s">
        <v>278</v>
      </c>
      <c r="B195" s="346" t="s">
        <v>4202</v>
      </c>
      <c r="C195" s="346">
        <v>8720</v>
      </c>
      <c r="D195" s="346">
        <v>8670</v>
      </c>
      <c r="E195" s="346">
        <v>11450</v>
      </c>
      <c r="F195" s="346">
        <v>1720</v>
      </c>
      <c r="G195" s="354">
        <v>5480</v>
      </c>
    </row>
    <row r="196" spans="1:7" s="335" customFormat="1" ht="14.25" customHeight="1">
      <c r="A196" s="346" t="s">
        <v>278</v>
      </c>
      <c r="B196" s="346" t="s">
        <v>4213</v>
      </c>
      <c r="C196" s="346">
        <v>8460</v>
      </c>
      <c r="D196" s="346">
        <v>8410</v>
      </c>
      <c r="E196" s="346">
        <v>11230</v>
      </c>
      <c r="F196" s="346">
        <v>1730</v>
      </c>
      <c r="G196" s="354">
        <v>5310</v>
      </c>
    </row>
    <row r="197" spans="1:7" s="335" customFormat="1" ht="14.25" customHeight="1">
      <c r="A197" s="346" t="s">
        <v>278</v>
      </c>
      <c r="B197" s="346" t="s">
        <v>4224</v>
      </c>
      <c r="C197" s="346">
        <v>8790</v>
      </c>
      <c r="D197" s="346">
        <v>8730</v>
      </c>
      <c r="E197" s="346">
        <v>11560</v>
      </c>
      <c r="F197" s="346">
        <v>1750</v>
      </c>
      <c r="G197" s="354">
        <v>5520</v>
      </c>
    </row>
    <row r="198" spans="1:7" s="335" customFormat="1" ht="14.25" customHeight="1">
      <c r="A198" s="346" t="s">
        <v>278</v>
      </c>
      <c r="B198" s="346" t="s">
        <v>4234</v>
      </c>
      <c r="C198" s="346">
        <v>8720</v>
      </c>
      <c r="D198" s="346">
        <v>8680</v>
      </c>
      <c r="E198" s="346">
        <v>11470</v>
      </c>
      <c r="F198" s="346"/>
      <c r="G198" s="354">
        <v>5480</v>
      </c>
    </row>
    <row r="199" spans="1:7" s="335" customFormat="1" ht="14.25" customHeight="1">
      <c r="A199" s="346" t="s">
        <v>278</v>
      </c>
      <c r="B199" s="346" t="s">
        <v>4244</v>
      </c>
      <c r="C199" s="346">
        <v>8690</v>
      </c>
      <c r="D199" s="346">
        <v>8630</v>
      </c>
      <c r="E199" s="346">
        <v>11350</v>
      </c>
      <c r="F199" s="346">
        <v>1600</v>
      </c>
      <c r="G199" s="354">
        <v>5450</v>
      </c>
    </row>
    <row r="200" spans="1:7" s="335" customFormat="1" ht="14.25" customHeight="1">
      <c r="A200" s="346" t="s">
        <v>278</v>
      </c>
      <c r="B200" s="346" t="s">
        <v>4254</v>
      </c>
      <c r="C200" s="346"/>
      <c r="D200" s="346"/>
      <c r="E200" s="346"/>
      <c r="F200" s="346">
        <v>1510</v>
      </c>
      <c r="G200" s="354"/>
    </row>
    <row r="201" spans="1:7" s="335" customFormat="1" ht="14.25" customHeight="1">
      <c r="A201" s="346" t="s">
        <v>278</v>
      </c>
      <c r="B201" s="346" t="s">
        <v>4264</v>
      </c>
      <c r="C201" s="346">
        <v>8440</v>
      </c>
      <c r="D201" s="346">
        <v>8390</v>
      </c>
      <c r="E201" s="346">
        <v>10930</v>
      </c>
      <c r="F201" s="346">
        <v>1500</v>
      </c>
      <c r="G201" s="354">
        <v>5300</v>
      </c>
    </row>
    <row r="202" spans="1:7" s="335" customFormat="1" ht="14.25" customHeight="1">
      <c r="A202" s="346" t="s">
        <v>278</v>
      </c>
      <c r="B202" s="346" t="s">
        <v>4274</v>
      </c>
      <c r="C202" s="346">
        <v>8530</v>
      </c>
      <c r="D202" s="346">
        <v>8490</v>
      </c>
      <c r="E202" s="346">
        <v>11160</v>
      </c>
      <c r="F202" s="346">
        <v>1580</v>
      </c>
      <c r="G202" s="354">
        <v>5360</v>
      </c>
    </row>
    <row r="203" spans="1:7" s="335" customFormat="1" ht="14.25" customHeight="1">
      <c r="A203" s="346" t="s">
        <v>278</v>
      </c>
      <c r="B203" s="346" t="s">
        <v>4284</v>
      </c>
      <c r="C203" s="346">
        <v>8130</v>
      </c>
      <c r="D203" s="346">
        <v>8070</v>
      </c>
      <c r="E203" s="346">
        <v>10820</v>
      </c>
      <c r="F203" s="346">
        <v>1690</v>
      </c>
      <c r="G203" s="354">
        <v>5100</v>
      </c>
    </row>
    <row r="204" spans="1:7" s="335" customFormat="1" ht="14.25" customHeight="1">
      <c r="A204" s="346" t="s">
        <v>278</v>
      </c>
      <c r="B204" s="346" t="s">
        <v>4293</v>
      </c>
      <c r="C204" s="346">
        <v>8350</v>
      </c>
      <c r="D204" s="346">
        <v>8290</v>
      </c>
      <c r="E204" s="346">
        <v>11080</v>
      </c>
      <c r="F204" s="346">
        <v>1450</v>
      </c>
      <c r="G204" s="354">
        <v>5240</v>
      </c>
    </row>
    <row r="205" spans="1:7" s="335" customFormat="1" ht="14.25" customHeight="1">
      <c r="A205" s="346" t="s">
        <v>278</v>
      </c>
      <c r="B205" s="346" t="s">
        <v>4302</v>
      </c>
      <c r="C205" s="346">
        <v>7190</v>
      </c>
      <c r="D205" s="346">
        <v>7130</v>
      </c>
      <c r="E205" s="346">
        <v>9490</v>
      </c>
      <c r="F205" s="346">
        <v>1470</v>
      </c>
      <c r="G205" s="354">
        <v>4510</v>
      </c>
    </row>
    <row r="206" spans="1:7" s="335" customFormat="1" ht="14.25" customHeight="1">
      <c r="A206" s="346" t="s">
        <v>278</v>
      </c>
      <c r="B206" s="346" t="s">
        <v>4312</v>
      </c>
      <c r="C206" s="346">
        <v>7000</v>
      </c>
      <c r="D206" s="346">
        <v>6950</v>
      </c>
      <c r="E206" s="346">
        <v>9170</v>
      </c>
      <c r="F206" s="346">
        <v>1400</v>
      </c>
      <c r="G206" s="354">
        <v>4380</v>
      </c>
    </row>
    <row r="207" spans="1:7" s="335" customFormat="1" ht="14.25" customHeight="1">
      <c r="A207" s="346" t="s">
        <v>278</v>
      </c>
      <c r="B207" s="346" t="s">
        <v>4322</v>
      </c>
      <c r="C207" s="346">
        <v>6950</v>
      </c>
      <c r="D207" s="346">
        <v>6900</v>
      </c>
      <c r="E207" s="346">
        <v>9110</v>
      </c>
      <c r="F207" s="346">
        <v>1790</v>
      </c>
      <c r="G207" s="354">
        <v>4360</v>
      </c>
    </row>
    <row r="208" spans="1:7" s="335" customFormat="1" ht="14.25" customHeight="1">
      <c r="A208" s="346" t="s">
        <v>278</v>
      </c>
      <c r="B208" s="346" t="s">
        <v>4332</v>
      </c>
      <c r="C208" s="346">
        <v>9470</v>
      </c>
      <c r="D208" s="346">
        <v>9410</v>
      </c>
      <c r="E208" s="346">
        <v>12330</v>
      </c>
      <c r="F208" s="346">
        <v>1770</v>
      </c>
      <c r="G208" s="354">
        <v>5940</v>
      </c>
    </row>
    <row r="209" spans="1:7" s="335" customFormat="1" ht="14.25" customHeight="1">
      <c r="A209" s="346" t="s">
        <v>278</v>
      </c>
      <c r="B209" s="346" t="s">
        <v>4342</v>
      </c>
      <c r="C209" s="346">
        <v>8740</v>
      </c>
      <c r="D209" s="346">
        <v>8700</v>
      </c>
      <c r="E209" s="346">
        <v>11500</v>
      </c>
      <c r="F209" s="346">
        <v>1730</v>
      </c>
      <c r="G209" s="354">
        <v>5490</v>
      </c>
    </row>
    <row r="210" spans="1:7" s="335" customFormat="1" ht="14.25" customHeight="1">
      <c r="A210" s="346" t="s">
        <v>278</v>
      </c>
      <c r="B210" s="346" t="s">
        <v>4351</v>
      </c>
      <c r="C210" s="346">
        <v>8710</v>
      </c>
      <c r="D210" s="346">
        <v>8660</v>
      </c>
      <c r="E210" s="346">
        <v>11440</v>
      </c>
      <c r="F210" s="346">
        <v>1740</v>
      </c>
      <c r="G210" s="354">
        <v>5470</v>
      </c>
    </row>
    <row r="211" spans="1:7" s="335" customFormat="1" ht="14.25" customHeight="1">
      <c r="A211" s="346" t="s">
        <v>278</v>
      </c>
      <c r="B211" s="346" t="s">
        <v>4359</v>
      </c>
      <c r="C211" s="346">
        <v>9480</v>
      </c>
      <c r="D211" s="346">
        <v>9430</v>
      </c>
      <c r="E211" s="346">
        <v>12360</v>
      </c>
      <c r="F211" s="346">
        <v>1820</v>
      </c>
      <c r="G211" s="354">
        <v>5950</v>
      </c>
    </row>
    <row r="212" spans="1:7" s="335" customFormat="1" ht="14.25" customHeight="1">
      <c r="A212" s="346" t="s">
        <v>278</v>
      </c>
      <c r="B212" s="346" t="s">
        <v>4367</v>
      </c>
      <c r="C212" s="346">
        <v>9070</v>
      </c>
      <c r="D212" s="346">
        <v>9020</v>
      </c>
      <c r="E212" s="346">
        <v>11720</v>
      </c>
      <c r="F212" s="346">
        <v>1850</v>
      </c>
      <c r="G212" s="354">
        <v>5700</v>
      </c>
    </row>
    <row r="213" spans="1:7" s="335" customFormat="1" ht="14.25" customHeight="1">
      <c r="A213" s="346" t="s">
        <v>278</v>
      </c>
      <c r="B213" s="346" t="s">
        <v>4375</v>
      </c>
      <c r="C213" s="346">
        <v>9030</v>
      </c>
      <c r="D213" s="346">
        <v>8980</v>
      </c>
      <c r="E213" s="346">
        <v>11670</v>
      </c>
      <c r="F213" s="346">
        <v>1690</v>
      </c>
      <c r="G213" s="354">
        <v>5670</v>
      </c>
    </row>
    <row r="214" spans="1:7" s="335" customFormat="1" ht="14.25" customHeight="1">
      <c r="A214" s="346" t="s">
        <v>278</v>
      </c>
      <c r="B214" s="346" t="s">
        <v>4383</v>
      </c>
      <c r="C214" s="346">
        <v>8090</v>
      </c>
      <c r="D214" s="346">
        <v>8030</v>
      </c>
      <c r="E214" s="346">
        <v>10780</v>
      </c>
      <c r="F214" s="346">
        <v>1570</v>
      </c>
      <c r="G214" s="354">
        <v>5070</v>
      </c>
    </row>
    <row r="215" spans="1:7" s="335" customFormat="1" ht="14.25" customHeight="1">
      <c r="A215" s="346" t="s">
        <v>278</v>
      </c>
      <c r="B215" s="346" t="s">
        <v>4390</v>
      </c>
      <c r="C215" s="346">
        <v>7950</v>
      </c>
      <c r="D215" s="346">
        <v>7900</v>
      </c>
      <c r="E215" s="346">
        <v>10560</v>
      </c>
      <c r="F215" s="346">
        <v>1630</v>
      </c>
      <c r="G215" s="354">
        <v>4990</v>
      </c>
    </row>
    <row r="216" spans="1:7" s="335" customFormat="1" ht="14.25" customHeight="1">
      <c r="A216" s="346" t="s">
        <v>278</v>
      </c>
      <c r="B216" s="346" t="s">
        <v>4397</v>
      </c>
      <c r="C216" s="346">
        <v>8490</v>
      </c>
      <c r="D216" s="346">
        <v>8440</v>
      </c>
      <c r="E216" s="346">
        <v>11260</v>
      </c>
      <c r="F216" s="346">
        <v>1690</v>
      </c>
      <c r="G216" s="354">
        <v>5330</v>
      </c>
    </row>
    <row r="217" spans="1:7" s="335" customFormat="1" ht="14.25" customHeight="1">
      <c r="A217" s="346" t="s">
        <v>278</v>
      </c>
      <c r="B217" s="346" t="s">
        <v>4404</v>
      </c>
      <c r="C217" s="346">
        <v>8200</v>
      </c>
      <c r="D217" s="346">
        <v>8150</v>
      </c>
      <c r="E217" s="346">
        <v>10910</v>
      </c>
      <c r="F217" s="346">
        <v>1670</v>
      </c>
      <c r="G217" s="354">
        <v>5150</v>
      </c>
    </row>
    <row r="218" spans="1:7" s="335" customFormat="1" ht="14.25" customHeight="1">
      <c r="A218" s="346" t="s">
        <v>278</v>
      </c>
      <c r="B218" s="346" t="s">
        <v>4411</v>
      </c>
      <c r="C218" s="346"/>
      <c r="D218" s="346"/>
      <c r="E218" s="346"/>
      <c r="F218" s="346">
        <v>2040</v>
      </c>
      <c r="G218" s="354"/>
    </row>
    <row r="219" spans="1:7" s="335" customFormat="1" ht="14.25" customHeight="1">
      <c r="A219" s="346" t="s">
        <v>278</v>
      </c>
      <c r="B219" s="346" t="s">
        <v>4418</v>
      </c>
      <c r="C219" s="346"/>
      <c r="D219" s="346"/>
      <c r="E219" s="346"/>
      <c r="F219" s="346">
        <v>2040</v>
      </c>
      <c r="G219" s="354"/>
    </row>
    <row r="220" spans="1:7" s="335" customFormat="1" ht="14.25" customHeight="1">
      <c r="A220" s="346" t="s">
        <v>278</v>
      </c>
      <c r="B220" s="346" t="s">
        <v>4425</v>
      </c>
      <c r="C220" s="346"/>
      <c r="D220" s="346"/>
      <c r="E220" s="346"/>
      <c r="F220" s="346">
        <v>2040</v>
      </c>
      <c r="G220" s="354"/>
    </row>
    <row r="221" spans="1:7" s="335" customFormat="1" ht="14.25" customHeight="1">
      <c r="A221" s="346" t="s">
        <v>278</v>
      </c>
      <c r="B221" s="346" t="s">
        <v>4432</v>
      </c>
      <c r="C221" s="346"/>
      <c r="D221" s="346"/>
      <c r="E221" s="346"/>
      <c r="F221" s="346">
        <v>2040</v>
      </c>
      <c r="G221" s="354"/>
    </row>
    <row r="222" spans="1:7" s="335" customFormat="1" ht="14.25" customHeight="1">
      <c r="A222" s="346" t="s">
        <v>278</v>
      </c>
      <c r="B222" s="346" t="s">
        <v>4437</v>
      </c>
      <c r="C222" s="346"/>
      <c r="D222" s="346"/>
      <c r="E222" s="346"/>
      <c r="F222" s="346">
        <v>2040</v>
      </c>
      <c r="G222" s="354"/>
    </row>
    <row r="223" spans="1:7" s="335" customFormat="1" ht="14.25" customHeight="1">
      <c r="A223" s="346" t="s">
        <v>278</v>
      </c>
      <c r="B223" s="346" t="s">
        <v>4442</v>
      </c>
      <c r="C223" s="346"/>
      <c r="D223" s="346"/>
      <c r="E223" s="346"/>
      <c r="F223" s="346">
        <v>1930</v>
      </c>
      <c r="G223" s="354"/>
    </row>
    <row r="224" spans="1:7" s="335" customFormat="1" ht="14.25" customHeight="1">
      <c r="A224" s="346" t="s">
        <v>278</v>
      </c>
      <c r="B224" s="346" t="s">
        <v>4447</v>
      </c>
      <c r="C224" s="346"/>
      <c r="D224" s="346"/>
      <c r="E224" s="346"/>
      <c r="F224" s="346">
        <v>1930</v>
      </c>
      <c r="G224" s="354"/>
    </row>
    <row r="225" spans="1:7" s="335" customFormat="1" ht="14.25" customHeight="1">
      <c r="A225" s="346" t="s">
        <v>278</v>
      </c>
      <c r="B225" s="346" t="s">
        <v>4452</v>
      </c>
      <c r="C225" s="346"/>
      <c r="D225" s="346"/>
      <c r="E225" s="346"/>
      <c r="F225" s="346">
        <v>1930</v>
      </c>
      <c r="G225" s="354"/>
    </row>
    <row r="226" spans="1:7" s="335" customFormat="1" ht="14.25" customHeight="1">
      <c r="A226" s="346" t="s">
        <v>278</v>
      </c>
      <c r="B226" s="346" t="s">
        <v>4457</v>
      </c>
      <c r="C226" s="346"/>
      <c r="D226" s="346"/>
      <c r="E226" s="346"/>
      <c r="F226" s="346">
        <v>1700</v>
      </c>
      <c r="G226" s="354"/>
    </row>
    <row r="227" spans="1:7" s="335" customFormat="1" ht="14.25" customHeight="1">
      <c r="A227" s="346" t="s">
        <v>278</v>
      </c>
      <c r="B227" s="346" t="s">
        <v>4462</v>
      </c>
      <c r="C227" s="346"/>
      <c r="D227" s="346"/>
      <c r="E227" s="346"/>
      <c r="F227" s="346">
        <v>1520</v>
      </c>
      <c r="G227" s="354"/>
    </row>
    <row r="228" spans="1:7" s="335" customFormat="1" ht="14.25" customHeight="1">
      <c r="A228" s="346" t="s">
        <v>278</v>
      </c>
      <c r="B228" s="346" t="s">
        <v>4467</v>
      </c>
      <c r="C228" s="346"/>
      <c r="D228" s="346"/>
      <c r="E228" s="346"/>
      <c r="F228" s="346">
        <v>1520</v>
      </c>
      <c r="G228" s="354"/>
    </row>
    <row r="229" spans="1:7" s="335" customFormat="1" ht="14.25" customHeight="1">
      <c r="A229" s="346" t="s">
        <v>278</v>
      </c>
      <c r="B229" s="346" t="s">
        <v>4472</v>
      </c>
      <c r="C229" s="346"/>
      <c r="D229" s="346"/>
      <c r="E229" s="346"/>
      <c r="F229" s="346">
        <v>1520</v>
      </c>
      <c r="G229" s="354"/>
    </row>
    <row r="230" spans="1:7" s="335" customFormat="1" ht="14.25" customHeight="1">
      <c r="A230" s="346" t="s">
        <v>278</v>
      </c>
      <c r="B230" s="346" t="s">
        <v>4476</v>
      </c>
      <c r="C230" s="346"/>
      <c r="D230" s="346"/>
      <c r="E230" s="346"/>
      <c r="F230" s="346">
        <v>1820</v>
      </c>
      <c r="G230" s="354"/>
    </row>
    <row r="231" spans="1:7" s="335" customFormat="1" ht="14.25" customHeight="1">
      <c r="A231" s="346" t="s">
        <v>278</v>
      </c>
      <c r="B231" s="346" t="s">
        <v>4480</v>
      </c>
      <c r="C231" s="346"/>
      <c r="D231" s="346"/>
      <c r="E231" s="346"/>
      <c r="F231" s="346">
        <v>1760</v>
      </c>
      <c r="G231" s="354"/>
    </row>
    <row r="232" spans="1:7" s="335" customFormat="1" ht="14.25" customHeight="1">
      <c r="A232" s="346" t="s">
        <v>278</v>
      </c>
      <c r="B232" s="346" t="s">
        <v>4484</v>
      </c>
      <c r="C232" s="346"/>
      <c r="D232" s="346"/>
      <c r="E232" s="346"/>
      <c r="F232" s="346">
        <v>1840</v>
      </c>
      <c r="G232" s="354"/>
    </row>
    <row r="233" spans="1:7" s="335" customFormat="1" ht="14.25" customHeight="1">
      <c r="A233" s="355" t="s">
        <v>278</v>
      </c>
      <c r="B233" s="350" t="s">
        <v>4488</v>
      </c>
      <c r="C233" s="350"/>
      <c r="D233" s="350"/>
      <c r="E233" s="350"/>
      <c r="F233" s="350">
        <v>1770</v>
      </c>
      <c r="G233" s="356"/>
    </row>
    <row r="234" spans="1:7" s="335" customFormat="1" ht="14.25" customHeight="1">
      <c r="A234" s="344" t="s">
        <v>284</v>
      </c>
      <c r="B234" s="345" t="s">
        <v>4141</v>
      </c>
      <c r="C234" s="346">
        <v>6980</v>
      </c>
      <c r="D234" s="346">
        <v>6970</v>
      </c>
      <c r="E234" s="346">
        <v>8720</v>
      </c>
      <c r="F234" s="346">
        <v>1350</v>
      </c>
      <c r="G234" s="346">
        <v>4280</v>
      </c>
    </row>
    <row r="235" spans="1:7" s="335" customFormat="1" ht="14.25" customHeight="1">
      <c r="A235" s="346" t="s">
        <v>284</v>
      </c>
      <c r="B235" s="346" t="s">
        <v>4154</v>
      </c>
      <c r="C235" s="346">
        <v>7620</v>
      </c>
      <c r="D235" s="346">
        <v>7580</v>
      </c>
      <c r="E235" s="346">
        <v>9360</v>
      </c>
      <c r="F235" s="346">
        <v>1490</v>
      </c>
      <c r="G235" s="346">
        <v>4650</v>
      </c>
    </row>
    <row r="236" spans="1:7" s="335" customFormat="1" ht="14.25" customHeight="1">
      <c r="A236" s="346" t="s">
        <v>284</v>
      </c>
      <c r="B236" s="346" t="s">
        <v>4168</v>
      </c>
      <c r="C236" s="346">
        <v>6650</v>
      </c>
      <c r="D236" s="346">
        <v>6630</v>
      </c>
      <c r="E236" s="346">
        <v>8330</v>
      </c>
      <c r="F236" s="346">
        <v>1250</v>
      </c>
      <c r="G236" s="346">
        <v>4070</v>
      </c>
    </row>
    <row r="237" spans="1:7" s="335" customFormat="1" ht="14.25" customHeight="1">
      <c r="A237" s="346" t="s">
        <v>284</v>
      </c>
      <c r="B237" s="346" t="s">
        <v>4180</v>
      </c>
      <c r="C237" s="346">
        <v>5850</v>
      </c>
      <c r="D237" s="346">
        <v>5820</v>
      </c>
      <c r="E237" s="346">
        <v>7260</v>
      </c>
      <c r="F237" s="346">
        <v>1140</v>
      </c>
      <c r="G237" s="346">
        <v>3570</v>
      </c>
    </row>
    <row r="238" spans="1:7" s="335" customFormat="1" ht="14.25" customHeight="1">
      <c r="A238" s="346" t="s">
        <v>284</v>
      </c>
      <c r="B238" s="346" t="s">
        <v>4192</v>
      </c>
      <c r="C238" s="346">
        <v>6920</v>
      </c>
      <c r="D238" s="346">
        <v>6890</v>
      </c>
      <c r="E238" s="346">
        <v>8640</v>
      </c>
      <c r="F238" s="346">
        <v>1310</v>
      </c>
      <c r="G238" s="346">
        <v>4230</v>
      </c>
    </row>
    <row r="239" spans="1:7" s="335" customFormat="1" ht="14.25" customHeight="1">
      <c r="A239" s="346" t="s">
        <v>284</v>
      </c>
      <c r="B239" s="346" t="s">
        <v>4203</v>
      </c>
      <c r="C239" s="346">
        <v>6780</v>
      </c>
      <c r="D239" s="346">
        <v>6750</v>
      </c>
      <c r="E239" s="346">
        <v>8440</v>
      </c>
      <c r="F239" s="346">
        <v>1160</v>
      </c>
      <c r="G239" s="346">
        <v>4140</v>
      </c>
    </row>
    <row r="240" spans="1:7" s="335" customFormat="1" ht="14.25" customHeight="1">
      <c r="A240" s="346" t="s">
        <v>284</v>
      </c>
      <c r="B240" s="346" t="s">
        <v>4214</v>
      </c>
      <c r="C240" s="346">
        <v>5420</v>
      </c>
      <c r="D240" s="346">
        <v>5380</v>
      </c>
      <c r="E240" s="346">
        <v>6640</v>
      </c>
      <c r="F240" s="346">
        <v>1020</v>
      </c>
      <c r="G240" s="346">
        <v>3300</v>
      </c>
    </row>
    <row r="241" spans="1:7" s="335" customFormat="1" ht="14.25" customHeight="1">
      <c r="A241" s="346" t="s">
        <v>284</v>
      </c>
      <c r="B241" s="346" t="s">
        <v>4225</v>
      </c>
      <c r="C241" s="346">
        <v>6660</v>
      </c>
      <c r="D241" s="346">
        <v>6640</v>
      </c>
      <c r="E241" s="346">
        <v>8340</v>
      </c>
      <c r="F241" s="346">
        <v>1130</v>
      </c>
      <c r="G241" s="346">
        <v>4080</v>
      </c>
    </row>
    <row r="242" spans="1:7" s="335" customFormat="1" ht="14.25" customHeight="1">
      <c r="A242" s="346" t="s">
        <v>284</v>
      </c>
      <c r="B242" s="346" t="s">
        <v>4235</v>
      </c>
      <c r="C242" s="346">
        <v>6580</v>
      </c>
      <c r="D242" s="346">
        <v>6550</v>
      </c>
      <c r="E242" s="346">
        <v>8090</v>
      </c>
      <c r="F242" s="346">
        <v>1240</v>
      </c>
      <c r="G242" s="346">
        <v>4020</v>
      </c>
    </row>
    <row r="243" spans="1:7" s="335" customFormat="1" ht="14.25" customHeight="1">
      <c r="A243" s="346" t="s">
        <v>284</v>
      </c>
      <c r="B243" s="346" t="s">
        <v>4245</v>
      </c>
      <c r="C243" s="346">
        <v>6000</v>
      </c>
      <c r="D243" s="346">
        <v>5970</v>
      </c>
      <c r="E243" s="346">
        <v>7370</v>
      </c>
      <c r="F243" s="346">
        <v>1070</v>
      </c>
      <c r="G243" s="346">
        <v>3670</v>
      </c>
    </row>
    <row r="244" spans="1:7" s="335" customFormat="1" ht="14.25" customHeight="1">
      <c r="A244" s="346" t="s">
        <v>284</v>
      </c>
      <c r="B244" s="346" t="s">
        <v>4255</v>
      </c>
      <c r="C244" s="346">
        <v>5840</v>
      </c>
      <c r="D244" s="346">
        <v>5810</v>
      </c>
      <c r="E244" s="346">
        <v>7240</v>
      </c>
      <c r="F244" s="346">
        <v>1100</v>
      </c>
      <c r="G244" s="346">
        <v>3560</v>
      </c>
    </row>
    <row r="245" spans="1:7" s="335" customFormat="1" ht="14.25" customHeight="1">
      <c r="A245" s="346" t="s">
        <v>284</v>
      </c>
      <c r="B245" s="346" t="s">
        <v>4265</v>
      </c>
      <c r="C245" s="346">
        <v>6040</v>
      </c>
      <c r="D245" s="346">
        <v>6000</v>
      </c>
      <c r="E245" s="346">
        <v>7420</v>
      </c>
      <c r="F245" s="346">
        <v>1140</v>
      </c>
      <c r="G245" s="346">
        <v>3690</v>
      </c>
    </row>
    <row r="246" spans="1:7" s="335" customFormat="1" ht="14.25" customHeight="1">
      <c r="A246" s="346" t="s">
        <v>284</v>
      </c>
      <c r="B246" s="346" t="s">
        <v>4275</v>
      </c>
      <c r="C246" s="346">
        <v>5890</v>
      </c>
      <c r="D246" s="346">
        <v>5860</v>
      </c>
      <c r="E246" s="346">
        <v>7300</v>
      </c>
      <c r="F246" s="346">
        <v>1110</v>
      </c>
      <c r="G246" s="346">
        <v>3590</v>
      </c>
    </row>
    <row r="247" spans="1:7" s="335" customFormat="1" ht="14.25" customHeight="1">
      <c r="A247" s="346" t="s">
        <v>284</v>
      </c>
      <c r="B247" s="346" t="s">
        <v>4285</v>
      </c>
      <c r="C247" s="346">
        <v>6480</v>
      </c>
      <c r="D247" s="346">
        <v>6450</v>
      </c>
      <c r="E247" s="346">
        <v>8010</v>
      </c>
      <c r="F247" s="346">
        <v>1170</v>
      </c>
      <c r="G247" s="346">
        <v>3960</v>
      </c>
    </row>
    <row r="248" spans="1:7" s="335" customFormat="1" ht="14.25" customHeight="1">
      <c r="A248" s="346" t="s">
        <v>284</v>
      </c>
      <c r="B248" s="346" t="s">
        <v>4294</v>
      </c>
      <c r="C248" s="346">
        <v>6860</v>
      </c>
      <c r="D248" s="346">
        <v>6840</v>
      </c>
      <c r="E248" s="346">
        <v>8520</v>
      </c>
      <c r="F248" s="346">
        <v>1240</v>
      </c>
      <c r="G248" s="346">
        <v>4200</v>
      </c>
    </row>
    <row r="249" spans="1:7" s="335" customFormat="1" ht="14.25" customHeight="1">
      <c r="A249" s="346" t="s">
        <v>284</v>
      </c>
      <c r="B249" s="346" t="s">
        <v>4303</v>
      </c>
      <c r="C249" s="346">
        <v>7180</v>
      </c>
      <c r="D249" s="346">
        <v>7140</v>
      </c>
      <c r="E249" s="346">
        <v>8900</v>
      </c>
      <c r="F249" s="346">
        <v>1350</v>
      </c>
      <c r="G249" s="346">
        <v>4380</v>
      </c>
    </row>
    <row r="250" spans="1:7" s="335" customFormat="1" ht="14.25" customHeight="1">
      <c r="A250" s="346" t="s">
        <v>284</v>
      </c>
      <c r="B250" s="346" t="s">
        <v>4313</v>
      </c>
      <c r="C250" s="346">
        <v>6880</v>
      </c>
      <c r="D250" s="346">
        <v>6860</v>
      </c>
      <c r="E250" s="346">
        <v>8550</v>
      </c>
      <c r="F250" s="346">
        <v>1220</v>
      </c>
      <c r="G250" s="346">
        <v>4210</v>
      </c>
    </row>
    <row r="251" spans="1:7" s="335" customFormat="1" ht="14.25" customHeight="1">
      <c r="A251" s="346" t="s">
        <v>284</v>
      </c>
      <c r="B251" s="346" t="s">
        <v>4323</v>
      </c>
      <c r="C251" s="346"/>
      <c r="D251" s="346"/>
      <c r="E251" s="346"/>
      <c r="F251" s="346">
        <v>1100</v>
      </c>
      <c r="G251" s="346"/>
    </row>
    <row r="252" spans="1:7" s="335" customFormat="1" ht="14.25" customHeight="1">
      <c r="A252" s="346" t="s">
        <v>284</v>
      </c>
      <c r="B252" s="346" t="s">
        <v>4333</v>
      </c>
      <c r="C252" s="346">
        <v>7240</v>
      </c>
      <c r="D252" s="346">
        <v>7200</v>
      </c>
      <c r="E252" s="346">
        <v>9040</v>
      </c>
      <c r="F252" s="346">
        <v>1380</v>
      </c>
      <c r="G252" s="346">
        <v>4420</v>
      </c>
    </row>
    <row r="253" spans="1:7" s="335" customFormat="1" ht="14.25" customHeight="1">
      <c r="A253" s="346" t="s">
        <v>284</v>
      </c>
      <c r="B253" s="346" t="s">
        <v>4343</v>
      </c>
      <c r="C253" s="346">
        <v>6670</v>
      </c>
      <c r="D253" s="346">
        <v>6650</v>
      </c>
      <c r="E253" s="346">
        <v>8350</v>
      </c>
      <c r="F253" s="346">
        <v>1260</v>
      </c>
      <c r="G253" s="346">
        <v>4080</v>
      </c>
    </row>
    <row r="254" spans="1:7" s="335" customFormat="1" ht="14.25" customHeight="1">
      <c r="A254" s="346" t="s">
        <v>284</v>
      </c>
      <c r="B254" s="346" t="s">
        <v>4352</v>
      </c>
      <c r="C254" s="346">
        <v>7630</v>
      </c>
      <c r="D254" s="346">
        <v>7590</v>
      </c>
      <c r="E254" s="346">
        <v>9380</v>
      </c>
      <c r="F254" s="346">
        <v>1320</v>
      </c>
      <c r="G254" s="346">
        <v>4660</v>
      </c>
    </row>
    <row r="255" spans="1:7" s="335" customFormat="1" ht="14.25" customHeight="1">
      <c r="A255" s="346" t="s">
        <v>284</v>
      </c>
      <c r="B255" s="346" t="s">
        <v>4360</v>
      </c>
      <c r="C255" s="346">
        <v>6940</v>
      </c>
      <c r="D255" s="346">
        <v>6890</v>
      </c>
      <c r="E255" s="346">
        <v>8650</v>
      </c>
      <c r="F255" s="346">
        <v>1210</v>
      </c>
      <c r="G255" s="346">
        <v>4230</v>
      </c>
    </row>
    <row r="256" spans="1:7" s="335" customFormat="1" ht="14.25" customHeight="1">
      <c r="A256" s="346" t="s">
        <v>284</v>
      </c>
      <c r="B256" s="346" t="s">
        <v>4368</v>
      </c>
      <c r="C256" s="346">
        <v>7520</v>
      </c>
      <c r="D256" s="346">
        <v>7490</v>
      </c>
      <c r="E256" s="346">
        <v>9240</v>
      </c>
      <c r="F256" s="346">
        <v>1270</v>
      </c>
      <c r="G256" s="346">
        <v>4590</v>
      </c>
    </row>
    <row r="257" spans="1:7" s="335" customFormat="1" ht="14.25" customHeight="1">
      <c r="A257" s="346" t="s">
        <v>284</v>
      </c>
      <c r="B257" s="346" t="s">
        <v>4376</v>
      </c>
      <c r="C257" s="346">
        <v>6280</v>
      </c>
      <c r="D257" s="346">
        <v>6230</v>
      </c>
      <c r="E257" s="346">
        <v>7740</v>
      </c>
      <c r="F257" s="346">
        <v>1080</v>
      </c>
      <c r="G257" s="346">
        <v>3830</v>
      </c>
    </row>
    <row r="258" spans="1:7" s="335" customFormat="1" ht="14.25" customHeight="1">
      <c r="A258" s="346" t="s">
        <v>284</v>
      </c>
      <c r="B258" s="346" t="s">
        <v>4384</v>
      </c>
      <c r="C258" s="346">
        <v>6190</v>
      </c>
      <c r="D258" s="346">
        <v>6160</v>
      </c>
      <c r="E258" s="346">
        <v>7680</v>
      </c>
      <c r="F258" s="346">
        <v>1170</v>
      </c>
      <c r="G258" s="346">
        <v>3780</v>
      </c>
    </row>
    <row r="259" spans="1:7" s="335" customFormat="1" ht="14.25" customHeight="1">
      <c r="A259" s="346" t="s">
        <v>284</v>
      </c>
      <c r="B259" s="346" t="s">
        <v>4391</v>
      </c>
      <c r="C259" s="346">
        <v>7610</v>
      </c>
      <c r="D259" s="346">
        <v>7570</v>
      </c>
      <c r="E259" s="346">
        <v>9350</v>
      </c>
      <c r="F259" s="346">
        <v>1350</v>
      </c>
      <c r="G259" s="346">
        <v>4650</v>
      </c>
    </row>
    <row r="260" spans="1:7" s="335" customFormat="1" ht="14.25" customHeight="1">
      <c r="A260" s="346" t="s">
        <v>284</v>
      </c>
      <c r="B260" s="346" t="s">
        <v>4398</v>
      </c>
      <c r="C260" s="346">
        <v>6920</v>
      </c>
      <c r="D260" s="346">
        <v>6880</v>
      </c>
      <c r="E260" s="346">
        <v>8380</v>
      </c>
      <c r="F260" s="346">
        <v>1160</v>
      </c>
      <c r="G260" s="346">
        <v>4220</v>
      </c>
    </row>
    <row r="261" spans="1:7" s="335" customFormat="1" ht="14.25" customHeight="1">
      <c r="A261" s="346" t="s">
        <v>284</v>
      </c>
      <c r="B261" s="346" t="s">
        <v>4405</v>
      </c>
      <c r="C261" s="346">
        <v>6850</v>
      </c>
      <c r="D261" s="346">
        <v>6810</v>
      </c>
      <c r="E261" s="346">
        <v>8290</v>
      </c>
      <c r="F261" s="346">
        <v>1130</v>
      </c>
      <c r="G261" s="346">
        <v>4180</v>
      </c>
    </row>
    <row r="262" spans="1:7" s="335" customFormat="1" ht="14.25" customHeight="1">
      <c r="A262" s="346" t="s">
        <v>284</v>
      </c>
      <c r="B262" s="346" t="s">
        <v>4412</v>
      </c>
      <c r="C262" s="346">
        <v>5860</v>
      </c>
      <c r="D262" s="346">
        <v>5820</v>
      </c>
      <c r="E262" s="346">
        <v>7640</v>
      </c>
      <c r="F262" s="346">
        <v>1070</v>
      </c>
      <c r="G262" s="346">
        <v>3570</v>
      </c>
    </row>
    <row r="263" spans="1:7" s="335" customFormat="1" ht="14.25" customHeight="1">
      <c r="A263" s="346" t="s">
        <v>284</v>
      </c>
      <c r="B263" s="346" t="s">
        <v>4419</v>
      </c>
      <c r="C263" s="346">
        <v>5870</v>
      </c>
      <c r="D263" s="346">
        <v>5840</v>
      </c>
      <c r="E263" s="346">
        <v>7270</v>
      </c>
      <c r="F263" s="346">
        <v>1190</v>
      </c>
      <c r="G263" s="346">
        <v>3580</v>
      </c>
    </row>
    <row r="264" spans="1:7" s="335" customFormat="1" ht="14.25" customHeight="1">
      <c r="A264" s="346" t="s">
        <v>284</v>
      </c>
      <c r="B264" s="346" t="s">
        <v>4426</v>
      </c>
      <c r="C264" s="346">
        <v>6190</v>
      </c>
      <c r="D264" s="346">
        <v>6150</v>
      </c>
      <c r="E264" s="346">
        <v>7660</v>
      </c>
      <c r="F264" s="346">
        <v>1160</v>
      </c>
      <c r="G264" s="346">
        <v>3770</v>
      </c>
    </row>
    <row r="265" spans="1:7" s="335" customFormat="1" ht="14.25" customHeight="1">
      <c r="A265" s="346" t="s">
        <v>284</v>
      </c>
      <c r="B265" s="346" t="s">
        <v>4433</v>
      </c>
      <c r="C265" s="346"/>
      <c r="D265" s="346"/>
      <c r="E265" s="346"/>
      <c r="F265" s="346">
        <v>1500</v>
      </c>
      <c r="G265" s="346"/>
    </row>
    <row r="266" spans="1:7" s="335" customFormat="1" ht="14.25" customHeight="1">
      <c r="A266" s="346" t="s">
        <v>284</v>
      </c>
      <c r="B266" s="346" t="s">
        <v>4438</v>
      </c>
      <c r="C266" s="346"/>
      <c r="D266" s="346"/>
      <c r="E266" s="346"/>
      <c r="F266" s="346">
        <v>1500</v>
      </c>
      <c r="G266" s="346"/>
    </row>
    <row r="267" spans="1:7" s="335" customFormat="1" ht="14.25" customHeight="1">
      <c r="A267" s="346" t="s">
        <v>284</v>
      </c>
      <c r="B267" s="346" t="s">
        <v>4443</v>
      </c>
      <c r="C267" s="346"/>
      <c r="D267" s="346"/>
      <c r="E267" s="346"/>
      <c r="F267" s="346">
        <v>1500</v>
      </c>
      <c r="G267" s="346"/>
    </row>
    <row r="268" spans="1:7" s="335" customFormat="1" ht="14.25" customHeight="1">
      <c r="A268" s="346" t="s">
        <v>284</v>
      </c>
      <c r="B268" s="346" t="s">
        <v>4448</v>
      </c>
      <c r="C268" s="346"/>
      <c r="D268" s="346"/>
      <c r="E268" s="346"/>
      <c r="F268" s="346">
        <v>1290</v>
      </c>
      <c r="G268" s="346"/>
    </row>
    <row r="269" spans="1:7" s="335" customFormat="1" ht="14.25" customHeight="1">
      <c r="A269" s="346" t="s">
        <v>284</v>
      </c>
      <c r="B269" s="346" t="s">
        <v>4453</v>
      </c>
      <c r="C269" s="346"/>
      <c r="D269" s="346"/>
      <c r="E269" s="346"/>
      <c r="F269" s="346">
        <v>1150</v>
      </c>
      <c r="G269" s="346"/>
    </row>
    <row r="270" spans="1:7" s="335" customFormat="1" ht="14.25" customHeight="1">
      <c r="A270" s="346" t="s">
        <v>284</v>
      </c>
      <c r="B270" s="346" t="s">
        <v>4458</v>
      </c>
      <c r="C270" s="346"/>
      <c r="D270" s="346"/>
      <c r="E270" s="346"/>
      <c r="F270" s="346">
        <v>1380</v>
      </c>
      <c r="G270" s="346"/>
    </row>
    <row r="271" spans="1:7" s="335" customFormat="1" ht="14.25" customHeight="1">
      <c r="A271" s="346" t="s">
        <v>284</v>
      </c>
      <c r="B271" s="346" t="s">
        <v>4463</v>
      </c>
      <c r="C271" s="346"/>
      <c r="D271" s="346"/>
      <c r="E271" s="346"/>
      <c r="F271" s="346">
        <v>1460</v>
      </c>
      <c r="G271" s="346"/>
    </row>
    <row r="272" spans="1:7" s="335" customFormat="1" ht="14.25" customHeight="1">
      <c r="A272" s="346" t="s">
        <v>284</v>
      </c>
      <c r="B272" s="346" t="s">
        <v>4468</v>
      </c>
      <c r="C272" s="346"/>
      <c r="D272" s="346"/>
      <c r="E272" s="346"/>
      <c r="F272" s="346">
        <v>1460</v>
      </c>
      <c r="G272" s="346"/>
    </row>
    <row r="273" spans="1:7" s="335" customFormat="1" ht="14.25" customHeight="1">
      <c r="A273" s="346" t="s">
        <v>284</v>
      </c>
      <c r="B273" s="346" t="s">
        <v>4473</v>
      </c>
      <c r="C273" s="346"/>
      <c r="D273" s="346"/>
      <c r="E273" s="346"/>
      <c r="F273" s="346">
        <v>1490</v>
      </c>
      <c r="G273" s="346"/>
    </row>
    <row r="274" spans="1:7" s="335" customFormat="1" ht="14.25" customHeight="1">
      <c r="A274" s="346" t="s">
        <v>284</v>
      </c>
      <c r="B274" s="346" t="s">
        <v>4477</v>
      </c>
      <c r="C274" s="346"/>
      <c r="D274" s="346"/>
      <c r="E274" s="346"/>
      <c r="F274" s="346">
        <v>1490</v>
      </c>
      <c r="G274" s="346"/>
    </row>
    <row r="275" spans="1:7" s="335" customFormat="1" ht="14.25" customHeight="1">
      <c r="A275" s="346" t="s">
        <v>284</v>
      </c>
      <c r="B275" s="346" t="s">
        <v>4481</v>
      </c>
      <c r="C275" s="346"/>
      <c r="D275" s="346"/>
      <c r="E275" s="346"/>
      <c r="F275" s="346">
        <v>1220</v>
      </c>
      <c r="G275" s="346"/>
    </row>
    <row r="276" spans="1:7" s="335" customFormat="1" ht="14.25" customHeight="1">
      <c r="A276" s="348" t="s">
        <v>284</v>
      </c>
      <c r="B276" s="351" t="s">
        <v>4485</v>
      </c>
      <c r="C276" s="352"/>
      <c r="D276" s="352"/>
      <c r="E276" s="352"/>
      <c r="F276" s="352">
        <v>1380</v>
      </c>
      <c r="G276" s="352"/>
    </row>
    <row r="277" spans="1:7" s="335" customFormat="1" ht="14.25" customHeight="1">
      <c r="A277" s="344" t="s">
        <v>288</v>
      </c>
      <c r="B277" s="345" t="s">
        <v>4142</v>
      </c>
      <c r="C277" s="345">
        <v>5790</v>
      </c>
      <c r="D277" s="345">
        <v>5740</v>
      </c>
      <c r="E277" s="345">
        <v>6730</v>
      </c>
      <c r="F277" s="345">
        <v>1110</v>
      </c>
      <c r="G277" s="353">
        <v>3460</v>
      </c>
    </row>
    <row r="278" spans="1:7" s="335" customFormat="1" ht="14.25" customHeight="1">
      <c r="A278" s="346" t="s">
        <v>288</v>
      </c>
      <c r="B278" s="346" t="s">
        <v>4155</v>
      </c>
      <c r="C278" s="346">
        <v>5740</v>
      </c>
      <c r="D278" s="346">
        <v>5670</v>
      </c>
      <c r="E278" s="346">
        <v>6680</v>
      </c>
      <c r="F278" s="346">
        <v>1070</v>
      </c>
      <c r="G278" s="354">
        <v>3420</v>
      </c>
    </row>
    <row r="279" spans="1:7" s="335" customFormat="1" ht="14.25" customHeight="1">
      <c r="A279" s="346" t="s">
        <v>288</v>
      </c>
      <c r="B279" s="346" t="s">
        <v>4169</v>
      </c>
      <c r="C279" s="346">
        <v>4760</v>
      </c>
      <c r="D279" s="346">
        <v>4720</v>
      </c>
      <c r="E279" s="346">
        <v>5540</v>
      </c>
      <c r="F279" s="346">
        <v>810</v>
      </c>
      <c r="G279" s="354">
        <v>2850</v>
      </c>
    </row>
    <row r="280" spans="1:7" s="335" customFormat="1" ht="14.25" customHeight="1">
      <c r="A280" s="346" t="s">
        <v>288</v>
      </c>
      <c r="B280" s="346" t="s">
        <v>4181</v>
      </c>
      <c r="C280" s="346">
        <v>4010</v>
      </c>
      <c r="D280" s="346">
        <v>3950</v>
      </c>
      <c r="E280" s="346">
        <v>4710</v>
      </c>
      <c r="F280" s="346">
        <v>800</v>
      </c>
      <c r="G280" s="354">
        <v>2390</v>
      </c>
    </row>
    <row r="281" spans="1:7" s="335" customFormat="1" ht="14.25" customHeight="1">
      <c r="A281" s="346" t="s">
        <v>288</v>
      </c>
      <c r="B281" s="346" t="s">
        <v>4193</v>
      </c>
      <c r="C281" s="346">
        <v>4480</v>
      </c>
      <c r="D281" s="346">
        <v>4420</v>
      </c>
      <c r="E281" s="346">
        <v>5230</v>
      </c>
      <c r="F281" s="346">
        <v>870</v>
      </c>
      <c r="G281" s="354">
        <v>2660</v>
      </c>
    </row>
    <row r="282" spans="1:7" s="335" customFormat="1" ht="14.25" customHeight="1">
      <c r="A282" s="346" t="s">
        <v>288</v>
      </c>
      <c r="B282" s="346" t="s">
        <v>4204</v>
      </c>
      <c r="C282" s="346">
        <v>5360</v>
      </c>
      <c r="D282" s="346">
        <v>5300</v>
      </c>
      <c r="E282" s="346">
        <v>6190</v>
      </c>
      <c r="F282" s="346">
        <v>950</v>
      </c>
      <c r="G282" s="354">
        <v>3190</v>
      </c>
    </row>
    <row r="283" spans="1:7" s="335" customFormat="1" ht="14.25" customHeight="1">
      <c r="A283" s="346" t="s">
        <v>288</v>
      </c>
      <c r="B283" s="346" t="s">
        <v>4215</v>
      </c>
      <c r="C283" s="346">
        <v>4950</v>
      </c>
      <c r="D283" s="346">
        <v>4900</v>
      </c>
      <c r="E283" s="346">
        <v>5720</v>
      </c>
      <c r="F283" s="346">
        <v>920</v>
      </c>
      <c r="G283" s="354">
        <v>2950</v>
      </c>
    </row>
    <row r="284" spans="1:7" s="335" customFormat="1" ht="14.25" customHeight="1">
      <c r="A284" s="346" t="s">
        <v>288</v>
      </c>
      <c r="B284" s="346" t="s">
        <v>4226</v>
      </c>
      <c r="C284" s="346">
        <v>5610</v>
      </c>
      <c r="D284" s="346">
        <v>5560</v>
      </c>
      <c r="E284" s="346">
        <v>6520</v>
      </c>
      <c r="F284" s="346">
        <v>1030</v>
      </c>
      <c r="G284" s="354">
        <v>3360</v>
      </c>
    </row>
    <row r="285" spans="1:7" s="335" customFormat="1" ht="14.25" customHeight="1">
      <c r="A285" s="346" t="s">
        <v>288</v>
      </c>
      <c r="B285" s="346" t="s">
        <v>4236</v>
      </c>
      <c r="C285" s="346">
        <v>5340</v>
      </c>
      <c r="D285" s="346">
        <v>5290</v>
      </c>
      <c r="E285" s="346">
        <v>6170</v>
      </c>
      <c r="F285" s="346">
        <v>1080</v>
      </c>
      <c r="G285" s="354">
        <v>3180</v>
      </c>
    </row>
    <row r="286" spans="1:7" s="335" customFormat="1" ht="14.25" customHeight="1">
      <c r="A286" s="346" t="s">
        <v>288</v>
      </c>
      <c r="B286" s="346" t="s">
        <v>4246</v>
      </c>
      <c r="C286" s="346">
        <v>4890</v>
      </c>
      <c r="D286" s="346">
        <v>4840</v>
      </c>
      <c r="E286" s="346">
        <v>5640</v>
      </c>
      <c r="F286" s="346">
        <v>960</v>
      </c>
      <c r="G286" s="354">
        <v>2910</v>
      </c>
    </row>
    <row r="287" spans="1:7" s="335" customFormat="1" ht="14.25" customHeight="1">
      <c r="A287" s="346" t="s">
        <v>288</v>
      </c>
      <c r="B287" s="346" t="s">
        <v>4256</v>
      </c>
      <c r="C287" s="346">
        <v>4960</v>
      </c>
      <c r="D287" s="346">
        <v>4920</v>
      </c>
      <c r="E287" s="346">
        <v>5730</v>
      </c>
      <c r="F287" s="346">
        <v>930</v>
      </c>
      <c r="G287" s="354">
        <v>2960</v>
      </c>
    </row>
    <row r="288" spans="1:7" s="335" customFormat="1" ht="14.25" customHeight="1">
      <c r="A288" s="346" t="s">
        <v>288</v>
      </c>
      <c r="B288" s="346" t="s">
        <v>4266</v>
      </c>
      <c r="C288" s="346">
        <v>4350</v>
      </c>
      <c r="D288" s="346">
        <v>4300</v>
      </c>
      <c r="E288" s="346">
        <v>4900</v>
      </c>
      <c r="F288" s="346">
        <v>820</v>
      </c>
      <c r="G288" s="354">
        <v>2590</v>
      </c>
    </row>
    <row r="289" spans="1:7" s="335" customFormat="1" ht="14.25" customHeight="1">
      <c r="A289" s="346" t="s">
        <v>288</v>
      </c>
      <c r="B289" s="346" t="s">
        <v>4276</v>
      </c>
      <c r="C289" s="346">
        <v>5230</v>
      </c>
      <c r="D289" s="346">
        <v>5170</v>
      </c>
      <c r="E289" s="346">
        <v>6060</v>
      </c>
      <c r="F289" s="346">
        <v>900</v>
      </c>
      <c r="G289" s="354">
        <v>3120</v>
      </c>
    </row>
    <row r="290" spans="1:7" s="335" customFormat="1" ht="14.25" customHeight="1">
      <c r="A290" s="346" t="s">
        <v>288</v>
      </c>
      <c r="B290" s="346" t="s">
        <v>4286</v>
      </c>
      <c r="C290" s="346">
        <v>5550</v>
      </c>
      <c r="D290" s="346">
        <v>5500</v>
      </c>
      <c r="E290" s="346">
        <v>6440</v>
      </c>
      <c r="F290" s="346">
        <v>960</v>
      </c>
      <c r="G290" s="354">
        <v>3320</v>
      </c>
    </row>
    <row r="291" spans="1:7" s="335" customFormat="1" ht="14.25" customHeight="1">
      <c r="A291" s="346" t="s">
        <v>288</v>
      </c>
      <c r="B291" s="346" t="s">
        <v>4295</v>
      </c>
      <c r="C291" s="346">
        <v>5440</v>
      </c>
      <c r="D291" s="346">
        <v>5400</v>
      </c>
      <c r="E291" s="346">
        <v>6320</v>
      </c>
      <c r="F291" s="346">
        <v>930</v>
      </c>
      <c r="G291" s="354">
        <v>3250</v>
      </c>
    </row>
    <row r="292" spans="1:7" s="335" customFormat="1" ht="14.25" customHeight="1">
      <c r="A292" s="346" t="s">
        <v>288</v>
      </c>
      <c r="B292" s="346" t="s">
        <v>4304</v>
      </c>
      <c r="C292" s="346">
        <v>5400</v>
      </c>
      <c r="D292" s="346">
        <v>5360</v>
      </c>
      <c r="E292" s="346">
        <v>6270</v>
      </c>
      <c r="F292" s="346">
        <v>1040</v>
      </c>
      <c r="G292" s="354">
        <v>3230</v>
      </c>
    </row>
    <row r="293" spans="1:7" s="335" customFormat="1" ht="14.25" customHeight="1">
      <c r="A293" s="346" t="s">
        <v>288</v>
      </c>
      <c r="B293" s="346" t="s">
        <v>4314</v>
      </c>
      <c r="C293" s="346">
        <v>5320</v>
      </c>
      <c r="D293" s="346">
        <v>5270</v>
      </c>
      <c r="E293" s="346">
        <v>6160</v>
      </c>
      <c r="F293" s="346">
        <v>990</v>
      </c>
      <c r="G293" s="354">
        <v>3170</v>
      </c>
    </row>
    <row r="294" spans="1:7" s="335" customFormat="1" ht="14.25" customHeight="1">
      <c r="A294" s="346" t="s">
        <v>288</v>
      </c>
      <c r="B294" s="346" t="s">
        <v>4324</v>
      </c>
      <c r="C294" s="346">
        <v>5260</v>
      </c>
      <c r="D294" s="346">
        <v>5210</v>
      </c>
      <c r="E294" s="346">
        <v>6100</v>
      </c>
      <c r="F294" s="346">
        <v>950</v>
      </c>
      <c r="G294" s="354">
        <v>3150</v>
      </c>
    </row>
    <row r="295" spans="1:7" s="335" customFormat="1" ht="14.25" customHeight="1">
      <c r="A295" s="346" t="s">
        <v>288</v>
      </c>
      <c r="B295" s="346" t="s">
        <v>4334</v>
      </c>
      <c r="C295" s="346">
        <v>5610</v>
      </c>
      <c r="D295" s="346">
        <v>5570</v>
      </c>
      <c r="E295" s="346">
        <v>6530</v>
      </c>
      <c r="F295" s="346">
        <v>960</v>
      </c>
      <c r="G295" s="354">
        <v>3360</v>
      </c>
    </row>
    <row r="296" spans="1:7" s="335" customFormat="1" ht="14.25" customHeight="1">
      <c r="A296" s="346" t="s">
        <v>288</v>
      </c>
      <c r="B296" s="346" t="s">
        <v>4344</v>
      </c>
      <c r="C296" s="346">
        <v>5540</v>
      </c>
      <c r="D296" s="346">
        <v>5490</v>
      </c>
      <c r="E296" s="346">
        <v>6430</v>
      </c>
      <c r="F296" s="346">
        <v>980</v>
      </c>
      <c r="G296" s="354">
        <v>3310</v>
      </c>
    </row>
    <row r="297" spans="1:7" s="335" customFormat="1" ht="14.25" customHeight="1">
      <c r="A297" s="346" t="s">
        <v>288</v>
      </c>
      <c r="B297" s="346" t="s">
        <v>4353</v>
      </c>
      <c r="C297" s="346">
        <v>5480</v>
      </c>
      <c r="D297" s="346">
        <v>5420</v>
      </c>
      <c r="E297" s="346">
        <v>6370</v>
      </c>
      <c r="F297" s="346">
        <v>990</v>
      </c>
      <c r="G297" s="354">
        <v>3270</v>
      </c>
    </row>
    <row r="298" spans="1:7" s="335" customFormat="1" ht="14.25" customHeight="1">
      <c r="A298" s="346" t="s">
        <v>288</v>
      </c>
      <c r="B298" s="346" t="s">
        <v>4361</v>
      </c>
      <c r="C298" s="346">
        <v>5090</v>
      </c>
      <c r="D298" s="346">
        <v>5050</v>
      </c>
      <c r="E298" s="346">
        <v>5910</v>
      </c>
      <c r="F298" s="346">
        <v>900</v>
      </c>
      <c r="G298" s="354">
        <v>3040</v>
      </c>
    </row>
    <row r="299" spans="1:7" s="335" customFormat="1" ht="14.25" customHeight="1">
      <c r="A299" s="346" t="s">
        <v>288</v>
      </c>
      <c r="B299" s="360" t="s">
        <v>4369</v>
      </c>
      <c r="C299" s="346">
        <v>5430</v>
      </c>
      <c r="D299" s="346">
        <v>5380</v>
      </c>
      <c r="E299" s="346">
        <v>6280</v>
      </c>
      <c r="F299" s="346">
        <v>1000</v>
      </c>
      <c r="G299" s="354">
        <v>3240</v>
      </c>
    </row>
    <row r="300" spans="1:7" s="335" customFormat="1" ht="14.25" customHeight="1">
      <c r="A300" s="346" t="s">
        <v>288</v>
      </c>
      <c r="B300" s="360" t="s">
        <v>4377</v>
      </c>
      <c r="C300" s="346">
        <v>4740</v>
      </c>
      <c r="D300" s="346">
        <v>4680</v>
      </c>
      <c r="E300" s="346">
        <v>5450</v>
      </c>
      <c r="F300" s="346">
        <v>900</v>
      </c>
      <c r="G300" s="354">
        <v>2830</v>
      </c>
    </row>
    <row r="301" spans="1:7" s="335" customFormat="1" ht="14.25" customHeight="1">
      <c r="A301" s="346" t="s">
        <v>288</v>
      </c>
      <c r="B301" s="360" t="s">
        <v>4385</v>
      </c>
      <c r="C301" s="346">
        <v>4870</v>
      </c>
      <c r="D301" s="346">
        <v>4810</v>
      </c>
      <c r="E301" s="346">
        <v>5560</v>
      </c>
      <c r="F301" s="346">
        <v>990</v>
      </c>
      <c r="G301" s="354">
        <v>2910</v>
      </c>
    </row>
    <row r="302" spans="1:7" s="335" customFormat="1" ht="14.25" customHeight="1">
      <c r="A302" s="346" t="s">
        <v>288</v>
      </c>
      <c r="B302" s="346" t="s">
        <v>4392</v>
      </c>
      <c r="C302" s="346">
        <v>5520</v>
      </c>
      <c r="D302" s="346">
        <v>5470</v>
      </c>
      <c r="E302" s="346">
        <v>6410</v>
      </c>
      <c r="F302" s="346">
        <v>950</v>
      </c>
      <c r="G302" s="354">
        <v>3300</v>
      </c>
    </row>
    <row r="303" spans="1:7" s="335" customFormat="1" ht="14.25" customHeight="1">
      <c r="A303" s="346" t="s">
        <v>288</v>
      </c>
      <c r="B303" s="346" t="s">
        <v>4399</v>
      </c>
      <c r="C303" s="346">
        <v>5630</v>
      </c>
      <c r="D303" s="346">
        <v>5590</v>
      </c>
      <c r="E303" s="346">
        <v>6550</v>
      </c>
      <c r="F303" s="346">
        <v>1010</v>
      </c>
      <c r="G303" s="354">
        <v>3370</v>
      </c>
    </row>
    <row r="304" spans="1:7" s="335" customFormat="1" ht="14.25" customHeight="1">
      <c r="A304" s="346" t="s">
        <v>288</v>
      </c>
      <c r="B304" s="346" t="s">
        <v>4406</v>
      </c>
      <c r="C304" s="346">
        <v>5680</v>
      </c>
      <c r="D304" s="346">
        <v>5620</v>
      </c>
      <c r="E304" s="346">
        <v>6620</v>
      </c>
      <c r="F304" s="346">
        <v>1050</v>
      </c>
      <c r="G304" s="354">
        <v>3390</v>
      </c>
    </row>
    <row r="305" spans="1:7" s="335" customFormat="1" ht="14.25" customHeight="1">
      <c r="A305" s="346" t="s">
        <v>288</v>
      </c>
      <c r="B305" s="346" t="s">
        <v>4413</v>
      </c>
      <c r="C305" s="346">
        <v>5590</v>
      </c>
      <c r="D305" s="346">
        <v>5530</v>
      </c>
      <c r="E305" s="346">
        <v>6460</v>
      </c>
      <c r="F305" s="346">
        <v>900</v>
      </c>
      <c r="G305" s="354">
        <v>3340</v>
      </c>
    </row>
    <row r="306" spans="1:7" s="335" customFormat="1" ht="14.25" customHeight="1">
      <c r="A306" s="346" t="s">
        <v>288</v>
      </c>
      <c r="B306" s="346" t="s">
        <v>4420</v>
      </c>
      <c r="C306" s="346">
        <v>5560</v>
      </c>
      <c r="D306" s="346">
        <v>5510</v>
      </c>
      <c r="E306" s="346">
        <v>6440</v>
      </c>
      <c r="F306" s="346">
        <v>900</v>
      </c>
      <c r="G306" s="354">
        <v>3320</v>
      </c>
    </row>
    <row r="307" spans="1:7" s="335" customFormat="1" ht="14.25" customHeight="1">
      <c r="A307" s="346" t="s">
        <v>288</v>
      </c>
      <c r="B307" s="346" t="s">
        <v>4427</v>
      </c>
      <c r="C307" s="346">
        <v>5650</v>
      </c>
      <c r="D307" s="346">
        <v>5600</v>
      </c>
      <c r="E307" s="346">
        <v>6590</v>
      </c>
      <c r="F307" s="346">
        <v>930</v>
      </c>
      <c r="G307" s="354">
        <v>3380</v>
      </c>
    </row>
    <row r="308" spans="1:7" s="335" customFormat="1" ht="14.25" customHeight="1">
      <c r="A308" s="346" t="s">
        <v>288</v>
      </c>
      <c r="B308" s="346" t="s">
        <v>4434</v>
      </c>
      <c r="C308" s="346">
        <v>5620</v>
      </c>
      <c r="D308" s="346">
        <v>5580</v>
      </c>
      <c r="E308" s="346">
        <v>6540</v>
      </c>
      <c r="F308" s="346">
        <v>910</v>
      </c>
      <c r="G308" s="354">
        <v>3370</v>
      </c>
    </row>
    <row r="309" spans="1:7" s="335" customFormat="1" ht="14.25" customHeight="1">
      <c r="A309" s="346" t="s">
        <v>288</v>
      </c>
      <c r="B309" s="346" t="s">
        <v>4439</v>
      </c>
      <c r="C309" s="346">
        <v>5060</v>
      </c>
      <c r="D309" s="346">
        <v>5020</v>
      </c>
      <c r="E309" s="346">
        <v>6370</v>
      </c>
      <c r="F309" s="346">
        <v>800</v>
      </c>
      <c r="G309" s="354">
        <v>3020</v>
      </c>
    </row>
    <row r="310" spans="1:7" s="335" customFormat="1" ht="14.25" customHeight="1">
      <c r="A310" s="346" t="s">
        <v>288</v>
      </c>
      <c r="B310" s="346" t="s">
        <v>4444</v>
      </c>
      <c r="C310" s="346">
        <v>5150</v>
      </c>
      <c r="D310" s="346">
        <v>5110</v>
      </c>
      <c r="E310" s="346">
        <v>6500</v>
      </c>
      <c r="F310" s="346">
        <v>880</v>
      </c>
      <c r="G310" s="354">
        <v>3080</v>
      </c>
    </row>
    <row r="311" spans="1:7" s="335" customFormat="1" ht="14.25" customHeight="1">
      <c r="A311" s="346" t="s">
        <v>288</v>
      </c>
      <c r="B311" s="346" t="s">
        <v>4449</v>
      </c>
      <c r="C311" s="346">
        <v>4750</v>
      </c>
      <c r="D311" s="346">
        <v>4710</v>
      </c>
      <c r="E311" s="346">
        <v>5510</v>
      </c>
      <c r="F311" s="346">
        <v>880</v>
      </c>
      <c r="G311" s="354">
        <v>2840</v>
      </c>
    </row>
    <row r="312" spans="1:7" s="335" customFormat="1" ht="14.25" customHeight="1">
      <c r="A312" s="346" t="s">
        <v>288</v>
      </c>
      <c r="B312" s="346" t="s">
        <v>4454</v>
      </c>
      <c r="C312" s="346">
        <v>4690</v>
      </c>
      <c r="D312" s="346">
        <v>4640</v>
      </c>
      <c r="E312" s="346">
        <v>5420</v>
      </c>
      <c r="F312" s="346">
        <v>800</v>
      </c>
      <c r="G312" s="354">
        <v>2800</v>
      </c>
    </row>
    <row r="313" spans="1:7" s="335" customFormat="1" ht="14.25" customHeight="1">
      <c r="A313" s="346" t="s">
        <v>288</v>
      </c>
      <c r="B313" s="346" t="s">
        <v>4459</v>
      </c>
      <c r="C313" s="346">
        <v>4810</v>
      </c>
      <c r="D313" s="346">
        <v>4760</v>
      </c>
      <c r="E313" s="346">
        <v>5550</v>
      </c>
      <c r="F313" s="346">
        <v>920</v>
      </c>
      <c r="G313" s="354">
        <v>2870</v>
      </c>
    </row>
    <row r="314" spans="1:7" s="335" customFormat="1" ht="14.25" customHeight="1">
      <c r="A314" s="346" t="s">
        <v>288</v>
      </c>
      <c r="B314" s="346" t="s">
        <v>4464</v>
      </c>
      <c r="C314" s="346"/>
      <c r="D314" s="346"/>
      <c r="E314" s="346"/>
      <c r="F314" s="346">
        <v>1020</v>
      </c>
      <c r="G314" s="354"/>
    </row>
    <row r="315" spans="1:7" s="335" customFormat="1" ht="14.25" customHeight="1">
      <c r="A315" s="346" t="s">
        <v>288</v>
      </c>
      <c r="B315" s="346" t="s">
        <v>4469</v>
      </c>
      <c r="C315" s="346"/>
      <c r="D315" s="346"/>
      <c r="E315" s="346"/>
      <c r="F315" s="346">
        <v>1050</v>
      </c>
      <c r="G315" s="354"/>
    </row>
    <row r="316" spans="1:7" s="335" customFormat="1" ht="14.25" customHeight="1">
      <c r="A316" s="346" t="s">
        <v>288</v>
      </c>
      <c r="B316" s="346" t="s">
        <v>4474</v>
      </c>
      <c r="C316" s="346"/>
      <c r="D316" s="346"/>
      <c r="E316" s="346"/>
      <c r="F316" s="346">
        <v>900</v>
      </c>
      <c r="G316" s="354"/>
    </row>
    <row r="317" spans="1:7" s="335" customFormat="1" ht="14.25" customHeight="1">
      <c r="A317" s="346" t="s">
        <v>288</v>
      </c>
      <c r="B317" s="346" t="s">
        <v>4478</v>
      </c>
      <c r="C317" s="346"/>
      <c r="D317" s="346"/>
      <c r="E317" s="346"/>
      <c r="F317" s="346">
        <v>920</v>
      </c>
      <c r="G317" s="354"/>
    </row>
    <row r="318" spans="1:7" s="335" customFormat="1" ht="14.25" customHeight="1">
      <c r="A318" s="346" t="s">
        <v>288</v>
      </c>
      <c r="B318" s="346" t="s">
        <v>4482</v>
      </c>
      <c r="C318" s="346"/>
      <c r="D318" s="346"/>
      <c r="E318" s="346"/>
      <c r="F318" s="346">
        <v>1080</v>
      </c>
      <c r="G318" s="354"/>
    </row>
    <row r="319" spans="1:7" s="335" customFormat="1" ht="14.25" customHeight="1">
      <c r="A319" s="346" t="s">
        <v>288</v>
      </c>
      <c r="B319" s="346" t="s">
        <v>4486</v>
      </c>
      <c r="C319" s="346"/>
      <c r="D319" s="346"/>
      <c r="E319" s="346"/>
      <c r="F319" s="346">
        <v>1020</v>
      </c>
      <c r="G319" s="354"/>
    </row>
    <row r="320" spans="1:7" s="335" customFormat="1" ht="14.25" customHeight="1">
      <c r="A320" s="346" t="s">
        <v>288</v>
      </c>
      <c r="B320" s="346" t="s">
        <v>4489</v>
      </c>
      <c r="C320" s="346"/>
      <c r="D320" s="346"/>
      <c r="E320" s="346"/>
      <c r="F320" s="346">
        <v>1050</v>
      </c>
      <c r="G320" s="354"/>
    </row>
    <row r="321" spans="1:7" s="335" customFormat="1" ht="14.25" customHeight="1">
      <c r="A321" s="346" t="s">
        <v>288</v>
      </c>
      <c r="B321" s="346" t="s">
        <v>4491</v>
      </c>
      <c r="C321" s="346"/>
      <c r="D321" s="346"/>
      <c r="E321" s="346"/>
      <c r="F321" s="346">
        <v>960</v>
      </c>
      <c r="G321" s="354"/>
    </row>
    <row r="322" spans="1:7" s="335" customFormat="1" ht="14.25" customHeight="1">
      <c r="A322" s="346" t="s">
        <v>288</v>
      </c>
      <c r="B322" s="346" t="s">
        <v>4493</v>
      </c>
      <c r="C322" s="346"/>
      <c r="D322" s="346"/>
      <c r="E322" s="346"/>
      <c r="F322" s="346">
        <v>960</v>
      </c>
      <c r="G322" s="354"/>
    </row>
    <row r="323" spans="1:7" s="335" customFormat="1" ht="14.25" customHeight="1">
      <c r="A323" s="346" t="s">
        <v>288</v>
      </c>
      <c r="B323" s="346" t="s">
        <v>4495</v>
      </c>
      <c r="C323" s="346"/>
      <c r="D323" s="346"/>
      <c r="E323" s="346"/>
      <c r="F323" s="346">
        <v>880</v>
      </c>
      <c r="G323" s="354"/>
    </row>
    <row r="324" spans="1:7" s="335" customFormat="1" ht="14.25" customHeight="1">
      <c r="A324" s="346" t="s">
        <v>288</v>
      </c>
      <c r="B324" s="346" t="s">
        <v>4497</v>
      </c>
      <c r="C324" s="346"/>
      <c r="D324" s="346"/>
      <c r="E324" s="346"/>
      <c r="F324" s="346">
        <v>930</v>
      </c>
      <c r="G324" s="354"/>
    </row>
    <row r="325" spans="1:7" s="335" customFormat="1" ht="14.25" customHeight="1">
      <c r="A325" s="346" t="s">
        <v>288</v>
      </c>
      <c r="B325" s="347" t="s">
        <v>4499</v>
      </c>
      <c r="C325" s="346"/>
      <c r="D325" s="346"/>
      <c r="E325" s="346"/>
      <c r="F325" s="346">
        <v>900</v>
      </c>
      <c r="G325" s="354"/>
    </row>
    <row r="326" spans="1:7" s="335" customFormat="1" ht="14.25" customHeight="1">
      <c r="A326" s="355" t="s">
        <v>288</v>
      </c>
      <c r="B326" s="350" t="s">
        <v>4501</v>
      </c>
      <c r="C326" s="350"/>
      <c r="D326" s="350"/>
      <c r="E326" s="350"/>
      <c r="F326" s="350">
        <v>790</v>
      </c>
      <c r="G326" s="356"/>
    </row>
    <row r="327" spans="1:7" s="335" customFormat="1" ht="14.25" customHeight="1">
      <c r="A327" s="344" t="s">
        <v>292</v>
      </c>
      <c r="B327" s="345" t="s">
        <v>4143</v>
      </c>
      <c r="C327" s="346">
        <v>3750</v>
      </c>
      <c r="D327" s="346">
        <v>3710</v>
      </c>
      <c r="E327" s="346">
        <v>4080</v>
      </c>
      <c r="F327" s="346">
        <v>860</v>
      </c>
      <c r="G327" s="346">
        <v>2210</v>
      </c>
    </row>
    <row r="328" spans="1:7" s="335" customFormat="1" ht="14.25" customHeight="1">
      <c r="A328" s="346" t="s">
        <v>292</v>
      </c>
      <c r="B328" s="346" t="s">
        <v>4156</v>
      </c>
      <c r="C328" s="346">
        <v>3330</v>
      </c>
      <c r="D328" s="346">
        <v>3290</v>
      </c>
      <c r="E328" s="346">
        <v>3610</v>
      </c>
      <c r="F328" s="346">
        <v>850</v>
      </c>
      <c r="G328" s="346">
        <v>1960</v>
      </c>
    </row>
    <row r="329" spans="1:7" s="335" customFormat="1" ht="14.25" customHeight="1">
      <c r="A329" s="346" t="s">
        <v>292</v>
      </c>
      <c r="B329" s="346" t="s">
        <v>4170</v>
      </c>
      <c r="C329" s="346">
        <v>2730</v>
      </c>
      <c r="D329" s="346">
        <v>2690</v>
      </c>
      <c r="E329" s="346">
        <v>3100</v>
      </c>
      <c r="F329" s="346">
        <v>660</v>
      </c>
      <c r="G329" s="346">
        <v>1610</v>
      </c>
    </row>
    <row r="330" spans="1:7" s="335" customFormat="1" ht="14.25" customHeight="1">
      <c r="A330" s="346" t="s">
        <v>292</v>
      </c>
      <c r="B330" s="346" t="s">
        <v>4182</v>
      </c>
      <c r="C330" s="346">
        <v>3270</v>
      </c>
      <c r="D330" s="346">
        <v>3240</v>
      </c>
      <c r="E330" s="346">
        <v>3560</v>
      </c>
      <c r="F330" s="346">
        <v>680</v>
      </c>
      <c r="G330" s="346">
        <v>1940</v>
      </c>
    </row>
    <row r="331" spans="1:7" s="335" customFormat="1" ht="14.25" customHeight="1">
      <c r="A331" s="346" t="s">
        <v>292</v>
      </c>
      <c r="B331" s="346" t="s">
        <v>4194</v>
      </c>
      <c r="C331" s="346">
        <v>3770</v>
      </c>
      <c r="D331" s="346">
        <v>3740</v>
      </c>
      <c r="E331" s="346">
        <v>4110</v>
      </c>
      <c r="F331" s="346">
        <v>730</v>
      </c>
      <c r="G331" s="346">
        <v>2230</v>
      </c>
    </row>
    <row r="332" spans="1:7" s="335" customFormat="1" ht="14.25" customHeight="1">
      <c r="A332" s="346" t="s">
        <v>292</v>
      </c>
      <c r="B332" s="346" t="s">
        <v>4205</v>
      </c>
      <c r="C332" s="346">
        <v>3520</v>
      </c>
      <c r="D332" s="346">
        <v>3480</v>
      </c>
      <c r="E332" s="346">
        <v>3830</v>
      </c>
      <c r="F332" s="346">
        <v>720</v>
      </c>
      <c r="G332" s="346">
        <v>2090</v>
      </c>
    </row>
    <row r="333" spans="1:7" s="335" customFormat="1" ht="14.25" customHeight="1">
      <c r="A333" s="346" t="s">
        <v>292</v>
      </c>
      <c r="B333" s="346" t="s">
        <v>4216</v>
      </c>
      <c r="C333" s="346">
        <v>3840</v>
      </c>
      <c r="D333" s="346">
        <v>3800</v>
      </c>
      <c r="E333" s="346">
        <v>4200</v>
      </c>
      <c r="F333" s="346">
        <v>760</v>
      </c>
      <c r="G333" s="346">
        <v>2270</v>
      </c>
    </row>
    <row r="334" spans="1:7" s="335" customFormat="1" ht="14.25" customHeight="1">
      <c r="A334" s="346" t="s">
        <v>292</v>
      </c>
      <c r="B334" s="346" t="s">
        <v>4227</v>
      </c>
      <c r="C334" s="346">
        <v>3960</v>
      </c>
      <c r="D334" s="346">
        <v>3910</v>
      </c>
      <c r="E334" s="346">
        <v>4340</v>
      </c>
      <c r="F334" s="346">
        <v>780</v>
      </c>
      <c r="G334" s="346">
        <v>2340</v>
      </c>
    </row>
    <row r="335" spans="1:7" s="335" customFormat="1" ht="14.25" customHeight="1">
      <c r="A335" s="346" t="s">
        <v>292</v>
      </c>
      <c r="B335" s="346" t="s">
        <v>4237</v>
      </c>
      <c r="C335" s="346">
        <v>3710</v>
      </c>
      <c r="D335" s="346">
        <v>3670</v>
      </c>
      <c r="E335" s="346">
        <v>4030</v>
      </c>
      <c r="F335" s="346">
        <v>750</v>
      </c>
      <c r="G335" s="346">
        <v>2200</v>
      </c>
    </row>
    <row r="336" spans="1:7" s="335" customFormat="1" ht="14.25" customHeight="1">
      <c r="A336" s="346" t="s">
        <v>292</v>
      </c>
      <c r="B336" s="346" t="s">
        <v>4247</v>
      </c>
      <c r="C336" s="346">
        <v>3570</v>
      </c>
      <c r="D336" s="346">
        <v>3530</v>
      </c>
      <c r="E336" s="346">
        <v>3880</v>
      </c>
      <c r="F336" s="346">
        <v>770</v>
      </c>
      <c r="G336" s="346">
        <v>2110</v>
      </c>
    </row>
    <row r="337" spans="1:10" s="335" customFormat="1" ht="14.25" customHeight="1">
      <c r="A337" s="346" t="s">
        <v>292</v>
      </c>
      <c r="B337" s="346" t="s">
        <v>4257</v>
      </c>
      <c r="C337" s="346">
        <v>3780</v>
      </c>
      <c r="D337" s="346">
        <v>3750</v>
      </c>
      <c r="E337" s="346">
        <v>4130</v>
      </c>
      <c r="F337" s="346">
        <v>750</v>
      </c>
      <c r="G337" s="346">
        <v>2240</v>
      </c>
    </row>
    <row r="338" spans="1:10" s="335" customFormat="1" ht="14.25" customHeight="1">
      <c r="A338" s="346" t="s">
        <v>292</v>
      </c>
      <c r="B338" s="346" t="s">
        <v>4267</v>
      </c>
      <c r="C338" s="346">
        <v>3600</v>
      </c>
      <c r="D338" s="346">
        <v>3570</v>
      </c>
      <c r="E338" s="346">
        <v>3920</v>
      </c>
      <c r="F338" s="346">
        <v>790</v>
      </c>
      <c r="G338" s="346">
        <v>2140</v>
      </c>
    </row>
    <row r="339" spans="1:10" s="335" customFormat="1" ht="14.25" customHeight="1">
      <c r="A339" s="346" t="s">
        <v>292</v>
      </c>
      <c r="B339" s="346" t="s">
        <v>4277</v>
      </c>
      <c r="C339" s="346">
        <v>3540</v>
      </c>
      <c r="D339" s="346">
        <v>3500</v>
      </c>
      <c r="E339" s="346">
        <v>3850</v>
      </c>
      <c r="F339" s="346">
        <v>780</v>
      </c>
      <c r="G339" s="346">
        <v>2100</v>
      </c>
    </row>
    <row r="340" spans="1:10" s="335" customFormat="1" ht="14.25" customHeight="1">
      <c r="A340" s="346" t="s">
        <v>292</v>
      </c>
      <c r="B340" s="346" t="s">
        <v>4287</v>
      </c>
      <c r="C340" s="346">
        <v>3850</v>
      </c>
      <c r="D340" s="346">
        <v>3810</v>
      </c>
      <c r="E340" s="346">
        <v>4210</v>
      </c>
      <c r="F340" s="346">
        <v>750</v>
      </c>
      <c r="G340" s="346">
        <v>2280</v>
      </c>
    </row>
    <row r="341" spans="1:10" s="335" customFormat="1" ht="14.25" customHeight="1">
      <c r="A341" s="346" t="s">
        <v>292</v>
      </c>
      <c r="B341" s="346" t="s">
        <v>4296</v>
      </c>
      <c r="C341" s="346">
        <v>3780</v>
      </c>
      <c r="D341" s="346">
        <v>3750</v>
      </c>
      <c r="E341" s="346">
        <v>4140</v>
      </c>
      <c r="F341" s="346">
        <v>720</v>
      </c>
      <c r="G341" s="346">
        <v>2240</v>
      </c>
    </row>
    <row r="342" spans="1:10" s="335" customFormat="1" ht="14.25" customHeight="1">
      <c r="A342" s="346" t="s">
        <v>292</v>
      </c>
      <c r="B342" s="346" t="s">
        <v>4305</v>
      </c>
      <c r="C342" s="346">
        <v>3670</v>
      </c>
      <c r="D342" s="346">
        <v>3620</v>
      </c>
      <c r="E342" s="346">
        <v>3990</v>
      </c>
      <c r="F342" s="346">
        <v>760</v>
      </c>
      <c r="G342" s="346">
        <v>2170</v>
      </c>
    </row>
    <row r="343" spans="1:10" s="335" customFormat="1" ht="14.25" customHeight="1">
      <c r="A343" s="346" t="s">
        <v>292</v>
      </c>
      <c r="B343" s="346" t="s">
        <v>4315</v>
      </c>
      <c r="C343" s="346">
        <v>3760</v>
      </c>
      <c r="D343" s="346">
        <v>3720</v>
      </c>
      <c r="E343" s="346">
        <v>4090</v>
      </c>
      <c r="F343" s="346">
        <v>780</v>
      </c>
      <c r="G343" s="346">
        <v>2220</v>
      </c>
    </row>
    <row r="344" spans="1:10" s="335" customFormat="1" ht="14.25" customHeight="1">
      <c r="A344" s="346" t="s">
        <v>292</v>
      </c>
      <c r="B344" s="346" t="s">
        <v>4325</v>
      </c>
      <c r="C344" s="346">
        <v>3680</v>
      </c>
      <c r="D344" s="346">
        <v>3640</v>
      </c>
      <c r="E344" s="346">
        <v>4010</v>
      </c>
      <c r="F344" s="346">
        <v>750</v>
      </c>
      <c r="G344" s="346">
        <v>2180</v>
      </c>
    </row>
    <row r="345" spans="1:10">
      <c r="A345" s="346" t="s">
        <v>292</v>
      </c>
      <c r="B345" s="346" t="s">
        <v>4335</v>
      </c>
      <c r="C345" s="346">
        <v>3190</v>
      </c>
      <c r="D345" s="346">
        <v>3140</v>
      </c>
      <c r="E345" s="346">
        <v>3450</v>
      </c>
      <c r="F345" s="346">
        <v>720</v>
      </c>
      <c r="G345" s="346">
        <v>1880</v>
      </c>
      <c r="J345" s="335"/>
    </row>
    <row r="346" spans="1:10">
      <c r="A346" s="346" t="s">
        <v>292</v>
      </c>
      <c r="B346" s="346" t="s">
        <v>4345</v>
      </c>
      <c r="C346" s="346">
        <v>3630</v>
      </c>
      <c r="D346" s="346">
        <v>3590</v>
      </c>
      <c r="E346" s="346">
        <v>3940</v>
      </c>
      <c r="F346" s="346">
        <v>730</v>
      </c>
      <c r="G346" s="346">
        <v>2150</v>
      </c>
      <c r="J346" s="335"/>
    </row>
    <row r="347" spans="1:10">
      <c r="A347" s="346" t="s">
        <v>292</v>
      </c>
      <c r="B347" s="346" t="s">
        <v>4354</v>
      </c>
      <c r="C347" s="346">
        <v>3860</v>
      </c>
      <c r="D347" s="346">
        <v>3820</v>
      </c>
      <c r="E347" s="346">
        <v>4220</v>
      </c>
      <c r="F347" s="346">
        <v>750</v>
      </c>
      <c r="G347" s="346">
        <v>2280</v>
      </c>
      <c r="J347" s="335"/>
    </row>
    <row r="348" spans="1:10">
      <c r="A348" s="346" t="s">
        <v>292</v>
      </c>
      <c r="B348" s="346" t="s">
        <v>4362</v>
      </c>
      <c r="C348" s="346">
        <v>4000</v>
      </c>
      <c r="D348" s="346">
        <v>3950</v>
      </c>
      <c r="E348" s="346">
        <v>4430</v>
      </c>
      <c r="F348" s="346">
        <v>760</v>
      </c>
      <c r="G348" s="346">
        <v>2360</v>
      </c>
      <c r="J348" s="335"/>
    </row>
    <row r="349" spans="1:10">
      <c r="A349" s="346" t="s">
        <v>292</v>
      </c>
      <c r="B349" s="346" t="s">
        <v>4370</v>
      </c>
      <c r="C349" s="346">
        <v>3820</v>
      </c>
      <c r="D349" s="346">
        <v>3780</v>
      </c>
      <c r="E349" s="346">
        <v>4170</v>
      </c>
      <c r="F349" s="346">
        <v>710</v>
      </c>
      <c r="G349" s="346">
        <v>2260</v>
      </c>
      <c r="J349" s="335"/>
    </row>
    <row r="350" spans="1:10">
      <c r="A350" s="346" t="s">
        <v>292</v>
      </c>
      <c r="B350" s="346" t="s">
        <v>4378</v>
      </c>
      <c r="C350" s="346">
        <v>3760</v>
      </c>
      <c r="D350" s="346">
        <v>3730</v>
      </c>
      <c r="E350" s="346">
        <v>4100</v>
      </c>
      <c r="F350" s="346">
        <v>800</v>
      </c>
      <c r="G350" s="346">
        <v>2230</v>
      </c>
      <c r="J350" s="335"/>
    </row>
    <row r="351" spans="1:10">
      <c r="A351" s="346" t="s">
        <v>292</v>
      </c>
      <c r="B351" s="346" t="s">
        <v>4386</v>
      </c>
      <c r="C351" s="346">
        <v>3610</v>
      </c>
      <c r="D351" s="346">
        <v>3580</v>
      </c>
      <c r="E351" s="346">
        <v>3930</v>
      </c>
      <c r="F351" s="346">
        <v>700</v>
      </c>
      <c r="G351" s="346">
        <v>2140</v>
      </c>
      <c r="J351" s="335"/>
    </row>
    <row r="352" spans="1:10">
      <c r="A352" s="346" t="s">
        <v>292</v>
      </c>
      <c r="B352" s="346" t="s">
        <v>4393</v>
      </c>
      <c r="C352" s="346">
        <v>3670</v>
      </c>
      <c r="D352" s="346">
        <v>3630</v>
      </c>
      <c r="E352" s="346">
        <v>4000</v>
      </c>
      <c r="F352" s="346">
        <v>750</v>
      </c>
      <c r="G352" s="346">
        <v>2180</v>
      </c>
    </row>
    <row r="353" spans="1:7" s="336" customFormat="1">
      <c r="A353" s="346" t="s">
        <v>292</v>
      </c>
      <c r="B353" s="346" t="s">
        <v>4400</v>
      </c>
      <c r="C353" s="346">
        <v>3190</v>
      </c>
      <c r="D353" s="346">
        <v>3150</v>
      </c>
      <c r="E353" s="346">
        <v>3640</v>
      </c>
      <c r="F353" s="346">
        <v>630</v>
      </c>
      <c r="G353" s="346">
        <v>1890</v>
      </c>
    </row>
    <row r="354" spans="1:7" s="336" customFormat="1">
      <c r="A354" s="346" t="s">
        <v>292</v>
      </c>
      <c r="B354" s="346" t="s">
        <v>4407</v>
      </c>
      <c r="C354" s="346">
        <v>3450</v>
      </c>
      <c r="D354" s="346">
        <v>3420</v>
      </c>
      <c r="E354" s="346">
        <v>3960</v>
      </c>
      <c r="F354" s="346">
        <v>660</v>
      </c>
      <c r="G354" s="346">
        <v>2050</v>
      </c>
    </row>
    <row r="355" spans="1:7" s="336" customFormat="1">
      <c r="A355" s="346" t="s">
        <v>292</v>
      </c>
      <c r="B355" s="346" t="s">
        <v>4414</v>
      </c>
      <c r="C355" s="346">
        <v>3650</v>
      </c>
      <c r="D355" s="346">
        <v>3610</v>
      </c>
      <c r="E355" s="346">
        <v>4200</v>
      </c>
      <c r="F355" s="346">
        <v>640</v>
      </c>
      <c r="G355" s="346">
        <v>2160</v>
      </c>
    </row>
    <row r="356" spans="1:7" s="336" customFormat="1">
      <c r="A356" s="346" t="s">
        <v>292</v>
      </c>
      <c r="B356" s="346" t="s">
        <v>4421</v>
      </c>
      <c r="C356" s="346">
        <v>3260</v>
      </c>
      <c r="D356" s="346">
        <v>3230</v>
      </c>
      <c r="E356" s="346">
        <v>3740</v>
      </c>
      <c r="F356" s="346">
        <v>600</v>
      </c>
      <c r="G356" s="346">
        <v>1930</v>
      </c>
    </row>
    <row r="357" spans="1:7" s="336" customFormat="1">
      <c r="A357" s="348" t="s">
        <v>292</v>
      </c>
      <c r="B357" s="352" t="s">
        <v>4428</v>
      </c>
      <c r="C357" s="352">
        <v>3690</v>
      </c>
      <c r="D357" s="352">
        <v>3650</v>
      </c>
      <c r="E357" s="352">
        <v>4020</v>
      </c>
      <c r="F357" s="352">
        <v>700</v>
      </c>
      <c r="G357" s="352">
        <v>2190</v>
      </c>
    </row>
    <row r="358" spans="1:7" s="336" customFormat="1">
      <c r="A358" s="344" t="s">
        <v>296</v>
      </c>
      <c r="B358" s="345" t="s">
        <v>4144</v>
      </c>
      <c r="C358" s="345">
        <v>2080</v>
      </c>
      <c r="D358" s="345">
        <v>2040</v>
      </c>
      <c r="E358" s="345">
        <v>2010</v>
      </c>
      <c r="F358" s="345">
        <v>530</v>
      </c>
      <c r="G358" s="353">
        <v>1230</v>
      </c>
    </row>
    <row r="359" spans="1:7" s="336" customFormat="1">
      <c r="A359" s="346" t="s">
        <v>296</v>
      </c>
      <c r="B359" s="346" t="s">
        <v>4157</v>
      </c>
      <c r="C359" s="346">
        <v>1850</v>
      </c>
      <c r="D359" s="346">
        <v>1820</v>
      </c>
      <c r="E359" s="346">
        <v>1780</v>
      </c>
      <c r="F359" s="346">
        <v>520</v>
      </c>
      <c r="G359" s="354">
        <v>1100</v>
      </c>
    </row>
    <row r="360" spans="1:7" s="336" customFormat="1">
      <c r="A360" s="346" t="s">
        <v>296</v>
      </c>
      <c r="B360" s="346" t="s">
        <v>4171</v>
      </c>
      <c r="C360" s="346">
        <v>2020</v>
      </c>
      <c r="D360" s="346">
        <v>1990</v>
      </c>
      <c r="E360" s="346">
        <v>1950</v>
      </c>
      <c r="F360" s="346">
        <v>500</v>
      </c>
      <c r="G360" s="354">
        <v>1200</v>
      </c>
    </row>
    <row r="361" spans="1:7" s="336" customFormat="1">
      <c r="A361" s="346" t="s">
        <v>296</v>
      </c>
      <c r="B361" s="346" t="s">
        <v>4183</v>
      </c>
      <c r="C361" s="346">
        <v>2260</v>
      </c>
      <c r="D361" s="346">
        <v>2220</v>
      </c>
      <c r="E361" s="346">
        <v>2180</v>
      </c>
      <c r="F361" s="346">
        <v>580</v>
      </c>
      <c r="G361" s="354">
        <v>1340</v>
      </c>
    </row>
    <row r="362" spans="1:7" s="336" customFormat="1">
      <c r="A362" s="346" t="s">
        <v>296</v>
      </c>
      <c r="B362" s="346" t="s">
        <v>4195</v>
      </c>
      <c r="C362" s="346">
        <v>2650</v>
      </c>
      <c r="D362" s="346">
        <v>2610</v>
      </c>
      <c r="E362" s="346">
        <v>2570</v>
      </c>
      <c r="F362" s="346">
        <v>630</v>
      </c>
      <c r="G362" s="354">
        <v>1570</v>
      </c>
    </row>
    <row r="363" spans="1:7" s="336" customFormat="1">
      <c r="A363" s="346" t="s">
        <v>296</v>
      </c>
      <c r="B363" s="346" t="s">
        <v>4206</v>
      </c>
      <c r="C363" s="346">
        <v>2390</v>
      </c>
      <c r="D363" s="346">
        <v>2360</v>
      </c>
      <c r="E363" s="346">
        <v>2320</v>
      </c>
      <c r="F363" s="346">
        <v>600</v>
      </c>
      <c r="G363" s="354">
        <v>1420</v>
      </c>
    </row>
    <row r="364" spans="1:7" s="336" customFormat="1">
      <c r="A364" s="346" t="s">
        <v>296</v>
      </c>
      <c r="B364" s="346" t="s">
        <v>4217</v>
      </c>
      <c r="C364" s="346">
        <v>2050</v>
      </c>
      <c r="D364" s="346">
        <v>2030</v>
      </c>
      <c r="E364" s="346">
        <v>1990</v>
      </c>
      <c r="F364" s="346">
        <v>550</v>
      </c>
      <c r="G364" s="354">
        <v>1220</v>
      </c>
    </row>
    <row r="365" spans="1:7" s="336" customFormat="1">
      <c r="A365" s="346" t="s">
        <v>296</v>
      </c>
      <c r="B365" s="346" t="s">
        <v>4228</v>
      </c>
      <c r="C365" s="346">
        <v>2140</v>
      </c>
      <c r="D365" s="346">
        <v>2100</v>
      </c>
      <c r="E365" s="346">
        <v>2060</v>
      </c>
      <c r="F365" s="346">
        <v>540</v>
      </c>
      <c r="G365" s="354">
        <v>1270</v>
      </c>
    </row>
    <row r="366" spans="1:7" s="336" customFormat="1">
      <c r="A366" s="346" t="s">
        <v>296</v>
      </c>
      <c r="B366" s="346" t="s">
        <v>4238</v>
      </c>
      <c r="C366" s="346">
        <v>2410</v>
      </c>
      <c r="D366" s="346">
        <v>2370</v>
      </c>
      <c r="E366" s="346">
        <v>2330</v>
      </c>
      <c r="F366" s="346">
        <v>570</v>
      </c>
      <c r="G366" s="354">
        <v>1440</v>
      </c>
    </row>
    <row r="367" spans="1:7" s="336" customFormat="1">
      <c r="A367" s="346" t="s">
        <v>296</v>
      </c>
      <c r="B367" s="346" t="s">
        <v>4248</v>
      </c>
      <c r="C367" s="346">
        <v>2300</v>
      </c>
      <c r="D367" s="346">
        <v>2260</v>
      </c>
      <c r="E367" s="346">
        <v>2220</v>
      </c>
      <c r="F367" s="346">
        <v>560</v>
      </c>
      <c r="G367" s="354">
        <v>1370</v>
      </c>
    </row>
    <row r="368" spans="1:7" s="336" customFormat="1">
      <c r="A368" s="346" t="s">
        <v>296</v>
      </c>
      <c r="B368" s="346" t="s">
        <v>4258</v>
      </c>
      <c r="C368" s="346">
        <v>2430</v>
      </c>
      <c r="D368" s="346">
        <v>2390</v>
      </c>
      <c r="E368" s="346">
        <v>2350</v>
      </c>
      <c r="F368" s="346">
        <v>570</v>
      </c>
      <c r="G368" s="354">
        <v>1450</v>
      </c>
    </row>
    <row r="369" spans="1:7" s="336" customFormat="1">
      <c r="A369" s="346" t="s">
        <v>296</v>
      </c>
      <c r="B369" s="346" t="s">
        <v>4268</v>
      </c>
      <c r="C369" s="346">
        <v>2320</v>
      </c>
      <c r="D369" s="346">
        <v>2290</v>
      </c>
      <c r="E369" s="346">
        <v>2250</v>
      </c>
      <c r="F369" s="346">
        <v>550</v>
      </c>
      <c r="G369" s="354">
        <v>1380</v>
      </c>
    </row>
    <row r="370" spans="1:7" s="336" customFormat="1">
      <c r="A370" s="346" t="s">
        <v>296</v>
      </c>
      <c r="B370" s="346" t="s">
        <v>4278</v>
      </c>
      <c r="C370" s="346">
        <v>2190</v>
      </c>
      <c r="D370" s="346">
        <v>2170</v>
      </c>
      <c r="E370" s="346">
        <v>2130</v>
      </c>
      <c r="F370" s="346">
        <v>530</v>
      </c>
      <c r="G370" s="354">
        <v>1310</v>
      </c>
    </row>
    <row r="371" spans="1:7" s="336" customFormat="1">
      <c r="A371" s="346" t="s">
        <v>296</v>
      </c>
      <c r="B371" s="346" t="s">
        <v>4288</v>
      </c>
      <c r="C371" s="346">
        <v>2460</v>
      </c>
      <c r="D371" s="346">
        <v>2420</v>
      </c>
      <c r="E371" s="346">
        <v>2370</v>
      </c>
      <c r="F371" s="346">
        <v>560</v>
      </c>
      <c r="G371" s="354">
        <v>1470</v>
      </c>
    </row>
    <row r="372" spans="1:7" s="336" customFormat="1">
      <c r="A372" s="346" t="s">
        <v>296</v>
      </c>
      <c r="B372" s="346" t="s">
        <v>4297</v>
      </c>
      <c r="C372" s="346">
        <v>2250</v>
      </c>
      <c r="D372" s="346">
        <v>2210</v>
      </c>
      <c r="E372" s="346">
        <v>2180</v>
      </c>
      <c r="F372" s="346">
        <v>550</v>
      </c>
      <c r="G372" s="354">
        <v>1340</v>
      </c>
    </row>
    <row r="373" spans="1:7" s="336" customFormat="1">
      <c r="A373" s="346" t="s">
        <v>296</v>
      </c>
      <c r="B373" s="346" t="s">
        <v>4306</v>
      </c>
      <c r="C373" s="346">
        <v>2210</v>
      </c>
      <c r="D373" s="346">
        <v>2190</v>
      </c>
      <c r="E373" s="346">
        <v>2150</v>
      </c>
      <c r="F373" s="346">
        <v>530</v>
      </c>
      <c r="G373" s="354">
        <v>1320</v>
      </c>
    </row>
    <row r="374" spans="1:7" s="336" customFormat="1">
      <c r="A374" s="346" t="s">
        <v>296</v>
      </c>
      <c r="B374" s="346" t="s">
        <v>4316</v>
      </c>
      <c r="C374" s="346">
        <v>2320</v>
      </c>
      <c r="D374" s="346">
        <v>2280</v>
      </c>
      <c r="E374" s="346">
        <v>2230</v>
      </c>
      <c r="F374" s="346">
        <v>580</v>
      </c>
      <c r="G374" s="354">
        <v>1380</v>
      </c>
    </row>
    <row r="375" spans="1:7" s="336" customFormat="1">
      <c r="A375" s="346" t="s">
        <v>296</v>
      </c>
      <c r="B375" s="346" t="s">
        <v>4326</v>
      </c>
      <c r="C375" s="346">
        <v>2090</v>
      </c>
      <c r="D375" s="346">
        <v>2050</v>
      </c>
      <c r="E375" s="346">
        <v>2020</v>
      </c>
      <c r="F375" s="346">
        <v>520</v>
      </c>
      <c r="G375" s="354">
        <v>1240</v>
      </c>
    </row>
    <row r="376" spans="1:7" s="336" customFormat="1">
      <c r="A376" s="346" t="s">
        <v>296</v>
      </c>
      <c r="B376" s="346" t="s">
        <v>4336</v>
      </c>
      <c r="C376" s="346">
        <v>2010</v>
      </c>
      <c r="D376" s="346">
        <v>1980</v>
      </c>
      <c r="E376" s="346">
        <v>1940</v>
      </c>
      <c r="F376" s="346">
        <v>540</v>
      </c>
      <c r="G376" s="354">
        <v>1190</v>
      </c>
    </row>
    <row r="377" spans="1:7" s="336" customFormat="1">
      <c r="A377" s="348" t="s">
        <v>296</v>
      </c>
      <c r="B377" s="352" t="s">
        <v>4346</v>
      </c>
      <c r="C377" s="352">
        <v>1930</v>
      </c>
      <c r="D377" s="352">
        <v>1890</v>
      </c>
      <c r="E377" s="352">
        <v>1860</v>
      </c>
      <c r="F377" s="352">
        <v>530</v>
      </c>
      <c r="G377" s="361">
        <v>1150</v>
      </c>
    </row>
    <row r="378" spans="1:7" s="336" customFormat="1">
      <c r="A378" s="362" t="s">
        <v>300</v>
      </c>
      <c r="B378" s="345" t="s">
        <v>4145</v>
      </c>
      <c r="C378" s="345">
        <v>1520</v>
      </c>
      <c r="D378" s="345">
        <v>1490</v>
      </c>
      <c r="E378" s="345">
        <v>1460</v>
      </c>
      <c r="F378" s="345">
        <v>460</v>
      </c>
      <c r="G378" s="353">
        <v>940</v>
      </c>
    </row>
    <row r="379" spans="1:7" s="336" customFormat="1">
      <c r="A379" s="363" t="s">
        <v>300</v>
      </c>
      <c r="B379" s="346" t="s">
        <v>4158</v>
      </c>
      <c r="C379" s="346">
        <v>1500</v>
      </c>
      <c r="D379" s="346">
        <v>1470</v>
      </c>
      <c r="E379" s="346">
        <v>1430</v>
      </c>
      <c r="F379" s="346">
        <v>460</v>
      </c>
      <c r="G379" s="354">
        <v>920</v>
      </c>
    </row>
    <row r="380" spans="1:7" s="336" customFormat="1">
      <c r="A380" s="363" t="s">
        <v>300</v>
      </c>
      <c r="B380" s="346" t="s">
        <v>4172</v>
      </c>
      <c r="C380" s="346">
        <v>1620</v>
      </c>
      <c r="D380" s="346">
        <v>1590</v>
      </c>
      <c r="E380" s="346">
        <v>1560</v>
      </c>
      <c r="F380" s="346">
        <v>480</v>
      </c>
      <c r="G380" s="354">
        <v>1000</v>
      </c>
    </row>
    <row r="381" spans="1:7" s="336" customFormat="1">
      <c r="A381" s="363" t="s">
        <v>300</v>
      </c>
      <c r="B381" s="346" t="s">
        <v>4184</v>
      </c>
      <c r="C381" s="346">
        <v>1460</v>
      </c>
      <c r="D381" s="346">
        <v>1430</v>
      </c>
      <c r="E381" s="346">
        <v>1390</v>
      </c>
      <c r="F381" s="346">
        <v>450</v>
      </c>
      <c r="G381" s="354">
        <v>900</v>
      </c>
    </row>
    <row r="382" spans="1:7" s="336" customFormat="1">
      <c r="A382" s="363" t="s">
        <v>300</v>
      </c>
      <c r="B382" s="346" t="s">
        <v>4196</v>
      </c>
      <c r="C382" s="346">
        <v>1310</v>
      </c>
      <c r="D382" s="346">
        <v>1280</v>
      </c>
      <c r="E382" s="346">
        <v>1250</v>
      </c>
      <c r="F382" s="346">
        <v>440</v>
      </c>
      <c r="G382" s="354">
        <v>800</v>
      </c>
    </row>
    <row r="383" spans="1:7" s="336" customFormat="1">
      <c r="A383" s="363" t="s">
        <v>300</v>
      </c>
      <c r="B383" s="346" t="s">
        <v>4207</v>
      </c>
      <c r="C383" s="346">
        <v>1260</v>
      </c>
      <c r="D383" s="346">
        <v>1230</v>
      </c>
      <c r="E383" s="346">
        <v>1200</v>
      </c>
      <c r="F383" s="346">
        <v>420</v>
      </c>
      <c r="G383" s="354">
        <v>770</v>
      </c>
    </row>
    <row r="384" spans="1:7" s="336" customFormat="1">
      <c r="A384" s="364" t="s">
        <v>300</v>
      </c>
      <c r="B384" s="350" t="s">
        <v>4218</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7" customWidth="1"/>
    <col min="2" max="2" width="20" style="297" customWidth="1"/>
    <col min="3" max="7" width="8.88671875" style="298"/>
    <col min="8" max="16384" width="8.88671875" style="299"/>
  </cols>
  <sheetData>
    <row r="1" spans="1:7">
      <c r="A1" s="3791" t="s">
        <v>4515</v>
      </c>
      <c r="B1" s="3791"/>
    </row>
    <row r="2" spans="1:7">
      <c r="A2" s="300"/>
      <c r="B2" s="300"/>
    </row>
    <row r="3" spans="1:7">
      <c r="A3" s="300"/>
      <c r="B3" s="300"/>
      <c r="C3" s="301" t="s">
        <v>552</v>
      </c>
      <c r="D3" s="301" t="s">
        <v>3812</v>
      </c>
      <c r="E3" s="301" t="s">
        <v>414</v>
      </c>
      <c r="F3" s="301" t="s">
        <v>410</v>
      </c>
      <c r="G3" s="301" t="s">
        <v>280</v>
      </c>
    </row>
    <row r="4" spans="1:7">
      <c r="A4" s="302" t="s">
        <v>4146</v>
      </c>
      <c r="B4" s="303" t="s">
        <v>4159</v>
      </c>
      <c r="C4" s="301"/>
      <c r="D4" s="301"/>
      <c r="E4" s="301"/>
      <c r="F4" s="301"/>
      <c r="G4" s="301"/>
    </row>
    <row r="5" spans="1:7">
      <c r="A5" s="304" t="s">
        <v>230</v>
      </c>
      <c r="B5" s="305" t="s">
        <v>4134</v>
      </c>
      <c r="C5" s="306">
        <v>9.8000000000000004E-2</v>
      </c>
      <c r="D5" s="306">
        <v>8.6999999999999994E-2</v>
      </c>
      <c r="E5" s="306">
        <v>8.6999999999999994E-2</v>
      </c>
      <c r="F5" s="306">
        <v>9.8000000000000004E-2</v>
      </c>
      <c r="G5" s="307">
        <v>9.5000000000000001E-2</v>
      </c>
    </row>
    <row r="6" spans="1:7">
      <c r="A6" s="308" t="s">
        <v>230</v>
      </c>
      <c r="B6" s="309" t="s">
        <v>4147</v>
      </c>
      <c r="C6" s="310">
        <v>9.8000000000000004E-2</v>
      </c>
      <c r="D6" s="310">
        <v>9.8000000000000004E-2</v>
      </c>
      <c r="E6" s="310">
        <v>9.8000000000000004E-2</v>
      </c>
      <c r="F6" s="310">
        <v>0.1</v>
      </c>
      <c r="G6" s="311">
        <v>9.9000000000000005E-2</v>
      </c>
    </row>
    <row r="7" spans="1:7">
      <c r="A7" s="308" t="s">
        <v>230</v>
      </c>
      <c r="B7" s="309" t="s">
        <v>4161</v>
      </c>
      <c r="C7" s="310">
        <v>9.7000000000000003E-2</v>
      </c>
      <c r="D7" s="310">
        <v>9.7000000000000003E-2</v>
      </c>
      <c r="E7" s="310">
        <v>9.6000000000000002E-2</v>
      </c>
      <c r="F7" s="310">
        <v>0.1</v>
      </c>
      <c r="G7" s="311">
        <v>9.8000000000000004E-2</v>
      </c>
    </row>
    <row r="8" spans="1:7">
      <c r="A8" s="308" t="s">
        <v>230</v>
      </c>
      <c r="B8" s="309" t="s">
        <v>4173</v>
      </c>
      <c r="C8" s="310">
        <v>8.1000000000000003E-2</v>
      </c>
      <c r="D8" s="310">
        <v>8.2000000000000003E-2</v>
      </c>
      <c r="E8" s="310">
        <v>7.0000000000000007E-2</v>
      </c>
      <c r="F8" s="310">
        <v>9.6000000000000002E-2</v>
      </c>
      <c r="G8" s="311">
        <v>8.8999999999999996E-2</v>
      </c>
    </row>
    <row r="9" spans="1:7">
      <c r="A9" s="312" t="s">
        <v>230</v>
      </c>
      <c r="B9" s="313" t="s">
        <v>4185</v>
      </c>
      <c r="C9" s="314">
        <v>0.1</v>
      </c>
      <c r="D9" s="314">
        <v>0.1</v>
      </c>
      <c r="E9" s="314">
        <v>0.1</v>
      </c>
      <c r="F9" s="315"/>
      <c r="G9" s="316">
        <v>0.1</v>
      </c>
    </row>
    <row r="10" spans="1:7">
      <c r="A10" s="304" t="s">
        <v>241</v>
      </c>
      <c r="B10" s="305" t="s">
        <v>4135</v>
      </c>
      <c r="C10" s="306">
        <v>6.7000000000000004E-2</v>
      </c>
      <c r="D10" s="306">
        <v>7.9000000000000001E-2</v>
      </c>
      <c r="E10" s="306">
        <v>7.9000000000000001E-2</v>
      </c>
      <c r="F10" s="306">
        <v>0.1</v>
      </c>
      <c r="G10" s="307">
        <v>9.0999999999999998E-2</v>
      </c>
    </row>
    <row r="11" spans="1:7">
      <c r="A11" s="308" t="s">
        <v>241</v>
      </c>
      <c r="B11" s="309" t="s">
        <v>4148</v>
      </c>
      <c r="C11" s="310">
        <v>0.05</v>
      </c>
      <c r="D11" s="310">
        <v>5.2999999999999999E-2</v>
      </c>
      <c r="E11" s="310">
        <v>6.3E-2</v>
      </c>
      <c r="F11" s="310">
        <v>0.1</v>
      </c>
      <c r="G11" s="311">
        <v>7.1999999999999995E-2</v>
      </c>
    </row>
    <row r="12" spans="1:7">
      <c r="A12" s="308" t="s">
        <v>241</v>
      </c>
      <c r="B12" s="309" t="s">
        <v>4162</v>
      </c>
      <c r="C12" s="310">
        <v>5.2999999999999999E-2</v>
      </c>
      <c r="D12" s="310">
        <v>0.09</v>
      </c>
      <c r="E12" s="310">
        <v>7.1999999999999995E-2</v>
      </c>
      <c r="F12" s="310">
        <v>0.1</v>
      </c>
      <c r="G12" s="311">
        <v>9.7000000000000003E-2</v>
      </c>
    </row>
    <row r="13" spans="1:7">
      <c r="A13" s="308" t="s">
        <v>241</v>
      </c>
      <c r="B13" s="309" t="s">
        <v>4174</v>
      </c>
      <c r="C13" s="310">
        <v>9.7000000000000003E-2</v>
      </c>
      <c r="D13" s="310">
        <v>9.1999999999999998E-2</v>
      </c>
      <c r="E13" s="310">
        <v>9.5000000000000001E-2</v>
      </c>
      <c r="F13" s="310">
        <v>0.1</v>
      </c>
      <c r="G13" s="311">
        <v>9.7000000000000003E-2</v>
      </c>
    </row>
    <row r="14" spans="1:7">
      <c r="A14" s="308" t="s">
        <v>241</v>
      </c>
      <c r="B14" s="309" t="s">
        <v>4186</v>
      </c>
      <c r="C14" s="310">
        <v>9.7000000000000003E-2</v>
      </c>
      <c r="D14" s="310">
        <v>9.7000000000000003E-2</v>
      </c>
      <c r="E14" s="310">
        <v>9.7000000000000003E-2</v>
      </c>
      <c r="F14" s="310">
        <v>0.1</v>
      </c>
      <c r="G14" s="311">
        <v>9.8000000000000004E-2</v>
      </c>
    </row>
    <row r="15" spans="1:7">
      <c r="A15" s="308" t="s">
        <v>241</v>
      </c>
      <c r="B15" s="309" t="s">
        <v>4197</v>
      </c>
      <c r="C15" s="310">
        <v>9.8000000000000004E-2</v>
      </c>
      <c r="D15" s="310">
        <v>9.0999999999999998E-2</v>
      </c>
      <c r="E15" s="310">
        <v>0.06</v>
      </c>
      <c r="F15" s="310">
        <v>0.1</v>
      </c>
      <c r="G15" s="311">
        <v>9.7000000000000003E-2</v>
      </c>
    </row>
    <row r="16" spans="1:7">
      <c r="A16" s="308" t="s">
        <v>241</v>
      </c>
      <c r="B16" s="309" t="s">
        <v>4208</v>
      </c>
      <c r="C16" s="310">
        <v>9.8000000000000004E-2</v>
      </c>
      <c r="D16" s="310">
        <v>9.7000000000000003E-2</v>
      </c>
      <c r="E16" s="310">
        <v>9.5000000000000001E-2</v>
      </c>
      <c r="F16" s="310">
        <v>0.1</v>
      </c>
      <c r="G16" s="311">
        <v>9.9000000000000005E-2</v>
      </c>
    </row>
    <row r="17" spans="1:7">
      <c r="A17" s="308" t="s">
        <v>241</v>
      </c>
      <c r="B17" s="309" t="s">
        <v>4219</v>
      </c>
      <c r="C17" s="310">
        <v>8.8999999999999996E-2</v>
      </c>
      <c r="D17" s="310">
        <v>9.1999999999999998E-2</v>
      </c>
      <c r="E17" s="310">
        <v>6.0999999999999999E-2</v>
      </c>
      <c r="F17" s="310">
        <v>0.1</v>
      </c>
      <c r="G17" s="311">
        <v>9.7000000000000003E-2</v>
      </c>
    </row>
    <row r="18" spans="1:7">
      <c r="A18" s="308" t="s">
        <v>241</v>
      </c>
      <c r="B18" s="309" t="s">
        <v>4229</v>
      </c>
      <c r="C18" s="310">
        <v>9.8000000000000004E-2</v>
      </c>
      <c r="D18" s="310">
        <v>9.8000000000000004E-2</v>
      </c>
      <c r="E18" s="310">
        <v>9.8000000000000004E-2</v>
      </c>
      <c r="F18" s="317"/>
      <c r="G18" s="311">
        <v>9.9000000000000005E-2</v>
      </c>
    </row>
    <row r="19" spans="1:7">
      <c r="A19" s="308" t="s">
        <v>241</v>
      </c>
      <c r="B19" s="309" t="s">
        <v>4239</v>
      </c>
      <c r="C19" s="310">
        <v>9.9000000000000005E-2</v>
      </c>
      <c r="D19" s="310">
        <v>7.3999999999999996E-2</v>
      </c>
      <c r="E19" s="310">
        <v>8.1000000000000003E-2</v>
      </c>
      <c r="F19" s="317"/>
      <c r="G19" s="311">
        <v>9.2999999999999999E-2</v>
      </c>
    </row>
    <row r="20" spans="1:7">
      <c r="A20" s="308" t="s">
        <v>241</v>
      </c>
      <c r="B20" s="309" t="s">
        <v>4249</v>
      </c>
      <c r="C20" s="310">
        <v>0.1</v>
      </c>
      <c r="D20" s="310">
        <v>8.8999999999999996E-2</v>
      </c>
      <c r="E20" s="310">
        <v>8.8999999999999996E-2</v>
      </c>
      <c r="F20" s="317"/>
      <c r="G20" s="311">
        <v>9.5000000000000001E-2</v>
      </c>
    </row>
    <row r="21" spans="1:7">
      <c r="A21" s="308" t="s">
        <v>241</v>
      </c>
      <c r="B21" s="309" t="s">
        <v>4259</v>
      </c>
      <c r="C21" s="310">
        <v>0.1</v>
      </c>
      <c r="D21" s="310">
        <v>9.0999999999999998E-2</v>
      </c>
      <c r="E21" s="310">
        <v>8.2000000000000003E-2</v>
      </c>
      <c r="F21" s="317"/>
      <c r="G21" s="311">
        <v>9.7000000000000003E-2</v>
      </c>
    </row>
    <row r="22" spans="1:7">
      <c r="A22" s="308" t="s">
        <v>241</v>
      </c>
      <c r="B22" s="309" t="s">
        <v>4269</v>
      </c>
      <c r="C22" s="310">
        <v>9.5000000000000001E-2</v>
      </c>
      <c r="D22" s="310">
        <v>9.9000000000000005E-2</v>
      </c>
      <c r="E22" s="310">
        <v>9.8000000000000004E-2</v>
      </c>
      <c r="F22" s="317"/>
      <c r="G22" s="311">
        <v>0.1</v>
      </c>
    </row>
    <row r="23" spans="1:7">
      <c r="A23" s="308" t="s">
        <v>241</v>
      </c>
      <c r="B23" s="309" t="s">
        <v>4279</v>
      </c>
      <c r="C23" s="310">
        <v>9.9000000000000005E-2</v>
      </c>
      <c r="D23" s="310">
        <v>0.1</v>
      </c>
      <c r="E23" s="310">
        <v>0.1</v>
      </c>
      <c r="F23" s="317"/>
      <c r="G23" s="311">
        <v>0.1</v>
      </c>
    </row>
    <row r="24" spans="1:7">
      <c r="A24" s="308" t="s">
        <v>241</v>
      </c>
      <c r="B24" s="309" t="s">
        <v>4289</v>
      </c>
      <c r="C24" s="310">
        <v>9.5000000000000001E-2</v>
      </c>
      <c r="D24" s="310">
        <v>0.1</v>
      </c>
      <c r="E24" s="310">
        <v>9.8000000000000004E-2</v>
      </c>
      <c r="F24" s="317"/>
      <c r="G24" s="311">
        <v>0.1</v>
      </c>
    </row>
    <row r="25" spans="1:7">
      <c r="A25" s="308" t="s">
        <v>241</v>
      </c>
      <c r="B25" s="309" t="s">
        <v>4298</v>
      </c>
      <c r="C25" s="310">
        <v>0.05</v>
      </c>
      <c r="D25" s="310">
        <v>9.6000000000000002E-2</v>
      </c>
      <c r="E25" s="310">
        <v>9.6000000000000002E-2</v>
      </c>
      <c r="F25" s="317"/>
      <c r="G25" s="311">
        <v>9.6000000000000002E-2</v>
      </c>
    </row>
    <row r="26" spans="1:7">
      <c r="A26" s="308" t="s">
        <v>241</v>
      </c>
      <c r="B26" s="309" t="s">
        <v>4307</v>
      </c>
      <c r="C26" s="310">
        <v>6.3E-2</v>
      </c>
      <c r="D26" s="310">
        <v>9.9000000000000005E-2</v>
      </c>
      <c r="E26" s="310">
        <v>9.8000000000000004E-2</v>
      </c>
      <c r="F26" s="317"/>
      <c r="G26" s="311">
        <v>0.1</v>
      </c>
    </row>
    <row r="27" spans="1:7">
      <c r="A27" s="308" t="s">
        <v>241</v>
      </c>
      <c r="B27" s="309" t="s">
        <v>4317</v>
      </c>
      <c r="C27" s="310">
        <v>5.1999999999999998E-2</v>
      </c>
      <c r="D27" s="310">
        <v>9.5000000000000001E-2</v>
      </c>
      <c r="E27" s="310">
        <v>6.4000000000000001E-2</v>
      </c>
      <c r="F27" s="317"/>
      <c r="G27" s="311">
        <v>9.7000000000000003E-2</v>
      </c>
    </row>
    <row r="28" spans="1:7">
      <c r="A28" s="308" t="s">
        <v>241</v>
      </c>
      <c r="B28" s="309" t="s">
        <v>4327</v>
      </c>
      <c r="C28" s="317"/>
      <c r="D28" s="310">
        <v>6.3E-2</v>
      </c>
      <c r="E28" s="310">
        <v>5.1999999999999998E-2</v>
      </c>
      <c r="F28" s="317"/>
      <c r="G28" s="311">
        <v>6.3E-2</v>
      </c>
    </row>
    <row r="29" spans="1:7">
      <c r="A29" s="312" t="s">
        <v>241</v>
      </c>
      <c r="B29" s="313" t="s">
        <v>4337</v>
      </c>
      <c r="C29" s="318"/>
      <c r="D29" s="314">
        <v>5.1999999999999998E-2</v>
      </c>
      <c r="E29" s="314">
        <v>7.0000000000000007E-2</v>
      </c>
      <c r="F29" s="318"/>
      <c r="G29" s="316">
        <v>7.0999999999999994E-2</v>
      </c>
    </row>
    <row r="30" spans="1:7">
      <c r="A30" s="319" t="s">
        <v>251</v>
      </c>
      <c r="B30" s="305" t="s">
        <v>4136</v>
      </c>
      <c r="C30" s="306">
        <v>6.6000000000000003E-2</v>
      </c>
      <c r="D30" s="306">
        <v>6.6000000000000003E-2</v>
      </c>
      <c r="E30" s="306">
        <v>5.7000000000000002E-2</v>
      </c>
      <c r="F30" s="306">
        <v>0.1</v>
      </c>
      <c r="G30" s="307">
        <v>6.8000000000000005E-2</v>
      </c>
    </row>
    <row r="31" spans="1:7">
      <c r="A31" s="320" t="s">
        <v>251</v>
      </c>
      <c r="B31" s="309" t="s">
        <v>4149</v>
      </c>
      <c r="C31" s="310">
        <v>5.5E-2</v>
      </c>
      <c r="D31" s="310">
        <v>8.2000000000000003E-2</v>
      </c>
      <c r="E31" s="310">
        <v>6.4000000000000001E-2</v>
      </c>
      <c r="F31" s="310">
        <v>0.1</v>
      </c>
      <c r="G31" s="311">
        <v>9.5000000000000001E-2</v>
      </c>
    </row>
    <row r="32" spans="1:7">
      <c r="A32" s="320" t="s">
        <v>251</v>
      </c>
      <c r="B32" s="309" t="s">
        <v>4163</v>
      </c>
      <c r="C32" s="310">
        <v>8.2000000000000003E-2</v>
      </c>
      <c r="D32" s="310">
        <v>8.6999999999999994E-2</v>
      </c>
      <c r="E32" s="310">
        <v>9.5000000000000001E-2</v>
      </c>
      <c r="F32" s="310">
        <v>0.1</v>
      </c>
      <c r="G32" s="311">
        <v>9.6000000000000002E-2</v>
      </c>
    </row>
    <row r="33" spans="1:7">
      <c r="A33" s="320" t="s">
        <v>251</v>
      </c>
      <c r="B33" s="309" t="s">
        <v>4175</v>
      </c>
      <c r="C33" s="310">
        <v>9.9000000000000005E-2</v>
      </c>
      <c r="D33" s="310">
        <v>9.1999999999999998E-2</v>
      </c>
      <c r="E33" s="310">
        <v>8.6999999999999994E-2</v>
      </c>
      <c r="F33" s="310">
        <v>0.1</v>
      </c>
      <c r="G33" s="311">
        <v>9.7000000000000003E-2</v>
      </c>
    </row>
    <row r="34" spans="1:7">
      <c r="A34" s="320" t="s">
        <v>251</v>
      </c>
      <c r="B34" s="309" t="s">
        <v>4187</v>
      </c>
      <c r="C34" s="310">
        <v>8.4000000000000005E-2</v>
      </c>
      <c r="D34" s="310">
        <v>9.7000000000000003E-2</v>
      </c>
      <c r="E34" s="310">
        <v>7.0999999999999994E-2</v>
      </c>
      <c r="F34" s="310">
        <v>0.1</v>
      </c>
      <c r="G34" s="311">
        <v>9.8000000000000004E-2</v>
      </c>
    </row>
    <row r="35" spans="1:7">
      <c r="A35" s="320" t="s">
        <v>251</v>
      </c>
      <c r="B35" s="309" t="s">
        <v>4198</v>
      </c>
      <c r="C35" s="310">
        <v>8.3000000000000004E-2</v>
      </c>
      <c r="D35" s="310">
        <v>9.7000000000000003E-2</v>
      </c>
      <c r="E35" s="310">
        <v>6.0999999999999999E-2</v>
      </c>
      <c r="F35" s="310">
        <v>0.1</v>
      </c>
      <c r="G35" s="311">
        <v>9.9000000000000005E-2</v>
      </c>
    </row>
    <row r="36" spans="1:7">
      <c r="A36" s="320" t="s">
        <v>251</v>
      </c>
      <c r="B36" s="309" t="s">
        <v>4209</v>
      </c>
      <c r="C36" s="310">
        <v>9.7000000000000003E-2</v>
      </c>
      <c r="D36" s="310">
        <v>9.7000000000000003E-2</v>
      </c>
      <c r="E36" s="310">
        <v>7.8E-2</v>
      </c>
      <c r="F36" s="310">
        <v>0.1</v>
      </c>
      <c r="G36" s="311">
        <v>9.9000000000000005E-2</v>
      </c>
    </row>
    <row r="37" spans="1:7">
      <c r="A37" s="320" t="s">
        <v>251</v>
      </c>
      <c r="B37" s="309" t="s">
        <v>4220</v>
      </c>
      <c r="C37" s="310">
        <v>9.7000000000000003E-2</v>
      </c>
      <c r="D37" s="310">
        <v>9.5000000000000001E-2</v>
      </c>
      <c r="E37" s="310">
        <v>7.8E-2</v>
      </c>
      <c r="F37" s="310">
        <v>0.1</v>
      </c>
      <c r="G37" s="311">
        <v>9.7000000000000003E-2</v>
      </c>
    </row>
    <row r="38" spans="1:7">
      <c r="A38" s="320" t="s">
        <v>251</v>
      </c>
      <c r="B38" s="309" t="s">
        <v>4230</v>
      </c>
      <c r="C38" s="310">
        <v>9.7000000000000003E-2</v>
      </c>
      <c r="D38" s="310">
        <v>7.6999999999999999E-2</v>
      </c>
      <c r="E38" s="310">
        <v>7.0000000000000007E-2</v>
      </c>
      <c r="F38" s="310">
        <v>0.1</v>
      </c>
      <c r="G38" s="311">
        <v>7.6999999999999999E-2</v>
      </c>
    </row>
    <row r="39" spans="1:7">
      <c r="A39" s="320" t="s">
        <v>251</v>
      </c>
      <c r="B39" s="309" t="s">
        <v>4240</v>
      </c>
      <c r="C39" s="310">
        <v>9.5000000000000001E-2</v>
      </c>
      <c r="D39" s="310">
        <v>7.6999999999999999E-2</v>
      </c>
      <c r="E39" s="310">
        <v>6.6000000000000003E-2</v>
      </c>
      <c r="F39" s="310">
        <v>0.1</v>
      </c>
      <c r="G39" s="311">
        <v>8.5999999999999993E-2</v>
      </c>
    </row>
    <row r="40" spans="1:7">
      <c r="A40" s="320" t="s">
        <v>251</v>
      </c>
      <c r="B40" s="309" t="s">
        <v>4250</v>
      </c>
      <c r="C40" s="310">
        <v>7.6999999999999999E-2</v>
      </c>
      <c r="D40" s="310">
        <v>7.8E-2</v>
      </c>
      <c r="E40" s="310">
        <v>8.2000000000000003E-2</v>
      </c>
      <c r="F40" s="321"/>
      <c r="G40" s="311">
        <v>7.8E-2</v>
      </c>
    </row>
    <row r="41" spans="1:7">
      <c r="A41" s="320" t="s">
        <v>251</v>
      </c>
      <c r="B41" s="309" t="s">
        <v>4260</v>
      </c>
      <c r="C41" s="310">
        <v>7.8E-2</v>
      </c>
      <c r="D41" s="310">
        <v>7.8E-2</v>
      </c>
      <c r="E41" s="310">
        <v>8.2000000000000003E-2</v>
      </c>
      <c r="F41" s="321"/>
      <c r="G41" s="311">
        <v>8.5999999999999993E-2</v>
      </c>
    </row>
    <row r="42" spans="1:7">
      <c r="A42" s="320" t="s">
        <v>251</v>
      </c>
      <c r="B42" s="309" t="s">
        <v>4270</v>
      </c>
      <c r="C42" s="310">
        <v>7.8E-2</v>
      </c>
      <c r="D42" s="310">
        <v>9.6000000000000002E-2</v>
      </c>
      <c r="E42" s="310">
        <v>7.1999999999999995E-2</v>
      </c>
      <c r="F42" s="321"/>
      <c r="G42" s="311">
        <v>9.8000000000000004E-2</v>
      </c>
    </row>
    <row r="43" spans="1:7">
      <c r="A43" s="320" t="s">
        <v>251</v>
      </c>
      <c r="B43" s="309" t="s">
        <v>4280</v>
      </c>
      <c r="C43" s="310">
        <v>7.8E-2</v>
      </c>
      <c r="D43" s="310">
        <v>9.9000000000000005E-2</v>
      </c>
      <c r="E43" s="310">
        <v>9.6000000000000002E-2</v>
      </c>
      <c r="F43" s="321"/>
      <c r="G43" s="311">
        <v>0.1</v>
      </c>
    </row>
    <row r="44" spans="1:7">
      <c r="A44" s="320" t="s">
        <v>251</v>
      </c>
      <c r="B44" s="309" t="s">
        <v>4290</v>
      </c>
      <c r="C44" s="310">
        <v>9.6000000000000002E-2</v>
      </c>
      <c r="D44" s="310">
        <v>0.1</v>
      </c>
      <c r="E44" s="310">
        <v>9.8000000000000004E-2</v>
      </c>
      <c r="F44" s="321"/>
      <c r="G44" s="311">
        <v>0.1</v>
      </c>
    </row>
    <row r="45" spans="1:7">
      <c r="A45" s="320" t="s">
        <v>251</v>
      </c>
      <c r="B45" s="309" t="s">
        <v>4299</v>
      </c>
      <c r="C45" s="310">
        <v>9.9000000000000005E-2</v>
      </c>
      <c r="D45" s="310">
        <v>9.8000000000000004E-2</v>
      </c>
      <c r="E45" s="310">
        <v>9.5000000000000001E-2</v>
      </c>
      <c r="F45" s="321"/>
      <c r="G45" s="311">
        <v>9.8000000000000004E-2</v>
      </c>
    </row>
    <row r="46" spans="1:7">
      <c r="A46" s="320" t="s">
        <v>251</v>
      </c>
      <c r="B46" s="309" t="s">
        <v>4308</v>
      </c>
      <c r="C46" s="310">
        <v>0.1</v>
      </c>
      <c r="D46" s="310">
        <v>9.9000000000000005E-2</v>
      </c>
      <c r="E46" s="310">
        <v>9.6000000000000002E-2</v>
      </c>
      <c r="F46" s="321"/>
      <c r="G46" s="311">
        <v>0.1</v>
      </c>
    </row>
    <row r="47" spans="1:7">
      <c r="A47" s="320" t="s">
        <v>251</v>
      </c>
      <c r="B47" s="309" t="s">
        <v>4318</v>
      </c>
      <c r="C47" s="310">
        <v>9.8000000000000004E-2</v>
      </c>
      <c r="D47" s="310">
        <v>8.6999999999999994E-2</v>
      </c>
      <c r="E47" s="310">
        <v>5.8999999999999997E-2</v>
      </c>
      <c r="F47" s="321"/>
      <c r="G47" s="311">
        <v>9.6000000000000002E-2</v>
      </c>
    </row>
    <row r="48" spans="1:7">
      <c r="A48" s="320" t="s">
        <v>251</v>
      </c>
      <c r="B48" s="309" t="s">
        <v>4328</v>
      </c>
      <c r="C48" s="310">
        <v>9.9000000000000005E-2</v>
      </c>
      <c r="D48" s="310">
        <v>9.8000000000000004E-2</v>
      </c>
      <c r="E48" s="310">
        <v>9.5000000000000001E-2</v>
      </c>
      <c r="F48" s="321"/>
      <c r="G48" s="311">
        <v>9.8000000000000004E-2</v>
      </c>
    </row>
    <row r="49" spans="1:7">
      <c r="A49" s="320" t="s">
        <v>251</v>
      </c>
      <c r="B49" s="309" t="s">
        <v>4338</v>
      </c>
      <c r="C49" s="310">
        <v>8.7999999999999995E-2</v>
      </c>
      <c r="D49" s="310">
        <v>9.9000000000000005E-2</v>
      </c>
      <c r="E49" s="310">
        <v>7.0000000000000007E-2</v>
      </c>
      <c r="F49" s="321"/>
      <c r="G49" s="311">
        <v>0.1</v>
      </c>
    </row>
    <row r="50" spans="1:7">
      <c r="A50" s="320" t="s">
        <v>251</v>
      </c>
      <c r="B50" s="309" t="s">
        <v>4347</v>
      </c>
      <c r="C50" s="310">
        <v>9.8000000000000004E-2</v>
      </c>
      <c r="D50" s="310">
        <v>7.2999999999999995E-2</v>
      </c>
      <c r="E50" s="310">
        <v>7.0999999999999994E-2</v>
      </c>
      <c r="F50" s="321"/>
      <c r="G50" s="311">
        <v>7.2999999999999995E-2</v>
      </c>
    </row>
    <row r="51" spans="1:7">
      <c r="A51" s="320" t="s">
        <v>251</v>
      </c>
      <c r="B51" s="309" t="s">
        <v>4355</v>
      </c>
      <c r="C51" s="310">
        <v>9.9000000000000005E-2</v>
      </c>
      <c r="D51" s="310">
        <v>8.5000000000000006E-2</v>
      </c>
      <c r="E51" s="310">
        <v>6.3E-2</v>
      </c>
      <c r="F51" s="321"/>
      <c r="G51" s="311">
        <v>9.6000000000000002E-2</v>
      </c>
    </row>
    <row r="52" spans="1:7">
      <c r="A52" s="320" t="s">
        <v>251</v>
      </c>
      <c r="B52" s="309" t="s">
        <v>4363</v>
      </c>
      <c r="C52" s="310">
        <v>7.3999999999999996E-2</v>
      </c>
      <c r="D52" s="310">
        <v>9.6000000000000002E-2</v>
      </c>
      <c r="E52" s="310">
        <v>0.05</v>
      </c>
      <c r="F52" s="321"/>
      <c r="G52" s="311">
        <v>9.8000000000000004E-2</v>
      </c>
    </row>
    <row r="53" spans="1:7">
      <c r="A53" s="320" t="s">
        <v>251</v>
      </c>
      <c r="B53" s="309" t="s">
        <v>4371</v>
      </c>
      <c r="C53" s="310">
        <v>8.5999999999999993E-2</v>
      </c>
      <c r="D53" s="321"/>
      <c r="E53" s="310">
        <v>9.1999999999999998E-2</v>
      </c>
      <c r="F53" s="321"/>
      <c r="G53" s="322"/>
    </row>
    <row r="54" spans="1:7">
      <c r="A54" s="323" t="s">
        <v>251</v>
      </c>
      <c r="B54" s="313" t="s">
        <v>4379</v>
      </c>
      <c r="C54" s="314">
        <v>9.6000000000000002E-2</v>
      </c>
      <c r="D54" s="315"/>
      <c r="E54" s="324"/>
      <c r="F54" s="315"/>
      <c r="G54" s="325"/>
    </row>
    <row r="55" spans="1:7">
      <c r="A55" s="319" t="s">
        <v>259</v>
      </c>
      <c r="B55" s="305" t="s">
        <v>4137</v>
      </c>
      <c r="C55" s="306">
        <v>9.6000000000000002E-2</v>
      </c>
      <c r="D55" s="306">
        <v>8.4000000000000005E-2</v>
      </c>
      <c r="E55" s="306">
        <v>9.1999999999999998E-2</v>
      </c>
      <c r="F55" s="306">
        <v>0.1</v>
      </c>
      <c r="G55" s="307">
        <v>9.5000000000000001E-2</v>
      </c>
    </row>
    <row r="56" spans="1:7">
      <c r="A56" s="320" t="s">
        <v>259</v>
      </c>
      <c r="B56" s="309" t="s">
        <v>4150</v>
      </c>
      <c r="C56" s="310">
        <v>8.4000000000000005E-2</v>
      </c>
      <c r="D56" s="310">
        <v>9.1999999999999998E-2</v>
      </c>
      <c r="E56" s="310">
        <v>9.5000000000000001E-2</v>
      </c>
      <c r="F56" s="310">
        <v>9.1999999999999998E-2</v>
      </c>
      <c r="G56" s="311">
        <v>9.6000000000000002E-2</v>
      </c>
    </row>
    <row r="57" spans="1:7">
      <c r="A57" s="320" t="s">
        <v>259</v>
      </c>
      <c r="B57" s="309" t="s">
        <v>4164</v>
      </c>
      <c r="C57" s="310">
        <v>9.9000000000000005E-2</v>
      </c>
      <c r="D57" s="310">
        <v>9.6000000000000002E-2</v>
      </c>
      <c r="E57" s="310">
        <v>9.1999999999999998E-2</v>
      </c>
      <c r="F57" s="310">
        <v>0.1</v>
      </c>
      <c r="G57" s="311">
        <v>9.8000000000000004E-2</v>
      </c>
    </row>
    <row r="58" spans="1:7">
      <c r="A58" s="320" t="s">
        <v>259</v>
      </c>
      <c r="B58" s="309" t="s">
        <v>4176</v>
      </c>
      <c r="C58" s="310">
        <v>9.8000000000000004E-2</v>
      </c>
      <c r="D58" s="310">
        <v>9.5000000000000001E-2</v>
      </c>
      <c r="E58" s="310">
        <v>5.7000000000000002E-2</v>
      </c>
      <c r="F58" s="310">
        <v>0.1</v>
      </c>
      <c r="G58" s="311">
        <v>9.6000000000000002E-2</v>
      </c>
    </row>
    <row r="59" spans="1:7">
      <c r="A59" s="320" t="s">
        <v>259</v>
      </c>
      <c r="B59" s="309" t="s">
        <v>4188</v>
      </c>
      <c r="C59" s="310">
        <v>9.5000000000000001E-2</v>
      </c>
      <c r="D59" s="310">
        <v>0.1</v>
      </c>
      <c r="E59" s="310">
        <v>7.4999999999999997E-2</v>
      </c>
      <c r="F59" s="310">
        <v>0.1</v>
      </c>
      <c r="G59" s="311">
        <v>0.1</v>
      </c>
    </row>
    <row r="60" spans="1:7">
      <c r="A60" s="320" t="s">
        <v>259</v>
      </c>
      <c r="B60" s="309" t="s">
        <v>4199</v>
      </c>
      <c r="C60" s="310">
        <v>0.1</v>
      </c>
      <c r="D60" s="310">
        <v>9.7000000000000003E-2</v>
      </c>
      <c r="E60" s="310">
        <v>0.1</v>
      </c>
      <c r="F60" s="310">
        <v>0.1</v>
      </c>
      <c r="G60" s="311">
        <v>9.7000000000000003E-2</v>
      </c>
    </row>
    <row r="61" spans="1:7">
      <c r="A61" s="320" t="s">
        <v>259</v>
      </c>
      <c r="B61" s="309" t="s">
        <v>4210</v>
      </c>
      <c r="C61" s="310">
        <v>9.7000000000000003E-2</v>
      </c>
      <c r="D61" s="310">
        <v>0.1</v>
      </c>
      <c r="E61" s="310">
        <v>9.2999999999999999E-2</v>
      </c>
      <c r="F61" s="310">
        <v>0.1</v>
      </c>
      <c r="G61" s="311">
        <v>0.1</v>
      </c>
    </row>
    <row r="62" spans="1:7">
      <c r="A62" s="320" t="s">
        <v>259</v>
      </c>
      <c r="B62" s="309" t="s">
        <v>4221</v>
      </c>
      <c r="C62" s="310">
        <v>0.1</v>
      </c>
      <c r="D62" s="310">
        <v>9.7000000000000003E-2</v>
      </c>
      <c r="E62" s="310">
        <v>8.8999999999999996E-2</v>
      </c>
      <c r="F62" s="310">
        <v>0.1</v>
      </c>
      <c r="G62" s="311">
        <v>9.8000000000000004E-2</v>
      </c>
    </row>
    <row r="63" spans="1:7">
      <c r="A63" s="320" t="s">
        <v>259</v>
      </c>
      <c r="B63" s="309" t="s">
        <v>4231</v>
      </c>
      <c r="C63" s="310">
        <v>9.7000000000000003E-2</v>
      </c>
      <c r="D63" s="310">
        <v>9.7000000000000003E-2</v>
      </c>
      <c r="E63" s="310">
        <v>9.9000000000000005E-2</v>
      </c>
      <c r="F63" s="310">
        <v>0.1</v>
      </c>
      <c r="G63" s="311">
        <v>9.7000000000000003E-2</v>
      </c>
    </row>
    <row r="64" spans="1:7">
      <c r="A64" s="320" t="s">
        <v>259</v>
      </c>
      <c r="B64" s="309" t="s">
        <v>4241</v>
      </c>
      <c r="C64" s="310">
        <v>9.7000000000000003E-2</v>
      </c>
      <c r="D64" s="310">
        <v>7.3999999999999996E-2</v>
      </c>
      <c r="E64" s="310">
        <v>7.8E-2</v>
      </c>
      <c r="F64" s="310">
        <v>0.1</v>
      </c>
      <c r="G64" s="311">
        <v>8.8999999999999996E-2</v>
      </c>
    </row>
    <row r="65" spans="1:7">
      <c r="A65" s="320" t="s">
        <v>259</v>
      </c>
      <c r="B65" s="309" t="s">
        <v>4251</v>
      </c>
      <c r="C65" s="310">
        <v>7.2999999999999995E-2</v>
      </c>
      <c r="D65" s="310">
        <v>9.8000000000000004E-2</v>
      </c>
      <c r="E65" s="310">
        <v>9.5000000000000001E-2</v>
      </c>
      <c r="F65" s="310">
        <v>0.1</v>
      </c>
      <c r="G65" s="311">
        <v>9.9000000000000005E-2</v>
      </c>
    </row>
    <row r="66" spans="1:7">
      <c r="A66" s="320" t="s">
        <v>259</v>
      </c>
      <c r="B66" s="309" t="s">
        <v>4261</v>
      </c>
      <c r="C66" s="310">
        <v>9.8000000000000004E-2</v>
      </c>
      <c r="D66" s="310">
        <v>9.5000000000000001E-2</v>
      </c>
      <c r="E66" s="310">
        <v>0.05</v>
      </c>
      <c r="F66" s="310">
        <v>0.1</v>
      </c>
      <c r="G66" s="311">
        <v>9.7000000000000003E-2</v>
      </c>
    </row>
    <row r="67" spans="1:7">
      <c r="A67" s="320" t="s">
        <v>259</v>
      </c>
      <c r="B67" s="309" t="s">
        <v>4271</v>
      </c>
      <c r="C67" s="310">
        <v>9.5000000000000001E-2</v>
      </c>
      <c r="D67" s="310">
        <v>9.7000000000000003E-2</v>
      </c>
      <c r="E67" s="310">
        <v>9.7000000000000003E-2</v>
      </c>
      <c r="F67" s="310">
        <v>0.1</v>
      </c>
      <c r="G67" s="311">
        <v>9.9000000000000005E-2</v>
      </c>
    </row>
    <row r="68" spans="1:7">
      <c r="A68" s="320" t="s">
        <v>259</v>
      </c>
      <c r="B68" s="309" t="s">
        <v>4281</v>
      </c>
      <c r="C68" s="310">
        <v>9.7000000000000003E-2</v>
      </c>
      <c r="D68" s="310">
        <v>6.8000000000000005E-2</v>
      </c>
      <c r="E68" s="310">
        <v>6.6000000000000003E-2</v>
      </c>
      <c r="F68" s="310">
        <v>0.1</v>
      </c>
      <c r="G68" s="311">
        <v>8.4000000000000005E-2</v>
      </c>
    </row>
    <row r="69" spans="1:7">
      <c r="A69" s="320" t="s">
        <v>259</v>
      </c>
      <c r="B69" s="309" t="s">
        <v>500</v>
      </c>
      <c r="C69" s="310">
        <v>6.8000000000000005E-2</v>
      </c>
      <c r="D69" s="310">
        <v>9.8000000000000004E-2</v>
      </c>
      <c r="E69" s="310">
        <v>9.5000000000000001E-2</v>
      </c>
      <c r="F69" s="310">
        <v>0.1</v>
      </c>
      <c r="G69" s="311">
        <v>0.1</v>
      </c>
    </row>
    <row r="70" spans="1:7">
      <c r="A70" s="320" t="s">
        <v>259</v>
      </c>
      <c r="B70" s="309" t="s">
        <v>501</v>
      </c>
      <c r="C70" s="310">
        <v>9.8000000000000004E-2</v>
      </c>
      <c r="D70" s="310">
        <v>8.8999999999999996E-2</v>
      </c>
      <c r="E70" s="310">
        <v>5.8999999999999997E-2</v>
      </c>
      <c r="F70" s="310">
        <v>0.1</v>
      </c>
      <c r="G70" s="311">
        <v>9.6000000000000002E-2</v>
      </c>
    </row>
    <row r="71" spans="1:7">
      <c r="A71" s="320" t="s">
        <v>259</v>
      </c>
      <c r="B71" s="309" t="s">
        <v>4309</v>
      </c>
      <c r="C71" s="310">
        <v>8.8999999999999996E-2</v>
      </c>
      <c r="D71" s="310">
        <v>9.9000000000000005E-2</v>
      </c>
      <c r="E71" s="310">
        <v>9.6000000000000002E-2</v>
      </c>
      <c r="F71" s="310">
        <v>0.1</v>
      </c>
      <c r="G71" s="311">
        <v>0.1</v>
      </c>
    </row>
    <row r="72" spans="1:7">
      <c r="A72" s="320" t="s">
        <v>259</v>
      </c>
      <c r="B72" s="309" t="s">
        <v>4319</v>
      </c>
      <c r="C72" s="310">
        <v>9.9000000000000005E-2</v>
      </c>
      <c r="D72" s="310">
        <v>0.1</v>
      </c>
      <c r="E72" s="310">
        <v>7.0000000000000007E-2</v>
      </c>
      <c r="F72" s="321"/>
      <c r="G72" s="311">
        <v>0.1</v>
      </c>
    </row>
    <row r="73" spans="1:7">
      <c r="A73" s="320" t="s">
        <v>259</v>
      </c>
      <c r="B73" s="309" t="s">
        <v>4329</v>
      </c>
      <c r="C73" s="310">
        <v>0.1</v>
      </c>
      <c r="D73" s="310">
        <v>0.1</v>
      </c>
      <c r="E73" s="310">
        <v>9.6000000000000002E-2</v>
      </c>
      <c r="F73" s="321"/>
      <c r="G73" s="311">
        <v>0.1</v>
      </c>
    </row>
    <row r="74" spans="1:7">
      <c r="A74" s="320" t="s">
        <v>259</v>
      </c>
      <c r="B74" s="309" t="s">
        <v>4339</v>
      </c>
      <c r="C74" s="310">
        <v>0.1</v>
      </c>
      <c r="D74" s="310">
        <v>0.1</v>
      </c>
      <c r="E74" s="310">
        <v>9.8000000000000004E-2</v>
      </c>
      <c r="F74" s="321"/>
      <c r="G74" s="311">
        <v>0.1</v>
      </c>
    </row>
    <row r="75" spans="1:7">
      <c r="A75" s="320" t="s">
        <v>259</v>
      </c>
      <c r="B75" s="309" t="s">
        <v>4348</v>
      </c>
      <c r="C75" s="310">
        <v>0.1</v>
      </c>
      <c r="D75" s="310">
        <v>9.9000000000000005E-2</v>
      </c>
      <c r="E75" s="310">
        <v>9.8000000000000004E-2</v>
      </c>
      <c r="F75" s="321"/>
      <c r="G75" s="311">
        <v>0.1</v>
      </c>
    </row>
    <row r="76" spans="1:7">
      <c r="A76" s="320" t="s">
        <v>259</v>
      </c>
      <c r="B76" s="309" t="s">
        <v>4356</v>
      </c>
      <c r="C76" s="310">
        <v>9.9000000000000005E-2</v>
      </c>
      <c r="D76" s="310">
        <v>0.1</v>
      </c>
      <c r="E76" s="310">
        <v>9.7000000000000003E-2</v>
      </c>
      <c r="F76" s="321"/>
      <c r="G76" s="311">
        <v>0.1</v>
      </c>
    </row>
    <row r="77" spans="1:7">
      <c r="A77" s="320" t="s">
        <v>259</v>
      </c>
      <c r="B77" s="309" t="s">
        <v>4364</v>
      </c>
      <c r="C77" s="310">
        <v>0.1</v>
      </c>
      <c r="D77" s="310">
        <v>0.1</v>
      </c>
      <c r="E77" s="310">
        <v>9.6000000000000002E-2</v>
      </c>
      <c r="F77" s="321"/>
      <c r="G77" s="311">
        <v>0.1</v>
      </c>
    </row>
    <row r="78" spans="1:7">
      <c r="A78" s="320" t="s">
        <v>259</v>
      </c>
      <c r="B78" s="309" t="s">
        <v>4372</v>
      </c>
      <c r="C78" s="310">
        <v>0.1</v>
      </c>
      <c r="D78" s="310">
        <v>8.5000000000000006E-2</v>
      </c>
      <c r="E78" s="310">
        <v>9.6000000000000002E-2</v>
      </c>
      <c r="F78" s="321"/>
      <c r="G78" s="311">
        <v>9.6000000000000002E-2</v>
      </c>
    </row>
    <row r="79" spans="1:7">
      <c r="A79" s="320" t="s">
        <v>259</v>
      </c>
      <c r="B79" s="309" t="s">
        <v>4380</v>
      </c>
      <c r="C79" s="310">
        <v>0.05</v>
      </c>
      <c r="D79" s="310">
        <v>9.6000000000000002E-2</v>
      </c>
      <c r="E79" s="310">
        <v>9.5000000000000001E-2</v>
      </c>
      <c r="F79" s="321"/>
      <c r="G79" s="311">
        <v>9.8000000000000004E-2</v>
      </c>
    </row>
    <row r="80" spans="1:7">
      <c r="A80" s="320" t="s">
        <v>259</v>
      </c>
      <c r="B80" s="309" t="s">
        <v>4387</v>
      </c>
      <c r="C80" s="310">
        <v>8.5999999999999993E-2</v>
      </c>
      <c r="D80" s="326"/>
      <c r="E80" s="310">
        <v>0.1</v>
      </c>
      <c r="F80" s="321"/>
      <c r="G80" s="322"/>
    </row>
    <row r="81" spans="1:7">
      <c r="A81" s="320" t="s">
        <v>259</v>
      </c>
      <c r="B81" s="309" t="s">
        <v>4394</v>
      </c>
      <c r="C81" s="310">
        <v>9.6000000000000002E-2</v>
      </c>
      <c r="D81" s="321"/>
      <c r="E81" s="310">
        <v>9.8000000000000004E-2</v>
      </c>
      <c r="F81" s="321"/>
      <c r="G81" s="322"/>
    </row>
    <row r="82" spans="1:7">
      <c r="A82" s="320" t="s">
        <v>259</v>
      </c>
      <c r="B82" s="309" t="s">
        <v>4401</v>
      </c>
      <c r="C82" s="326"/>
      <c r="D82" s="321"/>
      <c r="E82" s="310">
        <v>7.6999999999999999E-2</v>
      </c>
      <c r="F82" s="321"/>
      <c r="G82" s="322"/>
    </row>
    <row r="83" spans="1:7">
      <c r="A83" s="320" t="s">
        <v>259</v>
      </c>
      <c r="B83" s="309" t="s">
        <v>4408</v>
      </c>
      <c r="C83" s="321"/>
      <c r="D83" s="321"/>
      <c r="E83" s="321"/>
      <c r="F83" s="310">
        <v>0.1</v>
      </c>
      <c r="G83" s="327"/>
    </row>
    <row r="84" spans="1:7">
      <c r="A84" s="320" t="s">
        <v>259</v>
      </c>
      <c r="B84" s="309" t="s">
        <v>4415</v>
      </c>
      <c r="C84" s="321"/>
      <c r="D84" s="321"/>
      <c r="E84" s="321"/>
      <c r="F84" s="310">
        <v>0.1</v>
      </c>
      <c r="G84" s="327"/>
    </row>
    <row r="85" spans="1:7">
      <c r="A85" s="320" t="s">
        <v>259</v>
      </c>
      <c r="B85" s="309" t="s">
        <v>4422</v>
      </c>
      <c r="C85" s="321"/>
      <c r="D85" s="321"/>
      <c r="E85" s="321"/>
      <c r="F85" s="310">
        <v>0.1</v>
      </c>
      <c r="G85" s="327"/>
    </row>
    <row r="86" spans="1:7">
      <c r="A86" s="323" t="s">
        <v>259</v>
      </c>
      <c r="B86" s="313" t="s">
        <v>4429</v>
      </c>
      <c r="C86" s="314">
        <v>9.8000000000000004E-2</v>
      </c>
      <c r="D86" s="314">
        <v>9.8000000000000004E-2</v>
      </c>
      <c r="E86" s="314">
        <v>9.6000000000000002E-2</v>
      </c>
      <c r="F86" s="324"/>
      <c r="G86" s="316">
        <v>0.1</v>
      </c>
    </row>
    <row r="87" spans="1:7">
      <c r="A87" s="319" t="s">
        <v>267</v>
      </c>
      <c r="B87" s="305" t="s">
        <v>4138</v>
      </c>
      <c r="C87" s="306">
        <v>0.1</v>
      </c>
      <c r="D87" s="306">
        <v>0.1</v>
      </c>
      <c r="E87" s="306">
        <v>9.8000000000000004E-2</v>
      </c>
      <c r="F87" s="306">
        <v>0.1</v>
      </c>
      <c r="G87" s="307">
        <v>0.1</v>
      </c>
    </row>
    <row r="88" spans="1:7">
      <c r="A88" s="320" t="s">
        <v>267</v>
      </c>
      <c r="B88" s="309" t="s">
        <v>4151</v>
      </c>
      <c r="C88" s="310">
        <v>9.0999999999999998E-2</v>
      </c>
      <c r="D88" s="310">
        <v>9.1999999999999998E-2</v>
      </c>
      <c r="E88" s="310">
        <v>0.1</v>
      </c>
      <c r="F88" s="310">
        <v>0.1</v>
      </c>
      <c r="G88" s="311">
        <v>9.6000000000000002E-2</v>
      </c>
    </row>
    <row r="89" spans="1:7">
      <c r="A89" s="320" t="s">
        <v>267</v>
      </c>
      <c r="B89" s="309" t="s">
        <v>4165</v>
      </c>
      <c r="C89" s="310">
        <v>0.1</v>
      </c>
      <c r="D89" s="310">
        <v>0.1</v>
      </c>
      <c r="E89" s="310">
        <v>6.7000000000000004E-2</v>
      </c>
      <c r="F89" s="310">
        <v>9.2999999999999999E-2</v>
      </c>
      <c r="G89" s="311">
        <v>0.1</v>
      </c>
    </row>
    <row r="90" spans="1:7">
      <c r="A90" s="320" t="s">
        <v>267</v>
      </c>
      <c r="B90" s="309" t="s">
        <v>4177</v>
      </c>
      <c r="C90" s="310">
        <v>9.6000000000000002E-2</v>
      </c>
      <c r="D90" s="310">
        <v>9.6000000000000002E-2</v>
      </c>
      <c r="E90" s="310">
        <v>0.1</v>
      </c>
      <c r="F90" s="310">
        <v>0.1</v>
      </c>
      <c r="G90" s="311">
        <v>9.8000000000000004E-2</v>
      </c>
    </row>
    <row r="91" spans="1:7">
      <c r="A91" s="320" t="s">
        <v>267</v>
      </c>
      <c r="B91" s="309" t="s">
        <v>4189</v>
      </c>
      <c r="C91" s="310">
        <v>7.6999999999999999E-2</v>
      </c>
      <c r="D91" s="310">
        <v>7.6999999999999999E-2</v>
      </c>
      <c r="E91" s="310">
        <v>9.6000000000000002E-2</v>
      </c>
      <c r="F91" s="310">
        <v>0.1</v>
      </c>
      <c r="G91" s="311">
        <v>7.6999999999999999E-2</v>
      </c>
    </row>
    <row r="92" spans="1:7">
      <c r="A92" s="320" t="s">
        <v>267</v>
      </c>
      <c r="B92" s="309" t="s">
        <v>4200</v>
      </c>
      <c r="C92" s="310">
        <v>0.1</v>
      </c>
      <c r="D92" s="310">
        <v>0.1</v>
      </c>
      <c r="E92" s="310">
        <v>9.1999999999999998E-2</v>
      </c>
      <c r="F92" s="310">
        <v>0.1</v>
      </c>
      <c r="G92" s="311">
        <v>0.1</v>
      </c>
    </row>
    <row r="93" spans="1:7">
      <c r="A93" s="320" t="s">
        <v>267</v>
      </c>
      <c r="B93" s="309" t="s">
        <v>4211</v>
      </c>
      <c r="C93" s="310">
        <v>9.8000000000000004E-2</v>
      </c>
      <c r="D93" s="310">
        <v>9.8000000000000004E-2</v>
      </c>
      <c r="E93" s="310">
        <v>9.6000000000000002E-2</v>
      </c>
      <c r="F93" s="310">
        <v>0.1</v>
      </c>
      <c r="G93" s="311">
        <v>9.9000000000000005E-2</v>
      </c>
    </row>
    <row r="94" spans="1:7">
      <c r="A94" s="320" t="s">
        <v>267</v>
      </c>
      <c r="B94" s="309" t="s">
        <v>4222</v>
      </c>
      <c r="C94" s="310">
        <v>8.7999999999999995E-2</v>
      </c>
      <c r="D94" s="310">
        <v>8.7999999999999995E-2</v>
      </c>
      <c r="E94" s="310">
        <v>9.6000000000000002E-2</v>
      </c>
      <c r="F94" s="310">
        <v>0.1</v>
      </c>
      <c r="G94" s="311">
        <v>8.7999999999999995E-2</v>
      </c>
    </row>
    <row r="95" spans="1:7">
      <c r="A95" s="320" t="s">
        <v>267</v>
      </c>
      <c r="B95" s="309" t="s">
        <v>4232</v>
      </c>
      <c r="C95" s="310">
        <v>9.6000000000000002E-2</v>
      </c>
      <c r="D95" s="310">
        <v>9.6000000000000002E-2</v>
      </c>
      <c r="E95" s="310">
        <v>0.1</v>
      </c>
      <c r="F95" s="310">
        <v>0.1</v>
      </c>
      <c r="G95" s="311">
        <v>9.8000000000000004E-2</v>
      </c>
    </row>
    <row r="96" spans="1:7">
      <c r="A96" s="320" t="s">
        <v>267</v>
      </c>
      <c r="B96" s="309" t="s">
        <v>4242</v>
      </c>
      <c r="C96" s="310">
        <v>9.7000000000000003E-2</v>
      </c>
      <c r="D96" s="310">
        <v>9.7000000000000003E-2</v>
      </c>
      <c r="E96" s="310">
        <v>0.1</v>
      </c>
      <c r="F96" s="310">
        <v>0.1</v>
      </c>
      <c r="G96" s="311">
        <v>9.8000000000000004E-2</v>
      </c>
    </row>
    <row r="97" spans="1:7">
      <c r="A97" s="320" t="s">
        <v>267</v>
      </c>
      <c r="B97" s="309" t="s">
        <v>4252</v>
      </c>
      <c r="C97" s="310">
        <v>9.6000000000000002E-2</v>
      </c>
      <c r="D97" s="310">
        <v>9.6000000000000002E-2</v>
      </c>
      <c r="E97" s="310">
        <v>9.9000000000000005E-2</v>
      </c>
      <c r="F97" s="310">
        <v>0.1</v>
      </c>
      <c r="G97" s="311">
        <v>9.8000000000000004E-2</v>
      </c>
    </row>
    <row r="98" spans="1:7">
      <c r="A98" s="320" t="s">
        <v>267</v>
      </c>
      <c r="B98" s="309" t="s">
        <v>4262</v>
      </c>
      <c r="C98" s="310">
        <v>9.8000000000000004E-2</v>
      </c>
      <c r="D98" s="310">
        <v>9.8000000000000004E-2</v>
      </c>
      <c r="E98" s="310">
        <v>0.1</v>
      </c>
      <c r="F98" s="310">
        <v>0.1</v>
      </c>
      <c r="G98" s="311">
        <v>9.9000000000000005E-2</v>
      </c>
    </row>
    <row r="99" spans="1:7">
      <c r="A99" s="320" t="s">
        <v>267</v>
      </c>
      <c r="B99" s="309" t="s">
        <v>4272</v>
      </c>
      <c r="C99" s="310">
        <v>9.6000000000000002E-2</v>
      </c>
      <c r="D99" s="310">
        <v>9.6000000000000002E-2</v>
      </c>
      <c r="E99" s="310">
        <v>0.1</v>
      </c>
      <c r="F99" s="310">
        <v>0.1</v>
      </c>
      <c r="G99" s="311">
        <v>9.7000000000000003E-2</v>
      </c>
    </row>
    <row r="100" spans="1:7">
      <c r="A100" s="320" t="s">
        <v>267</v>
      </c>
      <c r="B100" s="309" t="s">
        <v>4282</v>
      </c>
      <c r="C100" s="310">
        <v>0.1</v>
      </c>
      <c r="D100" s="310">
        <v>0.1</v>
      </c>
      <c r="E100" s="310">
        <v>9.7000000000000003E-2</v>
      </c>
      <c r="F100" s="310">
        <v>9.8000000000000004E-2</v>
      </c>
      <c r="G100" s="311">
        <v>0.1</v>
      </c>
    </row>
    <row r="101" spans="1:7">
      <c r="A101" s="320" t="s">
        <v>267</v>
      </c>
      <c r="B101" s="309" t="s">
        <v>4291</v>
      </c>
      <c r="C101" s="310">
        <v>0.1</v>
      </c>
      <c r="D101" s="310">
        <v>0.1</v>
      </c>
      <c r="E101" s="310">
        <v>9.5000000000000001E-2</v>
      </c>
      <c r="F101" s="310">
        <v>0.1</v>
      </c>
      <c r="G101" s="311">
        <v>0.1</v>
      </c>
    </row>
    <row r="102" spans="1:7">
      <c r="A102" s="320" t="s">
        <v>267</v>
      </c>
      <c r="B102" s="309" t="s">
        <v>4300</v>
      </c>
      <c r="C102" s="310">
        <v>0.1</v>
      </c>
      <c r="D102" s="310">
        <v>0.1</v>
      </c>
      <c r="E102" s="310">
        <v>9.9000000000000005E-2</v>
      </c>
      <c r="F102" s="310">
        <v>9.7000000000000003E-2</v>
      </c>
      <c r="G102" s="311">
        <v>0.1</v>
      </c>
    </row>
    <row r="103" spans="1:7">
      <c r="A103" s="320" t="s">
        <v>267</v>
      </c>
      <c r="B103" s="309" t="s">
        <v>4310</v>
      </c>
      <c r="C103" s="310">
        <v>0.1</v>
      </c>
      <c r="D103" s="310">
        <v>0.1</v>
      </c>
      <c r="E103" s="310">
        <v>9.8000000000000004E-2</v>
      </c>
      <c r="F103" s="310">
        <v>0.1</v>
      </c>
      <c r="G103" s="311">
        <v>0.1</v>
      </c>
    </row>
    <row r="104" spans="1:7">
      <c r="A104" s="320" t="s">
        <v>267</v>
      </c>
      <c r="B104" s="309" t="s">
        <v>4320</v>
      </c>
      <c r="C104" s="310">
        <v>0.1</v>
      </c>
      <c r="D104" s="310">
        <v>0.1</v>
      </c>
      <c r="E104" s="310">
        <v>9.8000000000000004E-2</v>
      </c>
      <c r="F104" s="310">
        <v>0.1</v>
      </c>
      <c r="G104" s="311">
        <v>0.1</v>
      </c>
    </row>
    <row r="105" spans="1:7">
      <c r="A105" s="320" t="s">
        <v>267</v>
      </c>
      <c r="B105" s="309" t="s">
        <v>4330</v>
      </c>
      <c r="C105" s="310">
        <v>9.8000000000000004E-2</v>
      </c>
      <c r="D105" s="310">
        <v>9.8000000000000004E-2</v>
      </c>
      <c r="E105" s="310">
        <v>9.8000000000000004E-2</v>
      </c>
      <c r="F105" s="310">
        <v>0.1</v>
      </c>
      <c r="G105" s="311">
        <v>9.9000000000000005E-2</v>
      </c>
    </row>
    <row r="106" spans="1:7">
      <c r="A106" s="320" t="s">
        <v>267</v>
      </c>
      <c r="B106" s="309" t="s">
        <v>4340</v>
      </c>
      <c r="C106" s="310">
        <v>9.7000000000000003E-2</v>
      </c>
      <c r="D106" s="310">
        <v>9.7000000000000003E-2</v>
      </c>
      <c r="E106" s="310">
        <v>9.7000000000000003E-2</v>
      </c>
      <c r="F106" s="310">
        <v>0.1</v>
      </c>
      <c r="G106" s="311">
        <v>9.9000000000000005E-2</v>
      </c>
    </row>
    <row r="107" spans="1:7">
      <c r="A107" s="320" t="s">
        <v>267</v>
      </c>
      <c r="B107" s="309" t="s">
        <v>4349</v>
      </c>
      <c r="C107" s="310">
        <v>0.1</v>
      </c>
      <c r="D107" s="310">
        <v>0.1</v>
      </c>
      <c r="E107" s="310">
        <v>8.5999999999999993E-2</v>
      </c>
      <c r="F107" s="310">
        <v>0.09</v>
      </c>
      <c r="G107" s="311">
        <v>0.1</v>
      </c>
    </row>
    <row r="108" spans="1:7">
      <c r="A108" s="320" t="s">
        <v>267</v>
      </c>
      <c r="B108" s="309" t="s">
        <v>4357</v>
      </c>
      <c r="C108" s="310">
        <v>0.1</v>
      </c>
      <c r="D108" s="310">
        <v>0.1</v>
      </c>
      <c r="E108" s="310">
        <v>9.6000000000000002E-2</v>
      </c>
      <c r="F108" s="321"/>
      <c r="G108" s="311">
        <v>0.1</v>
      </c>
    </row>
    <row r="109" spans="1:7">
      <c r="A109" s="320" t="s">
        <v>267</v>
      </c>
      <c r="B109" s="309" t="s">
        <v>4365</v>
      </c>
      <c r="C109" s="310">
        <v>0.1</v>
      </c>
      <c r="D109" s="310">
        <v>0.1</v>
      </c>
      <c r="E109" s="310">
        <v>0.1</v>
      </c>
      <c r="F109" s="321"/>
      <c r="G109" s="311">
        <v>0.1</v>
      </c>
    </row>
    <row r="110" spans="1:7">
      <c r="A110" s="320" t="s">
        <v>267</v>
      </c>
      <c r="B110" s="309" t="s">
        <v>4373</v>
      </c>
      <c r="C110" s="310">
        <v>0.1</v>
      </c>
      <c r="D110" s="310">
        <v>0.1</v>
      </c>
      <c r="E110" s="310">
        <v>0.1</v>
      </c>
      <c r="F110" s="321"/>
      <c r="G110" s="311">
        <v>0.1</v>
      </c>
    </row>
    <row r="111" spans="1:7">
      <c r="A111" s="320" t="s">
        <v>267</v>
      </c>
      <c r="B111" s="309" t="s">
        <v>4381</v>
      </c>
      <c r="C111" s="310">
        <v>0.1</v>
      </c>
      <c r="D111" s="310">
        <v>0.1</v>
      </c>
      <c r="E111" s="310">
        <v>9.5000000000000001E-2</v>
      </c>
      <c r="F111" s="321"/>
      <c r="G111" s="311">
        <v>0.1</v>
      </c>
    </row>
    <row r="112" spans="1:7">
      <c r="A112" s="320" t="s">
        <v>267</v>
      </c>
      <c r="B112" s="309" t="s">
        <v>4388</v>
      </c>
      <c r="C112" s="310">
        <v>9.7000000000000003E-2</v>
      </c>
      <c r="D112" s="310">
        <v>9.7000000000000003E-2</v>
      </c>
      <c r="E112" s="310">
        <v>0.05</v>
      </c>
      <c r="F112" s="321"/>
      <c r="G112" s="311">
        <v>9.8000000000000004E-2</v>
      </c>
    </row>
    <row r="113" spans="1:7">
      <c r="A113" s="320" t="s">
        <v>267</v>
      </c>
      <c r="B113" s="309" t="s">
        <v>4395</v>
      </c>
      <c r="C113" s="310">
        <v>0.1</v>
      </c>
      <c r="D113" s="310">
        <v>0.1</v>
      </c>
      <c r="E113" s="321"/>
      <c r="F113" s="321"/>
      <c r="G113" s="311">
        <v>0.1</v>
      </c>
    </row>
    <row r="114" spans="1:7">
      <c r="A114" s="320" t="s">
        <v>267</v>
      </c>
      <c r="B114" s="309" t="s">
        <v>4402</v>
      </c>
      <c r="C114" s="310">
        <v>9.7000000000000003E-2</v>
      </c>
      <c r="D114" s="310">
        <v>9.7000000000000003E-2</v>
      </c>
      <c r="E114" s="321"/>
      <c r="F114" s="321"/>
      <c r="G114" s="311">
        <v>9.9000000000000005E-2</v>
      </c>
    </row>
    <row r="115" spans="1:7">
      <c r="A115" s="320" t="s">
        <v>267</v>
      </c>
      <c r="B115" s="309" t="s">
        <v>4409</v>
      </c>
      <c r="C115" s="310">
        <v>0.1</v>
      </c>
      <c r="D115" s="310">
        <v>0.1</v>
      </c>
      <c r="E115" s="321"/>
      <c r="F115" s="321"/>
      <c r="G115" s="311">
        <v>0.1</v>
      </c>
    </row>
    <row r="116" spans="1:7">
      <c r="A116" s="320" t="s">
        <v>267</v>
      </c>
      <c r="B116" s="309" t="s">
        <v>4416</v>
      </c>
      <c r="C116" s="310">
        <v>0.1</v>
      </c>
      <c r="D116" s="310">
        <v>0.1</v>
      </c>
      <c r="E116" s="321"/>
      <c r="F116" s="321"/>
      <c r="G116" s="311">
        <v>0.1</v>
      </c>
    </row>
    <row r="117" spans="1:7">
      <c r="A117" s="320" t="s">
        <v>267</v>
      </c>
      <c r="B117" s="309" t="s">
        <v>4423</v>
      </c>
      <c r="C117" s="310">
        <v>9.7000000000000003E-2</v>
      </c>
      <c r="D117" s="310">
        <v>9.7000000000000003E-2</v>
      </c>
      <c r="E117" s="321"/>
      <c r="F117" s="321"/>
      <c r="G117" s="311">
        <v>9.7000000000000003E-2</v>
      </c>
    </row>
    <row r="118" spans="1:7">
      <c r="A118" s="320" t="s">
        <v>267</v>
      </c>
      <c r="B118" s="309" t="s">
        <v>4430</v>
      </c>
      <c r="C118" s="310">
        <v>0.1</v>
      </c>
      <c r="D118" s="310">
        <v>0.1</v>
      </c>
      <c r="E118" s="321"/>
      <c r="F118" s="321"/>
      <c r="G118" s="311">
        <v>0.1</v>
      </c>
    </row>
    <row r="119" spans="1:7">
      <c r="A119" s="320" t="s">
        <v>267</v>
      </c>
      <c r="B119" s="309" t="s">
        <v>4435</v>
      </c>
      <c r="C119" s="310">
        <v>5.0999999999999997E-2</v>
      </c>
      <c r="D119" s="310">
        <v>5.1999999999999998E-2</v>
      </c>
      <c r="E119" s="321"/>
      <c r="F119" s="326"/>
      <c r="G119" s="311">
        <v>0.06</v>
      </c>
    </row>
    <row r="120" spans="1:7">
      <c r="A120" s="320" t="s">
        <v>267</v>
      </c>
      <c r="B120" s="309" t="s">
        <v>4440</v>
      </c>
      <c r="C120" s="321"/>
      <c r="D120" s="321"/>
      <c r="E120" s="321"/>
      <c r="F120" s="310">
        <v>0.1</v>
      </c>
      <c r="G120" s="327"/>
    </row>
    <row r="121" spans="1:7">
      <c r="A121" s="320" t="s">
        <v>267</v>
      </c>
      <c r="B121" s="309" t="s">
        <v>4445</v>
      </c>
      <c r="C121" s="321"/>
      <c r="D121" s="321"/>
      <c r="E121" s="321"/>
      <c r="F121" s="310">
        <v>0.1</v>
      </c>
      <c r="G121" s="327"/>
    </row>
    <row r="122" spans="1:7">
      <c r="A122" s="320" t="s">
        <v>267</v>
      </c>
      <c r="B122" s="309" t="s">
        <v>4450</v>
      </c>
      <c r="C122" s="310">
        <v>0.1</v>
      </c>
      <c r="D122" s="310">
        <v>0.1</v>
      </c>
      <c r="E122" s="310">
        <v>9.8000000000000004E-2</v>
      </c>
      <c r="F122" s="310">
        <v>0.1</v>
      </c>
      <c r="G122" s="311">
        <v>0.1</v>
      </c>
    </row>
    <row r="123" spans="1:7">
      <c r="A123" s="320" t="s">
        <v>267</v>
      </c>
      <c r="B123" s="309" t="s">
        <v>4455</v>
      </c>
      <c r="C123" s="310">
        <v>0.1</v>
      </c>
      <c r="D123" s="310">
        <v>0.1</v>
      </c>
      <c r="E123" s="310">
        <v>9.8000000000000004E-2</v>
      </c>
      <c r="F123" s="310">
        <v>0.1</v>
      </c>
      <c r="G123" s="311">
        <v>0.1</v>
      </c>
    </row>
    <row r="124" spans="1:7">
      <c r="A124" s="320" t="s">
        <v>267</v>
      </c>
      <c r="B124" s="309" t="s">
        <v>4460</v>
      </c>
      <c r="C124" s="310">
        <v>0.1</v>
      </c>
      <c r="D124" s="310">
        <v>0.1</v>
      </c>
      <c r="E124" s="310">
        <v>9.8000000000000004E-2</v>
      </c>
      <c r="F124" s="326"/>
      <c r="G124" s="311">
        <v>0.1</v>
      </c>
    </row>
    <row r="125" spans="1:7">
      <c r="A125" s="320" t="s">
        <v>267</v>
      </c>
      <c r="B125" s="309" t="s">
        <v>4465</v>
      </c>
      <c r="C125" s="310">
        <v>9.8000000000000004E-2</v>
      </c>
      <c r="D125" s="310">
        <v>9.8000000000000004E-2</v>
      </c>
      <c r="E125" s="310">
        <v>9.6000000000000002E-2</v>
      </c>
      <c r="F125" s="326"/>
      <c r="G125" s="311">
        <v>0.1</v>
      </c>
    </row>
    <row r="126" spans="1:7">
      <c r="A126" s="323" t="s">
        <v>267</v>
      </c>
      <c r="B126" s="313" t="s">
        <v>4470</v>
      </c>
      <c r="C126" s="314">
        <v>0.1</v>
      </c>
      <c r="D126" s="314">
        <v>0.1</v>
      </c>
      <c r="E126" s="314">
        <v>9.8000000000000004E-2</v>
      </c>
      <c r="F126" s="314">
        <v>0.1</v>
      </c>
      <c r="G126" s="316">
        <v>0.1</v>
      </c>
    </row>
    <row r="127" spans="1:7">
      <c r="A127" s="319" t="s">
        <v>273</v>
      </c>
      <c r="B127" s="305" t="s">
        <v>4139</v>
      </c>
      <c r="C127" s="306">
        <v>0.121</v>
      </c>
      <c r="D127" s="306">
        <v>0.121</v>
      </c>
      <c r="E127" s="306">
        <v>0.107</v>
      </c>
      <c r="F127" s="306">
        <v>0.13</v>
      </c>
      <c r="G127" s="307">
        <v>0.122</v>
      </c>
    </row>
    <row r="128" spans="1:7">
      <c r="A128" s="320" t="s">
        <v>273</v>
      </c>
      <c r="B128" s="309" t="s">
        <v>4152</v>
      </c>
      <c r="C128" s="310">
        <v>0.11600000000000001</v>
      </c>
      <c r="D128" s="310">
        <v>0.11700000000000001</v>
      </c>
      <c r="E128" s="310">
        <v>0.104</v>
      </c>
      <c r="F128" s="310">
        <v>0.13</v>
      </c>
      <c r="G128" s="311">
        <v>0.11700000000000001</v>
      </c>
    </row>
    <row r="129" spans="1:7">
      <c r="A129" s="320" t="s">
        <v>273</v>
      </c>
      <c r="B129" s="309" t="s">
        <v>4166</v>
      </c>
      <c r="C129" s="310">
        <v>0.107</v>
      </c>
      <c r="D129" s="310">
        <v>0.108</v>
      </c>
      <c r="E129" s="310">
        <v>0.1</v>
      </c>
      <c r="F129" s="310">
        <v>0.13</v>
      </c>
      <c r="G129" s="311">
        <v>0.11700000000000001</v>
      </c>
    </row>
    <row r="130" spans="1:7">
      <c r="A130" s="320" t="s">
        <v>273</v>
      </c>
      <c r="B130" s="309" t="s">
        <v>4178</v>
      </c>
      <c r="C130" s="310">
        <v>0.13</v>
      </c>
      <c r="D130" s="310">
        <v>0.13</v>
      </c>
      <c r="E130" s="310">
        <v>0.126</v>
      </c>
      <c r="F130" s="310">
        <v>0.13</v>
      </c>
      <c r="G130" s="311">
        <v>0.13</v>
      </c>
    </row>
    <row r="131" spans="1:7">
      <c r="A131" s="320" t="s">
        <v>273</v>
      </c>
      <c r="B131" s="309" t="s">
        <v>4190</v>
      </c>
      <c r="C131" s="310">
        <v>0.13</v>
      </c>
      <c r="D131" s="310">
        <v>0.13</v>
      </c>
      <c r="E131" s="310">
        <v>0.13</v>
      </c>
      <c r="F131" s="310">
        <v>0.13</v>
      </c>
      <c r="G131" s="311">
        <v>0.13</v>
      </c>
    </row>
    <row r="132" spans="1:7">
      <c r="A132" s="320" t="s">
        <v>273</v>
      </c>
      <c r="B132" s="309" t="s">
        <v>4201</v>
      </c>
      <c r="C132" s="310">
        <v>0.13</v>
      </c>
      <c r="D132" s="310">
        <v>0.13</v>
      </c>
      <c r="E132" s="310">
        <v>0.126</v>
      </c>
      <c r="F132" s="310">
        <v>0.13</v>
      </c>
      <c r="G132" s="311">
        <v>0.13</v>
      </c>
    </row>
    <row r="133" spans="1:7">
      <c r="A133" s="320" t="s">
        <v>273</v>
      </c>
      <c r="B133" s="309" t="s">
        <v>4212</v>
      </c>
      <c r="C133" s="310">
        <v>0.111</v>
      </c>
      <c r="D133" s="310">
        <v>0.111</v>
      </c>
      <c r="E133" s="310">
        <v>0.10199999999999999</v>
      </c>
      <c r="F133" s="310">
        <v>0.13</v>
      </c>
      <c r="G133" s="311">
        <v>0.121</v>
      </c>
    </row>
    <row r="134" spans="1:7">
      <c r="A134" s="320" t="s">
        <v>273</v>
      </c>
      <c r="B134" s="309" t="s">
        <v>4223</v>
      </c>
      <c r="C134" s="310">
        <v>0.121</v>
      </c>
      <c r="D134" s="310">
        <v>0.121</v>
      </c>
      <c r="E134" s="310">
        <v>0.1</v>
      </c>
      <c r="F134" s="310">
        <v>0.13</v>
      </c>
      <c r="G134" s="311">
        <v>0.123</v>
      </c>
    </row>
    <row r="135" spans="1:7">
      <c r="A135" s="320" t="s">
        <v>273</v>
      </c>
      <c r="B135" s="309" t="s">
        <v>4233</v>
      </c>
      <c r="C135" s="310">
        <v>0.105</v>
      </c>
      <c r="D135" s="310">
        <v>0.106</v>
      </c>
      <c r="E135" s="310">
        <v>0.1</v>
      </c>
      <c r="F135" s="310">
        <v>0.13</v>
      </c>
      <c r="G135" s="311">
        <v>0.115</v>
      </c>
    </row>
    <row r="136" spans="1:7">
      <c r="A136" s="320" t="s">
        <v>273</v>
      </c>
      <c r="B136" s="309" t="s">
        <v>4243</v>
      </c>
      <c r="C136" s="310">
        <v>0.127</v>
      </c>
      <c r="D136" s="310">
        <v>0.127</v>
      </c>
      <c r="E136" s="310">
        <v>0.121</v>
      </c>
      <c r="F136" s="310">
        <v>0.123</v>
      </c>
      <c r="G136" s="311">
        <v>0.129</v>
      </c>
    </row>
    <row r="137" spans="1:7">
      <c r="A137" s="320" t="s">
        <v>273</v>
      </c>
      <c r="B137" s="309" t="s">
        <v>4253</v>
      </c>
      <c r="C137" s="310">
        <v>0.13</v>
      </c>
      <c r="D137" s="310">
        <v>0.13</v>
      </c>
      <c r="E137" s="310">
        <v>0.129</v>
      </c>
      <c r="F137" s="310">
        <v>0.13</v>
      </c>
      <c r="G137" s="311">
        <v>0.13</v>
      </c>
    </row>
    <row r="138" spans="1:7">
      <c r="A138" s="320" t="s">
        <v>273</v>
      </c>
      <c r="B138" s="309" t="s">
        <v>4263</v>
      </c>
      <c r="C138" s="310">
        <v>0.13</v>
      </c>
      <c r="D138" s="310">
        <v>0.13</v>
      </c>
      <c r="E138" s="310">
        <v>0.125</v>
      </c>
      <c r="F138" s="310">
        <v>0.13</v>
      </c>
      <c r="G138" s="311">
        <v>0.13</v>
      </c>
    </row>
    <row r="139" spans="1:7">
      <c r="A139" s="320" t="s">
        <v>273</v>
      </c>
      <c r="B139" s="309" t="s">
        <v>4273</v>
      </c>
      <c r="C139" s="310">
        <v>0.13</v>
      </c>
      <c r="D139" s="310">
        <v>0.13</v>
      </c>
      <c r="E139" s="310">
        <v>0.126</v>
      </c>
      <c r="F139" s="310">
        <v>0.13</v>
      </c>
      <c r="G139" s="311">
        <v>0.13</v>
      </c>
    </row>
    <row r="140" spans="1:7">
      <c r="A140" s="320" t="s">
        <v>273</v>
      </c>
      <c r="B140" s="309" t="s">
        <v>4283</v>
      </c>
      <c r="C140" s="310">
        <v>0.1</v>
      </c>
      <c r="D140" s="310">
        <v>0.1</v>
      </c>
      <c r="E140" s="310">
        <v>0.1</v>
      </c>
      <c r="F140" s="310">
        <v>0.123</v>
      </c>
      <c r="G140" s="311">
        <v>0.107</v>
      </c>
    </row>
    <row r="141" spans="1:7">
      <c r="A141" s="320" t="s">
        <v>273</v>
      </c>
      <c r="B141" s="309" t="s">
        <v>4292</v>
      </c>
      <c r="C141" s="310">
        <v>0.127</v>
      </c>
      <c r="D141" s="310">
        <v>0.127</v>
      </c>
      <c r="E141" s="310">
        <v>0.122</v>
      </c>
      <c r="F141" s="310">
        <v>0.1</v>
      </c>
      <c r="G141" s="311">
        <v>0.129</v>
      </c>
    </row>
    <row r="142" spans="1:7">
      <c r="A142" s="320" t="s">
        <v>273</v>
      </c>
      <c r="B142" s="309" t="s">
        <v>4301</v>
      </c>
      <c r="C142" s="310">
        <v>0.121</v>
      </c>
      <c r="D142" s="310">
        <v>0.122</v>
      </c>
      <c r="E142" s="310">
        <v>0.1</v>
      </c>
      <c r="F142" s="310">
        <v>0.123</v>
      </c>
      <c r="G142" s="311">
        <v>0.123</v>
      </c>
    </row>
    <row r="143" spans="1:7">
      <c r="A143" s="320" t="s">
        <v>273</v>
      </c>
      <c r="B143" s="309" t="s">
        <v>4311</v>
      </c>
      <c r="C143" s="310">
        <v>0.1</v>
      </c>
      <c r="D143" s="310">
        <v>0.1</v>
      </c>
      <c r="E143" s="310">
        <v>0.1</v>
      </c>
      <c r="F143" s="310">
        <v>0.13</v>
      </c>
      <c r="G143" s="311">
        <v>0.1</v>
      </c>
    </row>
    <row r="144" spans="1:7">
      <c r="A144" s="320" t="s">
        <v>273</v>
      </c>
      <c r="B144" s="309" t="s">
        <v>4321</v>
      </c>
      <c r="C144" s="310">
        <v>0.106</v>
      </c>
      <c r="D144" s="310">
        <v>0.105</v>
      </c>
      <c r="E144" s="310">
        <v>0.1</v>
      </c>
      <c r="F144" s="310">
        <v>0.13</v>
      </c>
      <c r="G144" s="311">
        <v>0.11799999999999999</v>
      </c>
    </row>
    <row r="145" spans="1:7">
      <c r="A145" s="320" t="s">
        <v>273</v>
      </c>
      <c r="B145" s="309" t="s">
        <v>4331</v>
      </c>
      <c r="C145" s="310">
        <v>0.123</v>
      </c>
      <c r="D145" s="310">
        <v>0.123</v>
      </c>
      <c r="E145" s="310">
        <v>0.11700000000000001</v>
      </c>
      <c r="F145" s="310">
        <v>0.13</v>
      </c>
      <c r="G145" s="311">
        <v>0.126</v>
      </c>
    </row>
    <row r="146" spans="1:7">
      <c r="A146" s="320" t="s">
        <v>273</v>
      </c>
      <c r="B146" s="309" t="s">
        <v>4341</v>
      </c>
      <c r="C146" s="310">
        <v>0.127</v>
      </c>
      <c r="D146" s="310">
        <v>0.127</v>
      </c>
      <c r="E146" s="310">
        <v>0.12</v>
      </c>
      <c r="F146" s="321"/>
      <c r="G146" s="311">
        <v>0.129</v>
      </c>
    </row>
    <row r="147" spans="1:7">
      <c r="A147" s="320" t="s">
        <v>273</v>
      </c>
      <c r="B147" s="309" t="s">
        <v>4350</v>
      </c>
      <c r="C147" s="310">
        <v>0.13</v>
      </c>
      <c r="D147" s="310">
        <v>0.13</v>
      </c>
      <c r="E147" s="310">
        <v>0.126</v>
      </c>
      <c r="F147" s="321"/>
      <c r="G147" s="311">
        <v>0.13</v>
      </c>
    </row>
    <row r="148" spans="1:7">
      <c r="A148" s="320" t="s">
        <v>273</v>
      </c>
      <c r="B148" s="309" t="s">
        <v>4358</v>
      </c>
      <c r="C148" s="310">
        <v>0.13</v>
      </c>
      <c r="D148" s="310">
        <v>0.13</v>
      </c>
      <c r="E148" s="310">
        <v>0.13</v>
      </c>
      <c r="F148" s="321"/>
      <c r="G148" s="311">
        <v>0.13</v>
      </c>
    </row>
    <row r="149" spans="1:7">
      <c r="A149" s="320" t="s">
        <v>273</v>
      </c>
      <c r="B149" s="309" t="s">
        <v>4366</v>
      </c>
      <c r="C149" s="310">
        <v>0.13</v>
      </c>
      <c r="D149" s="310">
        <v>0.13</v>
      </c>
      <c r="E149" s="310">
        <v>0.13</v>
      </c>
      <c r="F149" s="310">
        <v>0.13</v>
      </c>
      <c r="G149" s="311">
        <v>0.13</v>
      </c>
    </row>
    <row r="150" spans="1:7">
      <c r="A150" s="320" t="s">
        <v>273</v>
      </c>
      <c r="B150" s="309" t="s">
        <v>4374</v>
      </c>
      <c r="C150" s="310">
        <v>0.13</v>
      </c>
      <c r="D150" s="310">
        <v>0.13</v>
      </c>
      <c r="E150" s="310">
        <v>0.127</v>
      </c>
      <c r="F150" s="310">
        <v>0.13</v>
      </c>
      <c r="G150" s="311">
        <v>0.13</v>
      </c>
    </row>
    <row r="151" spans="1:7">
      <c r="A151" s="320" t="s">
        <v>273</v>
      </c>
      <c r="B151" s="309" t="s">
        <v>4382</v>
      </c>
      <c r="C151" s="310">
        <v>0.13</v>
      </c>
      <c r="D151" s="310">
        <v>0.13</v>
      </c>
      <c r="E151" s="310">
        <v>0.13</v>
      </c>
      <c r="F151" s="310">
        <v>0.13</v>
      </c>
      <c r="G151" s="311">
        <v>0.13</v>
      </c>
    </row>
    <row r="152" spans="1:7">
      <c r="A152" s="320" t="s">
        <v>273</v>
      </c>
      <c r="B152" s="309" t="s">
        <v>4389</v>
      </c>
      <c r="C152" s="310">
        <v>0.13</v>
      </c>
      <c r="D152" s="310">
        <v>0.13</v>
      </c>
      <c r="E152" s="310">
        <v>0.13</v>
      </c>
      <c r="F152" s="310">
        <v>0.13</v>
      </c>
      <c r="G152" s="311">
        <v>0.13</v>
      </c>
    </row>
    <row r="153" spans="1:7">
      <c r="A153" s="320" t="s">
        <v>273</v>
      </c>
      <c r="B153" s="309" t="s">
        <v>4396</v>
      </c>
      <c r="C153" s="310">
        <v>0.13</v>
      </c>
      <c r="D153" s="310">
        <v>0.13</v>
      </c>
      <c r="E153" s="310">
        <v>0.13</v>
      </c>
      <c r="F153" s="310">
        <v>0.13</v>
      </c>
      <c r="G153" s="311">
        <v>0.13</v>
      </c>
    </row>
    <row r="154" spans="1:7">
      <c r="A154" s="320" t="s">
        <v>273</v>
      </c>
      <c r="B154" s="309" t="s">
        <v>4403</v>
      </c>
      <c r="C154" s="310">
        <v>0.121</v>
      </c>
      <c r="D154" s="310">
        <v>0.121</v>
      </c>
      <c r="E154" s="310">
        <v>0.105</v>
      </c>
      <c r="F154" s="310">
        <v>0.121</v>
      </c>
      <c r="G154" s="311">
        <v>0.123</v>
      </c>
    </row>
    <row r="155" spans="1:7">
      <c r="A155" s="320" t="s">
        <v>273</v>
      </c>
      <c r="B155" s="309" t="s">
        <v>4410</v>
      </c>
      <c r="C155" s="310">
        <v>0.1</v>
      </c>
      <c r="D155" s="310">
        <v>0.1</v>
      </c>
      <c r="E155" s="310">
        <v>0.1</v>
      </c>
      <c r="F155" s="310">
        <v>0.1</v>
      </c>
      <c r="G155" s="311">
        <v>0.1</v>
      </c>
    </row>
    <row r="156" spans="1:7">
      <c r="A156" s="320" t="s">
        <v>273</v>
      </c>
      <c r="B156" s="309" t="s">
        <v>4417</v>
      </c>
      <c r="C156" s="310">
        <v>0.13</v>
      </c>
      <c r="D156" s="310">
        <v>0.13</v>
      </c>
      <c r="E156" s="310">
        <v>0.13</v>
      </c>
      <c r="F156" s="310">
        <v>0.13</v>
      </c>
      <c r="G156" s="311">
        <v>0.13</v>
      </c>
    </row>
    <row r="157" spans="1:7">
      <c r="A157" s="320" t="s">
        <v>273</v>
      </c>
      <c r="B157" s="309" t="s">
        <v>4424</v>
      </c>
      <c r="C157" s="310">
        <v>0.13</v>
      </c>
      <c r="D157" s="310">
        <v>0.13</v>
      </c>
      <c r="E157" s="310">
        <v>0.125</v>
      </c>
      <c r="F157" s="310">
        <v>0.13</v>
      </c>
      <c r="G157" s="311">
        <v>0.13</v>
      </c>
    </row>
    <row r="158" spans="1:7">
      <c r="A158" s="320" t="s">
        <v>273</v>
      </c>
      <c r="B158" s="309" t="s">
        <v>4431</v>
      </c>
      <c r="C158" s="310">
        <v>0.124</v>
      </c>
      <c r="D158" s="310">
        <v>0.124</v>
      </c>
      <c r="E158" s="310">
        <v>0.11700000000000001</v>
      </c>
      <c r="F158" s="310">
        <v>0.121</v>
      </c>
      <c r="G158" s="311">
        <v>0.124</v>
      </c>
    </row>
    <row r="159" spans="1:7">
      <c r="A159" s="320" t="s">
        <v>273</v>
      </c>
      <c r="B159" s="309" t="s">
        <v>4436</v>
      </c>
      <c r="C159" s="310">
        <v>0.127</v>
      </c>
      <c r="D159" s="310">
        <v>0.127</v>
      </c>
      <c r="E159" s="310">
        <v>0.122</v>
      </c>
      <c r="F159" s="310">
        <v>0.13</v>
      </c>
      <c r="G159" s="311">
        <v>0.129</v>
      </c>
    </row>
    <row r="160" spans="1:7">
      <c r="A160" s="320" t="s">
        <v>273</v>
      </c>
      <c r="B160" s="309" t="s">
        <v>4441</v>
      </c>
      <c r="C160" s="310">
        <v>0.13</v>
      </c>
      <c r="D160" s="310">
        <v>0.13</v>
      </c>
      <c r="E160" s="310">
        <v>0.124</v>
      </c>
      <c r="F160" s="310">
        <v>0.126</v>
      </c>
      <c r="G160" s="311">
        <v>0.13</v>
      </c>
    </row>
    <row r="161" spans="1:7">
      <c r="A161" s="320" t="s">
        <v>273</v>
      </c>
      <c r="B161" s="309" t="s">
        <v>4446</v>
      </c>
      <c r="C161" s="310">
        <v>0.13</v>
      </c>
      <c r="D161" s="310">
        <v>0.13</v>
      </c>
      <c r="E161" s="310">
        <v>0.124</v>
      </c>
      <c r="F161" s="310">
        <v>0.127</v>
      </c>
      <c r="G161" s="311">
        <v>0.13</v>
      </c>
    </row>
    <row r="162" spans="1:7">
      <c r="A162" s="320" t="s">
        <v>273</v>
      </c>
      <c r="B162" s="309" t="s">
        <v>4451</v>
      </c>
      <c r="C162" s="310">
        <v>0.1</v>
      </c>
      <c r="D162" s="310">
        <v>0.1</v>
      </c>
      <c r="E162" s="310">
        <v>0.1</v>
      </c>
      <c r="F162" s="310">
        <v>0.121</v>
      </c>
      <c r="G162" s="311">
        <v>0.105</v>
      </c>
    </row>
    <row r="163" spans="1:7">
      <c r="A163" s="320" t="s">
        <v>273</v>
      </c>
      <c r="B163" s="309" t="s">
        <v>4456</v>
      </c>
      <c r="C163" s="310">
        <v>0.1</v>
      </c>
      <c r="D163" s="310">
        <v>0.1</v>
      </c>
      <c r="E163" s="310">
        <v>0.1</v>
      </c>
      <c r="F163" s="310">
        <v>0.1</v>
      </c>
      <c r="G163" s="311">
        <v>0.1</v>
      </c>
    </row>
    <row r="164" spans="1:7">
      <c r="A164" s="320" t="s">
        <v>273</v>
      </c>
      <c r="B164" s="309" t="s">
        <v>4461</v>
      </c>
      <c r="C164" s="326"/>
      <c r="D164" s="326"/>
      <c r="E164" s="326"/>
      <c r="F164" s="310">
        <v>0.1</v>
      </c>
      <c r="G164" s="322"/>
    </row>
    <row r="165" spans="1:7">
      <c r="A165" s="320" t="s">
        <v>273</v>
      </c>
      <c r="B165" s="309" t="s">
        <v>4466</v>
      </c>
      <c r="C165" s="310">
        <v>0.126</v>
      </c>
      <c r="D165" s="310">
        <v>0.126</v>
      </c>
      <c r="E165" s="310">
        <v>0.11899999999999999</v>
      </c>
      <c r="F165" s="310">
        <v>0.13</v>
      </c>
      <c r="G165" s="311">
        <v>0.128</v>
      </c>
    </row>
    <row r="166" spans="1:7">
      <c r="A166" s="320" t="s">
        <v>273</v>
      </c>
      <c r="B166" s="309" t="s">
        <v>4471</v>
      </c>
      <c r="C166" s="310">
        <v>0.129</v>
      </c>
      <c r="D166" s="310">
        <v>0.129</v>
      </c>
      <c r="E166" s="310">
        <v>0.123</v>
      </c>
      <c r="F166" s="310">
        <v>0.128</v>
      </c>
      <c r="G166" s="311">
        <v>0.13</v>
      </c>
    </row>
    <row r="167" spans="1:7">
      <c r="A167" s="320" t="s">
        <v>273</v>
      </c>
      <c r="B167" s="309" t="s">
        <v>4475</v>
      </c>
      <c r="C167" s="310">
        <v>0.125</v>
      </c>
      <c r="D167" s="310">
        <v>0.125</v>
      </c>
      <c r="E167" s="310">
        <v>0.11700000000000001</v>
      </c>
      <c r="F167" s="310">
        <v>0.13</v>
      </c>
      <c r="G167" s="311">
        <v>0.126</v>
      </c>
    </row>
    <row r="168" spans="1:7">
      <c r="A168" s="320" t="s">
        <v>273</v>
      </c>
      <c r="B168" s="309" t="s">
        <v>4479</v>
      </c>
      <c r="C168" s="310">
        <v>0.128</v>
      </c>
      <c r="D168" s="310">
        <v>0.128</v>
      </c>
      <c r="E168" s="310">
        <v>0.123</v>
      </c>
      <c r="F168" s="321"/>
      <c r="G168" s="311">
        <v>0.13</v>
      </c>
    </row>
    <row r="169" spans="1:7">
      <c r="A169" s="320" t="s">
        <v>273</v>
      </c>
      <c r="B169" s="309" t="s">
        <v>4483</v>
      </c>
      <c r="C169" s="326"/>
      <c r="D169" s="326"/>
      <c r="E169" s="326"/>
      <c r="F169" s="310">
        <v>0.05</v>
      </c>
      <c r="G169" s="322"/>
    </row>
    <row r="170" spans="1:7">
      <c r="A170" s="320" t="s">
        <v>273</v>
      </c>
      <c r="B170" s="309" t="s">
        <v>4487</v>
      </c>
      <c r="C170" s="326"/>
      <c r="D170" s="326"/>
      <c r="E170" s="326"/>
      <c r="F170" s="310">
        <v>0.05</v>
      </c>
      <c r="G170" s="322"/>
    </row>
    <row r="171" spans="1:7">
      <c r="A171" s="320" t="s">
        <v>273</v>
      </c>
      <c r="B171" s="309" t="s">
        <v>4490</v>
      </c>
      <c r="C171" s="326"/>
      <c r="D171" s="326"/>
      <c r="E171" s="326"/>
      <c r="F171" s="310">
        <v>0.05</v>
      </c>
      <c r="G171" s="327"/>
    </row>
    <row r="172" spans="1:7">
      <c r="A172" s="320" t="s">
        <v>273</v>
      </c>
      <c r="B172" s="309" t="s">
        <v>4492</v>
      </c>
      <c r="C172" s="326"/>
      <c r="D172" s="326"/>
      <c r="E172" s="326"/>
      <c r="F172" s="310">
        <v>0.05</v>
      </c>
      <c r="G172" s="327"/>
    </row>
    <row r="173" spans="1:7">
      <c r="A173" s="320" t="s">
        <v>273</v>
      </c>
      <c r="B173" s="309" t="s">
        <v>4494</v>
      </c>
      <c r="C173" s="326"/>
      <c r="D173" s="326"/>
      <c r="E173" s="326"/>
      <c r="F173" s="310">
        <v>0.05</v>
      </c>
      <c r="G173" s="322"/>
    </row>
    <row r="174" spans="1:7">
      <c r="A174" s="320" t="s">
        <v>273</v>
      </c>
      <c r="B174" s="309" t="s">
        <v>4496</v>
      </c>
      <c r="C174" s="326"/>
      <c r="D174" s="326"/>
      <c r="E174" s="326"/>
      <c r="F174" s="310">
        <v>0.05</v>
      </c>
      <c r="G174" s="322"/>
    </row>
    <row r="175" spans="1:7">
      <c r="A175" s="320" t="s">
        <v>273</v>
      </c>
      <c r="B175" s="309" t="s">
        <v>4498</v>
      </c>
      <c r="C175" s="326"/>
      <c r="D175" s="326"/>
      <c r="E175" s="326"/>
      <c r="F175" s="310">
        <v>0.05</v>
      </c>
      <c r="G175" s="322"/>
    </row>
    <row r="176" spans="1:7">
      <c r="A176" s="320" t="s">
        <v>273</v>
      </c>
      <c r="B176" s="309" t="s">
        <v>4500</v>
      </c>
      <c r="C176" s="326"/>
      <c r="D176" s="326"/>
      <c r="E176" s="326"/>
      <c r="F176" s="310">
        <v>0.05</v>
      </c>
      <c r="G176" s="322"/>
    </row>
    <row r="177" spans="1:7">
      <c r="A177" s="320" t="s">
        <v>273</v>
      </c>
      <c r="B177" s="309" t="s">
        <v>4502</v>
      </c>
      <c r="C177" s="321"/>
      <c r="D177" s="321"/>
      <c r="E177" s="321"/>
      <c r="F177" s="310">
        <v>0.05</v>
      </c>
      <c r="G177" s="327"/>
    </row>
    <row r="178" spans="1:7">
      <c r="A178" s="320" t="s">
        <v>273</v>
      </c>
      <c r="B178" s="309" t="s">
        <v>4503</v>
      </c>
      <c r="C178" s="321"/>
      <c r="D178" s="321"/>
      <c r="E178" s="321"/>
      <c r="F178" s="310">
        <v>0.05</v>
      </c>
      <c r="G178" s="327"/>
    </row>
    <row r="179" spans="1:7">
      <c r="A179" s="320" t="s">
        <v>273</v>
      </c>
      <c r="B179" s="309" t="s">
        <v>4504</v>
      </c>
      <c r="C179" s="321"/>
      <c r="D179" s="321"/>
      <c r="E179" s="321"/>
      <c r="F179" s="310">
        <v>0.05</v>
      </c>
      <c r="G179" s="327"/>
    </row>
    <row r="180" spans="1:7">
      <c r="A180" s="320" t="s">
        <v>273</v>
      </c>
      <c r="B180" s="309" t="s">
        <v>4505</v>
      </c>
      <c r="C180" s="321"/>
      <c r="D180" s="321"/>
      <c r="E180" s="321"/>
      <c r="F180" s="310">
        <v>0.05</v>
      </c>
      <c r="G180" s="327"/>
    </row>
    <row r="181" spans="1:7">
      <c r="A181" s="320" t="s">
        <v>273</v>
      </c>
      <c r="B181" s="309" t="s">
        <v>4506</v>
      </c>
      <c r="C181" s="321"/>
      <c r="D181" s="321"/>
      <c r="E181" s="321"/>
      <c r="F181" s="310">
        <v>0.05</v>
      </c>
      <c r="G181" s="327"/>
    </row>
    <row r="182" spans="1:7">
      <c r="A182" s="320" t="s">
        <v>273</v>
      </c>
      <c r="B182" s="309" t="s">
        <v>4507</v>
      </c>
      <c r="C182" s="321"/>
      <c r="D182" s="321"/>
      <c r="E182" s="321"/>
      <c r="F182" s="310">
        <v>0.05</v>
      </c>
      <c r="G182" s="327"/>
    </row>
    <row r="183" spans="1:7">
      <c r="A183" s="320" t="s">
        <v>273</v>
      </c>
      <c r="B183" s="309" t="s">
        <v>4508</v>
      </c>
      <c r="C183" s="321"/>
      <c r="D183" s="321"/>
      <c r="E183" s="321"/>
      <c r="F183" s="310">
        <v>0.05</v>
      </c>
      <c r="G183" s="327"/>
    </row>
    <row r="184" spans="1:7">
      <c r="A184" s="320" t="s">
        <v>273</v>
      </c>
      <c r="B184" s="309" t="s">
        <v>4509</v>
      </c>
      <c r="C184" s="321"/>
      <c r="D184" s="321"/>
      <c r="E184" s="321"/>
      <c r="F184" s="310">
        <v>0.05</v>
      </c>
      <c r="G184" s="327"/>
    </row>
    <row r="185" spans="1:7">
      <c r="A185" s="320" t="s">
        <v>273</v>
      </c>
      <c r="B185" s="309" t="s">
        <v>4510</v>
      </c>
      <c r="C185" s="321"/>
      <c r="D185" s="321"/>
      <c r="E185" s="321"/>
      <c r="F185" s="310">
        <v>0.05</v>
      </c>
      <c r="G185" s="327"/>
    </row>
    <row r="186" spans="1:7">
      <c r="A186" s="320" t="s">
        <v>273</v>
      </c>
      <c r="B186" s="309" t="s">
        <v>4511</v>
      </c>
      <c r="C186" s="321"/>
      <c r="D186" s="321"/>
      <c r="E186" s="321"/>
      <c r="F186" s="310">
        <v>0.05</v>
      </c>
      <c r="G186" s="327"/>
    </row>
    <row r="187" spans="1:7">
      <c r="A187" s="320" t="s">
        <v>273</v>
      </c>
      <c r="B187" s="309" t="s">
        <v>4512</v>
      </c>
      <c r="C187" s="321"/>
      <c r="D187" s="321"/>
      <c r="E187" s="321"/>
      <c r="F187" s="310">
        <v>0.05</v>
      </c>
      <c r="G187" s="327"/>
    </row>
    <row r="188" spans="1:7">
      <c r="A188" s="320" t="s">
        <v>273</v>
      </c>
      <c r="B188" s="309" t="s">
        <v>4513</v>
      </c>
      <c r="C188" s="321"/>
      <c r="D188" s="321"/>
      <c r="E188" s="321"/>
      <c r="F188" s="310">
        <v>0.05</v>
      </c>
      <c r="G188" s="327"/>
    </row>
    <row r="189" spans="1:7">
      <c r="A189" s="323" t="s">
        <v>273</v>
      </c>
      <c r="B189" s="313" t="s">
        <v>4514</v>
      </c>
      <c r="C189" s="315"/>
      <c r="D189" s="315"/>
      <c r="E189" s="315"/>
      <c r="F189" s="314">
        <v>0.05</v>
      </c>
      <c r="G189" s="328"/>
    </row>
    <row r="190" spans="1:7">
      <c r="A190" s="319" t="s">
        <v>278</v>
      </c>
      <c r="B190" s="305" t="s">
        <v>4140</v>
      </c>
      <c r="C190" s="306">
        <v>0.124</v>
      </c>
      <c r="D190" s="306">
        <v>0.124</v>
      </c>
      <c r="E190" s="306">
        <v>0.129</v>
      </c>
      <c r="F190" s="306">
        <v>0.13</v>
      </c>
      <c r="G190" s="307">
        <v>0.127</v>
      </c>
    </row>
    <row r="191" spans="1:7">
      <c r="A191" s="320" t="s">
        <v>278</v>
      </c>
      <c r="B191" s="309" t="s">
        <v>4153</v>
      </c>
      <c r="C191" s="310">
        <v>0.13</v>
      </c>
      <c r="D191" s="310">
        <v>0.13</v>
      </c>
      <c r="E191" s="310">
        <v>0.13</v>
      </c>
      <c r="F191" s="310">
        <v>0.13</v>
      </c>
      <c r="G191" s="311">
        <v>0.13</v>
      </c>
    </row>
    <row r="192" spans="1:7">
      <c r="A192" s="320" t="s">
        <v>278</v>
      </c>
      <c r="B192" s="309" t="s">
        <v>4167</v>
      </c>
      <c r="C192" s="310">
        <v>0.13</v>
      </c>
      <c r="D192" s="310">
        <v>0.13</v>
      </c>
      <c r="E192" s="310">
        <v>0.13</v>
      </c>
      <c r="F192" s="310">
        <v>0.13</v>
      </c>
      <c r="G192" s="311">
        <v>0.13</v>
      </c>
    </row>
    <row r="193" spans="1:7">
      <c r="A193" s="320" t="s">
        <v>278</v>
      </c>
      <c r="B193" s="309" t="s">
        <v>4179</v>
      </c>
      <c r="C193" s="310">
        <v>0.13</v>
      </c>
      <c r="D193" s="310">
        <v>0.13</v>
      </c>
      <c r="E193" s="310">
        <v>0.13</v>
      </c>
      <c r="F193" s="310">
        <v>0.13</v>
      </c>
      <c r="G193" s="311">
        <v>0.13</v>
      </c>
    </row>
    <row r="194" spans="1:7">
      <c r="A194" s="320" t="s">
        <v>278</v>
      </c>
      <c r="B194" s="309" t="s">
        <v>4191</v>
      </c>
      <c r="C194" s="310">
        <v>0.123</v>
      </c>
      <c r="D194" s="310">
        <v>0.123</v>
      </c>
      <c r="E194" s="310">
        <v>0.128</v>
      </c>
      <c r="F194" s="310">
        <v>0.13</v>
      </c>
      <c r="G194" s="311">
        <v>0.126</v>
      </c>
    </row>
    <row r="195" spans="1:7">
      <c r="A195" s="320" t="s">
        <v>278</v>
      </c>
      <c r="B195" s="309" t="s">
        <v>4202</v>
      </c>
      <c r="C195" s="310">
        <v>0.127</v>
      </c>
      <c r="D195" s="310">
        <v>0.127</v>
      </c>
      <c r="E195" s="310">
        <v>0.121</v>
      </c>
      <c r="F195" s="310">
        <v>0.129</v>
      </c>
      <c r="G195" s="311">
        <v>0.129</v>
      </c>
    </row>
    <row r="196" spans="1:7">
      <c r="A196" s="320" t="s">
        <v>278</v>
      </c>
      <c r="B196" s="309" t="s">
        <v>4213</v>
      </c>
      <c r="C196" s="310">
        <v>0.127</v>
      </c>
      <c r="D196" s="310">
        <v>0.128</v>
      </c>
      <c r="E196" s="310">
        <v>0.122</v>
      </c>
      <c r="F196" s="310">
        <v>0.13</v>
      </c>
      <c r="G196" s="311">
        <v>0.129</v>
      </c>
    </row>
    <row r="197" spans="1:7">
      <c r="A197" s="320" t="s">
        <v>278</v>
      </c>
      <c r="B197" s="309" t="s">
        <v>4224</v>
      </c>
      <c r="C197" s="310">
        <v>0.126</v>
      </c>
      <c r="D197" s="310">
        <v>0.126</v>
      </c>
      <c r="E197" s="310">
        <v>0.11899999999999999</v>
      </c>
      <c r="F197" s="310">
        <v>0.13</v>
      </c>
      <c r="G197" s="311">
        <v>0.128</v>
      </c>
    </row>
    <row r="198" spans="1:7">
      <c r="A198" s="320" t="s">
        <v>278</v>
      </c>
      <c r="B198" s="309" t="s">
        <v>4234</v>
      </c>
      <c r="C198" s="310">
        <v>0.13</v>
      </c>
      <c r="D198" s="310">
        <v>0.13</v>
      </c>
      <c r="E198" s="310">
        <v>0.126</v>
      </c>
      <c r="F198" s="326"/>
      <c r="G198" s="311">
        <v>0.13</v>
      </c>
    </row>
    <row r="199" spans="1:7">
      <c r="A199" s="320" t="s">
        <v>278</v>
      </c>
      <c r="B199" s="309" t="s">
        <v>4244</v>
      </c>
      <c r="C199" s="310">
        <v>0.13</v>
      </c>
      <c r="D199" s="310">
        <v>0.13</v>
      </c>
      <c r="E199" s="310">
        <v>0.13</v>
      </c>
      <c r="F199" s="310">
        <v>0.13</v>
      </c>
      <c r="G199" s="311">
        <v>0.13</v>
      </c>
    </row>
    <row r="200" spans="1:7">
      <c r="A200" s="320" t="s">
        <v>278</v>
      </c>
      <c r="B200" s="309" t="s">
        <v>4254</v>
      </c>
      <c r="C200" s="326"/>
      <c r="D200" s="326"/>
      <c r="E200" s="326"/>
      <c r="F200" s="310">
        <v>0.13</v>
      </c>
      <c r="G200" s="322"/>
    </row>
    <row r="201" spans="1:7">
      <c r="A201" s="320" t="s">
        <v>278</v>
      </c>
      <c r="B201" s="309" t="s">
        <v>4264</v>
      </c>
      <c r="C201" s="310">
        <v>0.13</v>
      </c>
      <c r="D201" s="310">
        <v>0.13</v>
      </c>
      <c r="E201" s="310">
        <v>0.13</v>
      </c>
      <c r="F201" s="310">
        <v>0.129</v>
      </c>
      <c r="G201" s="311">
        <v>0.13</v>
      </c>
    </row>
    <row r="202" spans="1:7">
      <c r="A202" s="320" t="s">
        <v>278</v>
      </c>
      <c r="B202" s="309" t="s">
        <v>4274</v>
      </c>
      <c r="C202" s="310">
        <v>0.13</v>
      </c>
      <c r="D202" s="310">
        <v>0.13</v>
      </c>
      <c r="E202" s="310">
        <v>0.13</v>
      </c>
      <c r="F202" s="310">
        <v>0.13</v>
      </c>
      <c r="G202" s="311">
        <v>0.13</v>
      </c>
    </row>
    <row r="203" spans="1:7">
      <c r="A203" s="320" t="s">
        <v>278</v>
      </c>
      <c r="B203" s="309" t="s">
        <v>4284</v>
      </c>
      <c r="C203" s="310">
        <v>0.129</v>
      </c>
      <c r="D203" s="310">
        <v>0.129</v>
      </c>
      <c r="E203" s="310">
        <v>0.13</v>
      </c>
      <c r="F203" s="310">
        <v>0.13</v>
      </c>
      <c r="G203" s="311">
        <v>0.13</v>
      </c>
    </row>
    <row r="204" spans="1:7">
      <c r="A204" s="320" t="s">
        <v>278</v>
      </c>
      <c r="B204" s="309" t="s">
        <v>4293</v>
      </c>
      <c r="C204" s="310">
        <v>0.129</v>
      </c>
      <c r="D204" s="310">
        <v>0.129</v>
      </c>
      <c r="E204" s="310">
        <v>0.123</v>
      </c>
      <c r="F204" s="310">
        <v>0.13</v>
      </c>
      <c r="G204" s="311">
        <v>0.13</v>
      </c>
    </row>
    <row r="205" spans="1:7">
      <c r="A205" s="320" t="s">
        <v>278</v>
      </c>
      <c r="B205" s="309" t="s">
        <v>4302</v>
      </c>
      <c r="C205" s="310">
        <v>0.13</v>
      </c>
      <c r="D205" s="310">
        <v>0.13</v>
      </c>
      <c r="E205" s="310">
        <v>0.13</v>
      </c>
      <c r="F205" s="310">
        <v>0.13</v>
      </c>
      <c r="G205" s="311">
        <v>0.13</v>
      </c>
    </row>
    <row r="206" spans="1:7">
      <c r="A206" s="320" t="s">
        <v>278</v>
      </c>
      <c r="B206" s="309" t="s">
        <v>4312</v>
      </c>
      <c r="C206" s="310">
        <v>0.13</v>
      </c>
      <c r="D206" s="310">
        <v>0.13</v>
      </c>
      <c r="E206" s="310">
        <v>0.13</v>
      </c>
      <c r="F206" s="310">
        <v>0.128</v>
      </c>
      <c r="G206" s="311">
        <v>0.13</v>
      </c>
    </row>
    <row r="207" spans="1:7">
      <c r="A207" s="320" t="s">
        <v>278</v>
      </c>
      <c r="B207" s="309" t="s">
        <v>4322</v>
      </c>
      <c r="C207" s="310">
        <v>0.13</v>
      </c>
      <c r="D207" s="310">
        <v>0.13</v>
      </c>
      <c r="E207" s="310">
        <v>0.13</v>
      </c>
      <c r="F207" s="310">
        <v>0.13</v>
      </c>
      <c r="G207" s="311">
        <v>0.13</v>
      </c>
    </row>
    <row r="208" spans="1:7">
      <c r="A208" s="320" t="s">
        <v>278</v>
      </c>
      <c r="B208" s="309" t="s">
        <v>4332</v>
      </c>
      <c r="C208" s="310">
        <v>0.13</v>
      </c>
      <c r="D208" s="310">
        <v>0.13</v>
      </c>
      <c r="E208" s="310">
        <v>0.13</v>
      </c>
      <c r="F208" s="310">
        <v>0.13</v>
      </c>
      <c r="G208" s="311">
        <v>0.13</v>
      </c>
    </row>
    <row r="209" spans="1:7">
      <c r="A209" s="320" t="s">
        <v>278</v>
      </c>
      <c r="B209" s="309" t="s">
        <v>4342</v>
      </c>
      <c r="C209" s="310">
        <v>0.13</v>
      </c>
      <c r="D209" s="310">
        <v>0.13</v>
      </c>
      <c r="E209" s="310">
        <v>0.13</v>
      </c>
      <c r="F209" s="310">
        <v>0.13</v>
      </c>
      <c r="G209" s="311">
        <v>0.13</v>
      </c>
    </row>
    <row r="210" spans="1:7">
      <c r="A210" s="320" t="s">
        <v>278</v>
      </c>
      <c r="B210" s="309" t="s">
        <v>4351</v>
      </c>
      <c r="C210" s="310">
        <v>0.121</v>
      </c>
      <c r="D210" s="310">
        <v>0.121</v>
      </c>
      <c r="E210" s="310">
        <v>0.125</v>
      </c>
      <c r="F210" s="310">
        <v>0.13</v>
      </c>
      <c r="G210" s="311">
        <v>0.123</v>
      </c>
    </row>
    <row r="211" spans="1:7">
      <c r="A211" s="320" t="s">
        <v>278</v>
      </c>
      <c r="B211" s="309" t="s">
        <v>4359</v>
      </c>
      <c r="C211" s="310">
        <v>0.123</v>
      </c>
      <c r="D211" s="310">
        <v>0.123</v>
      </c>
      <c r="E211" s="310">
        <v>0.127</v>
      </c>
      <c r="F211" s="310">
        <v>0.115</v>
      </c>
      <c r="G211" s="311">
        <v>0.126</v>
      </c>
    </row>
    <row r="212" spans="1:7">
      <c r="A212" s="320" t="s">
        <v>278</v>
      </c>
      <c r="B212" s="309" t="s">
        <v>4367</v>
      </c>
      <c r="C212" s="310">
        <v>0.126</v>
      </c>
      <c r="D212" s="310">
        <v>0.126</v>
      </c>
      <c r="E212" s="310">
        <v>0.13</v>
      </c>
      <c r="F212" s="310">
        <v>0.13</v>
      </c>
      <c r="G212" s="311">
        <v>0.129</v>
      </c>
    </row>
    <row r="213" spans="1:7">
      <c r="A213" s="320" t="s">
        <v>278</v>
      </c>
      <c r="B213" s="309" t="s">
        <v>4375</v>
      </c>
      <c r="C213" s="310">
        <v>0.129</v>
      </c>
      <c r="D213" s="310">
        <v>0.13</v>
      </c>
      <c r="E213" s="310">
        <v>0.127</v>
      </c>
      <c r="F213" s="310">
        <v>0.13</v>
      </c>
      <c r="G213" s="311">
        <v>0.13</v>
      </c>
    </row>
    <row r="214" spans="1:7">
      <c r="A214" s="320" t="s">
        <v>278</v>
      </c>
      <c r="B214" s="309" t="s">
        <v>4383</v>
      </c>
      <c r="C214" s="310">
        <v>0.128</v>
      </c>
      <c r="D214" s="310">
        <v>0.128</v>
      </c>
      <c r="E214" s="310">
        <v>0.13</v>
      </c>
      <c r="F214" s="310">
        <v>0.13</v>
      </c>
      <c r="G214" s="311">
        <v>0.13</v>
      </c>
    </row>
    <row r="215" spans="1:7">
      <c r="A215" s="320" t="s">
        <v>278</v>
      </c>
      <c r="B215" s="309" t="s">
        <v>4390</v>
      </c>
      <c r="C215" s="310">
        <v>0.13</v>
      </c>
      <c r="D215" s="310">
        <v>0.13</v>
      </c>
      <c r="E215" s="310">
        <v>0.13</v>
      </c>
      <c r="F215" s="310">
        <v>0.129</v>
      </c>
      <c r="G215" s="311">
        <v>0.13</v>
      </c>
    </row>
    <row r="216" spans="1:7">
      <c r="A216" s="320" t="s">
        <v>278</v>
      </c>
      <c r="B216" s="309" t="s">
        <v>4397</v>
      </c>
      <c r="C216" s="310">
        <v>0.13</v>
      </c>
      <c r="D216" s="310">
        <v>0.13</v>
      </c>
      <c r="E216" s="310">
        <v>0.13</v>
      </c>
      <c r="F216" s="310">
        <v>0.13</v>
      </c>
      <c r="G216" s="311">
        <v>0.13</v>
      </c>
    </row>
    <row r="217" spans="1:7">
      <c r="A217" s="320" t="s">
        <v>278</v>
      </c>
      <c r="B217" s="309" t="s">
        <v>4404</v>
      </c>
      <c r="C217" s="310">
        <v>0.129</v>
      </c>
      <c r="D217" s="310">
        <v>0.129</v>
      </c>
      <c r="E217" s="310">
        <v>0.13</v>
      </c>
      <c r="F217" s="310">
        <v>0.13</v>
      </c>
      <c r="G217" s="311">
        <v>0.13</v>
      </c>
    </row>
    <row r="218" spans="1:7">
      <c r="A218" s="320" t="s">
        <v>278</v>
      </c>
      <c r="B218" s="309" t="s">
        <v>4411</v>
      </c>
      <c r="C218" s="321"/>
      <c r="D218" s="321"/>
      <c r="E218" s="321"/>
      <c r="F218" s="310">
        <v>0.05</v>
      </c>
      <c r="G218" s="327"/>
    </row>
    <row r="219" spans="1:7">
      <c r="A219" s="320" t="s">
        <v>278</v>
      </c>
      <c r="B219" s="309" t="s">
        <v>4418</v>
      </c>
      <c r="C219" s="321"/>
      <c r="D219" s="321"/>
      <c r="E219" s="321"/>
      <c r="F219" s="310">
        <v>0.05</v>
      </c>
      <c r="G219" s="327"/>
    </row>
    <row r="220" spans="1:7">
      <c r="A220" s="320" t="s">
        <v>278</v>
      </c>
      <c r="B220" s="309" t="s">
        <v>4425</v>
      </c>
      <c r="C220" s="321"/>
      <c r="D220" s="321"/>
      <c r="E220" s="321"/>
      <c r="F220" s="310">
        <v>0.05</v>
      </c>
      <c r="G220" s="327"/>
    </row>
    <row r="221" spans="1:7">
      <c r="A221" s="320" t="s">
        <v>278</v>
      </c>
      <c r="B221" s="309" t="s">
        <v>4432</v>
      </c>
      <c r="C221" s="321"/>
      <c r="D221" s="321"/>
      <c r="E221" s="321"/>
      <c r="F221" s="310">
        <v>0.05</v>
      </c>
      <c r="G221" s="327"/>
    </row>
    <row r="222" spans="1:7">
      <c r="A222" s="320" t="s">
        <v>278</v>
      </c>
      <c r="B222" s="309" t="s">
        <v>4437</v>
      </c>
      <c r="C222" s="321"/>
      <c r="D222" s="321"/>
      <c r="E222" s="321"/>
      <c r="F222" s="310">
        <v>0.05</v>
      </c>
      <c r="G222" s="327"/>
    </row>
    <row r="223" spans="1:7">
      <c r="A223" s="320" t="s">
        <v>278</v>
      </c>
      <c r="B223" s="309" t="s">
        <v>4442</v>
      </c>
      <c r="C223" s="321"/>
      <c r="D223" s="321"/>
      <c r="E223" s="321"/>
      <c r="F223" s="310">
        <v>0.05</v>
      </c>
      <c r="G223" s="327"/>
    </row>
    <row r="224" spans="1:7">
      <c r="A224" s="320" t="s">
        <v>278</v>
      </c>
      <c r="B224" s="309" t="s">
        <v>4447</v>
      </c>
      <c r="C224" s="321"/>
      <c r="D224" s="321"/>
      <c r="E224" s="321"/>
      <c r="F224" s="310">
        <v>0.05</v>
      </c>
      <c r="G224" s="327"/>
    </row>
    <row r="225" spans="1:7">
      <c r="A225" s="320" t="s">
        <v>278</v>
      </c>
      <c r="B225" s="309" t="s">
        <v>4452</v>
      </c>
      <c r="C225" s="321"/>
      <c r="D225" s="321"/>
      <c r="E225" s="321"/>
      <c r="F225" s="310">
        <v>0.05</v>
      </c>
      <c r="G225" s="327"/>
    </row>
    <row r="226" spans="1:7">
      <c r="A226" s="320" t="s">
        <v>278</v>
      </c>
      <c r="B226" s="309" t="s">
        <v>4457</v>
      </c>
      <c r="C226" s="321"/>
      <c r="D226" s="321"/>
      <c r="E226" s="321"/>
      <c r="F226" s="310">
        <v>0.05</v>
      </c>
      <c r="G226" s="327"/>
    </row>
    <row r="227" spans="1:7">
      <c r="A227" s="320" t="s">
        <v>278</v>
      </c>
      <c r="B227" s="309" t="s">
        <v>4516</v>
      </c>
      <c r="C227" s="321"/>
      <c r="D227" s="321"/>
      <c r="E227" s="321"/>
      <c r="F227" s="310">
        <v>0.05</v>
      </c>
      <c r="G227" s="327"/>
    </row>
    <row r="228" spans="1:7">
      <c r="A228" s="320" t="s">
        <v>278</v>
      </c>
      <c r="B228" s="309" t="s">
        <v>4517</v>
      </c>
      <c r="C228" s="321"/>
      <c r="D228" s="321"/>
      <c r="E228" s="321"/>
      <c r="F228" s="310">
        <v>0.05</v>
      </c>
      <c r="G228" s="327"/>
    </row>
    <row r="229" spans="1:7">
      <c r="A229" s="320" t="s">
        <v>278</v>
      </c>
      <c r="B229" s="309" t="s">
        <v>4518</v>
      </c>
      <c r="C229" s="321"/>
      <c r="D229" s="321"/>
      <c r="E229" s="321"/>
      <c r="F229" s="310">
        <v>0.05</v>
      </c>
      <c r="G229" s="327"/>
    </row>
    <row r="230" spans="1:7">
      <c r="A230" s="320" t="s">
        <v>278</v>
      </c>
      <c r="B230" s="309" t="s">
        <v>4476</v>
      </c>
      <c r="C230" s="321"/>
      <c r="D230" s="321"/>
      <c r="E230" s="321"/>
      <c r="F230" s="310">
        <v>0.05</v>
      </c>
      <c r="G230" s="327"/>
    </row>
    <row r="231" spans="1:7">
      <c r="A231" s="320" t="s">
        <v>278</v>
      </c>
      <c r="B231" s="309" t="s">
        <v>4480</v>
      </c>
      <c r="C231" s="321"/>
      <c r="D231" s="321"/>
      <c r="E231" s="321"/>
      <c r="F231" s="310">
        <v>0.05</v>
      </c>
      <c r="G231" s="327"/>
    </row>
    <row r="232" spans="1:7">
      <c r="A232" s="320" t="s">
        <v>278</v>
      </c>
      <c r="B232" s="309" t="s">
        <v>4519</v>
      </c>
      <c r="C232" s="321"/>
      <c r="D232" s="321"/>
      <c r="E232" s="321"/>
      <c r="F232" s="310">
        <v>0.05</v>
      </c>
      <c r="G232" s="327"/>
    </row>
    <row r="233" spans="1:7">
      <c r="A233" s="323" t="s">
        <v>278</v>
      </c>
      <c r="B233" s="313" t="s">
        <v>4488</v>
      </c>
      <c r="C233" s="315"/>
      <c r="D233" s="315"/>
      <c r="E233" s="315"/>
      <c r="F233" s="314">
        <v>0.05</v>
      </c>
      <c r="G233" s="328"/>
    </row>
    <row r="234" spans="1:7">
      <c r="A234" s="319" t="s">
        <v>284</v>
      </c>
      <c r="B234" s="305" t="s">
        <v>4141</v>
      </c>
      <c r="C234" s="306">
        <v>0.13</v>
      </c>
      <c r="D234" s="306">
        <v>0.128</v>
      </c>
      <c r="E234" s="306">
        <v>0.14199999999999999</v>
      </c>
      <c r="F234" s="306">
        <v>0.14699999999999999</v>
      </c>
      <c r="G234" s="307">
        <v>0.14000000000000001</v>
      </c>
    </row>
    <row r="235" spans="1:7">
      <c r="A235" s="320" t="s">
        <v>284</v>
      </c>
      <c r="B235" s="309" t="s">
        <v>4154</v>
      </c>
      <c r="C235" s="310">
        <v>0.13600000000000001</v>
      </c>
      <c r="D235" s="310">
        <v>0.13800000000000001</v>
      </c>
      <c r="E235" s="310">
        <v>0.14499999999999999</v>
      </c>
      <c r="F235" s="310">
        <v>0.14299999999999999</v>
      </c>
      <c r="G235" s="311">
        <v>0.14099999999999999</v>
      </c>
    </row>
    <row r="236" spans="1:7">
      <c r="A236" s="320" t="s">
        <v>284</v>
      </c>
      <c r="B236" s="309" t="s">
        <v>4168</v>
      </c>
      <c r="C236" s="310">
        <v>0.15</v>
      </c>
      <c r="D236" s="310">
        <v>0.15</v>
      </c>
      <c r="E236" s="310">
        <v>0.15</v>
      </c>
      <c r="F236" s="310">
        <v>0.15</v>
      </c>
      <c r="G236" s="311">
        <v>0.15</v>
      </c>
    </row>
    <row r="237" spans="1:7">
      <c r="A237" s="320" t="s">
        <v>284</v>
      </c>
      <c r="B237" s="309" t="s">
        <v>4180</v>
      </c>
      <c r="C237" s="310">
        <v>0.15</v>
      </c>
      <c r="D237" s="310">
        <v>0.15</v>
      </c>
      <c r="E237" s="310">
        <v>0.15</v>
      </c>
      <c r="F237" s="310">
        <v>0.15</v>
      </c>
      <c r="G237" s="311">
        <v>0.15</v>
      </c>
    </row>
    <row r="238" spans="1:7">
      <c r="A238" s="320" t="s">
        <v>284</v>
      </c>
      <c r="B238" s="309" t="s">
        <v>4192</v>
      </c>
      <c r="C238" s="310">
        <v>0.14899999999999999</v>
      </c>
      <c r="D238" s="310">
        <v>0.14899999999999999</v>
      </c>
      <c r="E238" s="310">
        <v>0.15</v>
      </c>
      <c r="F238" s="310">
        <v>0.15</v>
      </c>
      <c r="G238" s="311">
        <v>0.15</v>
      </c>
    </row>
    <row r="239" spans="1:7">
      <c r="A239" s="320" t="s">
        <v>284</v>
      </c>
      <c r="B239" s="309" t="s">
        <v>4203</v>
      </c>
      <c r="C239" s="310">
        <v>0.15</v>
      </c>
      <c r="D239" s="310">
        <v>0.15</v>
      </c>
      <c r="E239" s="310">
        <v>0.15</v>
      </c>
      <c r="F239" s="310">
        <v>0.15</v>
      </c>
      <c r="G239" s="311">
        <v>0.15</v>
      </c>
    </row>
    <row r="240" spans="1:7">
      <c r="A240" s="320" t="s">
        <v>284</v>
      </c>
      <c r="B240" s="309" t="s">
        <v>4214</v>
      </c>
      <c r="C240" s="310">
        <v>0.15</v>
      </c>
      <c r="D240" s="310">
        <v>0.15</v>
      </c>
      <c r="E240" s="310">
        <v>0.15</v>
      </c>
      <c r="F240" s="310">
        <v>0.15</v>
      </c>
      <c r="G240" s="311">
        <v>0.15</v>
      </c>
    </row>
    <row r="241" spans="1:7">
      <c r="A241" s="320" t="s">
        <v>284</v>
      </c>
      <c r="B241" s="309" t="s">
        <v>4225</v>
      </c>
      <c r="C241" s="310">
        <v>0.14099999999999999</v>
      </c>
      <c r="D241" s="310">
        <v>0.14199999999999999</v>
      </c>
      <c r="E241" s="310">
        <v>0.14899999999999999</v>
      </c>
      <c r="F241" s="310">
        <v>0.15</v>
      </c>
      <c r="G241" s="311">
        <v>0.14399999999999999</v>
      </c>
    </row>
    <row r="242" spans="1:7">
      <c r="A242" s="320" t="s">
        <v>284</v>
      </c>
      <c r="B242" s="309" t="s">
        <v>4235</v>
      </c>
      <c r="C242" s="310">
        <v>0.14099999999999999</v>
      </c>
      <c r="D242" s="310">
        <v>0.14199999999999999</v>
      </c>
      <c r="E242" s="310">
        <v>0.14799999999999999</v>
      </c>
      <c r="F242" s="310">
        <v>0.127</v>
      </c>
      <c r="G242" s="311">
        <v>0.14399999999999999</v>
      </c>
    </row>
    <row r="243" spans="1:7">
      <c r="A243" s="320" t="s">
        <v>284</v>
      </c>
      <c r="B243" s="309" t="s">
        <v>4245</v>
      </c>
      <c r="C243" s="310">
        <v>0.14699999999999999</v>
      </c>
      <c r="D243" s="310">
        <v>0.14699999999999999</v>
      </c>
      <c r="E243" s="310">
        <v>0.15</v>
      </c>
      <c r="F243" s="310">
        <v>0.15</v>
      </c>
      <c r="G243" s="311">
        <v>0.14899999999999999</v>
      </c>
    </row>
    <row r="244" spans="1:7">
      <c r="A244" s="320" t="s">
        <v>284</v>
      </c>
      <c r="B244" s="309" t="s">
        <v>4255</v>
      </c>
      <c r="C244" s="310">
        <v>0.15</v>
      </c>
      <c r="D244" s="310">
        <v>0.15</v>
      </c>
      <c r="E244" s="310">
        <v>0.15</v>
      </c>
      <c r="F244" s="310">
        <v>0.15</v>
      </c>
      <c r="G244" s="311">
        <v>0.15</v>
      </c>
    </row>
    <row r="245" spans="1:7">
      <c r="A245" s="320" t="s">
        <v>284</v>
      </c>
      <c r="B245" s="309" t="s">
        <v>4265</v>
      </c>
      <c r="C245" s="310">
        <v>0.14199999999999999</v>
      </c>
      <c r="D245" s="310">
        <v>0.14199999999999999</v>
      </c>
      <c r="E245" s="310">
        <v>0.15</v>
      </c>
      <c r="F245" s="310">
        <v>0.15</v>
      </c>
      <c r="G245" s="311">
        <v>0.14499999999999999</v>
      </c>
    </row>
    <row r="246" spans="1:7">
      <c r="A246" s="320" t="s">
        <v>284</v>
      </c>
      <c r="B246" s="309" t="s">
        <v>4275</v>
      </c>
      <c r="C246" s="310">
        <v>0.14199999999999999</v>
      </c>
      <c r="D246" s="310">
        <v>0.14299999999999999</v>
      </c>
      <c r="E246" s="310">
        <v>0.15</v>
      </c>
      <c r="F246" s="310">
        <v>0.14199999999999999</v>
      </c>
      <c r="G246" s="311">
        <v>0.14399999999999999</v>
      </c>
    </row>
    <row r="247" spans="1:7">
      <c r="A247" s="320" t="s">
        <v>284</v>
      </c>
      <c r="B247" s="309" t="s">
        <v>4285</v>
      </c>
      <c r="C247" s="310">
        <v>0.14899999999999999</v>
      </c>
      <c r="D247" s="310">
        <v>0.14899999999999999</v>
      </c>
      <c r="E247" s="310">
        <v>0.15</v>
      </c>
      <c r="F247" s="310">
        <v>0.15</v>
      </c>
      <c r="G247" s="311">
        <v>0.15</v>
      </c>
    </row>
    <row r="248" spans="1:7">
      <c r="A248" s="320" t="s">
        <v>284</v>
      </c>
      <c r="B248" s="309" t="s">
        <v>4294</v>
      </c>
      <c r="C248" s="310">
        <v>0.14399999999999999</v>
      </c>
      <c r="D248" s="310">
        <v>0.14399999999999999</v>
      </c>
      <c r="E248" s="310">
        <v>0.14899999999999999</v>
      </c>
      <c r="F248" s="310">
        <v>0.14799999999999999</v>
      </c>
      <c r="G248" s="311">
        <v>0.14599999999999999</v>
      </c>
    </row>
    <row r="249" spans="1:7">
      <c r="A249" s="320" t="s">
        <v>284</v>
      </c>
      <c r="B249" s="309" t="s">
        <v>4303</v>
      </c>
      <c r="C249" s="310">
        <v>0.14000000000000001</v>
      </c>
      <c r="D249" s="310">
        <v>0.14000000000000001</v>
      </c>
      <c r="E249" s="310">
        <v>0.14699999999999999</v>
      </c>
      <c r="F249" s="310">
        <v>0.14899999999999999</v>
      </c>
      <c r="G249" s="311">
        <v>0.14199999999999999</v>
      </c>
    </row>
    <row r="250" spans="1:7">
      <c r="A250" s="320" t="s">
        <v>284</v>
      </c>
      <c r="B250" s="309" t="s">
        <v>4313</v>
      </c>
      <c r="C250" s="310">
        <v>0.14399999999999999</v>
      </c>
      <c r="D250" s="310">
        <v>0.14299999999999999</v>
      </c>
      <c r="E250" s="310">
        <v>0.14899999999999999</v>
      </c>
      <c r="F250" s="310">
        <v>0.15</v>
      </c>
      <c r="G250" s="311">
        <v>0.14599999999999999</v>
      </c>
    </row>
    <row r="251" spans="1:7">
      <c r="A251" s="320" t="s">
        <v>284</v>
      </c>
      <c r="B251" s="309" t="s">
        <v>4323</v>
      </c>
      <c r="C251" s="326"/>
      <c r="D251" s="321"/>
      <c r="E251" s="321"/>
      <c r="F251" s="310">
        <v>0.1</v>
      </c>
      <c r="G251" s="327"/>
    </row>
    <row r="252" spans="1:7">
      <c r="A252" s="320" t="s">
        <v>284</v>
      </c>
      <c r="B252" s="309" t="s">
        <v>4333</v>
      </c>
      <c r="C252" s="310">
        <v>0.14399999999999999</v>
      </c>
      <c r="D252" s="310">
        <v>0.14399999999999999</v>
      </c>
      <c r="E252" s="310">
        <v>0.15</v>
      </c>
      <c r="F252" s="310">
        <v>0.14899999999999999</v>
      </c>
      <c r="G252" s="311">
        <v>0.14599999999999999</v>
      </c>
    </row>
    <row r="253" spans="1:7">
      <c r="A253" s="320" t="s">
        <v>284</v>
      </c>
      <c r="B253" s="309" t="s">
        <v>4343</v>
      </c>
      <c r="C253" s="310">
        <v>0.14199999999999999</v>
      </c>
      <c r="D253" s="310">
        <v>0.14199999999999999</v>
      </c>
      <c r="E253" s="310">
        <v>0.14599999999999999</v>
      </c>
      <c r="F253" s="310">
        <v>0.14799999999999999</v>
      </c>
      <c r="G253" s="311">
        <v>0.14499999999999999</v>
      </c>
    </row>
    <row r="254" spans="1:7">
      <c r="A254" s="320" t="s">
        <v>284</v>
      </c>
      <c r="B254" s="309" t="s">
        <v>4352</v>
      </c>
      <c r="C254" s="310">
        <v>0.15</v>
      </c>
      <c r="D254" s="310">
        <v>0.15</v>
      </c>
      <c r="E254" s="310">
        <v>0.15</v>
      </c>
      <c r="F254" s="310">
        <v>0.15</v>
      </c>
      <c r="G254" s="311">
        <v>0.15</v>
      </c>
    </row>
    <row r="255" spans="1:7">
      <c r="A255" s="320" t="s">
        <v>284</v>
      </c>
      <c r="B255" s="309" t="s">
        <v>4360</v>
      </c>
      <c r="C255" s="310">
        <v>0.14299999999999999</v>
      </c>
      <c r="D255" s="310">
        <v>0.14299999999999999</v>
      </c>
      <c r="E255" s="310">
        <v>0.15</v>
      </c>
      <c r="F255" s="310">
        <v>0.15</v>
      </c>
      <c r="G255" s="311">
        <v>0.14499999999999999</v>
      </c>
    </row>
    <row r="256" spans="1:7">
      <c r="A256" s="320" t="s">
        <v>284</v>
      </c>
      <c r="B256" s="309" t="s">
        <v>4368</v>
      </c>
      <c r="C256" s="310">
        <v>0.15</v>
      </c>
      <c r="D256" s="310">
        <v>0.15</v>
      </c>
      <c r="E256" s="310">
        <v>0.15</v>
      </c>
      <c r="F256" s="310">
        <v>0.14599999999999999</v>
      </c>
      <c r="G256" s="311">
        <v>0.15</v>
      </c>
    </row>
    <row r="257" spans="1:7">
      <c r="A257" s="320" t="s">
        <v>284</v>
      </c>
      <c r="B257" s="309" t="s">
        <v>4376</v>
      </c>
      <c r="C257" s="310">
        <v>0.14199999999999999</v>
      </c>
      <c r="D257" s="310">
        <v>0.14299999999999999</v>
      </c>
      <c r="E257" s="310">
        <v>0.14799999999999999</v>
      </c>
      <c r="F257" s="310">
        <v>0.15</v>
      </c>
      <c r="G257" s="311">
        <v>0.14499999999999999</v>
      </c>
    </row>
    <row r="258" spans="1:7">
      <c r="A258" s="320" t="s">
        <v>284</v>
      </c>
      <c r="B258" s="309" t="s">
        <v>4384</v>
      </c>
      <c r="C258" s="310">
        <v>0.14299999999999999</v>
      </c>
      <c r="D258" s="310">
        <v>0.14299999999999999</v>
      </c>
      <c r="E258" s="310">
        <v>0.15</v>
      </c>
      <c r="F258" s="310">
        <v>0.14799999999999999</v>
      </c>
      <c r="G258" s="311">
        <v>0.14599999999999999</v>
      </c>
    </row>
    <row r="259" spans="1:7">
      <c r="A259" s="320" t="s">
        <v>284</v>
      </c>
      <c r="B259" s="309" t="s">
        <v>4391</v>
      </c>
      <c r="C259" s="310">
        <v>0.14399999999999999</v>
      </c>
      <c r="D259" s="310">
        <v>0.14399999999999999</v>
      </c>
      <c r="E259" s="310">
        <v>0.14899999999999999</v>
      </c>
      <c r="F259" s="310">
        <v>0.14699999999999999</v>
      </c>
      <c r="G259" s="311">
        <v>0.14599999999999999</v>
      </c>
    </row>
    <row r="260" spans="1:7">
      <c r="A260" s="320" t="s">
        <v>284</v>
      </c>
      <c r="B260" s="309" t="s">
        <v>4398</v>
      </c>
      <c r="C260" s="310">
        <v>0.109</v>
      </c>
      <c r="D260" s="310">
        <v>0.111</v>
      </c>
      <c r="E260" s="310">
        <v>0.13100000000000001</v>
      </c>
      <c r="F260" s="310">
        <v>0.126</v>
      </c>
      <c r="G260" s="311">
        <v>0.11899999999999999</v>
      </c>
    </row>
    <row r="261" spans="1:7">
      <c r="A261" s="320" t="s">
        <v>284</v>
      </c>
      <c r="B261" s="309" t="s">
        <v>4405</v>
      </c>
      <c r="C261" s="310">
        <v>0.1</v>
      </c>
      <c r="D261" s="310">
        <v>0.1</v>
      </c>
      <c r="E261" s="310">
        <v>0.11799999999999999</v>
      </c>
      <c r="F261" s="310">
        <v>0.108</v>
      </c>
      <c r="G261" s="311">
        <v>0.107</v>
      </c>
    </row>
    <row r="262" spans="1:7">
      <c r="A262" s="320" t="s">
        <v>284</v>
      </c>
      <c r="B262" s="309" t="s">
        <v>4412</v>
      </c>
      <c r="C262" s="310">
        <v>0.1</v>
      </c>
      <c r="D262" s="310">
        <v>0.1</v>
      </c>
      <c r="E262" s="310">
        <v>0.1</v>
      </c>
      <c r="F262" s="310">
        <v>0.14099999999999999</v>
      </c>
      <c r="G262" s="311">
        <v>0.1</v>
      </c>
    </row>
    <row r="263" spans="1:7">
      <c r="A263" s="320" t="s">
        <v>284</v>
      </c>
      <c r="B263" s="309" t="s">
        <v>4419</v>
      </c>
      <c r="C263" s="310">
        <v>0.14799999999999999</v>
      </c>
      <c r="D263" s="310">
        <v>0.14799999999999999</v>
      </c>
      <c r="E263" s="310">
        <v>0.15</v>
      </c>
      <c r="F263" s="310">
        <v>0.14699999999999999</v>
      </c>
      <c r="G263" s="311">
        <v>0.15</v>
      </c>
    </row>
    <row r="264" spans="1:7">
      <c r="A264" s="320" t="s">
        <v>284</v>
      </c>
      <c r="B264" s="309" t="s">
        <v>4426</v>
      </c>
      <c r="C264" s="310">
        <v>0.14299999999999999</v>
      </c>
      <c r="D264" s="310">
        <v>0.14299999999999999</v>
      </c>
      <c r="E264" s="310">
        <v>0.15</v>
      </c>
      <c r="F264" s="310">
        <v>0.14899999999999999</v>
      </c>
      <c r="G264" s="311">
        <v>0.14599999999999999</v>
      </c>
    </row>
    <row r="265" spans="1:7">
      <c r="A265" s="320" t="s">
        <v>284</v>
      </c>
      <c r="B265" s="309" t="s">
        <v>4433</v>
      </c>
      <c r="C265" s="321"/>
      <c r="D265" s="321"/>
      <c r="E265" s="321"/>
      <c r="F265" s="310">
        <v>0.05</v>
      </c>
      <c r="G265" s="327"/>
    </row>
    <row r="266" spans="1:7">
      <c r="A266" s="320" t="s">
        <v>284</v>
      </c>
      <c r="B266" s="309" t="s">
        <v>4438</v>
      </c>
      <c r="C266" s="321"/>
      <c r="D266" s="321"/>
      <c r="E266" s="321"/>
      <c r="F266" s="310">
        <v>0.05</v>
      </c>
      <c r="G266" s="327"/>
    </row>
    <row r="267" spans="1:7">
      <c r="A267" s="320" t="s">
        <v>284</v>
      </c>
      <c r="B267" s="309" t="s">
        <v>4443</v>
      </c>
      <c r="C267" s="321"/>
      <c r="D267" s="321"/>
      <c r="E267" s="321"/>
      <c r="F267" s="310">
        <v>0.05</v>
      </c>
      <c r="G267" s="327"/>
    </row>
    <row r="268" spans="1:7">
      <c r="A268" s="320" t="s">
        <v>284</v>
      </c>
      <c r="B268" s="309" t="s">
        <v>4448</v>
      </c>
      <c r="C268" s="321"/>
      <c r="D268" s="321"/>
      <c r="E268" s="321"/>
      <c r="F268" s="310">
        <v>0.05</v>
      </c>
      <c r="G268" s="327"/>
    </row>
    <row r="269" spans="1:7">
      <c r="A269" s="320" t="s">
        <v>284</v>
      </c>
      <c r="B269" s="309" t="s">
        <v>4453</v>
      </c>
      <c r="C269" s="321"/>
      <c r="D269" s="321"/>
      <c r="E269" s="321"/>
      <c r="F269" s="310">
        <v>0.05</v>
      </c>
      <c r="G269" s="327"/>
    </row>
    <row r="270" spans="1:7">
      <c r="A270" s="320" t="s">
        <v>284</v>
      </c>
      <c r="B270" s="309" t="s">
        <v>4458</v>
      </c>
      <c r="C270" s="321"/>
      <c r="D270" s="321"/>
      <c r="E270" s="321"/>
      <c r="F270" s="310">
        <v>0.05</v>
      </c>
      <c r="G270" s="327"/>
    </row>
    <row r="271" spans="1:7">
      <c r="A271" s="320" t="s">
        <v>284</v>
      </c>
      <c r="B271" s="309" t="s">
        <v>4463</v>
      </c>
      <c r="C271" s="321"/>
      <c r="D271" s="321"/>
      <c r="E271" s="321"/>
      <c r="F271" s="310">
        <v>0.05</v>
      </c>
      <c r="G271" s="327"/>
    </row>
    <row r="272" spans="1:7">
      <c r="A272" s="320" t="s">
        <v>284</v>
      </c>
      <c r="B272" s="309" t="s">
        <v>4468</v>
      </c>
      <c r="C272" s="321"/>
      <c r="D272" s="321"/>
      <c r="E272" s="321"/>
      <c r="F272" s="310">
        <v>0.05</v>
      </c>
      <c r="G272" s="327"/>
    </row>
    <row r="273" spans="1:7">
      <c r="A273" s="320" t="s">
        <v>284</v>
      </c>
      <c r="B273" s="309" t="s">
        <v>4473</v>
      </c>
      <c r="C273" s="321"/>
      <c r="D273" s="321"/>
      <c r="E273" s="321"/>
      <c r="F273" s="310">
        <v>0.05</v>
      </c>
      <c r="G273" s="327"/>
    </row>
    <row r="274" spans="1:7">
      <c r="A274" s="320" t="s">
        <v>284</v>
      </c>
      <c r="B274" s="309" t="s">
        <v>4477</v>
      </c>
      <c r="C274" s="321"/>
      <c r="D274" s="321"/>
      <c r="E274" s="321"/>
      <c r="F274" s="310">
        <v>0.05</v>
      </c>
      <c r="G274" s="327"/>
    </row>
    <row r="275" spans="1:7">
      <c r="A275" s="320" t="s">
        <v>284</v>
      </c>
      <c r="B275" s="309" t="s">
        <v>4481</v>
      </c>
      <c r="C275" s="321"/>
      <c r="D275" s="321"/>
      <c r="E275" s="321"/>
      <c r="F275" s="310">
        <v>0.05</v>
      </c>
      <c r="G275" s="327"/>
    </row>
    <row r="276" spans="1:7">
      <c r="A276" s="323" t="s">
        <v>284</v>
      </c>
      <c r="B276" s="313" t="s">
        <v>4485</v>
      </c>
      <c r="C276" s="315"/>
      <c r="D276" s="315"/>
      <c r="E276" s="315"/>
      <c r="F276" s="314">
        <v>0.05</v>
      </c>
      <c r="G276" s="328"/>
    </row>
    <row r="277" spans="1:7">
      <c r="A277" s="319" t="s">
        <v>288</v>
      </c>
      <c r="B277" s="305" t="s">
        <v>4142</v>
      </c>
      <c r="C277" s="306">
        <v>0.15</v>
      </c>
      <c r="D277" s="306">
        <v>0.15</v>
      </c>
      <c r="E277" s="306">
        <v>0.15</v>
      </c>
      <c r="F277" s="306">
        <v>0.15</v>
      </c>
      <c r="G277" s="307">
        <v>0.15</v>
      </c>
    </row>
    <row r="278" spans="1:7">
      <c r="A278" s="320" t="s">
        <v>288</v>
      </c>
      <c r="B278" s="309" t="s">
        <v>4155</v>
      </c>
      <c r="C278" s="310">
        <v>0.15</v>
      </c>
      <c r="D278" s="310">
        <v>0.15</v>
      </c>
      <c r="E278" s="310">
        <v>0.15</v>
      </c>
      <c r="F278" s="310">
        <v>0.15</v>
      </c>
      <c r="G278" s="311">
        <v>0.15</v>
      </c>
    </row>
    <row r="279" spans="1:7">
      <c r="A279" s="320" t="s">
        <v>288</v>
      </c>
      <c r="B279" s="309" t="s">
        <v>4169</v>
      </c>
      <c r="C279" s="310">
        <v>0.15</v>
      </c>
      <c r="D279" s="310">
        <v>0.15</v>
      </c>
      <c r="E279" s="310">
        <v>0.15</v>
      </c>
      <c r="F279" s="310">
        <v>0.15</v>
      </c>
      <c r="G279" s="311">
        <v>0.15</v>
      </c>
    </row>
    <row r="280" spans="1:7">
      <c r="A280" s="320" t="s">
        <v>288</v>
      </c>
      <c r="B280" s="309" t="s">
        <v>4181</v>
      </c>
      <c r="C280" s="310">
        <v>0.15</v>
      </c>
      <c r="D280" s="310">
        <v>0.15</v>
      </c>
      <c r="E280" s="310">
        <v>0.15</v>
      </c>
      <c r="F280" s="310">
        <v>0.15</v>
      </c>
      <c r="G280" s="311">
        <v>0.15</v>
      </c>
    </row>
    <row r="281" spans="1:7">
      <c r="A281" s="320" t="s">
        <v>288</v>
      </c>
      <c r="B281" s="309" t="s">
        <v>4193</v>
      </c>
      <c r="C281" s="310">
        <v>0.15</v>
      </c>
      <c r="D281" s="310">
        <v>0.15</v>
      </c>
      <c r="E281" s="310">
        <v>0.15</v>
      </c>
      <c r="F281" s="310">
        <v>0.15</v>
      </c>
      <c r="G281" s="311">
        <v>0.15</v>
      </c>
    </row>
    <row r="282" spans="1:7">
      <c r="A282" s="320" t="s">
        <v>288</v>
      </c>
      <c r="B282" s="309" t="s">
        <v>4204</v>
      </c>
      <c r="C282" s="310">
        <v>0.15</v>
      </c>
      <c r="D282" s="310">
        <v>0.15</v>
      </c>
      <c r="E282" s="310">
        <v>0.15</v>
      </c>
      <c r="F282" s="310">
        <v>0.14499999999999999</v>
      </c>
      <c r="G282" s="311">
        <v>0.15</v>
      </c>
    </row>
    <row r="283" spans="1:7">
      <c r="A283" s="320" t="s">
        <v>288</v>
      </c>
      <c r="B283" s="309" t="s">
        <v>4215</v>
      </c>
      <c r="C283" s="310">
        <v>0.15</v>
      </c>
      <c r="D283" s="310">
        <v>0.15</v>
      </c>
      <c r="E283" s="310">
        <v>0.15</v>
      </c>
      <c r="F283" s="310">
        <v>0.14199999999999999</v>
      </c>
      <c r="G283" s="311">
        <v>0.15</v>
      </c>
    </row>
    <row r="284" spans="1:7">
      <c r="A284" s="320" t="s">
        <v>288</v>
      </c>
      <c r="B284" s="309" t="s">
        <v>4226</v>
      </c>
      <c r="C284" s="310">
        <v>0.15</v>
      </c>
      <c r="D284" s="310">
        <v>0.15</v>
      </c>
      <c r="E284" s="310">
        <v>0.15</v>
      </c>
      <c r="F284" s="310">
        <v>0.15</v>
      </c>
      <c r="G284" s="311">
        <v>0.15</v>
      </c>
    </row>
    <row r="285" spans="1:7">
      <c r="A285" s="320" t="s">
        <v>288</v>
      </c>
      <c r="B285" s="309" t="s">
        <v>4236</v>
      </c>
      <c r="C285" s="310">
        <v>0.15</v>
      </c>
      <c r="D285" s="310">
        <v>0.15</v>
      </c>
      <c r="E285" s="310">
        <v>0.15</v>
      </c>
      <c r="F285" s="310">
        <v>0.15</v>
      </c>
      <c r="G285" s="311">
        <v>0.15</v>
      </c>
    </row>
    <row r="286" spans="1:7">
      <c r="A286" s="320" t="s">
        <v>288</v>
      </c>
      <c r="B286" s="309" t="s">
        <v>4246</v>
      </c>
      <c r="C286" s="310">
        <v>0.14499999999999999</v>
      </c>
      <c r="D286" s="310">
        <v>0.14499999999999999</v>
      </c>
      <c r="E286" s="310">
        <v>0.15</v>
      </c>
      <c r="F286" s="310">
        <v>0.14099999999999999</v>
      </c>
      <c r="G286" s="311">
        <v>0.14499999999999999</v>
      </c>
    </row>
    <row r="287" spans="1:7">
      <c r="A287" s="320" t="s">
        <v>288</v>
      </c>
      <c r="B287" s="309" t="s">
        <v>4256</v>
      </c>
      <c r="C287" s="310">
        <v>0.11</v>
      </c>
      <c r="D287" s="310">
        <v>0.111</v>
      </c>
      <c r="E287" s="310">
        <v>0.14099999999999999</v>
      </c>
      <c r="F287" s="310">
        <v>0.11</v>
      </c>
      <c r="G287" s="311">
        <v>0.12</v>
      </c>
    </row>
    <row r="288" spans="1:7">
      <c r="A288" s="320" t="s">
        <v>288</v>
      </c>
      <c r="B288" s="309" t="s">
        <v>4266</v>
      </c>
      <c r="C288" s="310">
        <v>0.14199999999999999</v>
      </c>
      <c r="D288" s="310">
        <v>0.14299999999999999</v>
      </c>
      <c r="E288" s="310">
        <v>0.15</v>
      </c>
      <c r="F288" s="310">
        <v>0.14199999999999999</v>
      </c>
      <c r="G288" s="311">
        <v>0.14399999999999999</v>
      </c>
    </row>
    <row r="289" spans="1:7">
      <c r="A289" s="320" t="s">
        <v>288</v>
      </c>
      <c r="B289" s="309" t="s">
        <v>4276</v>
      </c>
      <c r="C289" s="310">
        <v>0.14299999999999999</v>
      </c>
      <c r="D289" s="310">
        <v>0.14299999999999999</v>
      </c>
      <c r="E289" s="310">
        <v>0.14799999999999999</v>
      </c>
      <c r="F289" s="310">
        <v>0.14399999999999999</v>
      </c>
      <c r="G289" s="311">
        <v>0.14399999999999999</v>
      </c>
    </row>
    <row r="290" spans="1:7">
      <c r="A290" s="320" t="s">
        <v>288</v>
      </c>
      <c r="B290" s="309" t="s">
        <v>4286</v>
      </c>
      <c r="C290" s="310">
        <v>0.14799999999999999</v>
      </c>
      <c r="D290" s="310">
        <v>0.14899999999999999</v>
      </c>
      <c r="E290" s="310">
        <v>0.15</v>
      </c>
      <c r="F290" s="310">
        <v>0.127</v>
      </c>
      <c r="G290" s="311">
        <v>0.15</v>
      </c>
    </row>
    <row r="291" spans="1:7">
      <c r="A291" s="320" t="s">
        <v>288</v>
      </c>
      <c r="B291" s="309" t="s">
        <v>4295</v>
      </c>
      <c r="C291" s="310">
        <v>0.15</v>
      </c>
      <c r="D291" s="310">
        <v>0.15</v>
      </c>
      <c r="E291" s="310">
        <v>0.15</v>
      </c>
      <c r="F291" s="310">
        <v>0.14899999999999999</v>
      </c>
      <c r="G291" s="311">
        <v>0.15</v>
      </c>
    </row>
    <row r="292" spans="1:7">
      <c r="A292" s="320" t="s">
        <v>288</v>
      </c>
      <c r="B292" s="309" t="s">
        <v>4304</v>
      </c>
      <c r="C292" s="310">
        <v>0.15</v>
      </c>
      <c r="D292" s="310">
        <v>0.15</v>
      </c>
      <c r="E292" s="310">
        <v>0.15</v>
      </c>
      <c r="F292" s="310">
        <v>0.14399999999999999</v>
      </c>
      <c r="G292" s="311">
        <v>0.15</v>
      </c>
    </row>
    <row r="293" spans="1:7">
      <c r="A293" s="320" t="s">
        <v>288</v>
      </c>
      <c r="B293" s="309" t="s">
        <v>4314</v>
      </c>
      <c r="C293" s="310">
        <v>0.15</v>
      </c>
      <c r="D293" s="310">
        <v>0.15</v>
      </c>
      <c r="E293" s="310">
        <v>0.15</v>
      </c>
      <c r="F293" s="310">
        <v>0.14499999999999999</v>
      </c>
      <c r="G293" s="311">
        <v>0.15</v>
      </c>
    </row>
    <row r="294" spans="1:7">
      <c r="A294" s="320" t="s">
        <v>288</v>
      </c>
      <c r="B294" s="309" t="s">
        <v>4324</v>
      </c>
      <c r="C294" s="310">
        <v>0.15</v>
      </c>
      <c r="D294" s="310">
        <v>0.15</v>
      </c>
      <c r="E294" s="310">
        <v>0.15</v>
      </c>
      <c r="F294" s="310">
        <v>0.14899999999999999</v>
      </c>
      <c r="G294" s="311">
        <v>0.15</v>
      </c>
    </row>
    <row r="295" spans="1:7">
      <c r="A295" s="320" t="s">
        <v>288</v>
      </c>
      <c r="B295" s="309" t="s">
        <v>4334</v>
      </c>
      <c r="C295" s="310">
        <v>0.15</v>
      </c>
      <c r="D295" s="310">
        <v>0.15</v>
      </c>
      <c r="E295" s="310">
        <v>0.15</v>
      </c>
      <c r="F295" s="310">
        <v>0.14799999999999999</v>
      </c>
      <c r="G295" s="311">
        <v>0.15</v>
      </c>
    </row>
    <row r="296" spans="1:7">
      <c r="A296" s="320" t="s">
        <v>288</v>
      </c>
      <c r="B296" s="309" t="s">
        <v>4344</v>
      </c>
      <c r="C296" s="310">
        <v>0.15</v>
      </c>
      <c r="D296" s="310">
        <v>0.15</v>
      </c>
      <c r="E296" s="310">
        <v>0.15</v>
      </c>
      <c r="F296" s="310">
        <v>0.14399999999999999</v>
      </c>
      <c r="G296" s="311">
        <v>0.15</v>
      </c>
    </row>
    <row r="297" spans="1:7">
      <c r="A297" s="320" t="s">
        <v>288</v>
      </c>
      <c r="B297" s="309" t="s">
        <v>4353</v>
      </c>
      <c r="C297" s="310">
        <v>0.15</v>
      </c>
      <c r="D297" s="310">
        <v>0.15</v>
      </c>
      <c r="E297" s="310">
        <v>0.15</v>
      </c>
      <c r="F297" s="310">
        <v>0.14499999999999999</v>
      </c>
      <c r="G297" s="311">
        <v>0.15</v>
      </c>
    </row>
    <row r="298" spans="1:7">
      <c r="A298" s="320" t="s">
        <v>288</v>
      </c>
      <c r="B298" s="309" t="s">
        <v>4361</v>
      </c>
      <c r="C298" s="310">
        <v>0.15</v>
      </c>
      <c r="D298" s="310">
        <v>0.15</v>
      </c>
      <c r="E298" s="310">
        <v>0.15</v>
      </c>
      <c r="F298" s="310">
        <v>0.15</v>
      </c>
      <c r="G298" s="311">
        <v>0.15</v>
      </c>
    </row>
    <row r="299" spans="1:7">
      <c r="A299" s="320" t="s">
        <v>288</v>
      </c>
      <c r="B299" s="329" t="s">
        <v>4369</v>
      </c>
      <c r="C299" s="310">
        <v>0.15</v>
      </c>
      <c r="D299" s="310">
        <v>0.15</v>
      </c>
      <c r="E299" s="310">
        <v>0.15</v>
      </c>
      <c r="F299" s="310">
        <v>0.14499999999999999</v>
      </c>
      <c r="G299" s="311">
        <v>0.15</v>
      </c>
    </row>
    <row r="300" spans="1:7">
      <c r="A300" s="320" t="s">
        <v>288</v>
      </c>
      <c r="B300" s="329" t="s">
        <v>4377</v>
      </c>
      <c r="C300" s="310">
        <v>0.15</v>
      </c>
      <c r="D300" s="310">
        <v>0.15</v>
      </c>
      <c r="E300" s="310">
        <v>0.15</v>
      </c>
      <c r="F300" s="310">
        <v>0.14599999999999999</v>
      </c>
      <c r="G300" s="311">
        <v>0.15</v>
      </c>
    </row>
    <row r="301" spans="1:7">
      <c r="A301" s="320" t="s">
        <v>288</v>
      </c>
      <c r="B301" s="329" t="s">
        <v>4385</v>
      </c>
      <c r="C301" s="310">
        <v>0.126</v>
      </c>
      <c r="D301" s="310">
        <v>0.124</v>
      </c>
      <c r="E301" s="310">
        <v>0.14099999999999999</v>
      </c>
      <c r="F301" s="310">
        <v>0.14399999999999999</v>
      </c>
      <c r="G301" s="311">
        <v>0.13</v>
      </c>
    </row>
    <row r="302" spans="1:7">
      <c r="A302" s="320" t="s">
        <v>288</v>
      </c>
      <c r="B302" s="309" t="s">
        <v>4392</v>
      </c>
      <c r="C302" s="310">
        <v>0.15</v>
      </c>
      <c r="D302" s="310">
        <v>0.15</v>
      </c>
      <c r="E302" s="310">
        <v>0.15</v>
      </c>
      <c r="F302" s="310">
        <v>0.14699999999999999</v>
      </c>
      <c r="G302" s="311">
        <v>0.15</v>
      </c>
    </row>
    <row r="303" spans="1:7">
      <c r="A303" s="320" t="s">
        <v>288</v>
      </c>
      <c r="B303" s="309" t="s">
        <v>4399</v>
      </c>
      <c r="C303" s="310">
        <v>0.15</v>
      </c>
      <c r="D303" s="310">
        <v>0.15</v>
      </c>
      <c r="E303" s="310">
        <v>0.15</v>
      </c>
      <c r="F303" s="310">
        <v>0.14199999999999999</v>
      </c>
      <c r="G303" s="311">
        <v>0.15</v>
      </c>
    </row>
    <row r="304" spans="1:7">
      <c r="A304" s="320" t="s">
        <v>288</v>
      </c>
      <c r="B304" s="309" t="s">
        <v>4406</v>
      </c>
      <c r="C304" s="310">
        <v>0.15</v>
      </c>
      <c r="D304" s="310">
        <v>0.15</v>
      </c>
      <c r="E304" s="310">
        <v>0.15</v>
      </c>
      <c r="F304" s="310">
        <v>0.14499999999999999</v>
      </c>
      <c r="G304" s="311">
        <v>0.15</v>
      </c>
    </row>
    <row r="305" spans="1:7">
      <c r="A305" s="320" t="s">
        <v>288</v>
      </c>
      <c r="B305" s="309" t="s">
        <v>4413</v>
      </c>
      <c r="C305" s="310">
        <v>0.15</v>
      </c>
      <c r="D305" s="310">
        <v>0.15</v>
      </c>
      <c r="E305" s="310">
        <v>0.15</v>
      </c>
      <c r="F305" s="310">
        <v>0.111</v>
      </c>
      <c r="G305" s="311">
        <v>0.15</v>
      </c>
    </row>
    <row r="306" spans="1:7">
      <c r="A306" s="320" t="s">
        <v>288</v>
      </c>
      <c r="B306" s="309" t="s">
        <v>4420</v>
      </c>
      <c r="C306" s="310">
        <v>0.15</v>
      </c>
      <c r="D306" s="310">
        <v>0.15</v>
      </c>
      <c r="E306" s="310">
        <v>0.15</v>
      </c>
      <c r="F306" s="310">
        <v>0.126</v>
      </c>
      <c r="G306" s="311">
        <v>0.15</v>
      </c>
    </row>
    <row r="307" spans="1:7">
      <c r="A307" s="320" t="s">
        <v>288</v>
      </c>
      <c r="B307" s="309" t="s">
        <v>4427</v>
      </c>
      <c r="C307" s="310">
        <v>0.15</v>
      </c>
      <c r="D307" s="310">
        <v>0.15</v>
      </c>
      <c r="E307" s="310">
        <v>0.15</v>
      </c>
      <c r="F307" s="310">
        <v>0.12</v>
      </c>
      <c r="G307" s="311">
        <v>0.15</v>
      </c>
    </row>
    <row r="308" spans="1:7">
      <c r="A308" s="320" t="s">
        <v>288</v>
      </c>
      <c r="B308" s="309" t="s">
        <v>4434</v>
      </c>
      <c r="C308" s="310">
        <v>0.15</v>
      </c>
      <c r="D308" s="310">
        <v>0.15</v>
      </c>
      <c r="E308" s="310">
        <v>0.15</v>
      </c>
      <c r="F308" s="310">
        <v>0.13</v>
      </c>
      <c r="G308" s="311">
        <v>0.15</v>
      </c>
    </row>
    <row r="309" spans="1:7">
      <c r="A309" s="320" t="s">
        <v>288</v>
      </c>
      <c r="B309" s="309" t="s">
        <v>4439</v>
      </c>
      <c r="C309" s="310">
        <v>0.15</v>
      </c>
      <c r="D309" s="310">
        <v>0.15</v>
      </c>
      <c r="E309" s="310">
        <v>0.15</v>
      </c>
      <c r="F309" s="310">
        <v>0.14099999999999999</v>
      </c>
      <c r="G309" s="311">
        <v>0.15</v>
      </c>
    </row>
    <row r="310" spans="1:7">
      <c r="A310" s="320" t="s">
        <v>288</v>
      </c>
      <c r="B310" s="309" t="s">
        <v>4444</v>
      </c>
      <c r="C310" s="310">
        <v>0.15</v>
      </c>
      <c r="D310" s="310">
        <v>0.15</v>
      </c>
      <c r="E310" s="310">
        <v>0.15</v>
      </c>
      <c r="F310" s="310">
        <v>0.15</v>
      </c>
      <c r="G310" s="311">
        <v>0.15</v>
      </c>
    </row>
    <row r="311" spans="1:7">
      <c r="A311" s="320" t="s">
        <v>288</v>
      </c>
      <c r="B311" s="309" t="s">
        <v>4449</v>
      </c>
      <c r="C311" s="310">
        <v>0.13200000000000001</v>
      </c>
      <c r="D311" s="310">
        <v>0.13300000000000001</v>
      </c>
      <c r="E311" s="310">
        <v>0.14499999999999999</v>
      </c>
      <c r="F311" s="310">
        <v>0.14199999999999999</v>
      </c>
      <c r="G311" s="311">
        <v>0.14000000000000001</v>
      </c>
    </row>
    <row r="312" spans="1:7">
      <c r="A312" s="320" t="s">
        <v>288</v>
      </c>
      <c r="B312" s="309" t="s">
        <v>4454</v>
      </c>
      <c r="C312" s="310">
        <v>0.13800000000000001</v>
      </c>
      <c r="D312" s="310">
        <v>0.14000000000000001</v>
      </c>
      <c r="E312" s="310">
        <v>0.14599999999999999</v>
      </c>
      <c r="F312" s="310">
        <v>0.14899999999999999</v>
      </c>
      <c r="G312" s="311">
        <v>0.14199999999999999</v>
      </c>
    </row>
    <row r="313" spans="1:7">
      <c r="A313" s="320" t="s">
        <v>288</v>
      </c>
      <c r="B313" s="309" t="s">
        <v>4459</v>
      </c>
      <c r="C313" s="310">
        <v>0.125</v>
      </c>
      <c r="D313" s="310">
        <v>0.127</v>
      </c>
      <c r="E313" s="310">
        <v>0.14399999999999999</v>
      </c>
      <c r="F313" s="310">
        <v>0.115</v>
      </c>
      <c r="G313" s="311">
        <v>0.13600000000000001</v>
      </c>
    </row>
    <row r="314" spans="1:7">
      <c r="A314" s="320" t="s">
        <v>288</v>
      </c>
      <c r="B314" s="309" t="s">
        <v>4464</v>
      </c>
      <c r="C314" s="326"/>
      <c r="D314" s="326"/>
      <c r="E314" s="326"/>
      <c r="F314" s="310">
        <v>0.05</v>
      </c>
      <c r="G314" s="327"/>
    </row>
    <row r="315" spans="1:7">
      <c r="A315" s="320" t="s">
        <v>288</v>
      </c>
      <c r="B315" s="309" t="s">
        <v>4469</v>
      </c>
      <c r="C315" s="326"/>
      <c r="D315" s="326"/>
      <c r="E315" s="326"/>
      <c r="F315" s="310">
        <v>0.05</v>
      </c>
      <c r="G315" s="327"/>
    </row>
    <row r="316" spans="1:7">
      <c r="A316" s="320" t="s">
        <v>288</v>
      </c>
      <c r="B316" s="309" t="s">
        <v>4474</v>
      </c>
      <c r="C316" s="321"/>
      <c r="D316" s="321"/>
      <c r="E316" s="321"/>
      <c r="F316" s="310">
        <v>0.05</v>
      </c>
      <c r="G316" s="327"/>
    </row>
    <row r="317" spans="1:7">
      <c r="A317" s="320" t="s">
        <v>288</v>
      </c>
      <c r="B317" s="309" t="s">
        <v>4478</v>
      </c>
      <c r="C317" s="321"/>
      <c r="D317" s="321"/>
      <c r="E317" s="321"/>
      <c r="F317" s="310">
        <v>0.05</v>
      </c>
      <c r="G317" s="327"/>
    </row>
    <row r="318" spans="1:7">
      <c r="A318" s="320" t="s">
        <v>288</v>
      </c>
      <c r="B318" s="309" t="s">
        <v>4482</v>
      </c>
      <c r="C318" s="321"/>
      <c r="D318" s="321"/>
      <c r="E318" s="321"/>
      <c r="F318" s="310">
        <v>0.05</v>
      </c>
      <c r="G318" s="327"/>
    </row>
    <row r="319" spans="1:7">
      <c r="A319" s="320" t="s">
        <v>288</v>
      </c>
      <c r="B319" s="309" t="s">
        <v>4486</v>
      </c>
      <c r="C319" s="321"/>
      <c r="D319" s="321"/>
      <c r="E319" s="321"/>
      <c r="F319" s="310">
        <v>0.05</v>
      </c>
      <c r="G319" s="327"/>
    </row>
    <row r="320" spans="1:7">
      <c r="A320" s="320" t="s">
        <v>288</v>
      </c>
      <c r="B320" s="309" t="s">
        <v>4489</v>
      </c>
      <c r="C320" s="321"/>
      <c r="D320" s="321"/>
      <c r="E320" s="321"/>
      <c r="F320" s="310">
        <v>0.05</v>
      </c>
      <c r="G320" s="327"/>
    </row>
    <row r="321" spans="1:7">
      <c r="A321" s="320" t="s">
        <v>288</v>
      </c>
      <c r="B321" s="309" t="s">
        <v>4491</v>
      </c>
      <c r="C321" s="321"/>
      <c r="D321" s="321"/>
      <c r="E321" s="321"/>
      <c r="F321" s="310">
        <v>0.05</v>
      </c>
      <c r="G321" s="327"/>
    </row>
    <row r="322" spans="1:7">
      <c r="A322" s="320" t="s">
        <v>288</v>
      </c>
      <c r="B322" s="309" t="s">
        <v>4493</v>
      </c>
      <c r="C322" s="321"/>
      <c r="D322" s="321"/>
      <c r="E322" s="321"/>
      <c r="F322" s="310">
        <v>0.05</v>
      </c>
      <c r="G322" s="327"/>
    </row>
    <row r="323" spans="1:7">
      <c r="A323" s="320" t="s">
        <v>288</v>
      </c>
      <c r="B323" s="309" t="s">
        <v>4495</v>
      </c>
      <c r="C323" s="321"/>
      <c r="D323" s="321"/>
      <c r="E323" s="321"/>
      <c r="F323" s="310">
        <v>0.05</v>
      </c>
      <c r="G323" s="327"/>
    </row>
    <row r="324" spans="1:7">
      <c r="A324" s="320" t="s">
        <v>288</v>
      </c>
      <c r="B324" s="309" t="s">
        <v>4497</v>
      </c>
      <c r="C324" s="321"/>
      <c r="D324" s="321"/>
      <c r="E324" s="321"/>
      <c r="F324" s="310">
        <v>0.05</v>
      </c>
      <c r="G324" s="327"/>
    </row>
    <row r="325" spans="1:7">
      <c r="A325" s="320" t="s">
        <v>288</v>
      </c>
      <c r="B325" s="309" t="s">
        <v>4499</v>
      </c>
      <c r="C325" s="321"/>
      <c r="D325" s="321"/>
      <c r="E325" s="321"/>
      <c r="F325" s="310">
        <v>0.05</v>
      </c>
      <c r="G325" s="327"/>
    </row>
    <row r="326" spans="1:7">
      <c r="A326" s="323" t="s">
        <v>288</v>
      </c>
      <c r="B326" s="313" t="s">
        <v>4501</v>
      </c>
      <c r="C326" s="315"/>
      <c r="D326" s="315"/>
      <c r="E326" s="315"/>
      <c r="F326" s="314">
        <v>0.05</v>
      </c>
      <c r="G326" s="328"/>
    </row>
    <row r="327" spans="1:7">
      <c r="A327" s="319" t="s">
        <v>292</v>
      </c>
      <c r="B327" s="305" t="s">
        <v>4143</v>
      </c>
      <c r="C327" s="306">
        <v>0.15</v>
      </c>
      <c r="D327" s="306">
        <v>0.15</v>
      </c>
      <c r="E327" s="306">
        <v>0.15</v>
      </c>
      <c r="F327" s="306">
        <v>0.15</v>
      </c>
      <c r="G327" s="307">
        <v>0.15</v>
      </c>
    </row>
    <row r="328" spans="1:7">
      <c r="A328" s="320" t="s">
        <v>292</v>
      </c>
      <c r="B328" s="309" t="s">
        <v>4156</v>
      </c>
      <c r="C328" s="310">
        <v>0.15</v>
      </c>
      <c r="D328" s="310">
        <v>0.15</v>
      </c>
      <c r="E328" s="310">
        <v>0.15</v>
      </c>
      <c r="F328" s="310">
        <v>0.126</v>
      </c>
      <c r="G328" s="311">
        <v>0.15</v>
      </c>
    </row>
    <row r="329" spans="1:7">
      <c r="A329" s="320" t="s">
        <v>292</v>
      </c>
      <c r="B329" s="309" t="s">
        <v>4170</v>
      </c>
      <c r="C329" s="310">
        <v>0.15</v>
      </c>
      <c r="D329" s="310">
        <v>0.15</v>
      </c>
      <c r="E329" s="310">
        <v>0.15</v>
      </c>
      <c r="F329" s="310">
        <v>0.15</v>
      </c>
      <c r="G329" s="311">
        <v>0.15</v>
      </c>
    </row>
    <row r="330" spans="1:7">
      <c r="A330" s="320" t="s">
        <v>292</v>
      </c>
      <c r="B330" s="309" t="s">
        <v>4182</v>
      </c>
      <c r="C330" s="310">
        <v>0.15</v>
      </c>
      <c r="D330" s="310">
        <v>0.15</v>
      </c>
      <c r="E330" s="310">
        <v>0.15</v>
      </c>
      <c r="F330" s="310">
        <v>0.15</v>
      </c>
      <c r="G330" s="311">
        <v>0.15</v>
      </c>
    </row>
    <row r="331" spans="1:7">
      <c r="A331" s="320" t="s">
        <v>292</v>
      </c>
      <c r="B331" s="309" t="s">
        <v>4194</v>
      </c>
      <c r="C331" s="310">
        <v>0.15</v>
      </c>
      <c r="D331" s="310">
        <v>0.15</v>
      </c>
      <c r="E331" s="310">
        <v>0.15</v>
      </c>
      <c r="F331" s="310">
        <v>0.15</v>
      </c>
      <c r="G331" s="311">
        <v>0.15</v>
      </c>
    </row>
    <row r="332" spans="1:7">
      <c r="A332" s="320" t="s">
        <v>292</v>
      </c>
      <c r="B332" s="309" t="s">
        <v>4205</v>
      </c>
      <c r="C332" s="310">
        <v>0.15</v>
      </c>
      <c r="D332" s="310">
        <v>0.15</v>
      </c>
      <c r="E332" s="310">
        <v>0.15</v>
      </c>
      <c r="F332" s="310">
        <v>0.15</v>
      </c>
      <c r="G332" s="311">
        <v>0.15</v>
      </c>
    </row>
    <row r="333" spans="1:7">
      <c r="A333" s="320" t="s">
        <v>292</v>
      </c>
      <c r="B333" s="309" t="s">
        <v>4216</v>
      </c>
      <c r="C333" s="310">
        <v>0.14899999999999999</v>
      </c>
      <c r="D333" s="310">
        <v>0.14899999999999999</v>
      </c>
      <c r="E333" s="310">
        <v>0.15</v>
      </c>
      <c r="F333" s="310">
        <v>0.11600000000000001</v>
      </c>
      <c r="G333" s="311">
        <v>0.15</v>
      </c>
    </row>
    <row r="334" spans="1:7">
      <c r="A334" s="320" t="s">
        <v>292</v>
      </c>
      <c r="B334" s="309" t="s">
        <v>4227</v>
      </c>
      <c r="C334" s="310">
        <v>0.15</v>
      </c>
      <c r="D334" s="310">
        <v>0.15</v>
      </c>
      <c r="E334" s="310">
        <v>0.15</v>
      </c>
      <c r="F334" s="310">
        <v>0.13</v>
      </c>
      <c r="G334" s="311">
        <v>0.15</v>
      </c>
    </row>
    <row r="335" spans="1:7">
      <c r="A335" s="320" t="s">
        <v>292</v>
      </c>
      <c r="B335" s="309" t="s">
        <v>4237</v>
      </c>
      <c r="C335" s="310">
        <v>0.15</v>
      </c>
      <c r="D335" s="310">
        <v>0.15</v>
      </c>
      <c r="E335" s="310">
        <v>0.15</v>
      </c>
      <c r="F335" s="310">
        <v>0.14399999999999999</v>
      </c>
      <c r="G335" s="311">
        <v>0.15</v>
      </c>
    </row>
    <row r="336" spans="1:7">
      <c r="A336" s="320" t="s">
        <v>292</v>
      </c>
      <c r="B336" s="309" t="s">
        <v>4247</v>
      </c>
      <c r="C336" s="310">
        <v>0.15</v>
      </c>
      <c r="D336" s="310">
        <v>0.15</v>
      </c>
      <c r="E336" s="310">
        <v>0.15</v>
      </c>
      <c r="F336" s="310">
        <v>0.14199999999999999</v>
      </c>
      <c r="G336" s="311">
        <v>0.15</v>
      </c>
    </row>
    <row r="337" spans="1:7">
      <c r="A337" s="320" t="s">
        <v>292</v>
      </c>
      <c r="B337" s="309" t="s">
        <v>4257</v>
      </c>
      <c r="C337" s="310">
        <v>0.15</v>
      </c>
      <c r="D337" s="310">
        <v>0.15</v>
      </c>
      <c r="E337" s="310">
        <v>0.15</v>
      </c>
      <c r="F337" s="310">
        <v>0.14499999999999999</v>
      </c>
      <c r="G337" s="311">
        <v>0.15</v>
      </c>
    </row>
    <row r="338" spans="1:7">
      <c r="A338" s="320" t="s">
        <v>292</v>
      </c>
      <c r="B338" s="309" t="s">
        <v>4267</v>
      </c>
      <c r="C338" s="310">
        <v>0.15</v>
      </c>
      <c r="D338" s="310">
        <v>0.15</v>
      </c>
      <c r="E338" s="310">
        <v>0.15</v>
      </c>
      <c r="F338" s="310">
        <v>0.15</v>
      </c>
      <c r="G338" s="311">
        <v>0.15</v>
      </c>
    </row>
    <row r="339" spans="1:7">
      <c r="A339" s="320" t="s">
        <v>292</v>
      </c>
      <c r="B339" s="309" t="s">
        <v>4277</v>
      </c>
      <c r="C339" s="310">
        <v>0.15</v>
      </c>
      <c r="D339" s="310">
        <v>0.15</v>
      </c>
      <c r="E339" s="310">
        <v>0.15</v>
      </c>
      <c r="F339" s="310">
        <v>0.14699999999999999</v>
      </c>
      <c r="G339" s="311">
        <v>0.15</v>
      </c>
    </row>
    <row r="340" spans="1:7">
      <c r="A340" s="320" t="s">
        <v>292</v>
      </c>
      <c r="B340" s="309" t="s">
        <v>4287</v>
      </c>
      <c r="C340" s="310">
        <v>0.14599999999999999</v>
      </c>
      <c r="D340" s="310">
        <v>0.14599999999999999</v>
      </c>
      <c r="E340" s="310">
        <v>0.15</v>
      </c>
      <c r="F340" s="310">
        <v>0.14099999999999999</v>
      </c>
      <c r="G340" s="311">
        <v>0.14699999999999999</v>
      </c>
    </row>
    <row r="341" spans="1:7">
      <c r="A341" s="320" t="s">
        <v>292</v>
      </c>
      <c r="B341" s="309" t="s">
        <v>4296</v>
      </c>
      <c r="C341" s="310">
        <v>0.126</v>
      </c>
      <c r="D341" s="310">
        <v>0.124</v>
      </c>
      <c r="E341" s="310">
        <v>0.14099999999999999</v>
      </c>
      <c r="F341" s="310">
        <v>0.14399999999999999</v>
      </c>
      <c r="G341" s="311">
        <v>0.13</v>
      </c>
    </row>
    <row r="342" spans="1:7">
      <c r="A342" s="320" t="s">
        <v>292</v>
      </c>
      <c r="B342" s="309" t="s">
        <v>4305</v>
      </c>
      <c r="C342" s="310">
        <v>0.15</v>
      </c>
      <c r="D342" s="310">
        <v>0.15</v>
      </c>
      <c r="E342" s="310">
        <v>0.15</v>
      </c>
      <c r="F342" s="310">
        <v>0.14399999999999999</v>
      </c>
      <c r="G342" s="311">
        <v>0.15</v>
      </c>
    </row>
    <row r="343" spans="1:7">
      <c r="A343" s="320" t="s">
        <v>292</v>
      </c>
      <c r="B343" s="309" t="s">
        <v>4315</v>
      </c>
      <c r="C343" s="310">
        <v>0.15</v>
      </c>
      <c r="D343" s="310">
        <v>0.15</v>
      </c>
      <c r="E343" s="310">
        <v>0.15</v>
      </c>
      <c r="F343" s="310">
        <v>0.128</v>
      </c>
      <c r="G343" s="311">
        <v>0.15</v>
      </c>
    </row>
    <row r="344" spans="1:7">
      <c r="A344" s="320" t="s">
        <v>292</v>
      </c>
      <c r="B344" s="309" t="s">
        <v>4325</v>
      </c>
      <c r="C344" s="310">
        <v>0.15</v>
      </c>
      <c r="D344" s="310">
        <v>0.15</v>
      </c>
      <c r="E344" s="310">
        <v>0.15</v>
      </c>
      <c r="F344" s="310">
        <v>0.14799999999999999</v>
      </c>
      <c r="G344" s="311">
        <v>0.15</v>
      </c>
    </row>
    <row r="345" spans="1:7">
      <c r="A345" s="320" t="s">
        <v>292</v>
      </c>
      <c r="B345" s="309" t="s">
        <v>4335</v>
      </c>
      <c r="C345" s="310">
        <v>0.15</v>
      </c>
      <c r="D345" s="310">
        <v>0.15</v>
      </c>
      <c r="E345" s="310">
        <v>0.15</v>
      </c>
      <c r="F345" s="310">
        <v>0.13800000000000001</v>
      </c>
      <c r="G345" s="311">
        <v>0.15</v>
      </c>
    </row>
    <row r="346" spans="1:7">
      <c r="A346" s="320" t="s">
        <v>292</v>
      </c>
      <c r="B346" s="309" t="s">
        <v>4345</v>
      </c>
      <c r="C346" s="310">
        <v>0.15</v>
      </c>
      <c r="D346" s="310">
        <v>0.15</v>
      </c>
      <c r="E346" s="310">
        <v>0.15</v>
      </c>
      <c r="F346" s="310">
        <v>0.14399999999999999</v>
      </c>
      <c r="G346" s="311">
        <v>0.15</v>
      </c>
    </row>
    <row r="347" spans="1:7">
      <c r="A347" s="320" t="s">
        <v>292</v>
      </c>
      <c r="B347" s="309" t="s">
        <v>4354</v>
      </c>
      <c r="C347" s="310">
        <v>0.15</v>
      </c>
      <c r="D347" s="310">
        <v>0.15</v>
      </c>
      <c r="E347" s="310">
        <v>0.15</v>
      </c>
      <c r="F347" s="310">
        <v>0.14599999999999999</v>
      </c>
      <c r="G347" s="311">
        <v>0.15</v>
      </c>
    </row>
    <row r="348" spans="1:7">
      <c r="A348" s="320" t="s">
        <v>292</v>
      </c>
      <c r="B348" s="309" t="s">
        <v>4362</v>
      </c>
      <c r="C348" s="310">
        <v>0.15</v>
      </c>
      <c r="D348" s="310">
        <v>0.15</v>
      </c>
      <c r="E348" s="310">
        <v>0.15</v>
      </c>
      <c r="F348" s="310">
        <v>0.14399999999999999</v>
      </c>
      <c r="G348" s="311">
        <v>0.15</v>
      </c>
    </row>
    <row r="349" spans="1:7">
      <c r="A349" s="320" t="s">
        <v>292</v>
      </c>
      <c r="B349" s="309" t="s">
        <v>4370</v>
      </c>
      <c r="C349" s="310">
        <v>0.15</v>
      </c>
      <c r="D349" s="310">
        <v>0.15</v>
      </c>
      <c r="E349" s="310">
        <v>0.15</v>
      </c>
      <c r="F349" s="310">
        <v>0.15</v>
      </c>
      <c r="G349" s="311">
        <v>0.15</v>
      </c>
    </row>
    <row r="350" spans="1:7">
      <c r="A350" s="320" t="s">
        <v>292</v>
      </c>
      <c r="B350" s="309" t="s">
        <v>4378</v>
      </c>
      <c r="C350" s="310">
        <v>0.15</v>
      </c>
      <c r="D350" s="310">
        <v>0.15</v>
      </c>
      <c r="E350" s="310">
        <v>0.15</v>
      </c>
      <c r="F350" s="310">
        <v>0.14699999999999999</v>
      </c>
      <c r="G350" s="311">
        <v>0.15</v>
      </c>
    </row>
    <row r="351" spans="1:7">
      <c r="A351" s="320" t="s">
        <v>292</v>
      </c>
      <c r="B351" s="309" t="s">
        <v>4386</v>
      </c>
      <c r="C351" s="310">
        <v>0.15</v>
      </c>
      <c r="D351" s="310">
        <v>0.15</v>
      </c>
      <c r="E351" s="310">
        <v>0.15</v>
      </c>
      <c r="F351" s="310">
        <v>0.13</v>
      </c>
      <c r="G351" s="311">
        <v>0.15</v>
      </c>
    </row>
    <row r="352" spans="1:7">
      <c r="A352" s="320" t="s">
        <v>292</v>
      </c>
      <c r="B352" s="309" t="s">
        <v>4393</v>
      </c>
      <c r="C352" s="310">
        <v>0.15</v>
      </c>
      <c r="D352" s="310">
        <v>0.15</v>
      </c>
      <c r="E352" s="310">
        <v>0.15</v>
      </c>
      <c r="F352" s="310">
        <v>0.14599999999999999</v>
      </c>
      <c r="G352" s="311">
        <v>0.15</v>
      </c>
    </row>
    <row r="353" spans="1:7">
      <c r="A353" s="320" t="s">
        <v>292</v>
      </c>
      <c r="B353" s="309" t="s">
        <v>4400</v>
      </c>
      <c r="C353" s="310">
        <v>0.15</v>
      </c>
      <c r="D353" s="310">
        <v>0.15</v>
      </c>
      <c r="E353" s="310">
        <v>0.15</v>
      </c>
      <c r="F353" s="310">
        <v>0.14499999999999999</v>
      </c>
      <c r="G353" s="311">
        <v>0.15</v>
      </c>
    </row>
    <row r="354" spans="1:7">
      <c r="A354" s="320" t="s">
        <v>292</v>
      </c>
      <c r="B354" s="309" t="s">
        <v>4407</v>
      </c>
      <c r="C354" s="310">
        <v>0.15</v>
      </c>
      <c r="D354" s="310">
        <v>0.15</v>
      </c>
      <c r="E354" s="310">
        <v>0.15</v>
      </c>
      <c r="F354" s="310">
        <v>0.14099999999999999</v>
      </c>
      <c r="G354" s="311">
        <v>0.15</v>
      </c>
    </row>
    <row r="355" spans="1:7">
      <c r="A355" s="320" t="s">
        <v>292</v>
      </c>
      <c r="B355" s="309" t="s">
        <v>4414</v>
      </c>
      <c r="C355" s="310">
        <v>0.15</v>
      </c>
      <c r="D355" s="310">
        <v>0.15</v>
      </c>
      <c r="E355" s="310">
        <v>0.15</v>
      </c>
      <c r="F355" s="310">
        <v>0.15</v>
      </c>
      <c r="G355" s="311">
        <v>0.15</v>
      </c>
    </row>
    <row r="356" spans="1:7">
      <c r="A356" s="320" t="s">
        <v>292</v>
      </c>
      <c r="B356" s="309" t="s">
        <v>4421</v>
      </c>
      <c r="C356" s="310">
        <v>0.15</v>
      </c>
      <c r="D356" s="310">
        <v>0.15</v>
      </c>
      <c r="E356" s="310">
        <v>0.15</v>
      </c>
      <c r="F356" s="310">
        <v>0.15</v>
      </c>
      <c r="G356" s="311">
        <v>0.15</v>
      </c>
    </row>
    <row r="357" spans="1:7">
      <c r="A357" s="323" t="s">
        <v>292</v>
      </c>
      <c r="B357" s="313" t="s">
        <v>4428</v>
      </c>
      <c r="C357" s="314">
        <v>0.126</v>
      </c>
      <c r="D357" s="314">
        <v>0.127</v>
      </c>
      <c r="E357" s="314">
        <v>0.14299999999999999</v>
      </c>
      <c r="F357" s="314">
        <v>0.125</v>
      </c>
      <c r="G357" s="316">
        <v>0.129</v>
      </c>
    </row>
    <row r="358" spans="1:7">
      <c r="A358" s="319" t="s">
        <v>296</v>
      </c>
      <c r="B358" s="305" t="s">
        <v>4144</v>
      </c>
      <c r="C358" s="306">
        <v>0.15</v>
      </c>
      <c r="D358" s="306">
        <v>0.15</v>
      </c>
      <c r="E358" s="306">
        <v>0.15</v>
      </c>
      <c r="F358" s="306">
        <v>0.15</v>
      </c>
      <c r="G358" s="307">
        <v>0.15</v>
      </c>
    </row>
    <row r="359" spans="1:7">
      <c r="A359" s="320" t="s">
        <v>296</v>
      </c>
      <c r="B359" s="309" t="s">
        <v>4157</v>
      </c>
      <c r="C359" s="310">
        <v>0.1</v>
      </c>
      <c r="D359" s="310">
        <v>0.1</v>
      </c>
      <c r="E359" s="310">
        <v>0.1</v>
      </c>
      <c r="F359" s="310">
        <v>0.1</v>
      </c>
      <c r="G359" s="311">
        <v>0.1</v>
      </c>
    </row>
    <row r="360" spans="1:7">
      <c r="A360" s="320" t="s">
        <v>296</v>
      </c>
      <c r="B360" s="309" t="s">
        <v>4171</v>
      </c>
      <c r="C360" s="310">
        <v>0.15</v>
      </c>
      <c r="D360" s="310">
        <v>0.15</v>
      </c>
      <c r="E360" s="310">
        <v>0.15</v>
      </c>
      <c r="F360" s="310">
        <v>0.14899999999999999</v>
      </c>
      <c r="G360" s="311">
        <v>0.15</v>
      </c>
    </row>
    <row r="361" spans="1:7">
      <c r="A361" s="320" t="s">
        <v>296</v>
      </c>
      <c r="B361" s="309" t="s">
        <v>4183</v>
      </c>
      <c r="C361" s="310">
        <v>0.15</v>
      </c>
      <c r="D361" s="310">
        <v>0.15</v>
      </c>
      <c r="E361" s="310">
        <v>0.15</v>
      </c>
      <c r="F361" s="310">
        <v>0.115</v>
      </c>
      <c r="G361" s="311">
        <v>0.15</v>
      </c>
    </row>
    <row r="362" spans="1:7">
      <c r="A362" s="320" t="s">
        <v>296</v>
      </c>
      <c r="B362" s="309" t="s">
        <v>4195</v>
      </c>
      <c r="C362" s="310">
        <v>0.15</v>
      </c>
      <c r="D362" s="310">
        <v>0.15</v>
      </c>
      <c r="E362" s="310">
        <v>0.15</v>
      </c>
      <c r="F362" s="310">
        <v>0.106</v>
      </c>
      <c r="G362" s="311">
        <v>0.15</v>
      </c>
    </row>
    <row r="363" spans="1:7">
      <c r="A363" s="320" t="s">
        <v>296</v>
      </c>
      <c r="B363" s="309" t="s">
        <v>4206</v>
      </c>
      <c r="C363" s="310">
        <v>0.15</v>
      </c>
      <c r="D363" s="310">
        <v>0.15</v>
      </c>
      <c r="E363" s="310">
        <v>0.15</v>
      </c>
      <c r="F363" s="310">
        <v>0.14699999999999999</v>
      </c>
      <c r="G363" s="311">
        <v>0.15</v>
      </c>
    </row>
    <row r="364" spans="1:7">
      <c r="A364" s="320" t="s">
        <v>296</v>
      </c>
      <c r="B364" s="309" t="s">
        <v>4217</v>
      </c>
      <c r="C364" s="310">
        <v>0.15</v>
      </c>
      <c r="D364" s="310">
        <v>0.15</v>
      </c>
      <c r="E364" s="310">
        <v>0.15</v>
      </c>
      <c r="F364" s="310">
        <v>0.14799999999999999</v>
      </c>
      <c r="G364" s="311">
        <v>0.15</v>
      </c>
    </row>
    <row r="365" spans="1:7">
      <c r="A365" s="320" t="s">
        <v>296</v>
      </c>
      <c r="B365" s="309" t="s">
        <v>4228</v>
      </c>
      <c r="C365" s="310">
        <v>0.15</v>
      </c>
      <c r="D365" s="310">
        <v>0.15</v>
      </c>
      <c r="E365" s="310">
        <v>0.15</v>
      </c>
      <c r="F365" s="310">
        <v>0.15</v>
      </c>
      <c r="G365" s="311">
        <v>0.15</v>
      </c>
    </row>
    <row r="366" spans="1:7">
      <c r="A366" s="320" t="s">
        <v>296</v>
      </c>
      <c r="B366" s="309" t="s">
        <v>4238</v>
      </c>
      <c r="C366" s="310">
        <v>0.15</v>
      </c>
      <c r="D366" s="310">
        <v>0.15</v>
      </c>
      <c r="E366" s="310">
        <v>0.15</v>
      </c>
      <c r="F366" s="310">
        <v>0.15</v>
      </c>
      <c r="G366" s="311">
        <v>0.15</v>
      </c>
    </row>
    <row r="367" spans="1:7">
      <c r="A367" s="320" t="s">
        <v>296</v>
      </c>
      <c r="B367" s="309" t="s">
        <v>4248</v>
      </c>
      <c r="C367" s="310">
        <v>0.15</v>
      </c>
      <c r="D367" s="310">
        <v>0.15</v>
      </c>
      <c r="E367" s="310">
        <v>0.15</v>
      </c>
      <c r="F367" s="310">
        <v>0.14699999999999999</v>
      </c>
      <c r="G367" s="311">
        <v>0.15</v>
      </c>
    </row>
    <row r="368" spans="1:7">
      <c r="A368" s="320" t="s">
        <v>296</v>
      </c>
      <c r="B368" s="309" t="s">
        <v>4258</v>
      </c>
      <c r="C368" s="310">
        <v>0.15</v>
      </c>
      <c r="D368" s="310">
        <v>0.15</v>
      </c>
      <c r="E368" s="310">
        <v>0.15</v>
      </c>
      <c r="F368" s="310">
        <v>0.13600000000000001</v>
      </c>
      <c r="G368" s="311">
        <v>0.15</v>
      </c>
    </row>
    <row r="369" spans="1:7">
      <c r="A369" s="320" t="s">
        <v>296</v>
      </c>
      <c r="B369" s="309" t="s">
        <v>4268</v>
      </c>
      <c r="C369" s="310">
        <v>0.15</v>
      </c>
      <c r="D369" s="310">
        <v>0.15</v>
      </c>
      <c r="E369" s="310">
        <v>0.15</v>
      </c>
      <c r="F369" s="310">
        <v>0.14399999999999999</v>
      </c>
      <c r="G369" s="311">
        <v>0.15</v>
      </c>
    </row>
    <row r="370" spans="1:7">
      <c r="A370" s="320" t="s">
        <v>296</v>
      </c>
      <c r="B370" s="309" t="s">
        <v>4278</v>
      </c>
      <c r="C370" s="310">
        <v>0.15</v>
      </c>
      <c r="D370" s="310">
        <v>0.15</v>
      </c>
      <c r="E370" s="310">
        <v>0.15</v>
      </c>
      <c r="F370" s="310">
        <v>0.14599999999999999</v>
      </c>
      <c r="G370" s="311">
        <v>0.15</v>
      </c>
    </row>
    <row r="371" spans="1:7">
      <c r="A371" s="320" t="s">
        <v>296</v>
      </c>
      <c r="B371" s="309" t="s">
        <v>4288</v>
      </c>
      <c r="C371" s="310">
        <v>0.15</v>
      </c>
      <c r="D371" s="310">
        <v>0.15</v>
      </c>
      <c r="E371" s="310">
        <v>0.15</v>
      </c>
      <c r="F371" s="310">
        <v>0.12</v>
      </c>
      <c r="G371" s="311">
        <v>0.15</v>
      </c>
    </row>
    <row r="372" spans="1:7">
      <c r="A372" s="320" t="s">
        <v>296</v>
      </c>
      <c r="B372" s="309" t="s">
        <v>4297</v>
      </c>
      <c r="C372" s="310">
        <v>0.15</v>
      </c>
      <c r="D372" s="310">
        <v>0.15</v>
      </c>
      <c r="E372" s="310">
        <v>0.15</v>
      </c>
      <c r="F372" s="310">
        <v>0.14299999999999999</v>
      </c>
      <c r="G372" s="311">
        <v>0.15</v>
      </c>
    </row>
    <row r="373" spans="1:7">
      <c r="A373" s="320" t="s">
        <v>296</v>
      </c>
      <c r="B373" s="309" t="s">
        <v>4306</v>
      </c>
      <c r="C373" s="310">
        <v>0.15</v>
      </c>
      <c r="D373" s="310">
        <v>0.15</v>
      </c>
      <c r="E373" s="310">
        <v>0.15</v>
      </c>
      <c r="F373" s="310">
        <v>0.14599999999999999</v>
      </c>
      <c r="G373" s="311">
        <v>0.15</v>
      </c>
    </row>
    <row r="374" spans="1:7">
      <c r="A374" s="320" t="s">
        <v>296</v>
      </c>
      <c r="B374" s="309" t="s">
        <v>4316</v>
      </c>
      <c r="C374" s="310">
        <v>0.15</v>
      </c>
      <c r="D374" s="310">
        <v>0.15</v>
      </c>
      <c r="E374" s="310">
        <v>0.15</v>
      </c>
      <c r="F374" s="310">
        <v>0.14399999999999999</v>
      </c>
      <c r="G374" s="311">
        <v>0.15</v>
      </c>
    </row>
    <row r="375" spans="1:7">
      <c r="A375" s="320" t="s">
        <v>296</v>
      </c>
      <c r="B375" s="309" t="s">
        <v>4326</v>
      </c>
      <c r="C375" s="310">
        <v>0.15</v>
      </c>
      <c r="D375" s="310">
        <v>0.15</v>
      </c>
      <c r="E375" s="310">
        <v>0.15</v>
      </c>
      <c r="F375" s="310">
        <v>0.13</v>
      </c>
      <c r="G375" s="311">
        <v>0.15</v>
      </c>
    </row>
    <row r="376" spans="1:7">
      <c r="A376" s="320" t="s">
        <v>296</v>
      </c>
      <c r="B376" s="309" t="s">
        <v>4336</v>
      </c>
      <c r="C376" s="310">
        <v>0.15</v>
      </c>
      <c r="D376" s="310">
        <v>0.15</v>
      </c>
      <c r="E376" s="310">
        <v>0.15</v>
      </c>
      <c r="F376" s="310">
        <v>0.14199999999999999</v>
      </c>
      <c r="G376" s="311">
        <v>0.15</v>
      </c>
    </row>
    <row r="377" spans="1:7">
      <c r="A377" s="323" t="s">
        <v>296</v>
      </c>
      <c r="B377" s="313" t="s">
        <v>4346</v>
      </c>
      <c r="C377" s="314">
        <v>0.15</v>
      </c>
      <c r="D377" s="314">
        <v>0.15</v>
      </c>
      <c r="E377" s="314">
        <v>0.15</v>
      </c>
      <c r="F377" s="314">
        <v>0.14000000000000001</v>
      </c>
      <c r="G377" s="316">
        <v>0.15</v>
      </c>
    </row>
    <row r="378" spans="1:7">
      <c r="A378" s="319" t="s">
        <v>300</v>
      </c>
      <c r="B378" s="305" t="s">
        <v>4145</v>
      </c>
      <c r="C378" s="306">
        <v>0.15</v>
      </c>
      <c r="D378" s="306">
        <v>0.15</v>
      </c>
      <c r="E378" s="306">
        <v>0.15</v>
      </c>
      <c r="F378" s="306">
        <v>0.107</v>
      </c>
      <c r="G378" s="307">
        <v>0.15</v>
      </c>
    </row>
    <row r="379" spans="1:7">
      <c r="A379" s="320" t="s">
        <v>300</v>
      </c>
      <c r="B379" s="309" t="s">
        <v>4158</v>
      </c>
      <c r="C379" s="310">
        <v>0.15</v>
      </c>
      <c r="D379" s="310">
        <v>0.15</v>
      </c>
      <c r="E379" s="310">
        <v>0.15</v>
      </c>
      <c r="F379" s="310">
        <v>0.115</v>
      </c>
      <c r="G379" s="311">
        <v>0.14899999999999999</v>
      </c>
    </row>
    <row r="380" spans="1:7">
      <c r="A380" s="320" t="s">
        <v>300</v>
      </c>
      <c r="B380" s="309" t="s">
        <v>4172</v>
      </c>
      <c r="C380" s="310">
        <v>0.15</v>
      </c>
      <c r="D380" s="310">
        <v>0.15</v>
      </c>
      <c r="E380" s="310">
        <v>0.15</v>
      </c>
      <c r="F380" s="310">
        <v>0.1</v>
      </c>
      <c r="G380" s="311">
        <v>0.14799999999999999</v>
      </c>
    </row>
    <row r="381" spans="1:7">
      <c r="A381" s="320" t="s">
        <v>300</v>
      </c>
      <c r="B381" s="309" t="s">
        <v>4184</v>
      </c>
      <c r="C381" s="310">
        <v>0.15</v>
      </c>
      <c r="D381" s="310">
        <v>0.15</v>
      </c>
      <c r="E381" s="310">
        <v>0.15</v>
      </c>
      <c r="F381" s="310">
        <v>0.126</v>
      </c>
      <c r="G381" s="311">
        <v>0.15</v>
      </c>
    </row>
    <row r="382" spans="1:7">
      <c r="A382" s="320" t="s">
        <v>300</v>
      </c>
      <c r="B382" s="309" t="s">
        <v>4196</v>
      </c>
      <c r="C382" s="310">
        <v>0.15</v>
      </c>
      <c r="D382" s="310">
        <v>0.15</v>
      </c>
      <c r="E382" s="310">
        <v>0.15</v>
      </c>
      <c r="F382" s="310">
        <v>0.15</v>
      </c>
      <c r="G382" s="311">
        <v>0.15</v>
      </c>
    </row>
    <row r="383" spans="1:7">
      <c r="A383" s="320" t="s">
        <v>300</v>
      </c>
      <c r="B383" s="309" t="s">
        <v>4207</v>
      </c>
      <c r="C383" s="310">
        <v>0.15</v>
      </c>
      <c r="D383" s="310">
        <v>0.15</v>
      </c>
      <c r="E383" s="310">
        <v>0.15</v>
      </c>
      <c r="F383" s="310">
        <v>0.14699999999999999</v>
      </c>
      <c r="G383" s="311">
        <v>0.15</v>
      </c>
    </row>
    <row r="384" spans="1:7">
      <c r="A384" s="330" t="s">
        <v>300</v>
      </c>
      <c r="B384" s="331" t="s">
        <v>4218</v>
      </c>
      <c r="C384" s="332">
        <v>0.15</v>
      </c>
      <c r="D384" s="332">
        <v>0.15</v>
      </c>
      <c r="E384" s="332">
        <v>0.15</v>
      </c>
      <c r="F384" s="332">
        <v>0.15</v>
      </c>
      <c r="G384" s="333">
        <v>0.15</v>
      </c>
    </row>
  </sheetData>
  <sheetProtection password="CEE9" sheet="1" objects="1" scenarios="1"/>
  <mergeCells count="1">
    <mergeCell ref="A1:B1"/>
  </mergeCells>
  <phoneticPr fontId="22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89"/>
  </cols>
  <sheetData>
    <row r="1" spans="1:6">
      <c r="A1" s="3792" t="s">
        <v>4520</v>
      </c>
      <c r="B1" s="3792"/>
      <c r="C1" s="3792"/>
      <c r="D1" s="3792"/>
      <c r="E1" s="3792"/>
      <c r="F1" s="3793"/>
    </row>
    <row r="2" spans="1:6">
      <c r="A2" s="290" t="s">
        <v>4521</v>
      </c>
      <c r="B2" s="291"/>
      <c r="C2" s="291"/>
      <c r="D2" s="291"/>
      <c r="E2" s="291"/>
      <c r="F2" s="291"/>
    </row>
    <row r="3" spans="1:6">
      <c r="A3" s="290" t="s">
        <v>4522</v>
      </c>
      <c r="B3" s="291"/>
      <c r="C3" s="291"/>
      <c r="D3" s="291"/>
      <c r="E3" s="291"/>
      <c r="F3" s="292" t="s">
        <v>4523</v>
      </c>
    </row>
    <row r="4" spans="1:6">
      <c r="A4" s="293" t="s">
        <v>406</v>
      </c>
      <c r="B4" s="293" t="s">
        <v>552</v>
      </c>
      <c r="C4" s="293" t="s">
        <v>3812</v>
      </c>
      <c r="D4" s="293" t="s">
        <v>4524</v>
      </c>
      <c r="E4" s="293" t="s">
        <v>410</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ColWidth="9" defaultRowHeight="14.4"/>
  <cols>
    <col min="1" max="1" width="13.88671875" customWidth="1"/>
    <col min="11" max="17" width="9" hidden="1" customWidth="1"/>
    <col min="25" max="30" width="9" hidden="1" customWidth="1"/>
  </cols>
  <sheetData>
    <row r="1" spans="1:30">
      <c r="A1" s="216">
        <f>基准地价修正!G23</f>
        <v>45311</v>
      </c>
      <c r="B1" s="217" t="s">
        <v>4525</v>
      </c>
      <c r="C1" s="218"/>
      <c r="D1" s="218"/>
      <c r="E1" s="218"/>
      <c r="F1" s="218"/>
      <c r="G1" s="218"/>
      <c r="H1" s="218"/>
      <c r="I1" s="218"/>
      <c r="J1" s="244"/>
      <c r="K1" s="218" t="s">
        <v>4526</v>
      </c>
      <c r="L1" s="218"/>
      <c r="M1" s="218"/>
      <c r="N1" s="218"/>
      <c r="O1" s="218"/>
      <c r="P1" s="218"/>
      <c r="Q1" s="244"/>
      <c r="R1" s="3794" t="s">
        <v>4527</v>
      </c>
      <c r="S1" s="3795"/>
      <c r="T1" s="3795"/>
      <c r="U1" s="3795"/>
      <c r="V1" s="3795"/>
      <c r="W1" s="3795"/>
      <c r="X1" s="244"/>
      <c r="Y1" s="3794" t="s">
        <v>4528</v>
      </c>
      <c r="Z1" s="3795"/>
      <c r="AA1" s="3795"/>
      <c r="AB1" s="3795"/>
      <c r="AC1" s="3795"/>
      <c r="AD1" s="3795"/>
    </row>
    <row r="2" spans="1:30" s="208" customFormat="1">
      <c r="B2" s="219"/>
      <c r="C2" s="220"/>
      <c r="D2" s="221" t="s">
        <v>4529</v>
      </c>
      <c r="E2" s="222" t="s">
        <v>552</v>
      </c>
      <c r="F2" s="222" t="s">
        <v>3812</v>
      </c>
      <c r="G2" s="222" t="s">
        <v>414</v>
      </c>
      <c r="H2" s="222" t="s">
        <v>410</v>
      </c>
      <c r="I2" s="222" t="s">
        <v>280</v>
      </c>
      <c r="J2" s="245"/>
      <c r="K2" s="221" t="s">
        <v>4529</v>
      </c>
      <c r="L2" s="222" t="s">
        <v>552</v>
      </c>
      <c r="M2" s="222" t="s">
        <v>3812</v>
      </c>
      <c r="N2" s="222" t="s">
        <v>414</v>
      </c>
      <c r="O2" s="222" t="s">
        <v>410</v>
      </c>
      <c r="P2" s="222" t="s">
        <v>280</v>
      </c>
      <c r="Q2" s="245"/>
      <c r="R2" s="221" t="s">
        <v>4529</v>
      </c>
      <c r="S2" s="222" t="s">
        <v>552</v>
      </c>
      <c r="T2" s="222" t="s">
        <v>3812</v>
      </c>
      <c r="U2" s="222" t="s">
        <v>414</v>
      </c>
      <c r="V2" s="222" t="s">
        <v>410</v>
      </c>
      <c r="W2" s="222" t="s">
        <v>280</v>
      </c>
      <c r="X2" s="245"/>
      <c r="Y2" s="221" t="s">
        <v>4529</v>
      </c>
      <c r="Z2" s="222" t="s">
        <v>552</v>
      </c>
      <c r="AA2" s="222" t="s">
        <v>3812</v>
      </c>
      <c r="AB2" s="222" t="s">
        <v>414</v>
      </c>
      <c r="AC2" s="222" t="s">
        <v>410</v>
      </c>
      <c r="AD2" s="222" t="s">
        <v>280</v>
      </c>
    </row>
    <row r="3" spans="1:30" s="209" customFormat="1" ht="13.2">
      <c r="A3" s="223" t="s">
        <v>4530</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97" t="s">
        <v>4531</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3.2">
      <c r="A6" s="97" t="s">
        <v>4532</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3.2">
      <c r="A7" s="97" t="s">
        <v>4533</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3.2">
      <c r="A8" s="232" t="s">
        <v>4534</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3.2">
      <c r="A9" s="237" t="s">
        <v>4535</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3.2">
      <c r="A10" s="237" t="s">
        <v>4536</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3.2">
      <c r="A11" s="237" t="s">
        <v>4537</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3.2">
      <c r="A12" s="237" t="s">
        <v>4538</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3.2">
      <c r="A13" s="237" t="s">
        <v>4539</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3.2">
      <c r="A14" s="237" t="s">
        <v>4540</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3.2">
      <c r="A15" s="237" t="s">
        <v>4541</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3.2">
      <c r="A16" s="237" t="s">
        <v>4542</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3.2">
      <c r="A17" s="237" t="s">
        <v>4543</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3.2">
      <c r="A18" s="238" t="s">
        <v>4544</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4545</v>
      </c>
    </row>
    <row r="21" spans="1:30" s="214" customFormat="1">
      <c r="I21" s="263" t="s">
        <v>3429</v>
      </c>
    </row>
    <row r="22" spans="1:30" s="214" customFormat="1"/>
    <row r="23" spans="1:30" s="215" customFormat="1" ht="13.2">
      <c r="B23" s="217" t="s">
        <v>4546</v>
      </c>
      <c r="C23" s="218"/>
      <c r="D23" s="218"/>
      <c r="E23" s="218"/>
      <c r="F23" s="218"/>
      <c r="G23" s="218"/>
      <c r="H23" s="218"/>
      <c r="I23" s="218"/>
      <c r="J23" s="244"/>
      <c r="K23" s="218" t="s">
        <v>4526</v>
      </c>
      <c r="L23" s="218"/>
      <c r="M23" s="218"/>
      <c r="N23" s="218"/>
      <c r="O23" s="218"/>
      <c r="P23" s="218"/>
      <c r="Q23" s="244"/>
      <c r="R23" s="3794" t="s">
        <v>4527</v>
      </c>
      <c r="S23" s="3795"/>
      <c r="T23" s="3795"/>
      <c r="U23" s="3795"/>
      <c r="V23" s="3795"/>
      <c r="W23" s="3795"/>
      <c r="X23" s="244"/>
      <c r="Y23" s="3794" t="s">
        <v>4528</v>
      </c>
      <c r="Z23" s="3795"/>
      <c r="AA23" s="3795"/>
      <c r="AB23" s="3795"/>
      <c r="AC23" s="3795"/>
      <c r="AD23" s="3795"/>
    </row>
    <row r="24" spans="1:30" s="208" customFormat="1">
      <c r="B24" s="219"/>
      <c r="C24" s="220"/>
      <c r="D24" s="221" t="s">
        <v>4529</v>
      </c>
      <c r="E24" s="222" t="s">
        <v>552</v>
      </c>
      <c r="F24" s="222" t="s">
        <v>3812</v>
      </c>
      <c r="G24" s="222" t="s">
        <v>414</v>
      </c>
      <c r="H24" s="222"/>
      <c r="I24" s="222" t="s">
        <v>280</v>
      </c>
      <c r="J24" s="245"/>
      <c r="K24" s="221" t="s">
        <v>4529</v>
      </c>
      <c r="L24" s="222" t="s">
        <v>552</v>
      </c>
      <c r="M24" s="222" t="s">
        <v>3812</v>
      </c>
      <c r="N24" s="222" t="s">
        <v>414</v>
      </c>
      <c r="O24" s="222"/>
      <c r="P24" s="222" t="s">
        <v>280</v>
      </c>
      <c r="Q24" s="245"/>
      <c r="R24" s="221" t="s">
        <v>4529</v>
      </c>
      <c r="S24" s="222" t="s">
        <v>552</v>
      </c>
      <c r="T24" s="222" t="s">
        <v>3812</v>
      </c>
      <c r="U24" s="222" t="s">
        <v>414</v>
      </c>
      <c r="V24" s="222"/>
      <c r="W24" s="222" t="s">
        <v>280</v>
      </c>
      <c r="X24" s="245"/>
      <c r="Y24" s="221" t="s">
        <v>4529</v>
      </c>
      <c r="Z24" s="222" t="s">
        <v>552</v>
      </c>
      <c r="AA24" s="222" t="s">
        <v>3812</v>
      </c>
      <c r="AB24" s="222" t="s">
        <v>414</v>
      </c>
      <c r="AC24" s="222"/>
      <c r="AD24" s="222" t="s">
        <v>280</v>
      </c>
    </row>
    <row r="25" spans="1:30" s="209" customFormat="1" ht="13.2">
      <c r="A25" s="223" t="s">
        <v>4530</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3.2">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3.2">
      <c r="A27" s="97" t="s">
        <v>4531</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3.2">
      <c r="A28" s="97" t="s">
        <v>4532</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3.2">
      <c r="A29" s="97" t="s">
        <v>4533</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3.2">
      <c r="A30" s="232" t="s">
        <v>4534</v>
      </c>
      <c r="B30" s="233">
        <v>2023</v>
      </c>
      <c r="C30" s="234">
        <v>3</v>
      </c>
      <c r="D30" s="235"/>
      <c r="E30" s="235">
        <v>0.35</v>
      </c>
      <c r="F30" s="235">
        <v>0.17</v>
      </c>
      <c r="G30" s="235">
        <v>0.52</v>
      </c>
      <c r="H30" s="236"/>
      <c r="I30" s="255">
        <f t="shared" si="36"/>
        <v>0.17</v>
      </c>
      <c r="J30" s="256"/>
      <c r="K30" s="257"/>
      <c r="L30" s="258">
        <f t="shared" ref="L30:L32" si="46">E30/100</f>
        <v>3.5000000000000001E-3</v>
      </c>
      <c r="M30" s="258">
        <f t="shared" ref="M30:M32" si="47">F30/100</f>
        <v>1.6999999999999999E-3</v>
      </c>
      <c r="N30" s="258">
        <f t="shared" ref="N30:N32" si="48">G30/100</f>
        <v>5.1999999999999998E-3</v>
      </c>
      <c r="O30" s="258"/>
      <c r="P30" s="258">
        <f t="shared" ref="P30:P32" si="49">M30</f>
        <v>1.6999999999999999E-3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3.2">
      <c r="A31" s="237" t="s">
        <v>4535</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3.2">
      <c r="A32" s="237" t="s">
        <v>4536</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3.2">
      <c r="A33" s="237" t="s">
        <v>4537</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3.2">
      <c r="A34" s="237" t="s">
        <v>4538</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3.2">
      <c r="A35" s="237" t="s">
        <v>4539</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3.2">
      <c r="A36" s="237" t="s">
        <v>4540</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3.2">
      <c r="A37" s="237" t="s">
        <v>4541</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3.2">
      <c r="A38" s="237" t="s">
        <v>4542</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3.2">
      <c r="A39" s="237" t="s">
        <v>4543</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3.2">
      <c r="A40" s="238" t="s">
        <v>4544</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4547</v>
      </c>
    </row>
  </sheetData>
  <sheetProtection password="CEE9" sheet="1" objects="1" scenarios="1"/>
  <mergeCells count="4">
    <mergeCell ref="R1:W1"/>
    <mergeCell ref="Y1:AD1"/>
    <mergeCell ref="R23:W23"/>
    <mergeCell ref="Y23:AD23"/>
  </mergeCells>
  <phoneticPr fontId="22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806" t="s">
        <v>4548</v>
      </c>
      <c r="C1" s="3806"/>
      <c r="D1" s="3806"/>
      <c r="E1" s="3806"/>
      <c r="F1" s="3806"/>
      <c r="G1" s="3803" t="s">
        <v>4549</v>
      </c>
      <c r="H1" s="3803"/>
      <c r="I1" s="3803"/>
      <c r="J1" s="3803"/>
      <c r="K1" s="3803"/>
      <c r="L1" s="3803"/>
      <c r="N1" s="3803" t="s">
        <v>4526</v>
      </c>
      <c r="O1" s="3803"/>
      <c r="P1" s="3803"/>
      <c r="Q1" s="3803"/>
      <c r="S1" s="3803" t="s">
        <v>4550</v>
      </c>
      <c r="T1" s="3803"/>
      <c r="U1" s="3803"/>
      <c r="V1" s="3803"/>
      <c r="X1" s="3802" t="s">
        <v>4527</v>
      </c>
      <c r="Y1" s="3803"/>
      <c r="Z1" s="3803"/>
      <c r="AA1" s="3803"/>
      <c r="AB1" s="3803"/>
      <c r="AD1" s="3802" t="s">
        <v>4528</v>
      </c>
      <c r="AE1" s="3803"/>
      <c r="AF1" s="3803"/>
      <c r="AG1" s="3803"/>
      <c r="AH1" s="3803"/>
    </row>
    <row r="2" spans="1:34" s="75" customFormat="1" ht="14.4">
      <c r="B2" s="85" t="s">
        <v>4551</v>
      </c>
      <c r="C2" s="85" t="s">
        <v>4552</v>
      </c>
      <c r="D2" s="86" t="s">
        <v>3812</v>
      </c>
      <c r="E2" s="86" t="s">
        <v>414</v>
      </c>
      <c r="F2" s="85" t="s">
        <v>4553</v>
      </c>
      <c r="G2" s="87"/>
      <c r="I2" s="85" t="s">
        <v>4551</v>
      </c>
      <c r="J2" s="86" t="s">
        <v>3821</v>
      </c>
      <c r="K2" s="86" t="s">
        <v>414</v>
      </c>
      <c r="L2" s="85" t="s">
        <v>4553</v>
      </c>
      <c r="N2" s="85" t="s">
        <v>4551</v>
      </c>
      <c r="O2" s="86" t="s">
        <v>3821</v>
      </c>
      <c r="P2" s="86" t="s">
        <v>414</v>
      </c>
      <c r="Q2" s="85" t="s">
        <v>4553</v>
      </c>
      <c r="S2" s="85" t="s">
        <v>4551</v>
      </c>
      <c r="T2" s="86" t="s">
        <v>3821</v>
      </c>
      <c r="U2" s="86" t="s">
        <v>414</v>
      </c>
      <c r="V2" s="85" t="s">
        <v>4553</v>
      </c>
      <c r="X2" s="85" t="s">
        <v>4551</v>
      </c>
      <c r="Y2" s="85" t="s">
        <v>4552</v>
      </c>
      <c r="Z2" s="86" t="s">
        <v>3812</v>
      </c>
      <c r="AA2" s="86" t="s">
        <v>414</v>
      </c>
      <c r="AB2" s="85" t="s">
        <v>4553</v>
      </c>
      <c r="AD2" s="85" t="s">
        <v>4551</v>
      </c>
      <c r="AE2" s="85" t="s">
        <v>4552</v>
      </c>
      <c r="AF2" s="86" t="s">
        <v>3812</v>
      </c>
      <c r="AG2" s="86" t="s">
        <v>414</v>
      </c>
      <c r="AH2" s="85" t="s">
        <v>4553</v>
      </c>
    </row>
    <row r="3" spans="1:34" s="76" customFormat="1" ht="14.4">
      <c r="A3" s="88" t="s">
        <v>4530</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4537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4538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4554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4539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4540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4541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4542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4543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4544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4555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4556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4557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4558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4559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4560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4561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4562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4563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97">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4564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97"/>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4565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97"/>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4566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04"/>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4567</v>
      </c>
      <c r="B25" s="108">
        <v>439</v>
      </c>
      <c r="C25" s="108">
        <v>327</v>
      </c>
      <c r="D25" s="108">
        <f t="shared" si="217"/>
        <v>327</v>
      </c>
      <c r="E25" s="108">
        <v>627</v>
      </c>
      <c r="F25" s="109">
        <v>283</v>
      </c>
      <c r="G25" s="3805">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4568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97"/>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4569</v>
      </c>
      <c r="B27" s="98">
        <f t="shared" si="232"/>
        <v>419.31181600000002</v>
      </c>
      <c r="C27" s="98">
        <f t="shared" si="233"/>
        <v>313.95436799999999</v>
      </c>
      <c r="D27" s="98">
        <f t="shared" si="234"/>
        <v>313.95436799999999</v>
      </c>
      <c r="E27" s="98">
        <f t="shared" si="235"/>
        <v>596.63028431999999</v>
      </c>
      <c r="F27" s="98">
        <f t="shared" si="236"/>
        <v>274.74220703999998</v>
      </c>
      <c r="G27" s="3797"/>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4570</v>
      </c>
      <c r="B28" s="98">
        <f t="shared" si="232"/>
        <v>405.524</v>
      </c>
      <c r="C28" s="98">
        <f t="shared" si="233"/>
        <v>307.79840000000002</v>
      </c>
      <c r="D28" s="98">
        <f t="shared" si="234"/>
        <v>307.79840000000002</v>
      </c>
      <c r="E28" s="98">
        <f t="shared" si="235"/>
        <v>574.67759999999998</v>
      </c>
      <c r="F28" s="98">
        <f t="shared" si="236"/>
        <v>270.20280000000002</v>
      </c>
      <c r="G28" s="3804"/>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4571</v>
      </c>
      <c r="B29" s="108">
        <v>392</v>
      </c>
      <c r="C29" s="108">
        <v>302</v>
      </c>
      <c r="D29" s="108">
        <f t="shared" si="234"/>
        <v>302</v>
      </c>
      <c r="E29" s="108">
        <v>553</v>
      </c>
      <c r="F29" s="109">
        <v>266</v>
      </c>
      <c r="G29" s="3805">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4572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97"/>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4573</v>
      </c>
      <c r="B31" s="98">
        <f t="shared" si="245"/>
        <v>360.06949782209398</v>
      </c>
      <c r="C31" s="98">
        <f t="shared" si="245"/>
        <v>289.84672674747799</v>
      </c>
      <c r="D31" s="98">
        <f t="shared" si="246"/>
        <v>289.84672674747799</v>
      </c>
      <c r="E31" s="98">
        <f t="shared" si="247"/>
        <v>501.06543001181501</v>
      </c>
      <c r="F31" s="98">
        <f t="shared" si="247"/>
        <v>256.82882500745001</v>
      </c>
      <c r="G31" s="3797"/>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4574</v>
      </c>
      <c r="B32" s="98">
        <f t="shared" si="245"/>
        <v>346.720748986128</v>
      </c>
      <c r="C32" s="98">
        <f t="shared" si="245"/>
        <v>284.30282172386302</v>
      </c>
      <c r="D32" s="98">
        <f t="shared" si="246"/>
        <v>284.30282172386302</v>
      </c>
      <c r="E32" s="98">
        <f t="shared" si="247"/>
        <v>479.58023546306902</v>
      </c>
      <c r="F32" s="98">
        <f t="shared" si="247"/>
        <v>253.25788877571199</v>
      </c>
      <c r="G32" s="3798"/>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4575</v>
      </c>
      <c r="B33" s="108">
        <v>333</v>
      </c>
      <c r="C33" s="108">
        <v>277</v>
      </c>
      <c r="D33" s="108">
        <f t="shared" si="246"/>
        <v>277</v>
      </c>
      <c r="E33" s="108">
        <v>459</v>
      </c>
      <c r="F33" s="109">
        <v>249</v>
      </c>
      <c r="G33" s="3796">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4576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97"/>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4577</v>
      </c>
      <c r="B35" s="98">
        <f t="shared" si="249"/>
        <v>322.34053690220799</v>
      </c>
      <c r="C35" s="98">
        <f t="shared" si="249"/>
        <v>271.461607704225</v>
      </c>
      <c r="D35" s="98">
        <f t="shared" si="246"/>
        <v>271.461607704225</v>
      </c>
      <c r="E35" s="98">
        <f t="shared" si="250"/>
        <v>442.69434542172502</v>
      </c>
      <c r="F35" s="98">
        <f t="shared" si="250"/>
        <v>241.34030753190899</v>
      </c>
      <c r="G35" s="3797"/>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4578</v>
      </c>
      <c r="B36" s="98">
        <f t="shared" si="249"/>
        <v>319.87748030386803</v>
      </c>
      <c r="C36" s="98">
        <f t="shared" si="249"/>
        <v>269.60135833173598</v>
      </c>
      <c r="D36" s="98">
        <f t="shared" si="246"/>
        <v>269.60135833173598</v>
      </c>
      <c r="E36" s="98">
        <f t="shared" si="250"/>
        <v>439.18089823583801</v>
      </c>
      <c r="F36" s="98">
        <f t="shared" si="250"/>
        <v>239.23503918706299</v>
      </c>
      <c r="G36" s="3798"/>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4579</v>
      </c>
      <c r="B37" s="112">
        <v>318</v>
      </c>
      <c r="C37" s="112">
        <v>268</v>
      </c>
      <c r="D37" s="112">
        <f t="shared" si="246"/>
        <v>268</v>
      </c>
      <c r="E37" s="112">
        <v>437</v>
      </c>
      <c r="F37" s="113">
        <v>237</v>
      </c>
      <c r="G37" s="3796">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4580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97"/>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4581</v>
      </c>
      <c r="B39" s="98">
        <f t="shared" si="251"/>
        <v>314.721411723865</v>
      </c>
      <c r="C39" s="98">
        <f t="shared" si="251"/>
        <v>263.03901319069001</v>
      </c>
      <c r="D39" s="98">
        <f t="shared" si="246"/>
        <v>263.03901319069001</v>
      </c>
      <c r="E39" s="98">
        <f t="shared" si="252"/>
        <v>433.65745506782798</v>
      </c>
      <c r="F39" s="98">
        <f t="shared" si="252"/>
        <v>233.23005080045701</v>
      </c>
      <c r="G39" s="3797"/>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4582</v>
      </c>
      <c r="B40" s="116">
        <f t="shared" si="251"/>
        <v>307.34512863658699</v>
      </c>
      <c r="C40" s="116">
        <f t="shared" si="251"/>
        <v>257.80556031626998</v>
      </c>
      <c r="D40" s="116">
        <f t="shared" si="246"/>
        <v>257.80556031626998</v>
      </c>
      <c r="E40" s="116">
        <f t="shared" si="252"/>
        <v>422.70928459677202</v>
      </c>
      <c r="F40" s="116">
        <f t="shared" si="252"/>
        <v>229.738032703366</v>
      </c>
      <c r="G40" s="3798"/>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4583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4584</v>
      </c>
      <c r="B41" s="108">
        <v>299</v>
      </c>
      <c r="C41" s="108">
        <v>252</v>
      </c>
      <c r="D41" s="108">
        <f t="shared" si="246"/>
        <v>252</v>
      </c>
      <c r="E41" s="108">
        <v>409</v>
      </c>
      <c r="F41" s="109">
        <v>227</v>
      </c>
      <c r="G41" s="3799">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4585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00"/>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4586</v>
      </c>
      <c r="B43" s="98">
        <f t="shared" si="255"/>
        <v>288.264905382878</v>
      </c>
      <c r="C43" s="98">
        <f t="shared" si="255"/>
        <v>243.64564425013299</v>
      </c>
      <c r="D43" s="98">
        <f t="shared" si="246"/>
        <v>243.64564425013299</v>
      </c>
      <c r="E43" s="98">
        <f t="shared" si="256"/>
        <v>393.31080825986498</v>
      </c>
      <c r="F43" s="98">
        <f t="shared" si="256"/>
        <v>223.079037905512</v>
      </c>
      <c r="G43" s="3800"/>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4587</v>
      </c>
      <c r="B44" s="98">
        <f t="shared" si="255"/>
        <v>282.50186729015797</v>
      </c>
      <c r="C44" s="98">
        <f t="shared" si="255"/>
        <v>238.097961741555</v>
      </c>
      <c r="D44" s="98">
        <f t="shared" si="246"/>
        <v>238.097961741555</v>
      </c>
      <c r="E44" s="98">
        <f t="shared" si="256"/>
        <v>385.33438646014099</v>
      </c>
      <c r="F44" s="98">
        <f t="shared" si="256"/>
        <v>221.550340555677</v>
      </c>
      <c r="G44" s="3801"/>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4588</v>
      </c>
      <c r="B45" s="119">
        <v>278</v>
      </c>
      <c r="C45" s="119">
        <v>234</v>
      </c>
      <c r="D45" s="119">
        <f t="shared" si="246"/>
        <v>234</v>
      </c>
      <c r="E45" s="119">
        <v>379</v>
      </c>
      <c r="F45" s="120">
        <v>220</v>
      </c>
      <c r="G45" s="3796">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4589</v>
      </c>
      <c r="B46" s="98">
        <f>B45/(1+N45)</f>
        <v>275.49301357645402</v>
      </c>
      <c r="C46" s="98">
        <f>C45/(1+O45)</f>
        <v>232.41954707985701</v>
      </c>
      <c r="D46" s="98">
        <f t="shared" si="246"/>
        <v>232.41954707985701</v>
      </c>
      <c r="E46" s="98">
        <f t="shared" ref="E46:F48" si="257">E45/(1+P45)</f>
        <v>375.32184591008098</v>
      </c>
      <c r="F46" s="98">
        <f t="shared" si="257"/>
        <v>218.03766105054501</v>
      </c>
      <c r="G46" s="3797"/>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4590</v>
      </c>
      <c r="B47" s="98">
        <f>B46/(1+N46)</f>
        <v>275.24529281292303</v>
      </c>
      <c r="C47" s="98">
        <f>C46/(1+O46)</f>
        <v>231.74747938962699</v>
      </c>
      <c r="D47" s="98">
        <f t="shared" si="246"/>
        <v>231.74747938962699</v>
      </c>
      <c r="E47" s="98">
        <f t="shared" si="257"/>
        <v>375.35938184826603</v>
      </c>
      <c r="F47" s="98">
        <f t="shared" si="257"/>
        <v>216.78033510692501</v>
      </c>
      <c r="G47" s="3797"/>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4591</v>
      </c>
      <c r="B48" s="98">
        <f>B47/(1+N47)</f>
        <v>275.19025476196998</v>
      </c>
      <c r="C48" s="121">
        <v>232</v>
      </c>
      <c r="D48" s="121">
        <f t="shared" si="246"/>
        <v>232</v>
      </c>
      <c r="E48" s="98">
        <f t="shared" si="257"/>
        <v>375.65990977608698</v>
      </c>
      <c r="F48" s="98">
        <f t="shared" si="257"/>
        <v>214.12518283971301</v>
      </c>
      <c r="G48" s="3798"/>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4592</v>
      </c>
      <c r="B49" s="108">
        <v>275</v>
      </c>
      <c r="C49" s="108">
        <v>232</v>
      </c>
      <c r="D49" s="108">
        <f t="shared" si="246"/>
        <v>232</v>
      </c>
      <c r="E49" s="108">
        <v>376</v>
      </c>
      <c r="F49" s="109">
        <v>213</v>
      </c>
      <c r="G49" s="3796">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4593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97">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4594</v>
      </c>
      <c r="B51" s="98">
        <f t="shared" si="258"/>
        <v>275.19335084830601</v>
      </c>
      <c r="C51" s="98">
        <f t="shared" si="258"/>
        <v>230.18088050139701</v>
      </c>
      <c r="D51" s="98">
        <f t="shared" si="246"/>
        <v>230.18088050139701</v>
      </c>
      <c r="E51" s="98">
        <f t="shared" si="259"/>
        <v>377.58482925212297</v>
      </c>
      <c r="F51" s="98">
        <f t="shared" si="259"/>
        <v>210.906879978479</v>
      </c>
      <c r="G51" s="3797">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4595</v>
      </c>
      <c r="B52" s="98">
        <f t="shared" si="258"/>
        <v>276.29854502841999</v>
      </c>
      <c r="C52" s="98">
        <f t="shared" si="258"/>
        <v>229.79023709833001</v>
      </c>
      <c r="D52" s="98">
        <f t="shared" si="246"/>
        <v>229.79023709833001</v>
      </c>
      <c r="E52" s="98">
        <f t="shared" si="259"/>
        <v>379.78759731655902</v>
      </c>
      <c r="F52" s="98">
        <f t="shared" si="259"/>
        <v>211.32953905659201</v>
      </c>
      <c r="G52" s="3798">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4596</v>
      </c>
      <c r="B53" s="108">
        <v>269</v>
      </c>
      <c r="C53" s="108">
        <v>221</v>
      </c>
      <c r="D53" s="108">
        <f t="shared" si="246"/>
        <v>221</v>
      </c>
      <c r="E53" s="108">
        <v>373</v>
      </c>
      <c r="F53" s="109">
        <v>196</v>
      </c>
      <c r="G53" s="3796">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4597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97">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4598</v>
      </c>
      <c r="B55" s="98">
        <f t="shared" si="260"/>
        <v>242.95398227588399</v>
      </c>
      <c r="C55" s="98">
        <f t="shared" si="260"/>
        <v>199.591370536141</v>
      </c>
      <c r="D55" s="98">
        <f t="shared" si="246"/>
        <v>199.591370536141</v>
      </c>
      <c r="E55" s="98">
        <f t="shared" si="261"/>
        <v>335.92189522342102</v>
      </c>
      <c r="F55" s="98">
        <f t="shared" si="261"/>
        <v>183.101399911095</v>
      </c>
      <c r="G55" s="3797">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4599</v>
      </c>
      <c r="B56" s="98">
        <f t="shared" si="260"/>
        <v>232.06990378821601</v>
      </c>
      <c r="C56" s="98">
        <f t="shared" si="260"/>
        <v>192.74878854286899</v>
      </c>
      <c r="D56" s="98">
        <f t="shared" si="246"/>
        <v>192.74878854286899</v>
      </c>
      <c r="E56" s="98">
        <f t="shared" si="261"/>
        <v>319.71247284993001</v>
      </c>
      <c r="F56" s="98">
        <f t="shared" si="261"/>
        <v>175.670536228624</v>
      </c>
      <c r="G56" s="3798">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4600</v>
      </c>
      <c r="B57" s="108">
        <v>220</v>
      </c>
      <c r="C57" s="108">
        <v>187</v>
      </c>
      <c r="D57" s="108">
        <f t="shared" si="246"/>
        <v>187</v>
      </c>
      <c r="E57" s="108">
        <v>301</v>
      </c>
      <c r="F57" s="109">
        <v>168</v>
      </c>
      <c r="G57" s="3796">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4601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97">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4602</v>
      </c>
      <c r="B59" s="98">
        <f t="shared" si="262"/>
        <v>210.630522469011</v>
      </c>
      <c r="C59" s="98">
        <f t="shared" si="262"/>
        <v>181.695678122472</v>
      </c>
      <c r="D59" s="98">
        <f t="shared" si="246"/>
        <v>181.695678122472</v>
      </c>
      <c r="E59" s="98">
        <f t="shared" si="263"/>
        <v>286.13517466736698</v>
      </c>
      <c r="F59" s="98">
        <f t="shared" si="263"/>
        <v>165.47535084591101</v>
      </c>
      <c r="G59" s="3797">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4603</v>
      </c>
      <c r="B60" s="98">
        <f t="shared" si="262"/>
        <v>208.834545378754</v>
      </c>
      <c r="C60" s="98">
        <f t="shared" si="262"/>
        <v>183.77230517090399</v>
      </c>
      <c r="D60" s="98">
        <f t="shared" si="246"/>
        <v>183.77230517090399</v>
      </c>
      <c r="E60" s="98">
        <f t="shared" si="263"/>
        <v>281.10342338870902</v>
      </c>
      <c r="F60" s="98">
        <f t="shared" si="263"/>
        <v>168.97309388942301</v>
      </c>
      <c r="G60" s="3798">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4604</v>
      </c>
      <c r="B61" s="119">
        <v>214</v>
      </c>
      <c r="C61" s="119">
        <v>188</v>
      </c>
      <c r="D61" s="119">
        <f t="shared" si="246"/>
        <v>188</v>
      </c>
      <c r="E61" s="119">
        <v>289</v>
      </c>
      <c r="F61" s="120">
        <v>166</v>
      </c>
      <c r="G61" s="3796">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4605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97">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4606</v>
      </c>
      <c r="B63" s="98">
        <f t="shared" si="264"/>
        <v>206.31694671589099</v>
      </c>
      <c r="C63" s="98">
        <f t="shared" si="264"/>
        <v>183.61041121036101</v>
      </c>
      <c r="D63" s="98">
        <f t="shared" si="246"/>
        <v>183.61041121036101</v>
      </c>
      <c r="E63" s="98">
        <f t="shared" si="265"/>
        <v>276.66850301795603</v>
      </c>
      <c r="F63" s="98">
        <f t="shared" si="265"/>
        <v>165.136093827861</v>
      </c>
      <c r="G63" s="3797">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4607</v>
      </c>
      <c r="B64" s="122">
        <f t="shared" si="264"/>
        <v>196.62341248059801</v>
      </c>
      <c r="C64" s="122">
        <f t="shared" si="264"/>
        <v>170.99125648199001</v>
      </c>
      <c r="D64" s="122">
        <f t="shared" si="246"/>
        <v>170.99125648199001</v>
      </c>
      <c r="E64" s="122">
        <f t="shared" si="265"/>
        <v>266.07857570490103</v>
      </c>
      <c r="F64" s="122">
        <f t="shared" si="265"/>
        <v>154.53499328828499</v>
      </c>
      <c r="G64" s="3798">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4608</v>
      </c>
      <c r="B65" s="108">
        <v>188</v>
      </c>
      <c r="C65" s="108">
        <v>165</v>
      </c>
      <c r="D65" s="108">
        <f t="shared" si="246"/>
        <v>165</v>
      </c>
      <c r="E65" s="108">
        <v>254</v>
      </c>
      <c r="F65" s="109">
        <v>148</v>
      </c>
      <c r="G65" s="3796">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4609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97">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4610</v>
      </c>
      <c r="B67" s="98">
        <f t="shared" si="268"/>
        <v>168.820177487156</v>
      </c>
      <c r="C67" s="98">
        <f t="shared" si="268"/>
        <v>148.06267029972801</v>
      </c>
      <c r="D67" s="98">
        <f t="shared" si="246"/>
        <v>148.06267029972801</v>
      </c>
      <c r="E67" s="98">
        <f t="shared" si="269"/>
        <v>216.46288379323701</v>
      </c>
      <c r="F67" s="98">
        <f t="shared" si="269"/>
        <v>134.23529411764699</v>
      </c>
      <c r="G67" s="3797">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4611</v>
      </c>
      <c r="B68" s="98">
        <f t="shared" si="268"/>
        <v>163.849135917795</v>
      </c>
      <c r="C68" s="98">
        <f t="shared" si="268"/>
        <v>145.028337874659</v>
      </c>
      <c r="D68" s="98">
        <f t="shared" si="246"/>
        <v>145.028337874659</v>
      </c>
      <c r="E68" s="98">
        <f t="shared" si="269"/>
        <v>204.95180722891601</v>
      </c>
      <c r="F68" s="98">
        <f t="shared" si="269"/>
        <v>125.959203036053</v>
      </c>
      <c r="G68" s="3798">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4612</v>
      </c>
      <c r="B69" s="112">
        <v>159</v>
      </c>
      <c r="C69" s="112">
        <v>141</v>
      </c>
      <c r="D69" s="112">
        <f t="shared" si="246"/>
        <v>141</v>
      </c>
      <c r="E69" s="112">
        <v>195</v>
      </c>
      <c r="F69" s="113">
        <v>122</v>
      </c>
      <c r="G69" s="3796">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4613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97">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4614</v>
      </c>
      <c r="B71" s="98">
        <f t="shared" si="272"/>
        <v>146.57412060301499</v>
      </c>
      <c r="C71" s="98">
        <f t="shared" si="272"/>
        <v>136.468319559229</v>
      </c>
      <c r="D71" s="98">
        <f t="shared" si="246"/>
        <v>136.468319559229</v>
      </c>
      <c r="E71" s="98">
        <f t="shared" si="273"/>
        <v>166.73864894795099</v>
      </c>
      <c r="F71" s="98">
        <f t="shared" si="273"/>
        <v>115.058823529412</v>
      </c>
      <c r="G71" s="3797">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4615</v>
      </c>
      <c r="B72" s="98">
        <f t="shared" si="272"/>
        <v>144.04145728643201</v>
      </c>
      <c r="C72" s="98">
        <f t="shared" si="272"/>
        <v>136.123966942149</v>
      </c>
      <c r="D72" s="98">
        <f t="shared" si="246"/>
        <v>136.123966942149</v>
      </c>
      <c r="E72" s="98">
        <f t="shared" si="273"/>
        <v>158.32225913621301</v>
      </c>
      <c r="F72" s="98">
        <f t="shared" si="273"/>
        <v>114.04278074866301</v>
      </c>
      <c r="G72" s="3798">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4616</v>
      </c>
      <c r="B73" s="112">
        <v>138</v>
      </c>
      <c r="C73" s="112">
        <v>131</v>
      </c>
      <c r="D73" s="112">
        <f t="shared" si="246"/>
        <v>131</v>
      </c>
      <c r="E73" s="112">
        <v>155</v>
      </c>
      <c r="F73" s="113">
        <v>114</v>
      </c>
      <c r="G73" s="3796">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4617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97">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4618</v>
      </c>
      <c r="B75" s="98">
        <f t="shared" si="276"/>
        <v>124.290322580645</v>
      </c>
      <c r="C75" s="98">
        <f t="shared" si="276"/>
        <v>123.896860986547</v>
      </c>
      <c r="D75" s="98">
        <f t="shared" si="246"/>
        <v>123.896860986547</v>
      </c>
      <c r="E75" s="98">
        <f t="shared" si="277"/>
        <v>138.005076142132</v>
      </c>
      <c r="F75" s="98">
        <f t="shared" si="277"/>
        <v>107.96106557377</v>
      </c>
      <c r="G75" s="3797">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4619</v>
      </c>
      <c r="B76" s="98">
        <f t="shared" si="276"/>
        <v>122.57204301075301</v>
      </c>
      <c r="C76" s="98">
        <f t="shared" si="276"/>
        <v>123.493273542601</v>
      </c>
      <c r="D76" s="98">
        <f t="shared" si="246"/>
        <v>123.493273542601</v>
      </c>
      <c r="E76" s="98">
        <f t="shared" si="277"/>
        <v>129.82233502538099</v>
      </c>
      <c r="F76" s="98">
        <f t="shared" si="277"/>
        <v>107.39446721311501</v>
      </c>
      <c r="G76" s="3798">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4620</v>
      </c>
      <c r="B77" s="119">
        <v>121</v>
      </c>
      <c r="C77" s="119">
        <v>122</v>
      </c>
      <c r="D77" s="119">
        <f t="shared" si="246"/>
        <v>122</v>
      </c>
      <c r="E77" s="119">
        <v>124</v>
      </c>
      <c r="F77" s="120">
        <v>107</v>
      </c>
      <c r="G77" s="3796">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4621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97">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4622</v>
      </c>
      <c r="B79" s="98">
        <f t="shared" si="280"/>
        <v>116.99099099099099</v>
      </c>
      <c r="C79" s="98">
        <f t="shared" si="280"/>
        <v>118.848484848485</v>
      </c>
      <c r="D79" s="98">
        <f t="shared" si="246"/>
        <v>118.848484848485</v>
      </c>
      <c r="E79" s="98">
        <f t="shared" si="281"/>
        <v>117.60960960961</v>
      </c>
      <c r="F79" s="98">
        <f t="shared" si="281"/>
        <v>104</v>
      </c>
      <c r="G79" s="3797">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4623</v>
      </c>
      <c r="B80" s="122">
        <f t="shared" si="280"/>
        <v>112.486486486486</v>
      </c>
      <c r="C80" s="122">
        <f t="shared" si="280"/>
        <v>115.212121212121</v>
      </c>
      <c r="D80" s="122">
        <f t="shared" si="246"/>
        <v>115.212121212121</v>
      </c>
      <c r="E80" s="122">
        <f t="shared" si="281"/>
        <v>110.402402402402</v>
      </c>
      <c r="F80" s="122">
        <f t="shared" si="281"/>
        <v>104</v>
      </c>
      <c r="G80" s="3798">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4624</v>
      </c>
      <c r="B81" s="172">
        <v>111</v>
      </c>
      <c r="C81" s="172">
        <v>114</v>
      </c>
      <c r="D81" s="172">
        <f t="shared" si="246"/>
        <v>114</v>
      </c>
      <c r="E81" s="172">
        <v>108</v>
      </c>
      <c r="F81" s="173">
        <v>104</v>
      </c>
      <c r="G81" s="3796">
        <v>2003</v>
      </c>
      <c r="H81" s="171">
        <v>4</v>
      </c>
      <c r="I81" s="191"/>
      <c r="J81" s="191"/>
      <c r="K81" s="191"/>
      <c r="L81" s="191"/>
      <c r="N81" s="192"/>
      <c r="O81" s="191"/>
      <c r="P81" s="191"/>
      <c r="Q81" s="191"/>
      <c r="S81" s="192"/>
      <c r="T81" s="191"/>
      <c r="U81" s="191"/>
      <c r="V81" s="191"/>
      <c r="X81" s="197"/>
      <c r="Y81" s="197"/>
      <c r="Z81" s="197"/>
    </row>
    <row r="82" spans="1:26">
      <c r="A82" s="97" t="s">
        <v>4625</v>
      </c>
      <c r="B82" s="174">
        <f t="shared" ref="B82:C84" si="282">B83+(B$81-B$85)/4</f>
        <v>109.75</v>
      </c>
      <c r="C82" s="174">
        <f t="shared" si="282"/>
        <v>112.25</v>
      </c>
      <c r="D82" s="174">
        <f t="shared" si="246"/>
        <v>112.25</v>
      </c>
      <c r="E82" s="174">
        <f t="shared" ref="E82:F84" si="283">E83+(E$81-E$85)/4</f>
        <v>107.25</v>
      </c>
      <c r="F82" s="174">
        <f t="shared" si="283"/>
        <v>103.5</v>
      </c>
      <c r="G82" s="3797">
        <v>2003</v>
      </c>
      <c r="H82" s="111">
        <v>3</v>
      </c>
      <c r="I82" s="191"/>
      <c r="J82" s="191"/>
      <c r="K82" s="191"/>
      <c r="L82" s="191"/>
      <c r="X82" s="197"/>
      <c r="Y82" s="197"/>
      <c r="Z82" s="197"/>
    </row>
    <row r="83" spans="1:26">
      <c r="A83" s="97" t="s">
        <v>4626</v>
      </c>
      <c r="B83" s="174">
        <f t="shared" si="282"/>
        <v>108.5</v>
      </c>
      <c r="C83" s="174">
        <f t="shared" si="282"/>
        <v>110.5</v>
      </c>
      <c r="D83" s="174">
        <f t="shared" si="246"/>
        <v>110.5</v>
      </c>
      <c r="E83" s="174">
        <f t="shared" si="283"/>
        <v>106.5</v>
      </c>
      <c r="F83" s="174">
        <f t="shared" si="283"/>
        <v>103</v>
      </c>
      <c r="G83" s="3797">
        <v>2003</v>
      </c>
      <c r="H83" s="107">
        <v>2</v>
      </c>
      <c r="I83" s="191"/>
      <c r="J83" s="191"/>
      <c r="K83" s="191"/>
      <c r="L83" s="191"/>
      <c r="X83" s="197"/>
      <c r="Y83" s="197"/>
      <c r="Z83" s="197"/>
    </row>
    <row r="84" spans="1:26">
      <c r="A84" s="97" t="s">
        <v>4627</v>
      </c>
      <c r="B84" s="174">
        <f t="shared" si="282"/>
        <v>107.25</v>
      </c>
      <c r="C84" s="174">
        <f t="shared" si="282"/>
        <v>108.75</v>
      </c>
      <c r="D84" s="174">
        <f t="shared" si="246"/>
        <v>108.75</v>
      </c>
      <c r="E84" s="174">
        <f t="shared" si="283"/>
        <v>105.75</v>
      </c>
      <c r="F84" s="174">
        <f t="shared" si="283"/>
        <v>102.5</v>
      </c>
      <c r="G84" s="3798">
        <v>2003</v>
      </c>
      <c r="H84" s="175">
        <v>1</v>
      </c>
      <c r="I84" s="191"/>
      <c r="J84" s="191"/>
      <c r="K84" s="191"/>
      <c r="L84" s="191"/>
      <c r="S84" s="128"/>
      <c r="T84" s="129"/>
      <c r="U84" s="129"/>
      <c r="X84" s="197"/>
      <c r="Y84" s="197"/>
      <c r="Z84" s="197"/>
    </row>
    <row r="85" spans="1:26">
      <c r="A85" s="97" t="s">
        <v>4628</v>
      </c>
      <c r="B85" s="176">
        <v>106</v>
      </c>
      <c r="C85" s="176">
        <v>107</v>
      </c>
      <c r="D85" s="176">
        <f t="shared" si="246"/>
        <v>107</v>
      </c>
      <c r="E85" s="176">
        <v>105</v>
      </c>
      <c r="F85" s="177">
        <v>102</v>
      </c>
      <c r="G85" s="3796">
        <v>2002</v>
      </c>
      <c r="H85" s="110">
        <v>4</v>
      </c>
      <c r="I85" s="191"/>
      <c r="J85" s="191"/>
      <c r="K85" s="191"/>
      <c r="L85" s="191"/>
      <c r="N85" s="192"/>
      <c r="O85" s="191"/>
      <c r="P85" s="191"/>
      <c r="Q85" s="191"/>
      <c r="S85" s="192"/>
      <c r="T85" s="191"/>
      <c r="U85" s="191"/>
      <c r="V85" s="191"/>
      <c r="X85" s="197"/>
      <c r="Y85" s="197"/>
      <c r="Z85" s="197"/>
    </row>
    <row r="86" spans="1:26">
      <c r="A86" s="97" t="s">
        <v>4629</v>
      </c>
      <c r="B86" s="174">
        <f t="shared" ref="B86:C88" si="284">B87+(B$85-B$89)/4</f>
        <v>105</v>
      </c>
      <c r="C86" s="174">
        <f t="shared" si="284"/>
        <v>106</v>
      </c>
      <c r="D86" s="174">
        <f t="shared" si="246"/>
        <v>106</v>
      </c>
      <c r="E86" s="174">
        <f t="shared" ref="E86:F88" si="285">E87+(E$85-E$89)/4</f>
        <v>104.5</v>
      </c>
      <c r="F86" s="174">
        <f t="shared" si="285"/>
        <v>101.5</v>
      </c>
      <c r="G86" s="3797">
        <v>2002</v>
      </c>
      <c r="H86" s="111">
        <v>3</v>
      </c>
      <c r="I86" s="191"/>
      <c r="J86" s="191"/>
      <c r="K86" s="191"/>
      <c r="L86" s="191"/>
      <c r="X86" s="197"/>
      <c r="Y86" s="197"/>
      <c r="Z86" s="197"/>
    </row>
    <row r="87" spans="1:26">
      <c r="A87" s="97" t="s">
        <v>4630</v>
      </c>
      <c r="B87" s="174">
        <f t="shared" si="284"/>
        <v>104</v>
      </c>
      <c r="C87" s="174">
        <f t="shared" si="284"/>
        <v>105</v>
      </c>
      <c r="D87" s="174">
        <f t="shared" si="246"/>
        <v>105</v>
      </c>
      <c r="E87" s="174">
        <f t="shared" si="285"/>
        <v>104</v>
      </c>
      <c r="F87" s="174">
        <f t="shared" si="285"/>
        <v>101</v>
      </c>
      <c r="G87" s="3797">
        <v>2002</v>
      </c>
      <c r="H87" s="107">
        <v>2</v>
      </c>
      <c r="I87" s="191"/>
      <c r="J87" s="191"/>
      <c r="K87" s="191"/>
      <c r="L87" s="191"/>
      <c r="X87" s="197"/>
      <c r="Y87" s="197"/>
      <c r="Z87" s="197"/>
    </row>
    <row r="88" spans="1:26" s="80" customFormat="1">
      <c r="A88" s="115" t="s">
        <v>4631</v>
      </c>
      <c r="B88" s="159">
        <f t="shared" si="284"/>
        <v>103</v>
      </c>
      <c r="C88" s="159">
        <f t="shared" si="284"/>
        <v>104</v>
      </c>
      <c r="D88" s="159">
        <f t="shared" si="246"/>
        <v>104</v>
      </c>
      <c r="E88" s="159">
        <f t="shared" si="285"/>
        <v>103.5</v>
      </c>
      <c r="F88" s="159">
        <f t="shared" si="285"/>
        <v>100.5</v>
      </c>
      <c r="G88" s="3798">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4632</v>
      </c>
      <c r="G91" s="183"/>
      <c r="N91" s="183"/>
      <c r="S91" s="183"/>
    </row>
    <row r="92" spans="1:26" s="82" customFormat="1">
      <c r="A92" s="82" t="s">
        <v>4633</v>
      </c>
      <c r="G92" s="183"/>
      <c r="N92" s="183"/>
      <c r="S92" s="183"/>
    </row>
    <row r="93" spans="1:26" s="82" customFormat="1">
      <c r="A93" s="82" t="s">
        <v>4634</v>
      </c>
      <c r="G93" s="183"/>
      <c r="I93" s="195"/>
      <c r="J93" s="195"/>
      <c r="K93" s="195"/>
      <c r="L93" s="195"/>
      <c r="N93" s="196"/>
      <c r="O93" s="195"/>
      <c r="P93" s="195"/>
      <c r="Q93" s="195"/>
      <c r="S93" s="196"/>
      <c r="T93" s="195"/>
      <c r="U93" s="195"/>
      <c r="V93" s="195"/>
    </row>
    <row r="94" spans="1:26" s="82" customFormat="1">
      <c r="A94" s="82" t="s">
        <v>4635</v>
      </c>
      <c r="G94" s="183"/>
      <c r="N94" s="183"/>
      <c r="S94" s="183"/>
    </row>
    <row r="102" spans="7:22">
      <c r="G102" s="83"/>
      <c r="S102" s="200" t="s">
        <v>4636</v>
      </c>
      <c r="T102" s="201" t="s">
        <v>4637</v>
      </c>
      <c r="U102" s="201" t="s">
        <v>4638</v>
      </c>
      <c r="V102" s="201" t="s">
        <v>4639</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9"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343</v>
      </c>
      <c r="C1" s="8">
        <f>项目基本情况!D3</f>
        <v>45311</v>
      </c>
      <c r="D1" s="7" t="s">
        <v>4640</v>
      </c>
      <c r="E1" s="9">
        <f>'数据-取费表'!B22</f>
        <v>2</v>
      </c>
      <c r="F1" s="7" t="s">
        <v>4641</v>
      </c>
      <c r="G1" s="10">
        <f ca="1">INDIRECT("d"&amp;$K$1)/100</f>
        <v>3.4500000000000003E-2</v>
      </c>
      <c r="H1" s="7" t="s">
        <v>4642</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4641</v>
      </c>
      <c r="E2" s="11"/>
      <c r="F2" s="11" t="s">
        <v>4643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4644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4645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4646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4647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4648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4649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4650</v>
      </c>
      <c r="C10" s="35"/>
      <c r="D10" s="35"/>
      <c r="E10" s="35"/>
      <c r="F10" s="35"/>
      <c r="G10" s="35"/>
      <c r="H10" s="35"/>
      <c r="I10" s="3"/>
      <c r="J10" s="3"/>
      <c r="K10" s="35"/>
      <c r="L10" s="36" t="s">
        <v>4651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4652</v>
      </c>
      <c r="C11" s="39" t="s">
        <v>4653</v>
      </c>
      <c r="D11" s="40" t="s">
        <v>4654</v>
      </c>
      <c r="E11" s="41"/>
      <c r="F11" s="40" t="s">
        <v>4655</v>
      </c>
      <c r="G11" s="42"/>
      <c r="H11" s="41"/>
      <c r="I11" s="40" t="s">
        <v>4656</v>
      </c>
      <c r="J11" s="41"/>
      <c r="K11" s="37"/>
      <c r="L11" s="38" t="s">
        <v>4652</v>
      </c>
      <c r="M11" s="39" t="s">
        <v>4653</v>
      </c>
      <c r="N11" s="38" t="s">
        <v>4657</v>
      </c>
      <c r="O11" s="40" t="s">
        <v>4658</v>
      </c>
      <c r="P11" s="42"/>
      <c r="Q11" s="42"/>
      <c r="R11" s="42"/>
      <c r="S11" s="42"/>
      <c r="T11" s="41"/>
      <c r="U11" s="40" t="s">
        <v>4659</v>
      </c>
      <c r="V11" s="42"/>
      <c r="W11" s="41"/>
      <c r="X11" s="38" t="s">
        <v>4660</v>
      </c>
      <c r="Y11" s="38" t="s">
        <v>4661</v>
      </c>
      <c r="Z11" s="38" t="s">
        <v>4662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4663</v>
      </c>
      <c r="E12" s="46" t="s">
        <v>4645</v>
      </c>
      <c r="F12" s="46" t="s">
        <v>4646</v>
      </c>
      <c r="G12" s="46" t="s">
        <v>4647</v>
      </c>
      <c r="H12" s="46" t="s">
        <v>4648</v>
      </c>
      <c r="I12" s="60" t="s">
        <v>4664</v>
      </c>
      <c r="J12" s="60" t="s">
        <v>4664</v>
      </c>
      <c r="K12" s="43"/>
      <c r="L12" s="44"/>
      <c r="M12" s="45"/>
      <c r="N12" s="44"/>
      <c r="O12" s="60" t="s">
        <v>4665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4666</v>
      </c>
      <c r="C13" s="49">
        <v>45159</v>
      </c>
      <c r="D13" s="50">
        <v>3.45</v>
      </c>
      <c r="E13" s="50">
        <f>D13</f>
        <v>3.45</v>
      </c>
      <c r="F13" s="50">
        <f>D13</f>
        <v>3.45</v>
      </c>
      <c r="G13" s="50">
        <f>D13</f>
        <v>3.45</v>
      </c>
      <c r="H13" s="50">
        <v>4.2</v>
      </c>
      <c r="I13" s="50"/>
      <c r="J13" s="50"/>
      <c r="K13" s="47"/>
      <c r="L13" s="48" t="s">
        <v>4666</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5.6">
      <c r="A23" s="53"/>
      <c r="B23" s="48" t="s">
        <v>4667</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5.6">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4668</v>
      </c>
      <c r="Y42" s="52" t="s">
        <v>4668</v>
      </c>
      <c r="Z42" s="52" t="s">
        <v>4668</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4668</v>
      </c>
      <c r="Y43" s="52" t="s">
        <v>4668</v>
      </c>
      <c r="Z43" s="52" t="s">
        <v>4668</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4668</v>
      </c>
      <c r="Y44" s="52" t="s">
        <v>4668</v>
      </c>
      <c r="Z44" s="52" t="s">
        <v>4668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4668</v>
      </c>
      <c r="Y45" s="52" t="s">
        <v>4668</v>
      </c>
      <c r="Z45" s="52" t="s">
        <v>4668</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4668</v>
      </c>
      <c r="Y46" s="52" t="s">
        <v>4668</v>
      </c>
      <c r="Z46" s="52" t="s">
        <v>4668</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4668</v>
      </c>
      <c r="Y47" s="52" t="s">
        <v>4668</v>
      </c>
      <c r="Z47" s="52" t="s">
        <v>4668</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4668</v>
      </c>
      <c r="Y48" s="52" t="s">
        <v>4668</v>
      </c>
      <c r="Z48" s="52" t="s">
        <v>4668</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4668</v>
      </c>
      <c r="Y49" s="52" t="s">
        <v>4668</v>
      </c>
      <c r="Z49" s="52" t="s">
        <v>4668</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4668</v>
      </c>
      <c r="Y50" s="52" t="s">
        <v>4668</v>
      </c>
      <c r="Z50" s="52" t="s">
        <v>4668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4668</v>
      </c>
      <c r="V51" s="52" t="s">
        <v>4668</v>
      </c>
      <c r="W51" s="52" t="s">
        <v>4668</v>
      </c>
      <c r="X51" s="52" t="s">
        <v>4668</v>
      </c>
      <c r="Y51" s="52" t="s">
        <v>4668</v>
      </c>
      <c r="Z51" s="52" t="s">
        <v>4668</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4668</v>
      </c>
      <c r="J66" s="52" t="s">
        <v>4668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164</vt:i4>
      </vt:variant>
    </vt:vector>
  </HeadingPairs>
  <TitlesOfParts>
    <vt:vector size="22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项目情况</vt:lpstr>
      <vt:lpstr>全部明细</vt:lpstr>
      <vt:lpstr>最新车位清单</vt:lpstr>
      <vt:lpstr>最新仓储清单</vt:lpstr>
      <vt:lpstr>最新商业清单</vt:lpstr>
      <vt:lpstr>数据-取费表</vt:lpstr>
      <vt:lpstr>估价对象房地状况</vt:lpstr>
      <vt:lpstr>系统读取表</vt:lpstr>
      <vt:lpstr>结果表产权车位</vt:lpstr>
      <vt:lpstr>比较法-车位</vt:lpstr>
      <vt:lpstr>车位案例</vt:lpstr>
      <vt:lpstr>典型户型修正</vt:lpstr>
      <vt:lpstr>成本法</vt:lpstr>
      <vt:lpstr>收益法</vt:lpstr>
      <vt:lpstr>结果表仓储</vt:lpstr>
      <vt:lpstr>假设开发法</vt:lpstr>
      <vt:lpstr>比较法-仓储</vt:lpstr>
      <vt:lpstr>仓储案例</vt:lpstr>
      <vt:lpstr>收益法-酒店模型</vt:lpstr>
      <vt:lpstr>收益法（汇总）</vt:lpstr>
      <vt:lpstr>比较法-住宅</vt:lpstr>
      <vt:lpstr>比较法-办公</vt:lpstr>
      <vt:lpstr>比较法-工业</vt:lpstr>
      <vt:lpstr>土地比较法-住宅、综合</vt:lpstr>
      <vt:lpstr>土地比较法-工业</vt:lpstr>
      <vt:lpstr>基准地价（汇总）</vt:lpstr>
      <vt:lpstr>成本法 (2)</vt:lpstr>
      <vt:lpstr>基准地价修正</vt:lpstr>
      <vt:lpstr>结果表地下商业</vt:lpstr>
      <vt:lpstr>比较法-商业</vt:lpstr>
      <vt:lpstr>商业案例</vt:lpstr>
      <vt:lpstr>成本法 (元)</vt:lpstr>
      <vt:lpstr>基准地价修正 (2)</vt:lpstr>
      <vt:lpstr>收益法 (元)</vt:lpstr>
      <vt:lpstr>典型户型修正 (2)</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(2)'!Print_Area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结果表仓储!Print_Area</vt:lpstr>
      <vt:lpstr>结果表产权车位!Print_Area</vt:lpstr>
      <vt:lpstr>结果表地下商业!Print_Area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2024-01-18T09:08:18Z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369392F498564784A2C4CDFDE8321527_12</vt:lpwstr>
  </property>
  <property fmtid="{D5CDD505-2E9C-101B-9397-08002B2CF9AE}" pid="4" name="KSOProductBuildVer">
    <vt:lpwstr>2052-12.1.0.16120</vt:lpwstr>
  </property>
</Properties>
</file>